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'Костромаэнерго'!$A$1:$AA$240</definedName>
  </definedNames>
  <calcPr fullCalcOnLoad="1"/>
</workbook>
</file>

<file path=xl/sharedStrings.xml><?xml version="1.0" encoding="utf-8"?>
<sst xmlns="http://schemas.openxmlformats.org/spreadsheetml/2006/main" count="839" uniqueCount="232">
  <si>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</si>
  <si>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</si>
  <si>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</si>
  <si>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</si>
  <si>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</si>
  <si>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</si>
  <si>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</si>
  <si>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>40+40</t>
  </si>
  <si>
    <t>Полная мощность                с учётом перераспределения, МВА</t>
  </si>
  <si>
    <t>таблица 2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</si>
  <si>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</si>
  <si>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</si>
  <si>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</si>
  <si>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</si>
  <si>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</si>
  <si>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</si>
  <si>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</si>
  <si>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</si>
  <si>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</si>
  <si>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</si>
  <si>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</si>
  <si>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</si>
  <si>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</si>
  <si>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</si>
  <si>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</si>
  <si>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</si>
  <si>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</si>
  <si>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</si>
  <si>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</si>
  <si>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</si>
  <si>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</si>
  <si>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</si>
  <si>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</si>
  <si>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</si>
  <si>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</si>
  <si>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</si>
  <si>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</si>
  <si>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</si>
  <si>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</si>
  <si>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</si>
  <si>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</si>
  <si>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6,3+8</t>
  </si>
  <si>
    <t xml:space="preserve"> 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</si>
  <si>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</si>
  <si>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</si>
  <si>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</si>
  <si>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 xml:space="preserve"> Пропускная способность ЦП, МВА</t>
  </si>
  <si>
    <t>table 1</t>
  </si>
  <si>
    <t>No.</t>
  </si>
  <si>
    <t>Object of main substation, voltage class</t>
  </si>
  <si>
    <t xml:space="preserve">Current deficit 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</si>
  <si>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</si>
  <si>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</si>
  <si>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</si>
  <si>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Note</t>
  </si>
  <si>
    <t>Expected deficit/proficit</t>
  </si>
  <si>
    <t xml:space="preserve"> Additional capacity according to provided technical specifications at TS, MVA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</si>
  <si>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</si>
  <si>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</si>
  <si>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</si>
  <si>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</si>
  <si>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</si>
  <si>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</si>
  <si>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</si>
  <si>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</si>
  <si>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</si>
  <si>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</si>
  <si>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</si>
  <si>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</si>
  <si>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</si>
  <si>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</si>
  <si>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</si>
  <si>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</si>
  <si>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</si>
  <si>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</si>
  <si>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</si>
  <si>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</si>
  <si>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</si>
  <si>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</si>
  <si>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</si>
  <si>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</si>
  <si>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</si>
  <si>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</si>
  <si>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</si>
  <si>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</si>
  <si>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</si>
  <si>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</si>
  <si>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</si>
  <si>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</si>
  <si>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</si>
  <si>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</si>
  <si>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</si>
  <si>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</si>
  <si>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</si>
  <si>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</si>
  <si>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</si>
  <si>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</si>
  <si>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</si>
  <si>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</si>
  <si>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</si>
  <si>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</si>
  <si>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</si>
  <si>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</si>
  <si>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</si>
  <si>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</si>
  <si>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</si>
  <si>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</si>
  <si>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</si>
  <si>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</si>
  <si>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</si>
  <si>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</si>
  <si>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</si>
  <si>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</si>
  <si>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</si>
  <si>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</si>
  <si>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</si>
  <si>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</si>
  <si>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</si>
  <si>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</si>
  <si>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</si>
  <si>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</si>
  <si>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</si>
  <si>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</si>
  <si>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</si>
  <si>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</si>
  <si>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</si>
  <si>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</si>
  <si>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</si>
  <si>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</si>
  <si>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</si>
  <si>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</si>
  <si>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</si>
  <si>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</si>
  <si>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</si>
  <si>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</si>
  <si>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</si>
  <si>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</si>
  <si>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</si>
  <si>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</si>
  <si>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</si>
  <si>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</si>
  <si>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</si>
  <si>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</si>
  <si>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</si>
  <si>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</si>
  <si>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</si>
  <si>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</si>
  <si>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</si>
  <si>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</si>
  <si>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</si>
  <si>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</si>
  <si>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</si>
  <si>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</si>
  <si>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</si>
  <si>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</si>
  <si>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</si>
  <si>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</si>
  <si>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</si>
  <si>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</si>
  <si>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</si>
  <si>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</si>
  <si>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</si>
  <si>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</si>
  <si>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</si>
  <si>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</si>
  <si>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</si>
  <si>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</si>
  <si>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</si>
  <si>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</si>
  <si>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</si>
  <si>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</si>
  <si>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</si>
  <si>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</si>
  <si>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</si>
  <si>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</si>
  <si>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</si>
  <si>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</si>
  <si>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</si>
  <si>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</si>
  <si>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</si>
  <si>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</si>
  <si>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</si>
  <si>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</si>
  <si>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</si>
  <si>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</si>
  <si>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</si>
  <si>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</si>
  <si>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</si>
  <si>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</si>
  <si>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</si>
  <si>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</si>
  <si>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</si>
  <si>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</si>
  <si>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</si>
  <si>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</si>
  <si>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</si>
  <si>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</si>
  <si>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</si>
  <si>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</si>
  <si>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</si>
  <si>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</si>
  <si>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</si>
  <si>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</si>
  <si>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</si>
  <si>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</si>
  <si>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</si>
  <si>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</si>
  <si>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</si>
  <si>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</si>
  <si>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</si>
  <si>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</si>
  <si>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</si>
  <si>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</si>
  <si>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</si>
  <si>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</si>
  <si>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</si>
  <si>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</si>
  <si>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</si>
  <si>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</si>
  <si>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</si>
  <si>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</si>
  <si>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</si>
  <si>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</si>
  <si>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</si>
  <si>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</si>
  <si>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</si>
  <si>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</si>
  <si>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</si>
  <si>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</si>
  <si>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opened</t>
  </si>
  <si>
    <t xml:space="preserve">Installed power capacity of transformers Sуst.,  including their number in future subject to fulfillment of technical specifications at TS or other measures on reconstruction of MS pcs/ MVA </t>
  </si>
  <si>
    <t>introduced in September, 2009.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</si>
</sst>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4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1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10" borderId="0" xfId="0" applyFont="1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2" fontId="6" fillId="24" borderId="18" xfId="53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8" xfId="54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2" fontId="6" fillId="24" borderId="13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24" borderId="11" xfId="53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4" xfId="54" applyNumberFormat="1" applyFont="1" applyFill="1" applyBorder="1" applyAlignment="1" applyProtection="1">
      <alignment horizontal="center" vertical="center"/>
      <protection/>
    </xf>
    <xf numFmtId="2" fontId="6" fillId="0" borderId="25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1" xfId="53" applyNumberFormat="1" applyFont="1" applyFill="1" applyBorder="1" applyAlignment="1" applyProtection="1">
      <alignment horizontal="center" vertical="center"/>
      <protection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 applyProtection="1">
      <alignment horizontal="center" vertical="center"/>
      <protection/>
    </xf>
    <xf numFmtId="2" fontId="6" fillId="10" borderId="13" xfId="0" applyNumberFormat="1" applyFont="1" applyFill="1" applyBorder="1" applyAlignment="1" applyProtection="1">
      <alignment horizontal="center" vertical="center"/>
      <protection/>
    </xf>
    <xf numFmtId="2" fontId="6" fillId="10" borderId="11" xfId="53" applyNumberFormat="1" applyFont="1" applyFill="1" applyBorder="1" applyAlignment="1" applyProtection="1">
      <alignment horizontal="center" vertical="center"/>
      <protection/>
    </xf>
    <xf numFmtId="0" fontId="6" fillId="10" borderId="11" xfId="0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2" fontId="6" fillId="10" borderId="13" xfId="54" applyNumberFormat="1" applyFont="1" applyFill="1" applyBorder="1" applyAlignment="1" applyProtection="1">
      <alignment horizontal="center" vertical="center"/>
      <protection/>
    </xf>
    <xf numFmtId="2" fontId="6" fillId="10" borderId="2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2" fontId="6" fillId="0" borderId="11" xfId="58" applyNumberFormat="1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2" fontId="6" fillId="24" borderId="26" xfId="53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17" xfId="55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2" fontId="6" fillId="24" borderId="18" xfId="57" applyNumberFormat="1" applyFont="1" applyFill="1" applyBorder="1" applyAlignment="1" applyProtection="1">
      <alignment horizontal="center" vertical="center"/>
      <protection/>
    </xf>
    <xf numFmtId="2" fontId="6" fillId="24" borderId="18" xfId="0" applyNumberFormat="1" applyFont="1" applyFill="1" applyBorder="1" applyAlignment="1">
      <alignment horizontal="center" vertical="center" wrapText="1"/>
    </xf>
    <xf numFmtId="2" fontId="6" fillId="0" borderId="18" xfId="58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8" xfId="57" applyNumberFormat="1" applyFont="1" applyFill="1" applyBorder="1" applyAlignment="1" applyProtection="1">
      <alignment horizontal="center" vertical="center"/>
      <protection/>
    </xf>
    <xf numFmtId="2" fontId="6" fillId="0" borderId="13" xfId="58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2" fontId="6" fillId="24" borderId="11" xfId="57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164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23" xfId="55" applyNumberFormat="1" applyFont="1" applyFill="1" applyBorder="1" applyAlignment="1" applyProtection="1">
      <alignment horizontal="center" vertical="center" wrapText="1"/>
      <protection/>
    </xf>
    <xf numFmtId="2" fontId="6" fillId="24" borderId="13" xfId="57" applyNumberFormat="1" applyFont="1" applyFill="1" applyBorder="1" applyAlignment="1" applyProtection="1">
      <alignment horizontal="center" vertical="center"/>
      <protection/>
    </xf>
    <xf numFmtId="2" fontId="6" fillId="0" borderId="11" xfId="52" applyNumberFormat="1" applyFont="1" applyFill="1" applyBorder="1" applyAlignment="1" applyProtection="1">
      <alignment horizontal="center" vertical="center"/>
      <protection/>
    </xf>
    <xf numFmtId="2" fontId="6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3" xfId="57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6" fillId="0" borderId="26" xfId="5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56" applyNumberFormat="1" applyFont="1" applyFill="1" applyBorder="1" applyAlignment="1" applyProtection="1">
      <alignment horizontal="center" vertical="center" wrapText="1"/>
      <protection/>
    </xf>
    <xf numFmtId="2" fontId="6" fillId="0" borderId="11" xfId="58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1" xfId="57" applyNumberFormat="1" applyFont="1" applyFill="1" applyBorder="1" applyAlignment="1" applyProtection="1">
      <alignment horizontal="center" vertical="center" wrapText="1"/>
      <protection/>
    </xf>
    <xf numFmtId="164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2" fontId="6" fillId="24" borderId="11" xfId="57" applyNumberFormat="1" applyFont="1" applyFill="1" applyBorder="1" applyAlignment="1" applyProtection="1">
      <alignment horizontal="center" vertical="center" wrapText="1"/>
      <protection/>
    </xf>
    <xf numFmtId="2" fontId="6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0" borderId="29" xfId="0" applyNumberFormat="1" applyFont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0" fontId="6" fillId="10" borderId="11" xfId="56" applyNumberFormat="1" applyFont="1" applyFill="1" applyBorder="1" applyAlignment="1" applyProtection="1">
      <alignment horizontal="center" vertical="center"/>
      <protection/>
    </xf>
    <xf numFmtId="2" fontId="6" fillId="10" borderId="13" xfId="57" applyNumberFormat="1" applyFont="1" applyFill="1" applyBorder="1" applyAlignment="1" applyProtection="1">
      <alignment horizontal="center" vertical="center"/>
      <protection/>
    </xf>
    <xf numFmtId="2" fontId="6" fillId="10" borderId="26" xfId="0" applyNumberFormat="1" applyFont="1" applyFill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 wrapText="1"/>
    </xf>
    <xf numFmtId="2" fontId="6" fillId="10" borderId="11" xfId="58" applyNumberFormat="1" applyFont="1" applyFill="1" applyBorder="1" applyAlignment="1" applyProtection="1">
      <alignment horizontal="center" vertical="center"/>
      <protection/>
    </xf>
    <xf numFmtId="2" fontId="5" fillId="10" borderId="11" xfId="0" applyNumberFormat="1" applyFont="1" applyFill="1" applyBorder="1" applyAlignment="1">
      <alignment horizontal="center" vertical="center"/>
    </xf>
    <xf numFmtId="164" fontId="5" fillId="10" borderId="29" xfId="0" applyNumberFormat="1" applyFont="1" applyFill="1" applyBorder="1" applyAlignment="1">
      <alignment horizontal="center" vertical="center" wrapText="1"/>
    </xf>
    <xf numFmtId="2" fontId="6" fillId="10" borderId="11" xfId="57" applyNumberFormat="1" applyFont="1" applyFill="1" applyBorder="1" applyAlignment="1" applyProtection="1">
      <alignment horizontal="center" vertical="center"/>
      <protection/>
    </xf>
    <xf numFmtId="0" fontId="6" fillId="10" borderId="13" xfId="57" applyNumberFormat="1" applyFont="1" applyFill="1" applyBorder="1" applyAlignment="1" applyProtection="1">
      <alignment horizontal="center" vertical="center"/>
      <protection/>
    </xf>
    <xf numFmtId="2" fontId="6" fillId="10" borderId="13" xfId="58" applyNumberFormat="1" applyFont="1" applyFill="1" applyBorder="1" applyAlignment="1" applyProtection="1">
      <alignment horizontal="center" vertical="center"/>
      <protection/>
    </xf>
    <xf numFmtId="2" fontId="5" fillId="10" borderId="13" xfId="0" applyNumberFormat="1" applyFont="1" applyFill="1" applyBorder="1" applyAlignment="1">
      <alignment horizontal="center" vertical="center" wrapText="1"/>
    </xf>
    <xf numFmtId="164" fontId="6" fillId="10" borderId="11" xfId="56" applyNumberFormat="1" applyFont="1" applyFill="1" applyBorder="1" applyAlignment="1" applyProtection="1">
      <alignment horizontal="center" vertical="center"/>
      <protection/>
    </xf>
    <xf numFmtId="0" fontId="6" fillId="10" borderId="14" xfId="0" applyFont="1" applyFill="1" applyBorder="1" applyAlignment="1">
      <alignment horizontal="center" vertical="center" wrapText="1"/>
    </xf>
    <xf numFmtId="164" fontId="5" fillId="10" borderId="11" xfId="0" applyNumberFormat="1" applyFont="1" applyFill="1" applyBorder="1" applyAlignment="1">
      <alignment horizontal="center" vertical="center"/>
    </xf>
    <xf numFmtId="2" fontId="6" fillId="10" borderId="27" xfId="0" applyNumberFormat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2" fontId="6" fillId="10" borderId="24" xfId="0" applyNumberFormat="1" applyFont="1" applyFill="1" applyBorder="1" applyAlignment="1">
      <alignment horizontal="center" vertical="center" wrapText="1"/>
    </xf>
    <xf numFmtId="2" fontId="6" fillId="10" borderId="11" xfId="5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4" borderId="26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" fontId="6" fillId="0" borderId="26" xfId="54" applyNumberFormat="1" applyFont="1" applyFill="1" applyBorder="1" applyAlignment="1" applyProtection="1">
      <alignment horizontal="center" vertical="center"/>
      <protection/>
    </xf>
    <xf numFmtId="2" fontId="6" fillId="0" borderId="24" xfId="54" applyNumberFormat="1" applyFont="1" applyFill="1" applyBorder="1" applyAlignment="1" applyProtection="1">
      <alignment horizontal="center" vertical="center"/>
      <protection/>
    </xf>
    <xf numFmtId="2" fontId="6" fillId="0" borderId="13" xfId="54" applyNumberFormat="1" applyFont="1" applyFill="1" applyBorder="1" applyAlignment="1" applyProtection="1">
      <alignment horizontal="center" vertical="center"/>
      <protection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/>
    </xf>
    <xf numFmtId="0" fontId="6" fillId="0" borderId="26" xfId="55" applyNumberFormat="1" applyFont="1" applyFill="1" applyBorder="1" applyAlignment="1" applyProtection="1">
      <alignment horizontal="center" vertical="center" wrapText="1"/>
      <protection/>
    </xf>
    <xf numFmtId="0" fontId="6" fillId="10" borderId="23" xfId="55" applyNumberFormat="1" applyFont="1" applyFill="1" applyBorder="1" applyAlignment="1" applyProtection="1">
      <alignment horizontal="center" vertical="center" wrapText="1"/>
      <protection/>
    </xf>
    <xf numFmtId="0" fontId="6" fillId="1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6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6" fillId="0" borderId="20" xfId="52" applyNumberFormat="1" applyFont="1" applyFill="1" applyBorder="1" applyAlignment="1" applyProtection="1">
      <alignment horizontal="center" vertical="center"/>
      <protection/>
    </xf>
    <xf numFmtId="2" fontId="6" fillId="0" borderId="24" xfId="52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6" xfId="52" applyNumberFormat="1" applyFont="1" applyFill="1" applyBorder="1" applyAlignment="1" applyProtection="1">
      <alignment horizontal="center" vertical="center"/>
      <protection/>
    </xf>
    <xf numFmtId="2" fontId="6" fillId="0" borderId="13" xfId="52" applyNumberFormat="1" applyFont="1" applyFill="1" applyBorder="1" applyAlignment="1" applyProtection="1">
      <alignment horizontal="center" vertical="center"/>
      <protection/>
    </xf>
    <xf numFmtId="2" fontId="6" fillId="0" borderId="26" xfId="52" applyNumberFormat="1" applyFont="1" applyFill="1" applyBorder="1" applyAlignment="1" applyProtection="1">
      <alignment horizontal="center" vertical="center" wrapText="1"/>
      <protection/>
    </xf>
    <xf numFmtId="2" fontId="6" fillId="0" borderId="24" xfId="52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2" fontId="6" fillId="10" borderId="26" xfId="52" applyNumberFormat="1" applyFont="1" applyFill="1" applyBorder="1" applyAlignment="1" applyProtection="1">
      <alignment horizontal="center" vertical="center"/>
      <protection/>
    </xf>
    <xf numFmtId="2" fontId="6" fillId="10" borderId="24" xfId="52" applyNumberFormat="1" applyFont="1" applyFill="1" applyBorder="1" applyAlignment="1" applyProtection="1">
      <alignment horizontal="center" vertical="center"/>
      <protection/>
    </xf>
    <xf numFmtId="2" fontId="6" fillId="10" borderId="13" xfId="52" applyNumberFormat="1" applyFont="1" applyFill="1" applyBorder="1" applyAlignment="1" applyProtection="1">
      <alignment horizontal="center" vertical="center"/>
      <protection/>
    </xf>
    <xf numFmtId="2" fontId="6" fillId="10" borderId="25" xfId="0" applyNumberFormat="1" applyFont="1" applyFill="1" applyBorder="1" applyAlignment="1">
      <alignment horizontal="center" vertical="center" wrapText="1"/>
    </xf>
    <xf numFmtId="2" fontId="6" fillId="10" borderId="27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6" fillId="10" borderId="26" xfId="0" applyNumberFormat="1" applyFont="1" applyFill="1" applyBorder="1" applyAlignment="1">
      <alignment horizontal="center" vertical="center" wrapText="1"/>
    </xf>
    <xf numFmtId="2" fontId="6" fillId="10" borderId="24" xfId="0" applyNumberFormat="1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10" borderId="23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view="pageBreakPreview" zoomScaleNormal="90" zoomScaleSheetLayoutView="100" zoomScalePageLayoutView="0" workbookViewId="0" topLeftCell="A1">
      <pane ySplit="5" topLeftCell="BM126" activePane="bottomLeft" state="frozen"/>
      <selection pane="topLeft" activeCell="A1" sqref="A1"/>
      <selection pane="bottomLeft" activeCell="AA132" sqref="AA132"/>
    </sheetView>
  </sheetViews>
  <sheetFormatPr defaultColWidth="9.140625" defaultRowHeight="15"/>
  <cols>
    <col min="1" max="1" width="6.00390625" style="16" customWidth="1"/>
    <col min="2" max="2" width="21.57421875" style="16" customWidth="1"/>
    <col min="3" max="3" width="18.00390625" style="16" customWidth="1"/>
    <col min="4" max="4" width="13.28125" style="17" customWidth="1"/>
    <col min="5" max="5" width="15.421875" style="17" hidden="1" customWidth="1"/>
    <col min="6" max="6" width="10.8515625" style="16" hidden="1" customWidth="1"/>
    <col min="7" max="7" width="10.57421875" style="16" hidden="1" customWidth="1"/>
    <col min="8" max="8" width="15.8515625" style="17" hidden="1" customWidth="1"/>
    <col min="9" max="9" width="17.7109375" style="16" hidden="1" customWidth="1"/>
    <col min="10" max="10" width="12.57421875" style="16" hidden="1" customWidth="1"/>
    <col min="11" max="11" width="12.421875" style="161" customWidth="1"/>
    <col min="12" max="12" width="12.57421875" style="16" customWidth="1"/>
    <col min="13" max="13" width="1.57421875" style="18" customWidth="1"/>
    <col min="14" max="14" width="7.140625" style="16" customWidth="1"/>
    <col min="15" max="15" width="22.00390625" style="16" customWidth="1"/>
    <col min="16" max="16" width="16.7109375" style="16" customWidth="1"/>
    <col min="17" max="17" width="11.8515625" style="16" customWidth="1"/>
    <col min="18" max="18" width="13.140625" style="16" hidden="1" customWidth="1"/>
    <col min="19" max="20" width="0" style="16" hidden="1" customWidth="1"/>
    <col min="21" max="21" width="15.00390625" style="16" hidden="1" customWidth="1"/>
    <col min="22" max="22" width="12.421875" style="16" hidden="1" customWidth="1"/>
    <col min="23" max="23" width="17.28125" style="16" hidden="1" customWidth="1"/>
    <col min="24" max="24" width="0" style="16" hidden="1" customWidth="1"/>
    <col min="25" max="25" width="9.140625" style="16" customWidth="1"/>
    <col min="26" max="26" width="14.140625" style="16" customWidth="1"/>
  </cols>
  <sheetData>
    <row r="1" spans="10:25" ht="15.75" thickBot="1">
      <c r="J1" s="181" t="s">
        <v>47</v>
      </c>
      <c r="K1" s="181"/>
      <c r="P1" s="201"/>
      <c r="Q1" s="201"/>
      <c r="R1" s="201"/>
      <c r="S1" s="201"/>
      <c r="T1" s="19"/>
      <c r="U1" s="19"/>
      <c r="V1" s="19"/>
      <c r="W1" s="202" t="s">
        <v>9</v>
      </c>
      <c r="X1" s="202"/>
      <c r="Y1" s="20"/>
    </row>
    <row r="2" spans="1:26" ht="15" customHeight="1">
      <c r="A2" s="176" t="s">
        <v>48</v>
      </c>
      <c r="B2" s="212" t="s">
        <v>49</v>
      </c>
      <c r="C2" s="213" t="s">
        <v>50</v>
      </c>
      <c r="D2" s="214"/>
      <c r="E2" s="214"/>
      <c r="F2" s="214"/>
      <c r="G2" s="214"/>
      <c r="H2" s="214"/>
      <c r="I2" s="214"/>
      <c r="J2" s="214"/>
      <c r="K2" s="215"/>
      <c r="L2" s="216" t="s">
        <v>54</v>
      </c>
      <c r="N2" s="203" t="s">
        <v>48</v>
      </c>
      <c r="O2" s="206" t="s">
        <v>49</v>
      </c>
      <c r="P2" s="209" t="s">
        <v>55</v>
      </c>
      <c r="Q2" s="210"/>
      <c r="R2" s="210"/>
      <c r="S2" s="210"/>
      <c r="T2" s="210"/>
      <c r="U2" s="210"/>
      <c r="V2" s="210"/>
      <c r="W2" s="210"/>
      <c r="X2" s="210"/>
      <c r="Y2" s="211"/>
      <c r="Z2" s="254" t="s">
        <v>54</v>
      </c>
    </row>
    <row r="3" spans="1:26" ht="136.5" customHeight="1">
      <c r="A3" s="204"/>
      <c r="B3" s="169"/>
      <c r="C3" s="169" t="s">
        <v>51</v>
      </c>
      <c r="D3" s="182" t="s">
        <v>52</v>
      </c>
      <c r="E3" s="169" t="s">
        <v>5</v>
      </c>
      <c r="F3" s="219"/>
      <c r="G3" s="169" t="s">
        <v>0</v>
      </c>
      <c r="H3" s="171" t="s">
        <v>44</v>
      </c>
      <c r="I3" s="184" t="s">
        <v>43</v>
      </c>
      <c r="J3" s="167" t="s">
        <v>45</v>
      </c>
      <c r="K3" s="184" t="s">
        <v>53</v>
      </c>
      <c r="L3" s="217"/>
      <c r="N3" s="204"/>
      <c r="O3" s="207"/>
      <c r="P3" s="257" t="s">
        <v>230</v>
      </c>
      <c r="Q3" s="259" t="s">
        <v>56</v>
      </c>
      <c r="R3" s="257" t="s">
        <v>11</v>
      </c>
      <c r="S3" s="261" t="s">
        <v>10</v>
      </c>
      <c r="T3" s="262"/>
      <c r="U3" s="186" t="s">
        <v>8</v>
      </c>
      <c r="V3" s="186" t="s">
        <v>6</v>
      </c>
      <c r="W3" s="186" t="s">
        <v>43</v>
      </c>
      <c r="X3" s="186" t="s">
        <v>46</v>
      </c>
      <c r="Y3" s="186" t="s">
        <v>53</v>
      </c>
      <c r="Z3" s="255"/>
    </row>
    <row r="4" spans="1:26" ht="60" customHeight="1" thickBot="1">
      <c r="A4" s="177"/>
      <c r="B4" s="170"/>
      <c r="C4" s="170"/>
      <c r="D4" s="183"/>
      <c r="E4" s="9" t="s">
        <v>2</v>
      </c>
      <c r="F4" s="8" t="s">
        <v>4</v>
      </c>
      <c r="G4" s="170"/>
      <c r="H4" s="172"/>
      <c r="I4" s="185"/>
      <c r="J4" s="168"/>
      <c r="K4" s="185"/>
      <c r="L4" s="218"/>
      <c r="N4" s="205"/>
      <c r="O4" s="208"/>
      <c r="P4" s="258"/>
      <c r="Q4" s="260"/>
      <c r="R4" s="258"/>
      <c r="S4" s="6" t="s">
        <v>2</v>
      </c>
      <c r="T4" s="6" t="s">
        <v>4</v>
      </c>
      <c r="U4" s="208"/>
      <c r="V4" s="208"/>
      <c r="W4" s="208"/>
      <c r="X4" s="208"/>
      <c r="Y4" s="208"/>
      <c r="Z4" s="256"/>
    </row>
    <row r="5" spans="1:26" ht="15" customHeight="1" thickBot="1">
      <c r="A5" s="10">
        <v>1</v>
      </c>
      <c r="B5" s="10">
        <v>2</v>
      </c>
      <c r="C5" s="10">
        <v>3</v>
      </c>
      <c r="D5" s="11">
        <v>4</v>
      </c>
      <c r="E5" s="11">
        <v>5</v>
      </c>
      <c r="F5" s="10">
        <v>6</v>
      </c>
      <c r="G5" s="10">
        <v>7</v>
      </c>
      <c r="H5" s="11">
        <v>8</v>
      </c>
      <c r="I5" s="10">
        <v>9</v>
      </c>
      <c r="J5" s="10">
        <v>10</v>
      </c>
      <c r="K5" s="12">
        <v>11</v>
      </c>
      <c r="L5" s="21">
        <v>12</v>
      </c>
      <c r="N5" s="13">
        <v>1</v>
      </c>
      <c r="O5" s="6">
        <v>2</v>
      </c>
      <c r="P5" s="6">
        <v>3</v>
      </c>
      <c r="Q5" s="7">
        <v>4</v>
      </c>
      <c r="R5" s="14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22">
        <v>13</v>
      </c>
    </row>
    <row r="6" spans="1:26" s="1" customFormat="1" ht="16.5" customHeight="1" thickBot="1">
      <c r="A6" s="178" t="s">
        <v>57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23"/>
      <c r="N6" s="178" t="s">
        <v>57</v>
      </c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80"/>
    </row>
    <row r="7" spans="1:26" s="1" customFormat="1" ht="22.5">
      <c r="A7" s="24">
        <v>1</v>
      </c>
      <c r="B7" s="25" t="s">
        <v>58</v>
      </c>
      <c r="C7" s="26">
        <v>1</v>
      </c>
      <c r="D7" s="27">
        <v>0.47</v>
      </c>
      <c r="E7" s="28">
        <v>0.55</v>
      </c>
      <c r="F7" s="29">
        <v>120</v>
      </c>
      <c r="G7" s="30">
        <f>E7</f>
        <v>0.55</v>
      </c>
      <c r="H7" s="31">
        <v>0</v>
      </c>
      <c r="I7" s="32">
        <f>G7-H7</f>
        <v>0.55</v>
      </c>
      <c r="J7" s="30">
        <f>I7-D7</f>
        <v>0.08000000000000007</v>
      </c>
      <c r="K7" s="33">
        <f>J7</f>
        <v>0.08000000000000007</v>
      </c>
      <c r="L7" s="34" t="str">
        <f aca="true" t="shared" si="0" ref="L7:L39">IF(K7&lt;0,"closed","opened")</f>
        <v>opened</v>
      </c>
      <c r="M7" s="23"/>
      <c r="N7" s="35">
        <v>1</v>
      </c>
      <c r="O7" s="25" t="s">
        <v>58</v>
      </c>
      <c r="P7" s="26">
        <v>1</v>
      </c>
      <c r="Q7" s="27">
        <v>0.046</v>
      </c>
      <c r="R7" s="36">
        <f>Q7+Костромаэнерго!D7</f>
        <v>0.516</v>
      </c>
      <c r="S7" s="28">
        <v>0.55</v>
      </c>
      <c r="T7" s="29">
        <v>120</v>
      </c>
      <c r="U7" s="37">
        <f>R7-S7</f>
        <v>-0.03400000000000003</v>
      </c>
      <c r="V7" s="37">
        <v>0</v>
      </c>
      <c r="W7" s="37">
        <f>S7</f>
        <v>0.55</v>
      </c>
      <c r="X7" s="38">
        <f>W7-R7</f>
        <v>0.03400000000000003</v>
      </c>
      <c r="Y7" s="37">
        <f aca="true" t="shared" si="1" ref="Y7:Y40">X7</f>
        <v>0.03400000000000003</v>
      </c>
      <c r="Z7" s="34" t="str">
        <f aca="true" t="shared" si="2" ref="Z7:Z39">IF(Y7&lt;0,"closed","opened")</f>
        <v>opened</v>
      </c>
    </row>
    <row r="8" spans="1:26" s="1" customFormat="1" ht="22.5">
      <c r="A8" s="39">
        <v>2</v>
      </c>
      <c r="B8" s="40" t="s">
        <v>59</v>
      </c>
      <c r="C8" s="41">
        <v>1.8</v>
      </c>
      <c r="D8" s="27">
        <v>0.73</v>
      </c>
      <c r="E8" s="42">
        <v>1.2</v>
      </c>
      <c r="F8" s="43">
        <v>120</v>
      </c>
      <c r="G8" s="44">
        <f aca="true" t="shared" si="3" ref="G8:G70">E8</f>
        <v>1.2</v>
      </c>
      <c r="H8" s="31">
        <v>0</v>
      </c>
      <c r="I8" s="15">
        <f aca="true" t="shared" si="4" ref="I8:I70">G8-H8</f>
        <v>1.2</v>
      </c>
      <c r="J8" s="44">
        <f aca="true" t="shared" si="5" ref="J8:J70">I8-D8</f>
        <v>0.47</v>
      </c>
      <c r="K8" s="45">
        <f aca="true" t="shared" si="6" ref="K8:K39">J8</f>
        <v>0.47</v>
      </c>
      <c r="L8" s="46" t="str">
        <f t="shared" si="0"/>
        <v>opened</v>
      </c>
      <c r="M8" s="23"/>
      <c r="N8" s="47">
        <v>2</v>
      </c>
      <c r="O8" s="40" t="s">
        <v>59</v>
      </c>
      <c r="P8" s="41">
        <v>1.8</v>
      </c>
      <c r="Q8" s="27">
        <v>0.292</v>
      </c>
      <c r="R8" s="48">
        <f>Q8+Костромаэнерго!D8</f>
        <v>1.022</v>
      </c>
      <c r="S8" s="49">
        <v>1.2</v>
      </c>
      <c r="T8" s="43">
        <v>120</v>
      </c>
      <c r="U8" s="37">
        <f aca="true" t="shared" si="7" ref="U8:U70">R8-S8</f>
        <v>-0.17799999999999994</v>
      </c>
      <c r="V8" s="37">
        <v>0</v>
      </c>
      <c r="W8" s="37">
        <f aca="true" t="shared" si="8" ref="W8:W70">S8</f>
        <v>1.2</v>
      </c>
      <c r="X8" s="38">
        <f aca="true" t="shared" si="9" ref="X8:X70">W8-R8</f>
        <v>0.17799999999999994</v>
      </c>
      <c r="Y8" s="37">
        <f t="shared" si="1"/>
        <v>0.17799999999999994</v>
      </c>
      <c r="Z8" s="46" t="str">
        <f t="shared" si="2"/>
        <v>opened</v>
      </c>
    </row>
    <row r="9" spans="1:26" s="1" customFormat="1" ht="22.5">
      <c r="A9" s="39">
        <v>3</v>
      </c>
      <c r="B9" s="40" t="s">
        <v>60</v>
      </c>
      <c r="C9" s="41">
        <v>1.8</v>
      </c>
      <c r="D9" s="27">
        <v>0.13</v>
      </c>
      <c r="E9" s="42">
        <v>1.44</v>
      </c>
      <c r="F9" s="43">
        <v>120</v>
      </c>
      <c r="G9" s="50">
        <f t="shared" si="3"/>
        <v>1.44</v>
      </c>
      <c r="H9" s="31">
        <v>0</v>
      </c>
      <c r="I9" s="15">
        <f t="shared" si="4"/>
        <v>1.44</v>
      </c>
      <c r="J9" s="15">
        <f t="shared" si="5"/>
        <v>1.31</v>
      </c>
      <c r="K9" s="51">
        <f t="shared" si="6"/>
        <v>1.31</v>
      </c>
      <c r="L9" s="46" t="str">
        <f t="shared" si="0"/>
        <v>opened</v>
      </c>
      <c r="M9" s="23"/>
      <c r="N9" s="47">
        <v>3</v>
      </c>
      <c r="O9" s="40" t="s">
        <v>60</v>
      </c>
      <c r="P9" s="41">
        <v>1.8</v>
      </c>
      <c r="Q9" s="27">
        <v>0.311</v>
      </c>
      <c r="R9" s="48">
        <f>Q9+Костромаэнерго!D9</f>
        <v>0.441</v>
      </c>
      <c r="S9" s="49">
        <v>1.44</v>
      </c>
      <c r="T9" s="43">
        <v>120</v>
      </c>
      <c r="U9" s="37">
        <f t="shared" si="7"/>
        <v>-0.9989999999999999</v>
      </c>
      <c r="V9" s="37">
        <v>0</v>
      </c>
      <c r="W9" s="37">
        <f t="shared" si="8"/>
        <v>1.44</v>
      </c>
      <c r="X9" s="38">
        <f t="shared" si="9"/>
        <v>0.9989999999999999</v>
      </c>
      <c r="Y9" s="37">
        <f t="shared" si="1"/>
        <v>0.9989999999999999</v>
      </c>
      <c r="Z9" s="46" t="str">
        <f t="shared" si="2"/>
        <v>opened</v>
      </c>
    </row>
    <row r="10" spans="1:26" s="1" customFormat="1" ht="22.5">
      <c r="A10" s="52">
        <v>4</v>
      </c>
      <c r="B10" s="40" t="s">
        <v>61</v>
      </c>
      <c r="C10" s="41">
        <v>2.5</v>
      </c>
      <c r="D10" s="53">
        <v>1.5</v>
      </c>
      <c r="E10" s="49">
        <v>1.5</v>
      </c>
      <c r="F10" s="43">
        <v>120</v>
      </c>
      <c r="G10" s="15">
        <f>E10</f>
        <v>1.5</v>
      </c>
      <c r="H10" s="15">
        <v>0</v>
      </c>
      <c r="I10" s="15">
        <f t="shared" si="4"/>
        <v>1.5</v>
      </c>
      <c r="J10" s="15">
        <f t="shared" si="5"/>
        <v>0</v>
      </c>
      <c r="K10" s="45">
        <f t="shared" si="6"/>
        <v>0</v>
      </c>
      <c r="L10" s="46" t="str">
        <f t="shared" si="0"/>
        <v>opened</v>
      </c>
      <c r="M10" s="23"/>
      <c r="N10" s="54">
        <v>4</v>
      </c>
      <c r="O10" s="274" t="s">
        <v>61</v>
      </c>
      <c r="P10" s="55">
        <v>2.5</v>
      </c>
      <c r="Q10" s="55">
        <v>0.085</v>
      </c>
      <c r="R10" s="56">
        <f>Q10+Костромаэнерго!D10</f>
        <v>1.585</v>
      </c>
      <c r="S10" s="57">
        <v>1.5</v>
      </c>
      <c r="T10" s="58">
        <v>120</v>
      </c>
      <c r="U10" s="59">
        <f t="shared" si="7"/>
        <v>0.08499999999999996</v>
      </c>
      <c r="V10" s="59">
        <v>0</v>
      </c>
      <c r="W10" s="59">
        <f t="shared" si="8"/>
        <v>1.5</v>
      </c>
      <c r="X10" s="60">
        <f t="shared" si="9"/>
        <v>-0.08499999999999996</v>
      </c>
      <c r="Y10" s="59">
        <f t="shared" si="1"/>
        <v>-0.08499999999999996</v>
      </c>
      <c r="Z10" s="61" t="str">
        <f t="shared" si="2"/>
        <v>closed</v>
      </c>
    </row>
    <row r="11" spans="1:26" s="1" customFormat="1" ht="22.5">
      <c r="A11" s="39">
        <v>5</v>
      </c>
      <c r="B11" s="40" t="s">
        <v>62</v>
      </c>
      <c r="C11" s="41">
        <v>2.5</v>
      </c>
      <c r="D11" s="27">
        <v>0.25</v>
      </c>
      <c r="E11" s="42">
        <v>1.5</v>
      </c>
      <c r="F11" s="43">
        <v>120</v>
      </c>
      <c r="G11" s="44">
        <f t="shared" si="3"/>
        <v>1.5</v>
      </c>
      <c r="H11" s="31">
        <v>0</v>
      </c>
      <c r="I11" s="44">
        <f t="shared" si="4"/>
        <v>1.5</v>
      </c>
      <c r="J11" s="15">
        <f t="shared" si="5"/>
        <v>1.25</v>
      </c>
      <c r="K11" s="51">
        <f t="shared" si="6"/>
        <v>1.25</v>
      </c>
      <c r="L11" s="46" t="str">
        <f t="shared" si="0"/>
        <v>opened</v>
      </c>
      <c r="M11" s="23"/>
      <c r="N11" s="47">
        <v>5</v>
      </c>
      <c r="O11" s="40" t="s">
        <v>62</v>
      </c>
      <c r="P11" s="41">
        <v>2.5</v>
      </c>
      <c r="Q11" s="27">
        <v>0.014</v>
      </c>
      <c r="R11" s="48">
        <f>Q11+Костромаэнерго!D11</f>
        <v>0.264</v>
      </c>
      <c r="S11" s="49">
        <v>1.5</v>
      </c>
      <c r="T11" s="43">
        <v>120</v>
      </c>
      <c r="U11" s="37">
        <f t="shared" si="7"/>
        <v>-1.236</v>
      </c>
      <c r="V11" s="37">
        <v>0</v>
      </c>
      <c r="W11" s="37">
        <f t="shared" si="8"/>
        <v>1.5</v>
      </c>
      <c r="X11" s="38">
        <f t="shared" si="9"/>
        <v>1.236</v>
      </c>
      <c r="Y11" s="37">
        <f t="shared" si="1"/>
        <v>1.236</v>
      </c>
      <c r="Z11" s="46" t="str">
        <f t="shared" si="2"/>
        <v>opened</v>
      </c>
    </row>
    <row r="12" spans="1:26" s="1" customFormat="1" ht="22.5">
      <c r="A12" s="39">
        <v>6</v>
      </c>
      <c r="B12" s="40" t="s">
        <v>63</v>
      </c>
      <c r="C12" s="41">
        <v>6.3</v>
      </c>
      <c r="D12" s="27">
        <v>0.38</v>
      </c>
      <c r="E12" s="42">
        <v>3.7</v>
      </c>
      <c r="F12" s="43">
        <v>120</v>
      </c>
      <c r="G12" s="50">
        <f t="shared" si="3"/>
        <v>3.7</v>
      </c>
      <c r="H12" s="31">
        <v>0</v>
      </c>
      <c r="I12" s="15">
        <f t="shared" si="4"/>
        <v>3.7</v>
      </c>
      <c r="J12" s="15">
        <f t="shared" si="5"/>
        <v>3.3200000000000003</v>
      </c>
      <c r="K12" s="38">
        <f t="shared" si="6"/>
        <v>3.3200000000000003</v>
      </c>
      <c r="L12" s="62" t="str">
        <f t="shared" si="0"/>
        <v>opened</v>
      </c>
      <c r="M12" s="23"/>
      <c r="N12" s="47">
        <v>6</v>
      </c>
      <c r="O12" s="40" t="s">
        <v>63</v>
      </c>
      <c r="P12" s="41">
        <v>6.3</v>
      </c>
      <c r="Q12" s="27">
        <v>0.029</v>
      </c>
      <c r="R12" s="48">
        <f>Q12+Костромаэнерго!D12</f>
        <v>0.40900000000000003</v>
      </c>
      <c r="S12" s="49">
        <v>3.7</v>
      </c>
      <c r="T12" s="43">
        <v>120</v>
      </c>
      <c r="U12" s="37">
        <f t="shared" si="7"/>
        <v>-3.2910000000000004</v>
      </c>
      <c r="V12" s="37">
        <v>0</v>
      </c>
      <c r="W12" s="37">
        <f t="shared" si="8"/>
        <v>3.7</v>
      </c>
      <c r="X12" s="38">
        <f t="shared" si="9"/>
        <v>3.2910000000000004</v>
      </c>
      <c r="Y12" s="37">
        <f t="shared" si="1"/>
        <v>3.2910000000000004</v>
      </c>
      <c r="Z12" s="62" t="str">
        <f t="shared" si="2"/>
        <v>opened</v>
      </c>
    </row>
    <row r="13" spans="1:26" s="1" customFormat="1" ht="22.5">
      <c r="A13" s="39">
        <v>7</v>
      </c>
      <c r="B13" s="40" t="s">
        <v>64</v>
      </c>
      <c r="C13" s="41">
        <v>2.5</v>
      </c>
      <c r="D13" s="27">
        <v>0.25</v>
      </c>
      <c r="E13" s="42">
        <v>1.5</v>
      </c>
      <c r="F13" s="43">
        <v>120</v>
      </c>
      <c r="G13" s="50">
        <f t="shared" si="3"/>
        <v>1.5</v>
      </c>
      <c r="H13" s="31">
        <v>0</v>
      </c>
      <c r="I13" s="37">
        <f t="shared" si="4"/>
        <v>1.5</v>
      </c>
      <c r="J13" s="15">
        <f t="shared" si="5"/>
        <v>1.25</v>
      </c>
      <c r="K13" s="45">
        <f t="shared" si="6"/>
        <v>1.25</v>
      </c>
      <c r="L13" s="63" t="str">
        <f t="shared" si="0"/>
        <v>opened</v>
      </c>
      <c r="M13" s="23"/>
      <c r="N13" s="47">
        <v>7</v>
      </c>
      <c r="O13" s="40" t="s">
        <v>64</v>
      </c>
      <c r="P13" s="41">
        <v>2.5</v>
      </c>
      <c r="Q13" s="27">
        <v>0.002</v>
      </c>
      <c r="R13" s="48">
        <f>Q13+Костромаэнерго!D13</f>
        <v>0.252</v>
      </c>
      <c r="S13" s="49">
        <v>1.5</v>
      </c>
      <c r="T13" s="43">
        <v>120</v>
      </c>
      <c r="U13" s="37">
        <f t="shared" si="7"/>
        <v>-1.248</v>
      </c>
      <c r="V13" s="37">
        <v>0</v>
      </c>
      <c r="W13" s="37">
        <f t="shared" si="8"/>
        <v>1.5</v>
      </c>
      <c r="X13" s="38">
        <f t="shared" si="9"/>
        <v>1.248</v>
      </c>
      <c r="Y13" s="37">
        <f t="shared" si="1"/>
        <v>1.248</v>
      </c>
      <c r="Z13" s="63" t="str">
        <f t="shared" si="2"/>
        <v>opened</v>
      </c>
    </row>
    <row r="14" spans="1:26" s="1" customFormat="1" ht="22.5">
      <c r="A14" s="39">
        <v>8</v>
      </c>
      <c r="B14" s="40" t="s">
        <v>65</v>
      </c>
      <c r="C14" s="41">
        <v>1.6</v>
      </c>
      <c r="D14" s="27">
        <v>0.14</v>
      </c>
      <c r="E14" s="42">
        <v>0.72</v>
      </c>
      <c r="F14" s="43">
        <v>120</v>
      </c>
      <c r="G14" s="50">
        <f t="shared" si="3"/>
        <v>0.72</v>
      </c>
      <c r="H14" s="31">
        <v>0</v>
      </c>
      <c r="I14" s="44">
        <f t="shared" si="4"/>
        <v>0.72</v>
      </c>
      <c r="J14" s="15">
        <f t="shared" si="5"/>
        <v>0.58</v>
      </c>
      <c r="K14" s="51">
        <f t="shared" si="6"/>
        <v>0.58</v>
      </c>
      <c r="L14" s="46" t="str">
        <f t="shared" si="0"/>
        <v>opened</v>
      </c>
      <c r="M14" s="23"/>
      <c r="N14" s="47">
        <v>8</v>
      </c>
      <c r="O14" s="40" t="s">
        <v>65</v>
      </c>
      <c r="P14" s="41">
        <v>1.6</v>
      </c>
      <c r="Q14" s="27">
        <v>0.066</v>
      </c>
      <c r="R14" s="48">
        <f>Q14+Костромаэнерго!D14</f>
        <v>0.20600000000000002</v>
      </c>
      <c r="S14" s="49">
        <v>0.72</v>
      </c>
      <c r="T14" s="43">
        <v>120</v>
      </c>
      <c r="U14" s="37">
        <f t="shared" si="7"/>
        <v>-0.514</v>
      </c>
      <c r="V14" s="37">
        <v>0</v>
      </c>
      <c r="W14" s="37">
        <f t="shared" si="8"/>
        <v>0.72</v>
      </c>
      <c r="X14" s="38">
        <f t="shared" si="9"/>
        <v>0.514</v>
      </c>
      <c r="Y14" s="37">
        <f t="shared" si="1"/>
        <v>0.514</v>
      </c>
      <c r="Z14" s="46" t="str">
        <f t="shared" si="2"/>
        <v>opened</v>
      </c>
    </row>
    <row r="15" spans="1:26" s="1" customFormat="1" ht="22.5">
      <c r="A15" s="39">
        <v>9</v>
      </c>
      <c r="B15" s="40" t="s">
        <v>66</v>
      </c>
      <c r="C15" s="41">
        <v>4</v>
      </c>
      <c r="D15" s="27">
        <v>1.35</v>
      </c>
      <c r="E15" s="42">
        <v>2.6</v>
      </c>
      <c r="F15" s="43">
        <v>120</v>
      </c>
      <c r="G15" s="50">
        <f t="shared" si="3"/>
        <v>2.6</v>
      </c>
      <c r="H15" s="31">
        <v>0</v>
      </c>
      <c r="I15" s="15">
        <f t="shared" si="4"/>
        <v>2.6</v>
      </c>
      <c r="J15" s="15">
        <f t="shared" si="5"/>
        <v>1.25</v>
      </c>
      <c r="K15" s="51">
        <f t="shared" si="6"/>
        <v>1.25</v>
      </c>
      <c r="L15" s="62" t="str">
        <f t="shared" si="0"/>
        <v>opened</v>
      </c>
      <c r="M15" s="23"/>
      <c r="N15" s="47">
        <v>9</v>
      </c>
      <c r="O15" s="40" t="s">
        <v>66</v>
      </c>
      <c r="P15" s="41">
        <v>4</v>
      </c>
      <c r="Q15" s="27">
        <v>0.89</v>
      </c>
      <c r="R15" s="48">
        <f>Q15+Костромаэнерго!D15</f>
        <v>2.24</v>
      </c>
      <c r="S15" s="49">
        <v>2.6</v>
      </c>
      <c r="T15" s="43">
        <v>120</v>
      </c>
      <c r="U15" s="37">
        <f t="shared" si="7"/>
        <v>-0.3599999999999999</v>
      </c>
      <c r="V15" s="37">
        <v>0</v>
      </c>
      <c r="W15" s="37">
        <f t="shared" si="8"/>
        <v>2.6</v>
      </c>
      <c r="X15" s="38">
        <f t="shared" si="9"/>
        <v>0.3599999999999999</v>
      </c>
      <c r="Y15" s="37">
        <f t="shared" si="1"/>
        <v>0.3599999999999999</v>
      </c>
      <c r="Z15" s="62" t="str">
        <f t="shared" si="2"/>
        <v>opened</v>
      </c>
    </row>
    <row r="16" spans="1:26" s="1" customFormat="1" ht="22.5">
      <c r="A16" s="39">
        <v>10</v>
      </c>
      <c r="B16" s="40" t="s">
        <v>67</v>
      </c>
      <c r="C16" s="41">
        <v>10</v>
      </c>
      <c r="D16" s="27">
        <v>0.27</v>
      </c>
      <c r="E16" s="42">
        <v>4.6</v>
      </c>
      <c r="F16" s="43">
        <v>120</v>
      </c>
      <c r="G16" s="50">
        <f t="shared" si="3"/>
        <v>4.6</v>
      </c>
      <c r="H16" s="31">
        <v>0</v>
      </c>
      <c r="I16" s="15">
        <f t="shared" si="4"/>
        <v>4.6</v>
      </c>
      <c r="J16" s="15">
        <f t="shared" si="5"/>
        <v>4.33</v>
      </c>
      <c r="K16" s="51">
        <f t="shared" si="6"/>
        <v>4.33</v>
      </c>
      <c r="L16" s="63" t="str">
        <f t="shared" si="0"/>
        <v>opened</v>
      </c>
      <c r="M16" s="23"/>
      <c r="N16" s="47">
        <v>10</v>
      </c>
      <c r="O16" s="40" t="s">
        <v>67</v>
      </c>
      <c r="P16" s="41">
        <v>10</v>
      </c>
      <c r="Q16" s="27">
        <v>0.011</v>
      </c>
      <c r="R16" s="48">
        <f>Q16+Костромаэнерго!D16</f>
        <v>0.281</v>
      </c>
      <c r="S16" s="49">
        <v>4.6</v>
      </c>
      <c r="T16" s="43">
        <v>120</v>
      </c>
      <c r="U16" s="37">
        <f t="shared" si="7"/>
        <v>-4.319</v>
      </c>
      <c r="V16" s="37">
        <v>0</v>
      </c>
      <c r="W16" s="37">
        <f t="shared" si="8"/>
        <v>4.6</v>
      </c>
      <c r="X16" s="38">
        <f t="shared" si="9"/>
        <v>4.319</v>
      </c>
      <c r="Y16" s="37">
        <f t="shared" si="1"/>
        <v>4.319</v>
      </c>
      <c r="Z16" s="63" t="str">
        <f t="shared" si="2"/>
        <v>opened</v>
      </c>
    </row>
    <row r="17" spans="1:26" s="1" customFormat="1" ht="22.5">
      <c r="A17" s="39">
        <v>11</v>
      </c>
      <c r="B17" s="40" t="s">
        <v>68</v>
      </c>
      <c r="C17" s="41">
        <v>2.5</v>
      </c>
      <c r="D17" s="27">
        <v>0.54</v>
      </c>
      <c r="E17" s="42">
        <v>1.38</v>
      </c>
      <c r="F17" s="43">
        <v>120</v>
      </c>
      <c r="G17" s="15">
        <f t="shared" si="3"/>
        <v>1.38</v>
      </c>
      <c r="H17" s="31">
        <v>0</v>
      </c>
      <c r="I17" s="15">
        <f t="shared" si="4"/>
        <v>1.38</v>
      </c>
      <c r="J17" s="15">
        <f t="shared" si="5"/>
        <v>0.8399999999999999</v>
      </c>
      <c r="K17" s="45">
        <f t="shared" si="6"/>
        <v>0.8399999999999999</v>
      </c>
      <c r="L17" s="46" t="str">
        <f t="shared" si="0"/>
        <v>opened</v>
      </c>
      <c r="M17" s="23"/>
      <c r="N17" s="47">
        <v>11</v>
      </c>
      <c r="O17" s="40" t="s">
        <v>68</v>
      </c>
      <c r="P17" s="41">
        <v>2.5</v>
      </c>
      <c r="Q17" s="27">
        <v>0.318</v>
      </c>
      <c r="R17" s="48">
        <f>Q17+Костромаэнерго!D17</f>
        <v>0.8580000000000001</v>
      </c>
      <c r="S17" s="49">
        <v>1.38</v>
      </c>
      <c r="T17" s="43">
        <v>120</v>
      </c>
      <c r="U17" s="37">
        <f t="shared" si="7"/>
        <v>-0.5219999999999998</v>
      </c>
      <c r="V17" s="37">
        <v>0</v>
      </c>
      <c r="W17" s="37">
        <f t="shared" si="8"/>
        <v>1.38</v>
      </c>
      <c r="X17" s="38">
        <f t="shared" si="9"/>
        <v>0.5219999999999998</v>
      </c>
      <c r="Y17" s="37">
        <f t="shared" si="1"/>
        <v>0.5219999999999998</v>
      </c>
      <c r="Z17" s="46" t="str">
        <f t="shared" si="2"/>
        <v>opened</v>
      </c>
    </row>
    <row r="18" spans="1:26" s="1" customFormat="1" ht="22.5">
      <c r="A18" s="39">
        <v>12</v>
      </c>
      <c r="B18" s="40" t="s">
        <v>69</v>
      </c>
      <c r="C18" s="41">
        <v>1.6</v>
      </c>
      <c r="D18" s="27">
        <v>0.18</v>
      </c>
      <c r="E18" s="42">
        <v>0.93</v>
      </c>
      <c r="F18" s="43">
        <v>120</v>
      </c>
      <c r="G18" s="15">
        <f t="shared" si="3"/>
        <v>0.93</v>
      </c>
      <c r="H18" s="31">
        <v>0</v>
      </c>
      <c r="I18" s="15">
        <f t="shared" si="4"/>
        <v>0.93</v>
      </c>
      <c r="J18" s="15">
        <f t="shared" si="5"/>
        <v>0.75</v>
      </c>
      <c r="K18" s="51">
        <f t="shared" si="6"/>
        <v>0.75</v>
      </c>
      <c r="L18" s="62" t="str">
        <f t="shared" si="0"/>
        <v>opened</v>
      </c>
      <c r="M18" s="23"/>
      <c r="N18" s="47">
        <v>12</v>
      </c>
      <c r="O18" s="40" t="s">
        <v>69</v>
      </c>
      <c r="P18" s="41">
        <v>1.6</v>
      </c>
      <c r="Q18" s="27">
        <v>0.03</v>
      </c>
      <c r="R18" s="48">
        <f>Q18+Костромаэнерго!D18</f>
        <v>0.21</v>
      </c>
      <c r="S18" s="49">
        <v>0.93</v>
      </c>
      <c r="T18" s="43">
        <v>120</v>
      </c>
      <c r="U18" s="37">
        <f t="shared" si="7"/>
        <v>-0.7200000000000001</v>
      </c>
      <c r="V18" s="37">
        <v>0</v>
      </c>
      <c r="W18" s="37">
        <f t="shared" si="8"/>
        <v>0.93</v>
      </c>
      <c r="X18" s="38">
        <f t="shared" si="9"/>
        <v>0.7200000000000001</v>
      </c>
      <c r="Y18" s="37">
        <f t="shared" si="1"/>
        <v>0.7200000000000001</v>
      </c>
      <c r="Z18" s="62" t="str">
        <f t="shared" si="2"/>
        <v>opened</v>
      </c>
    </row>
    <row r="19" spans="1:26" s="1" customFormat="1" ht="22.5">
      <c r="A19" s="39">
        <v>13</v>
      </c>
      <c r="B19" s="40" t="s">
        <v>70</v>
      </c>
      <c r="C19" s="41">
        <v>1.6</v>
      </c>
      <c r="D19" s="27">
        <v>0.22</v>
      </c>
      <c r="E19" s="42">
        <v>0.88</v>
      </c>
      <c r="F19" s="43">
        <v>120</v>
      </c>
      <c r="G19" s="44">
        <f t="shared" si="3"/>
        <v>0.88</v>
      </c>
      <c r="H19" s="31">
        <v>0</v>
      </c>
      <c r="I19" s="15">
        <f t="shared" si="4"/>
        <v>0.88</v>
      </c>
      <c r="J19" s="15">
        <f t="shared" si="5"/>
        <v>0.66</v>
      </c>
      <c r="K19" s="51">
        <f t="shared" si="6"/>
        <v>0.66</v>
      </c>
      <c r="L19" s="63" t="str">
        <f t="shared" si="0"/>
        <v>opened</v>
      </c>
      <c r="M19" s="23"/>
      <c r="N19" s="47">
        <v>13</v>
      </c>
      <c r="O19" s="40" t="s">
        <v>70</v>
      </c>
      <c r="P19" s="41">
        <v>1.6</v>
      </c>
      <c r="Q19" s="27">
        <v>0.118</v>
      </c>
      <c r="R19" s="48">
        <f>Q19+Костромаэнерго!D19</f>
        <v>0.33799999999999997</v>
      </c>
      <c r="S19" s="49">
        <v>0.88</v>
      </c>
      <c r="T19" s="43">
        <v>120</v>
      </c>
      <c r="U19" s="37">
        <f t="shared" si="7"/>
        <v>-0.542</v>
      </c>
      <c r="V19" s="37">
        <v>0</v>
      </c>
      <c r="W19" s="37">
        <f t="shared" si="8"/>
        <v>0.88</v>
      </c>
      <c r="X19" s="38">
        <f t="shared" si="9"/>
        <v>0.542</v>
      </c>
      <c r="Y19" s="37">
        <f t="shared" si="1"/>
        <v>0.542</v>
      </c>
      <c r="Z19" s="63" t="str">
        <f t="shared" si="2"/>
        <v>opened</v>
      </c>
    </row>
    <row r="20" spans="1:26" s="1" customFormat="1" ht="22.5">
      <c r="A20" s="39">
        <v>14</v>
      </c>
      <c r="B20" s="40" t="s">
        <v>71</v>
      </c>
      <c r="C20" s="41">
        <v>2.5</v>
      </c>
      <c r="D20" s="27">
        <v>0.13</v>
      </c>
      <c r="E20" s="42">
        <v>0.98</v>
      </c>
      <c r="F20" s="43">
        <v>120</v>
      </c>
      <c r="G20" s="50">
        <f t="shared" si="3"/>
        <v>0.98</v>
      </c>
      <c r="H20" s="31">
        <v>0</v>
      </c>
      <c r="I20" s="44">
        <f t="shared" si="4"/>
        <v>0.98</v>
      </c>
      <c r="J20" s="15">
        <f t="shared" si="5"/>
        <v>0.85</v>
      </c>
      <c r="K20" s="51">
        <f t="shared" si="6"/>
        <v>0.85</v>
      </c>
      <c r="L20" s="62" t="str">
        <f t="shared" si="0"/>
        <v>opened</v>
      </c>
      <c r="M20" s="23"/>
      <c r="N20" s="47">
        <v>14</v>
      </c>
      <c r="O20" s="40" t="s">
        <v>71</v>
      </c>
      <c r="P20" s="41">
        <v>2.5</v>
      </c>
      <c r="Q20" s="27">
        <v>0.32</v>
      </c>
      <c r="R20" s="48">
        <f>Q20+Костромаэнерго!D20</f>
        <v>0.45</v>
      </c>
      <c r="S20" s="49">
        <v>0.98</v>
      </c>
      <c r="T20" s="43">
        <v>120</v>
      </c>
      <c r="U20" s="37">
        <f t="shared" si="7"/>
        <v>-0.53</v>
      </c>
      <c r="V20" s="37">
        <v>0</v>
      </c>
      <c r="W20" s="37">
        <f t="shared" si="8"/>
        <v>0.98</v>
      </c>
      <c r="X20" s="38">
        <f t="shared" si="9"/>
        <v>0.53</v>
      </c>
      <c r="Y20" s="37">
        <f t="shared" si="1"/>
        <v>0.53</v>
      </c>
      <c r="Z20" s="62" t="str">
        <f t="shared" si="2"/>
        <v>opened</v>
      </c>
    </row>
    <row r="21" spans="1:26" s="1" customFormat="1" ht="22.5">
      <c r="A21" s="39">
        <v>15</v>
      </c>
      <c r="B21" s="40" t="s">
        <v>72</v>
      </c>
      <c r="C21" s="41">
        <v>2.5</v>
      </c>
      <c r="D21" s="27">
        <v>0.47</v>
      </c>
      <c r="E21" s="42">
        <v>2.5</v>
      </c>
      <c r="F21" s="43" t="s">
        <v>3</v>
      </c>
      <c r="G21" s="50">
        <f t="shared" si="3"/>
        <v>2.5</v>
      </c>
      <c r="H21" s="31">
        <v>0</v>
      </c>
      <c r="I21" s="15">
        <f t="shared" si="4"/>
        <v>2.5</v>
      </c>
      <c r="J21" s="15">
        <f t="shared" si="5"/>
        <v>2.0300000000000002</v>
      </c>
      <c r="K21" s="51">
        <f t="shared" si="6"/>
        <v>2.0300000000000002</v>
      </c>
      <c r="L21" s="63" t="str">
        <f t="shared" si="0"/>
        <v>opened</v>
      </c>
      <c r="M21" s="23"/>
      <c r="N21" s="47">
        <v>15</v>
      </c>
      <c r="O21" s="40" t="s">
        <v>72</v>
      </c>
      <c r="P21" s="41">
        <v>2.5</v>
      </c>
      <c r="Q21" s="27">
        <v>0.051</v>
      </c>
      <c r="R21" s="48">
        <f>Q21+Костромаэнерго!D21</f>
        <v>0.521</v>
      </c>
      <c r="S21" s="49">
        <v>2.5</v>
      </c>
      <c r="T21" s="43" t="s">
        <v>3</v>
      </c>
      <c r="U21" s="37">
        <f t="shared" si="7"/>
        <v>-1.979</v>
      </c>
      <c r="V21" s="37">
        <v>0</v>
      </c>
      <c r="W21" s="37">
        <f t="shared" si="8"/>
        <v>2.5</v>
      </c>
      <c r="X21" s="38">
        <f t="shared" si="9"/>
        <v>1.979</v>
      </c>
      <c r="Y21" s="37">
        <f t="shared" si="1"/>
        <v>1.979</v>
      </c>
      <c r="Z21" s="63" t="str">
        <f t="shared" si="2"/>
        <v>opened</v>
      </c>
    </row>
    <row r="22" spans="1:26" s="1" customFormat="1" ht="22.5">
      <c r="A22" s="39">
        <v>16</v>
      </c>
      <c r="B22" s="40" t="s">
        <v>73</v>
      </c>
      <c r="C22" s="41">
        <v>1.6</v>
      </c>
      <c r="D22" s="27">
        <v>0.09</v>
      </c>
      <c r="E22" s="42">
        <v>1.6</v>
      </c>
      <c r="F22" s="43" t="s">
        <v>3</v>
      </c>
      <c r="G22" s="15">
        <f t="shared" si="3"/>
        <v>1.6</v>
      </c>
      <c r="H22" s="31">
        <v>0</v>
      </c>
      <c r="I22" s="15">
        <f t="shared" si="4"/>
        <v>1.6</v>
      </c>
      <c r="J22" s="15">
        <f t="shared" si="5"/>
        <v>1.51</v>
      </c>
      <c r="K22" s="51">
        <f t="shared" si="6"/>
        <v>1.51</v>
      </c>
      <c r="L22" s="62" t="str">
        <f t="shared" si="0"/>
        <v>opened</v>
      </c>
      <c r="M22" s="23"/>
      <c r="N22" s="47">
        <v>16</v>
      </c>
      <c r="O22" s="40" t="s">
        <v>73</v>
      </c>
      <c r="P22" s="41">
        <v>1.6</v>
      </c>
      <c r="Q22" s="27">
        <v>0</v>
      </c>
      <c r="R22" s="48">
        <f>Q22+Костромаэнерго!D22</f>
        <v>0.09</v>
      </c>
      <c r="S22" s="49">
        <v>1.6</v>
      </c>
      <c r="T22" s="43" t="s">
        <v>3</v>
      </c>
      <c r="U22" s="37">
        <f t="shared" si="7"/>
        <v>-1.51</v>
      </c>
      <c r="V22" s="37">
        <v>0</v>
      </c>
      <c r="W22" s="37">
        <f t="shared" si="8"/>
        <v>1.6</v>
      </c>
      <c r="X22" s="38">
        <f t="shared" si="9"/>
        <v>1.51</v>
      </c>
      <c r="Y22" s="37">
        <f t="shared" si="1"/>
        <v>1.51</v>
      </c>
      <c r="Z22" s="62" t="str">
        <f t="shared" si="2"/>
        <v>opened</v>
      </c>
    </row>
    <row r="23" spans="1:26" s="1" customFormat="1" ht="22.5">
      <c r="A23" s="39">
        <v>17</v>
      </c>
      <c r="B23" s="40" t="s">
        <v>74</v>
      </c>
      <c r="C23" s="41">
        <v>3.2</v>
      </c>
      <c r="D23" s="27">
        <v>0.1</v>
      </c>
      <c r="E23" s="42">
        <v>1.44</v>
      </c>
      <c r="F23" s="43">
        <v>120</v>
      </c>
      <c r="G23" s="44">
        <f t="shared" si="3"/>
        <v>1.44</v>
      </c>
      <c r="H23" s="31">
        <v>0</v>
      </c>
      <c r="I23" s="15">
        <f t="shared" si="4"/>
        <v>1.44</v>
      </c>
      <c r="J23" s="15">
        <f t="shared" si="5"/>
        <v>1.3399999999999999</v>
      </c>
      <c r="K23" s="45">
        <f t="shared" si="6"/>
        <v>1.3399999999999999</v>
      </c>
      <c r="L23" s="63" t="str">
        <f t="shared" si="0"/>
        <v>opened</v>
      </c>
      <c r="M23" s="23"/>
      <c r="N23" s="47">
        <v>17</v>
      </c>
      <c r="O23" s="40" t="s">
        <v>74</v>
      </c>
      <c r="P23" s="41">
        <v>3.2</v>
      </c>
      <c r="Q23" s="27">
        <v>0</v>
      </c>
      <c r="R23" s="48">
        <f>Q23+Костромаэнерго!D23</f>
        <v>0.1</v>
      </c>
      <c r="S23" s="49">
        <v>1.44</v>
      </c>
      <c r="T23" s="43">
        <v>120</v>
      </c>
      <c r="U23" s="37">
        <f t="shared" si="7"/>
        <v>-1.3399999999999999</v>
      </c>
      <c r="V23" s="37">
        <v>0</v>
      </c>
      <c r="W23" s="37">
        <f t="shared" si="8"/>
        <v>1.44</v>
      </c>
      <c r="X23" s="38">
        <f t="shared" si="9"/>
        <v>1.3399999999999999</v>
      </c>
      <c r="Y23" s="37">
        <f t="shared" si="1"/>
        <v>1.3399999999999999</v>
      </c>
      <c r="Z23" s="63" t="str">
        <f t="shared" si="2"/>
        <v>opened</v>
      </c>
    </row>
    <row r="24" spans="1:26" s="1" customFormat="1" ht="22.5">
      <c r="A24" s="39">
        <v>18</v>
      </c>
      <c r="B24" s="40" t="s">
        <v>75</v>
      </c>
      <c r="C24" s="41">
        <v>2.5</v>
      </c>
      <c r="D24" s="27">
        <v>0.33</v>
      </c>
      <c r="E24" s="42">
        <v>0.43</v>
      </c>
      <c r="F24" s="43">
        <v>120</v>
      </c>
      <c r="G24" s="50">
        <f t="shared" si="3"/>
        <v>0.43</v>
      </c>
      <c r="H24" s="31">
        <v>0</v>
      </c>
      <c r="I24" s="15">
        <f t="shared" si="4"/>
        <v>0.43</v>
      </c>
      <c r="J24" s="15">
        <f t="shared" si="5"/>
        <v>0.09999999999999998</v>
      </c>
      <c r="K24" s="51">
        <f t="shared" si="6"/>
        <v>0.09999999999999998</v>
      </c>
      <c r="L24" s="46" t="str">
        <f t="shared" si="0"/>
        <v>opened</v>
      </c>
      <c r="M24" s="23"/>
      <c r="N24" s="47">
        <v>18</v>
      </c>
      <c r="O24" s="40" t="s">
        <v>75</v>
      </c>
      <c r="P24" s="41">
        <v>2.5</v>
      </c>
      <c r="Q24" s="27">
        <v>0.006</v>
      </c>
      <c r="R24" s="48">
        <f>Q24+Костромаэнерго!D24</f>
        <v>0.336</v>
      </c>
      <c r="S24" s="49">
        <v>0.43</v>
      </c>
      <c r="T24" s="43">
        <v>120</v>
      </c>
      <c r="U24" s="37">
        <f t="shared" si="7"/>
        <v>-0.09399999999999997</v>
      </c>
      <c r="V24" s="37">
        <v>0</v>
      </c>
      <c r="W24" s="37">
        <f t="shared" si="8"/>
        <v>0.43</v>
      </c>
      <c r="X24" s="38">
        <f t="shared" si="9"/>
        <v>0.09399999999999997</v>
      </c>
      <c r="Y24" s="37">
        <f t="shared" si="1"/>
        <v>0.09399999999999997</v>
      </c>
      <c r="Z24" s="46" t="str">
        <f t="shared" si="2"/>
        <v>opened</v>
      </c>
    </row>
    <row r="25" spans="1:26" s="1" customFormat="1" ht="24">
      <c r="A25" s="39">
        <v>19</v>
      </c>
      <c r="B25" s="193" t="s">
        <v>76</v>
      </c>
      <c r="C25" s="41">
        <v>4</v>
      </c>
      <c r="D25" s="27">
        <v>0.32</v>
      </c>
      <c r="E25" s="42">
        <v>2.32</v>
      </c>
      <c r="F25" s="43">
        <v>120</v>
      </c>
      <c r="G25" s="15">
        <f t="shared" si="3"/>
        <v>2.32</v>
      </c>
      <c r="H25" s="31">
        <v>0</v>
      </c>
      <c r="I25" s="37">
        <f t="shared" si="4"/>
        <v>2.32</v>
      </c>
      <c r="J25" s="15">
        <f t="shared" si="5"/>
        <v>1.9999999999999998</v>
      </c>
      <c r="K25" s="51">
        <f t="shared" si="6"/>
        <v>1.9999999999999998</v>
      </c>
      <c r="L25" s="46" t="str">
        <f t="shared" si="0"/>
        <v>opened</v>
      </c>
      <c r="M25" s="23"/>
      <c r="N25" s="47">
        <v>19</v>
      </c>
      <c r="O25" s="193" t="s">
        <v>76</v>
      </c>
      <c r="P25" s="41">
        <v>4</v>
      </c>
      <c r="Q25" s="27">
        <v>0.048</v>
      </c>
      <c r="R25" s="48">
        <f>Q25+Костромаэнерго!D25</f>
        <v>0.368</v>
      </c>
      <c r="S25" s="49">
        <v>2.32</v>
      </c>
      <c r="T25" s="43">
        <v>120</v>
      </c>
      <c r="U25" s="37">
        <f t="shared" si="7"/>
        <v>-1.952</v>
      </c>
      <c r="V25" s="37">
        <v>0</v>
      </c>
      <c r="W25" s="37">
        <f t="shared" si="8"/>
        <v>2.32</v>
      </c>
      <c r="X25" s="38">
        <f t="shared" si="9"/>
        <v>1.952</v>
      </c>
      <c r="Y25" s="37">
        <f t="shared" si="1"/>
        <v>1.952</v>
      </c>
      <c r="Z25" s="46" t="str">
        <f t="shared" si="2"/>
        <v>opened</v>
      </c>
    </row>
    <row r="26" spans="1:26" s="1" customFormat="1" ht="24">
      <c r="A26" s="39">
        <v>20</v>
      </c>
      <c r="B26" s="193" t="s">
        <v>77</v>
      </c>
      <c r="C26" s="41">
        <v>1</v>
      </c>
      <c r="D26" s="27">
        <v>0.11</v>
      </c>
      <c r="E26" s="42">
        <v>0.78</v>
      </c>
      <c r="F26" s="43">
        <v>120</v>
      </c>
      <c r="G26" s="44">
        <f t="shared" si="3"/>
        <v>0.78</v>
      </c>
      <c r="H26" s="31">
        <v>0</v>
      </c>
      <c r="I26" s="44">
        <f t="shared" si="4"/>
        <v>0.78</v>
      </c>
      <c r="J26" s="15">
        <f t="shared" si="5"/>
        <v>0.67</v>
      </c>
      <c r="K26" s="51">
        <f t="shared" si="6"/>
        <v>0.67</v>
      </c>
      <c r="L26" s="46" t="str">
        <f t="shared" si="0"/>
        <v>opened</v>
      </c>
      <c r="M26" s="23"/>
      <c r="N26" s="47">
        <v>20</v>
      </c>
      <c r="O26" s="193" t="s">
        <v>77</v>
      </c>
      <c r="P26" s="41">
        <v>1</v>
      </c>
      <c r="Q26" s="27">
        <v>0</v>
      </c>
      <c r="R26" s="48">
        <f>Q26+Костромаэнерго!D26</f>
        <v>0.11</v>
      </c>
      <c r="S26" s="49">
        <v>0.78</v>
      </c>
      <c r="T26" s="43">
        <v>120</v>
      </c>
      <c r="U26" s="37">
        <f t="shared" si="7"/>
        <v>-0.67</v>
      </c>
      <c r="V26" s="37">
        <v>0</v>
      </c>
      <c r="W26" s="37">
        <f t="shared" si="8"/>
        <v>0.78</v>
      </c>
      <c r="X26" s="38">
        <f t="shared" si="9"/>
        <v>0.67</v>
      </c>
      <c r="Y26" s="37">
        <f t="shared" si="1"/>
        <v>0.67</v>
      </c>
      <c r="Z26" s="46" t="str">
        <f t="shared" si="2"/>
        <v>opened</v>
      </c>
    </row>
    <row r="27" spans="1:26" s="1" customFormat="1" ht="24">
      <c r="A27" s="39">
        <v>21</v>
      </c>
      <c r="B27" s="193" t="s">
        <v>78</v>
      </c>
      <c r="C27" s="41">
        <v>1</v>
      </c>
      <c r="D27" s="27">
        <v>0.11</v>
      </c>
      <c r="E27" s="42">
        <v>0.56</v>
      </c>
      <c r="F27" s="43">
        <v>120</v>
      </c>
      <c r="G27" s="50">
        <f t="shared" si="3"/>
        <v>0.56</v>
      </c>
      <c r="H27" s="31">
        <v>0</v>
      </c>
      <c r="I27" s="15">
        <f t="shared" si="4"/>
        <v>0.56</v>
      </c>
      <c r="J27" s="15">
        <f t="shared" si="5"/>
        <v>0.45000000000000007</v>
      </c>
      <c r="K27" s="51">
        <f t="shared" si="6"/>
        <v>0.45000000000000007</v>
      </c>
      <c r="L27" s="62" t="str">
        <f t="shared" si="0"/>
        <v>opened</v>
      </c>
      <c r="M27" s="23"/>
      <c r="N27" s="47">
        <v>21</v>
      </c>
      <c r="O27" s="193" t="s">
        <v>78</v>
      </c>
      <c r="P27" s="41">
        <v>1</v>
      </c>
      <c r="Q27" s="27">
        <v>0</v>
      </c>
      <c r="R27" s="48">
        <f>Q27+Костромаэнерго!D27</f>
        <v>0.11</v>
      </c>
      <c r="S27" s="49">
        <v>0.56</v>
      </c>
      <c r="T27" s="43">
        <v>120</v>
      </c>
      <c r="U27" s="37">
        <f t="shared" si="7"/>
        <v>-0.45000000000000007</v>
      </c>
      <c r="V27" s="37">
        <v>0</v>
      </c>
      <c r="W27" s="37">
        <f t="shared" si="8"/>
        <v>0.56</v>
      </c>
      <c r="X27" s="38">
        <f t="shared" si="9"/>
        <v>0.45000000000000007</v>
      </c>
      <c r="Y27" s="37">
        <f t="shared" si="1"/>
        <v>0.45000000000000007</v>
      </c>
      <c r="Z27" s="62" t="str">
        <f t="shared" si="2"/>
        <v>opened</v>
      </c>
    </row>
    <row r="28" spans="1:26" s="1" customFormat="1" ht="24">
      <c r="A28" s="39">
        <v>22</v>
      </c>
      <c r="B28" s="193" t="s">
        <v>79</v>
      </c>
      <c r="C28" s="41">
        <v>1.6</v>
      </c>
      <c r="D28" s="27">
        <v>0.23</v>
      </c>
      <c r="E28" s="42">
        <v>1.6</v>
      </c>
      <c r="F28" s="43" t="s">
        <v>3</v>
      </c>
      <c r="G28" s="50">
        <f t="shared" si="3"/>
        <v>1.6</v>
      </c>
      <c r="H28" s="31">
        <v>0</v>
      </c>
      <c r="I28" s="44">
        <f t="shared" si="4"/>
        <v>1.6</v>
      </c>
      <c r="J28" s="15">
        <f t="shared" si="5"/>
        <v>1.37</v>
      </c>
      <c r="K28" s="38">
        <f t="shared" si="6"/>
        <v>1.37</v>
      </c>
      <c r="L28" s="63" t="str">
        <f t="shared" si="0"/>
        <v>opened</v>
      </c>
      <c r="M28" s="23"/>
      <c r="N28" s="47">
        <v>22</v>
      </c>
      <c r="O28" s="193" t="s">
        <v>79</v>
      </c>
      <c r="P28" s="41">
        <v>1.6</v>
      </c>
      <c r="Q28" s="27">
        <v>0</v>
      </c>
      <c r="R28" s="48">
        <f>Q28+Костромаэнерго!D28</f>
        <v>0.23</v>
      </c>
      <c r="S28" s="49">
        <v>1.6</v>
      </c>
      <c r="T28" s="43" t="s">
        <v>3</v>
      </c>
      <c r="U28" s="37">
        <f t="shared" si="7"/>
        <v>-1.37</v>
      </c>
      <c r="V28" s="37">
        <v>0</v>
      </c>
      <c r="W28" s="37">
        <f t="shared" si="8"/>
        <v>1.6</v>
      </c>
      <c r="X28" s="38">
        <f t="shared" si="9"/>
        <v>1.37</v>
      </c>
      <c r="Y28" s="37">
        <f t="shared" si="1"/>
        <v>1.37</v>
      </c>
      <c r="Z28" s="63" t="str">
        <f t="shared" si="2"/>
        <v>opened</v>
      </c>
    </row>
    <row r="29" spans="1:26" s="1" customFormat="1" ht="24">
      <c r="A29" s="39">
        <v>23</v>
      </c>
      <c r="B29" s="193" t="s">
        <v>80</v>
      </c>
      <c r="C29" s="41">
        <v>1</v>
      </c>
      <c r="D29" s="27">
        <v>0.09</v>
      </c>
      <c r="E29" s="42">
        <v>0.65</v>
      </c>
      <c r="F29" s="43">
        <v>120</v>
      </c>
      <c r="G29" s="50">
        <f t="shared" si="3"/>
        <v>0.65</v>
      </c>
      <c r="H29" s="31">
        <v>0</v>
      </c>
      <c r="I29" s="15">
        <f t="shared" si="4"/>
        <v>0.65</v>
      </c>
      <c r="J29" s="15">
        <f t="shared" si="5"/>
        <v>0.56</v>
      </c>
      <c r="K29" s="45">
        <f t="shared" si="6"/>
        <v>0.56</v>
      </c>
      <c r="L29" s="62" t="str">
        <f t="shared" si="0"/>
        <v>opened</v>
      </c>
      <c r="M29" s="23"/>
      <c r="N29" s="47">
        <v>23</v>
      </c>
      <c r="O29" s="193" t="s">
        <v>80</v>
      </c>
      <c r="P29" s="41">
        <v>1</v>
      </c>
      <c r="Q29" s="27">
        <v>0</v>
      </c>
      <c r="R29" s="48">
        <f>Q29+Костромаэнерго!D29</f>
        <v>0.09</v>
      </c>
      <c r="S29" s="49">
        <v>0.65</v>
      </c>
      <c r="T29" s="43">
        <v>120</v>
      </c>
      <c r="U29" s="37">
        <f t="shared" si="7"/>
        <v>-0.56</v>
      </c>
      <c r="V29" s="37">
        <v>0</v>
      </c>
      <c r="W29" s="37">
        <f t="shared" si="8"/>
        <v>0.65</v>
      </c>
      <c r="X29" s="38">
        <f t="shared" si="9"/>
        <v>0.56</v>
      </c>
      <c r="Y29" s="37">
        <f t="shared" si="1"/>
        <v>0.56</v>
      </c>
      <c r="Z29" s="62" t="str">
        <f t="shared" si="2"/>
        <v>opened</v>
      </c>
    </row>
    <row r="30" spans="1:26" s="1" customFormat="1" ht="24">
      <c r="A30" s="39">
        <v>24</v>
      </c>
      <c r="B30" s="193" t="s">
        <v>81</v>
      </c>
      <c r="C30" s="41">
        <v>2.5</v>
      </c>
      <c r="D30" s="27">
        <v>0.19</v>
      </c>
      <c r="E30" s="42">
        <v>1.38</v>
      </c>
      <c r="F30" s="43">
        <v>120</v>
      </c>
      <c r="G30" s="50">
        <f t="shared" si="3"/>
        <v>1.38</v>
      </c>
      <c r="H30" s="31">
        <v>0</v>
      </c>
      <c r="I30" s="15">
        <f t="shared" si="4"/>
        <v>1.38</v>
      </c>
      <c r="J30" s="15">
        <f t="shared" si="5"/>
        <v>1.19</v>
      </c>
      <c r="K30" s="51">
        <f t="shared" si="6"/>
        <v>1.19</v>
      </c>
      <c r="L30" s="63" t="str">
        <f t="shared" si="0"/>
        <v>opened</v>
      </c>
      <c r="M30" s="23"/>
      <c r="N30" s="47">
        <v>24</v>
      </c>
      <c r="O30" s="193" t="s">
        <v>81</v>
      </c>
      <c r="P30" s="41">
        <v>2.5</v>
      </c>
      <c r="Q30" s="27">
        <v>0.023</v>
      </c>
      <c r="R30" s="48">
        <f>Q30+Костромаэнерго!D30</f>
        <v>0.213</v>
      </c>
      <c r="S30" s="49">
        <v>1.38</v>
      </c>
      <c r="T30" s="43">
        <v>120</v>
      </c>
      <c r="U30" s="37">
        <f t="shared" si="7"/>
        <v>-1.1669999999999998</v>
      </c>
      <c r="V30" s="37">
        <v>0</v>
      </c>
      <c r="W30" s="37">
        <f t="shared" si="8"/>
        <v>1.38</v>
      </c>
      <c r="X30" s="38">
        <f t="shared" si="9"/>
        <v>1.1669999999999998</v>
      </c>
      <c r="Y30" s="37">
        <f t="shared" si="1"/>
        <v>1.1669999999999998</v>
      </c>
      <c r="Z30" s="63" t="str">
        <f t="shared" si="2"/>
        <v>opened</v>
      </c>
    </row>
    <row r="31" spans="1:26" s="1" customFormat="1" ht="24">
      <c r="A31" s="39">
        <v>25</v>
      </c>
      <c r="B31" s="193" t="s">
        <v>82</v>
      </c>
      <c r="C31" s="41">
        <v>2.5</v>
      </c>
      <c r="D31" s="27">
        <v>0.15</v>
      </c>
      <c r="E31" s="42">
        <v>1.5</v>
      </c>
      <c r="F31" s="43">
        <v>120</v>
      </c>
      <c r="G31" s="50">
        <f t="shared" si="3"/>
        <v>1.5</v>
      </c>
      <c r="H31" s="31">
        <v>0</v>
      </c>
      <c r="I31" s="15">
        <f t="shared" si="4"/>
        <v>1.5</v>
      </c>
      <c r="J31" s="15">
        <f t="shared" si="5"/>
        <v>1.35</v>
      </c>
      <c r="K31" s="51">
        <f t="shared" si="6"/>
        <v>1.35</v>
      </c>
      <c r="L31" s="46" t="str">
        <f t="shared" si="0"/>
        <v>opened</v>
      </c>
      <c r="M31" s="23"/>
      <c r="N31" s="47">
        <v>25</v>
      </c>
      <c r="O31" s="193" t="s">
        <v>82</v>
      </c>
      <c r="P31" s="41">
        <v>2.5</v>
      </c>
      <c r="Q31" s="27">
        <v>0</v>
      </c>
      <c r="R31" s="48">
        <f>Q31+Костромаэнерго!D31</f>
        <v>0.15</v>
      </c>
      <c r="S31" s="49">
        <v>1.5</v>
      </c>
      <c r="T31" s="43">
        <v>120</v>
      </c>
      <c r="U31" s="37">
        <f t="shared" si="7"/>
        <v>-1.35</v>
      </c>
      <c r="V31" s="37">
        <v>0</v>
      </c>
      <c r="W31" s="37">
        <f t="shared" si="8"/>
        <v>1.5</v>
      </c>
      <c r="X31" s="38">
        <f t="shared" si="9"/>
        <v>1.35</v>
      </c>
      <c r="Y31" s="37">
        <f t="shared" si="1"/>
        <v>1.35</v>
      </c>
      <c r="Z31" s="46" t="str">
        <f t="shared" si="2"/>
        <v>opened</v>
      </c>
    </row>
    <row r="32" spans="1:26" s="1" customFormat="1" ht="24">
      <c r="A32" s="39">
        <v>26</v>
      </c>
      <c r="B32" s="193" t="s">
        <v>83</v>
      </c>
      <c r="C32" s="41">
        <v>1</v>
      </c>
      <c r="D32" s="27">
        <v>0.06</v>
      </c>
      <c r="E32" s="42">
        <v>0.39</v>
      </c>
      <c r="F32" s="43">
        <v>120</v>
      </c>
      <c r="G32" s="50">
        <f t="shared" si="3"/>
        <v>0.39</v>
      </c>
      <c r="H32" s="31">
        <v>0</v>
      </c>
      <c r="I32" s="15">
        <f t="shared" si="4"/>
        <v>0.39</v>
      </c>
      <c r="J32" s="15">
        <f t="shared" si="5"/>
        <v>0.33</v>
      </c>
      <c r="K32" s="51">
        <f t="shared" si="6"/>
        <v>0.33</v>
      </c>
      <c r="L32" s="62" t="str">
        <f t="shared" si="0"/>
        <v>opened</v>
      </c>
      <c r="M32" s="23"/>
      <c r="N32" s="47">
        <v>26</v>
      </c>
      <c r="O32" s="193" t="s">
        <v>83</v>
      </c>
      <c r="P32" s="41">
        <v>1</v>
      </c>
      <c r="Q32" s="27">
        <v>0.006</v>
      </c>
      <c r="R32" s="48">
        <f>Q32+Костромаэнерго!D32</f>
        <v>0.066</v>
      </c>
      <c r="S32" s="49">
        <v>0.39</v>
      </c>
      <c r="T32" s="43">
        <v>120</v>
      </c>
      <c r="U32" s="37">
        <f t="shared" si="7"/>
        <v>-0.324</v>
      </c>
      <c r="V32" s="37">
        <v>0</v>
      </c>
      <c r="W32" s="37">
        <f t="shared" si="8"/>
        <v>0.39</v>
      </c>
      <c r="X32" s="38">
        <f t="shared" si="9"/>
        <v>0.324</v>
      </c>
      <c r="Y32" s="37">
        <f t="shared" si="1"/>
        <v>0.324</v>
      </c>
      <c r="Z32" s="62" t="str">
        <f t="shared" si="2"/>
        <v>opened</v>
      </c>
    </row>
    <row r="33" spans="1:26" s="1" customFormat="1" ht="24">
      <c r="A33" s="39">
        <v>27</v>
      </c>
      <c r="B33" s="193" t="s">
        <v>84</v>
      </c>
      <c r="C33" s="41">
        <v>1.6</v>
      </c>
      <c r="D33" s="27">
        <v>0.32</v>
      </c>
      <c r="E33" s="42">
        <v>0.77</v>
      </c>
      <c r="F33" s="43">
        <v>120</v>
      </c>
      <c r="G33" s="50">
        <f t="shared" si="3"/>
        <v>0.77</v>
      </c>
      <c r="H33" s="31">
        <v>0</v>
      </c>
      <c r="I33" s="44">
        <f t="shared" si="4"/>
        <v>0.77</v>
      </c>
      <c r="J33" s="15">
        <f t="shared" si="5"/>
        <v>0.45</v>
      </c>
      <c r="K33" s="51">
        <f t="shared" si="6"/>
        <v>0.45</v>
      </c>
      <c r="L33" s="63" t="str">
        <f t="shared" si="0"/>
        <v>opened</v>
      </c>
      <c r="M33" s="23"/>
      <c r="N33" s="47">
        <v>27</v>
      </c>
      <c r="O33" s="193" t="s">
        <v>84</v>
      </c>
      <c r="P33" s="41">
        <v>1.6</v>
      </c>
      <c r="Q33" s="27">
        <v>0</v>
      </c>
      <c r="R33" s="48">
        <f>Q33+Костромаэнерго!D33</f>
        <v>0.32</v>
      </c>
      <c r="S33" s="49">
        <v>0.77</v>
      </c>
      <c r="T33" s="64">
        <v>120</v>
      </c>
      <c r="U33" s="37">
        <f t="shared" si="7"/>
        <v>-0.45</v>
      </c>
      <c r="V33" s="37">
        <v>0</v>
      </c>
      <c r="W33" s="37">
        <f t="shared" si="8"/>
        <v>0.77</v>
      </c>
      <c r="X33" s="38">
        <f t="shared" si="9"/>
        <v>0.45</v>
      </c>
      <c r="Y33" s="37">
        <f t="shared" si="1"/>
        <v>0.45</v>
      </c>
      <c r="Z33" s="63" t="str">
        <f t="shared" si="2"/>
        <v>opened</v>
      </c>
    </row>
    <row r="34" spans="1:26" s="1" customFormat="1" ht="24">
      <c r="A34" s="39">
        <v>28</v>
      </c>
      <c r="B34" s="193" t="s">
        <v>85</v>
      </c>
      <c r="C34" s="41">
        <v>1</v>
      </c>
      <c r="D34" s="27">
        <v>0.11</v>
      </c>
      <c r="E34" s="42">
        <v>0.26</v>
      </c>
      <c r="F34" s="43">
        <v>120</v>
      </c>
      <c r="G34" s="50">
        <f t="shared" si="3"/>
        <v>0.26</v>
      </c>
      <c r="H34" s="31">
        <v>0</v>
      </c>
      <c r="I34" s="15">
        <f t="shared" si="4"/>
        <v>0.26</v>
      </c>
      <c r="J34" s="15">
        <f t="shared" si="5"/>
        <v>0.15000000000000002</v>
      </c>
      <c r="K34" s="51">
        <f t="shared" si="6"/>
        <v>0.15000000000000002</v>
      </c>
      <c r="L34" s="62" t="str">
        <f t="shared" si="0"/>
        <v>opened</v>
      </c>
      <c r="M34" s="23"/>
      <c r="N34" s="47">
        <v>28</v>
      </c>
      <c r="O34" s="193" t="s">
        <v>85</v>
      </c>
      <c r="P34" s="41">
        <v>1</v>
      </c>
      <c r="Q34" s="27">
        <v>0</v>
      </c>
      <c r="R34" s="48">
        <f>Q34+Костромаэнерго!D34</f>
        <v>0.11</v>
      </c>
      <c r="S34" s="49">
        <v>0.26</v>
      </c>
      <c r="T34" s="43">
        <v>120</v>
      </c>
      <c r="U34" s="37">
        <f t="shared" si="7"/>
        <v>-0.15000000000000002</v>
      </c>
      <c r="V34" s="37">
        <v>0</v>
      </c>
      <c r="W34" s="37">
        <f t="shared" si="8"/>
        <v>0.26</v>
      </c>
      <c r="X34" s="38">
        <f t="shared" si="9"/>
        <v>0.15000000000000002</v>
      </c>
      <c r="Y34" s="37">
        <f t="shared" si="1"/>
        <v>0.15000000000000002</v>
      </c>
      <c r="Z34" s="62" t="str">
        <f t="shared" si="2"/>
        <v>opened</v>
      </c>
    </row>
    <row r="35" spans="1:26" s="1" customFormat="1" ht="24">
      <c r="A35" s="39">
        <v>29</v>
      </c>
      <c r="B35" s="193" t="s">
        <v>86</v>
      </c>
      <c r="C35" s="41">
        <v>2.5</v>
      </c>
      <c r="D35" s="27">
        <v>0.31</v>
      </c>
      <c r="E35" s="42">
        <v>1.1</v>
      </c>
      <c r="F35" s="43">
        <v>120</v>
      </c>
      <c r="G35" s="50">
        <f t="shared" si="3"/>
        <v>1.1</v>
      </c>
      <c r="H35" s="31">
        <v>0</v>
      </c>
      <c r="I35" s="15">
        <f t="shared" si="4"/>
        <v>1.1</v>
      </c>
      <c r="J35" s="15">
        <f t="shared" si="5"/>
        <v>0.79</v>
      </c>
      <c r="K35" s="51">
        <f t="shared" si="6"/>
        <v>0.79</v>
      </c>
      <c r="L35" s="62" t="str">
        <f t="shared" si="0"/>
        <v>opened</v>
      </c>
      <c r="M35" s="23"/>
      <c r="N35" s="47">
        <v>29</v>
      </c>
      <c r="O35" s="193" t="s">
        <v>86</v>
      </c>
      <c r="P35" s="41">
        <v>2.5</v>
      </c>
      <c r="Q35" s="27">
        <v>0.019</v>
      </c>
      <c r="R35" s="48">
        <f>Q35+Костромаэнерго!D35</f>
        <v>0.329</v>
      </c>
      <c r="S35" s="49">
        <v>1.1</v>
      </c>
      <c r="T35" s="43">
        <v>120</v>
      </c>
      <c r="U35" s="37">
        <f t="shared" si="7"/>
        <v>-0.7710000000000001</v>
      </c>
      <c r="V35" s="37">
        <v>0</v>
      </c>
      <c r="W35" s="37">
        <f t="shared" si="8"/>
        <v>1.1</v>
      </c>
      <c r="X35" s="38">
        <f t="shared" si="9"/>
        <v>0.7710000000000001</v>
      </c>
      <c r="Y35" s="37">
        <f t="shared" si="1"/>
        <v>0.7710000000000001</v>
      </c>
      <c r="Z35" s="62" t="str">
        <f t="shared" si="2"/>
        <v>opened</v>
      </c>
    </row>
    <row r="36" spans="1:26" s="1" customFormat="1" ht="24">
      <c r="A36" s="39">
        <v>30</v>
      </c>
      <c r="B36" s="193" t="s">
        <v>87</v>
      </c>
      <c r="C36" s="41">
        <v>2.5</v>
      </c>
      <c r="D36" s="27">
        <v>0.05</v>
      </c>
      <c r="E36" s="42">
        <v>0.85</v>
      </c>
      <c r="F36" s="43">
        <v>120</v>
      </c>
      <c r="G36" s="15">
        <f t="shared" si="3"/>
        <v>0.85</v>
      </c>
      <c r="H36" s="31">
        <v>0</v>
      </c>
      <c r="I36" s="15">
        <f t="shared" si="4"/>
        <v>0.85</v>
      </c>
      <c r="J36" s="15">
        <f t="shared" si="5"/>
        <v>0.7999999999999999</v>
      </c>
      <c r="K36" s="51">
        <f t="shared" si="6"/>
        <v>0.7999999999999999</v>
      </c>
      <c r="L36" s="63" t="str">
        <f t="shared" si="0"/>
        <v>opened</v>
      </c>
      <c r="M36" s="23"/>
      <c r="N36" s="47">
        <v>30</v>
      </c>
      <c r="O36" s="193" t="s">
        <v>87</v>
      </c>
      <c r="P36" s="41">
        <v>2.5</v>
      </c>
      <c r="Q36" s="27">
        <v>0</v>
      </c>
      <c r="R36" s="48">
        <f>Q36+Костромаэнерго!D36</f>
        <v>0.05</v>
      </c>
      <c r="S36" s="49">
        <v>0.85</v>
      </c>
      <c r="T36" s="43">
        <v>120</v>
      </c>
      <c r="U36" s="37">
        <f t="shared" si="7"/>
        <v>-0.7999999999999999</v>
      </c>
      <c r="V36" s="37">
        <v>0</v>
      </c>
      <c r="W36" s="37">
        <f t="shared" si="8"/>
        <v>0.85</v>
      </c>
      <c r="X36" s="38">
        <f t="shared" si="9"/>
        <v>0.7999999999999999</v>
      </c>
      <c r="Y36" s="37">
        <f t="shared" si="1"/>
        <v>0.7999999999999999</v>
      </c>
      <c r="Z36" s="63" t="str">
        <f t="shared" si="2"/>
        <v>opened</v>
      </c>
    </row>
    <row r="37" spans="1:26" s="1" customFormat="1" ht="24">
      <c r="A37" s="39">
        <v>31</v>
      </c>
      <c r="B37" s="193" t="s">
        <v>88</v>
      </c>
      <c r="C37" s="41">
        <v>1.6</v>
      </c>
      <c r="D37" s="27">
        <v>0.29</v>
      </c>
      <c r="E37" s="42">
        <v>0.74</v>
      </c>
      <c r="F37" s="43">
        <v>120</v>
      </c>
      <c r="G37" s="15">
        <f t="shared" si="3"/>
        <v>0.74</v>
      </c>
      <c r="H37" s="31">
        <v>0</v>
      </c>
      <c r="I37" s="37">
        <f t="shared" si="4"/>
        <v>0.74</v>
      </c>
      <c r="J37" s="15">
        <f t="shared" si="5"/>
        <v>0.45</v>
      </c>
      <c r="K37" s="51">
        <f t="shared" si="6"/>
        <v>0.45</v>
      </c>
      <c r="L37" s="46" t="str">
        <f t="shared" si="0"/>
        <v>opened</v>
      </c>
      <c r="M37" s="23"/>
      <c r="N37" s="47">
        <v>31</v>
      </c>
      <c r="O37" s="193" t="s">
        <v>88</v>
      </c>
      <c r="P37" s="41">
        <v>1.6</v>
      </c>
      <c r="Q37" s="27">
        <v>0.077</v>
      </c>
      <c r="R37" s="48">
        <f>Q37+Костромаэнерго!D37</f>
        <v>0.367</v>
      </c>
      <c r="S37" s="49">
        <v>0.74</v>
      </c>
      <c r="T37" s="43">
        <v>120</v>
      </c>
      <c r="U37" s="37">
        <f t="shared" si="7"/>
        <v>-0.373</v>
      </c>
      <c r="V37" s="37">
        <v>0</v>
      </c>
      <c r="W37" s="37">
        <f t="shared" si="8"/>
        <v>0.74</v>
      </c>
      <c r="X37" s="38">
        <f t="shared" si="9"/>
        <v>0.373</v>
      </c>
      <c r="Y37" s="37">
        <f t="shared" si="1"/>
        <v>0.373</v>
      </c>
      <c r="Z37" s="46" t="str">
        <f t="shared" si="2"/>
        <v>opened</v>
      </c>
    </row>
    <row r="38" spans="1:26" s="1" customFormat="1" ht="24">
      <c r="A38" s="39">
        <v>32</v>
      </c>
      <c r="B38" s="193" t="s">
        <v>89</v>
      </c>
      <c r="C38" s="41">
        <v>1.6</v>
      </c>
      <c r="D38" s="27">
        <v>0.16</v>
      </c>
      <c r="E38" s="42">
        <v>0.9</v>
      </c>
      <c r="F38" s="43">
        <v>120</v>
      </c>
      <c r="G38" s="15">
        <f t="shared" si="3"/>
        <v>0.9</v>
      </c>
      <c r="H38" s="31">
        <v>0</v>
      </c>
      <c r="I38" s="44">
        <f t="shared" si="4"/>
        <v>0.9</v>
      </c>
      <c r="J38" s="15">
        <f t="shared" si="5"/>
        <v>0.74</v>
      </c>
      <c r="K38" s="38">
        <f t="shared" si="6"/>
        <v>0.74</v>
      </c>
      <c r="L38" s="62" t="str">
        <f t="shared" si="0"/>
        <v>opened</v>
      </c>
      <c r="M38" s="23"/>
      <c r="N38" s="47">
        <v>32</v>
      </c>
      <c r="O38" s="193" t="s">
        <v>89</v>
      </c>
      <c r="P38" s="41">
        <v>1.6</v>
      </c>
      <c r="Q38" s="27">
        <v>0.081</v>
      </c>
      <c r="R38" s="48">
        <f>Q38+Костромаэнерго!D38</f>
        <v>0.241</v>
      </c>
      <c r="S38" s="49">
        <v>0.9</v>
      </c>
      <c r="T38" s="43">
        <v>120</v>
      </c>
      <c r="U38" s="37">
        <f t="shared" si="7"/>
        <v>-0.659</v>
      </c>
      <c r="V38" s="37">
        <v>0</v>
      </c>
      <c r="W38" s="37">
        <f t="shared" si="8"/>
        <v>0.9</v>
      </c>
      <c r="X38" s="38">
        <f t="shared" si="9"/>
        <v>0.659</v>
      </c>
      <c r="Y38" s="37">
        <f t="shared" si="1"/>
        <v>0.659</v>
      </c>
      <c r="Z38" s="62" t="str">
        <f t="shared" si="2"/>
        <v>opened</v>
      </c>
    </row>
    <row r="39" spans="1:26" s="1" customFormat="1" ht="24">
      <c r="A39" s="39">
        <v>33</v>
      </c>
      <c r="B39" s="193" t="s">
        <v>90</v>
      </c>
      <c r="C39" s="41">
        <v>4</v>
      </c>
      <c r="D39" s="27">
        <v>0.57</v>
      </c>
      <c r="E39" s="42">
        <v>1.8</v>
      </c>
      <c r="F39" s="43">
        <v>120</v>
      </c>
      <c r="G39" s="15">
        <f t="shared" si="3"/>
        <v>1.8</v>
      </c>
      <c r="H39" s="31">
        <v>0</v>
      </c>
      <c r="I39" s="15">
        <f t="shared" si="4"/>
        <v>1.8</v>
      </c>
      <c r="J39" s="15">
        <f t="shared" si="5"/>
        <v>1.23</v>
      </c>
      <c r="K39" s="38">
        <f t="shared" si="6"/>
        <v>1.23</v>
      </c>
      <c r="L39" s="63" t="str">
        <f t="shared" si="0"/>
        <v>opened</v>
      </c>
      <c r="M39" s="23"/>
      <c r="N39" s="47">
        <v>33</v>
      </c>
      <c r="O39" s="193" t="s">
        <v>90</v>
      </c>
      <c r="P39" s="41">
        <v>4</v>
      </c>
      <c r="Q39" s="27">
        <v>0.078</v>
      </c>
      <c r="R39" s="48">
        <f>Q39+Костромаэнерго!D39</f>
        <v>0.6479999999999999</v>
      </c>
      <c r="S39" s="49">
        <v>1.8</v>
      </c>
      <c r="T39" s="43">
        <v>120</v>
      </c>
      <c r="U39" s="37">
        <f t="shared" si="7"/>
        <v>-1.1520000000000001</v>
      </c>
      <c r="V39" s="37">
        <v>0</v>
      </c>
      <c r="W39" s="37">
        <f t="shared" si="8"/>
        <v>1.8</v>
      </c>
      <c r="X39" s="38">
        <f t="shared" si="9"/>
        <v>1.1520000000000001</v>
      </c>
      <c r="Y39" s="37">
        <f t="shared" si="1"/>
        <v>1.1520000000000001</v>
      </c>
      <c r="Z39" s="63" t="str">
        <f t="shared" si="2"/>
        <v>opened</v>
      </c>
    </row>
    <row r="40" spans="1:26" s="1" customFormat="1" ht="24">
      <c r="A40" s="220">
        <v>34</v>
      </c>
      <c r="B40" s="193" t="s">
        <v>91</v>
      </c>
      <c r="C40" s="41">
        <v>10</v>
      </c>
      <c r="D40" s="27">
        <v>0.06</v>
      </c>
      <c r="E40" s="42">
        <f>E41+E42</f>
        <v>5.3</v>
      </c>
      <c r="F40" s="43">
        <v>120</v>
      </c>
      <c r="G40" s="44">
        <f t="shared" si="3"/>
        <v>5.3</v>
      </c>
      <c r="H40" s="31">
        <v>0</v>
      </c>
      <c r="I40" s="15">
        <f t="shared" si="4"/>
        <v>5.3</v>
      </c>
      <c r="J40" s="15">
        <f t="shared" si="5"/>
        <v>5.24</v>
      </c>
      <c r="K40" s="187">
        <f>J40</f>
        <v>5.24</v>
      </c>
      <c r="L40" s="190" t="s">
        <v>229</v>
      </c>
      <c r="M40" s="23"/>
      <c r="N40" s="250">
        <v>34</v>
      </c>
      <c r="O40" s="193" t="s">
        <v>91</v>
      </c>
      <c r="P40" s="41">
        <v>10</v>
      </c>
      <c r="Q40" s="66">
        <v>0</v>
      </c>
      <c r="R40" s="48">
        <f>Q40+Костромаэнерго!D40</f>
        <v>0.06</v>
      </c>
      <c r="S40" s="49">
        <f>S41+S42</f>
        <v>5.3</v>
      </c>
      <c r="T40" s="43">
        <v>120</v>
      </c>
      <c r="U40" s="37">
        <f t="shared" si="7"/>
        <v>-5.24</v>
      </c>
      <c r="V40" s="37">
        <v>0</v>
      </c>
      <c r="W40" s="37">
        <f t="shared" si="8"/>
        <v>5.3</v>
      </c>
      <c r="X40" s="38">
        <f t="shared" si="9"/>
        <v>5.24</v>
      </c>
      <c r="Y40" s="251">
        <f t="shared" si="1"/>
        <v>5.24</v>
      </c>
      <c r="Z40" s="190" t="s">
        <v>229</v>
      </c>
    </row>
    <row r="41" spans="1:26" s="1" customFormat="1" ht="12.75">
      <c r="A41" s="221"/>
      <c r="B41" s="194" t="s">
        <v>92</v>
      </c>
      <c r="C41" s="41">
        <v>10</v>
      </c>
      <c r="D41" s="41">
        <v>0</v>
      </c>
      <c r="E41" s="49">
        <v>0</v>
      </c>
      <c r="F41" s="43">
        <v>120</v>
      </c>
      <c r="G41" s="50">
        <f t="shared" si="3"/>
        <v>0</v>
      </c>
      <c r="H41" s="31">
        <v>0</v>
      </c>
      <c r="I41" s="15">
        <f t="shared" si="4"/>
        <v>0</v>
      </c>
      <c r="J41" s="68">
        <f>I41-D41</f>
        <v>0</v>
      </c>
      <c r="K41" s="188"/>
      <c r="L41" s="191"/>
      <c r="M41" s="23"/>
      <c r="N41" s="250"/>
      <c r="O41" s="194" t="s">
        <v>92</v>
      </c>
      <c r="P41" s="41">
        <v>10</v>
      </c>
      <c r="Q41" s="69">
        <v>0</v>
      </c>
      <c r="R41" s="48">
        <f>Q41+Костромаэнерго!D41</f>
        <v>0</v>
      </c>
      <c r="S41" s="49">
        <v>0</v>
      </c>
      <c r="T41" s="43">
        <v>120</v>
      </c>
      <c r="U41" s="37">
        <f t="shared" si="7"/>
        <v>0</v>
      </c>
      <c r="V41" s="37">
        <v>0</v>
      </c>
      <c r="W41" s="37">
        <f t="shared" si="8"/>
        <v>0</v>
      </c>
      <c r="X41" s="38">
        <f t="shared" si="9"/>
        <v>0</v>
      </c>
      <c r="Y41" s="251"/>
      <c r="Z41" s="191"/>
    </row>
    <row r="42" spans="1:26" s="1" customFormat="1" ht="12.75">
      <c r="A42" s="222"/>
      <c r="B42" s="194" t="s">
        <v>93</v>
      </c>
      <c r="C42" s="41">
        <v>10</v>
      </c>
      <c r="D42" s="41">
        <v>0.06</v>
      </c>
      <c r="E42" s="49">
        <v>5.3</v>
      </c>
      <c r="F42" s="43">
        <v>120</v>
      </c>
      <c r="G42" s="50">
        <f t="shared" si="3"/>
        <v>5.3</v>
      </c>
      <c r="H42" s="31">
        <v>0</v>
      </c>
      <c r="I42" s="15">
        <f t="shared" si="4"/>
        <v>5.3</v>
      </c>
      <c r="J42" s="15">
        <f t="shared" si="5"/>
        <v>5.24</v>
      </c>
      <c r="K42" s="189"/>
      <c r="L42" s="192"/>
      <c r="M42" s="23"/>
      <c r="N42" s="250"/>
      <c r="O42" s="194" t="s">
        <v>93</v>
      </c>
      <c r="P42" s="41">
        <v>10</v>
      </c>
      <c r="Q42" s="66">
        <v>0</v>
      </c>
      <c r="R42" s="48">
        <f>Q42+Костромаэнерго!D42</f>
        <v>0.06</v>
      </c>
      <c r="S42" s="49">
        <v>5.3</v>
      </c>
      <c r="T42" s="43">
        <v>120</v>
      </c>
      <c r="U42" s="37">
        <f t="shared" si="7"/>
        <v>-5.24</v>
      </c>
      <c r="V42" s="37">
        <v>0</v>
      </c>
      <c r="W42" s="37">
        <f t="shared" si="8"/>
        <v>5.3</v>
      </c>
      <c r="X42" s="38">
        <f t="shared" si="9"/>
        <v>5.24</v>
      </c>
      <c r="Y42" s="251"/>
      <c r="Z42" s="192"/>
    </row>
    <row r="43" spans="1:26" s="1" customFormat="1" ht="24">
      <c r="A43" s="39">
        <v>35</v>
      </c>
      <c r="B43" s="193" t="s">
        <v>94</v>
      </c>
      <c r="C43" s="41">
        <v>1.6</v>
      </c>
      <c r="D43" s="27">
        <v>0.07</v>
      </c>
      <c r="E43" s="49">
        <v>0.86</v>
      </c>
      <c r="F43" s="43">
        <v>120</v>
      </c>
      <c r="G43" s="15">
        <f t="shared" si="3"/>
        <v>0.86</v>
      </c>
      <c r="H43" s="31">
        <v>0</v>
      </c>
      <c r="I43" s="15">
        <f t="shared" si="4"/>
        <v>0.86</v>
      </c>
      <c r="J43" s="15">
        <f t="shared" si="5"/>
        <v>0.79</v>
      </c>
      <c r="K43" s="51">
        <f>J43</f>
        <v>0.79</v>
      </c>
      <c r="L43" s="63" t="str">
        <f aca="true" t="shared" si="10" ref="L43:L53">IF(K43&lt;0,"closed","opened")</f>
        <v>opened</v>
      </c>
      <c r="M43" s="23"/>
      <c r="N43" s="47">
        <v>35</v>
      </c>
      <c r="O43" s="193" t="s">
        <v>94</v>
      </c>
      <c r="P43" s="41">
        <v>1.6</v>
      </c>
      <c r="Q43" s="27">
        <v>0</v>
      </c>
      <c r="R43" s="48">
        <f>Q43+Костромаэнерго!D43</f>
        <v>0.07</v>
      </c>
      <c r="S43" s="49">
        <v>0.86</v>
      </c>
      <c r="T43" s="43">
        <v>120</v>
      </c>
      <c r="U43" s="37">
        <f t="shared" si="7"/>
        <v>-0.79</v>
      </c>
      <c r="V43" s="37">
        <v>0</v>
      </c>
      <c r="W43" s="37">
        <f t="shared" si="8"/>
        <v>0.86</v>
      </c>
      <c r="X43" s="38">
        <f t="shared" si="9"/>
        <v>0.79</v>
      </c>
      <c r="Y43" s="15">
        <f aca="true" t="shared" si="11" ref="Y43:Y54">X43</f>
        <v>0.79</v>
      </c>
      <c r="Z43" s="63" t="str">
        <f aca="true" t="shared" si="12" ref="Z43:Z53">IF(Y43&lt;0,"closed","opened")</f>
        <v>opened</v>
      </c>
    </row>
    <row r="44" spans="1:26" s="1" customFormat="1" ht="24">
      <c r="A44" s="39">
        <v>36</v>
      </c>
      <c r="B44" s="193" t="s">
        <v>95</v>
      </c>
      <c r="C44" s="41">
        <v>1</v>
      </c>
      <c r="D44" s="27">
        <v>0.08</v>
      </c>
      <c r="E44" s="42">
        <v>0.54</v>
      </c>
      <c r="F44" s="43">
        <v>120</v>
      </c>
      <c r="G44" s="15">
        <f t="shared" si="3"/>
        <v>0.54</v>
      </c>
      <c r="H44" s="31">
        <v>0</v>
      </c>
      <c r="I44" s="15">
        <f t="shared" si="4"/>
        <v>0.54</v>
      </c>
      <c r="J44" s="15">
        <f t="shared" si="5"/>
        <v>0.46</v>
      </c>
      <c r="K44" s="51">
        <f aca="true" t="shared" si="13" ref="K44:K53">J44</f>
        <v>0.46</v>
      </c>
      <c r="L44" s="62" t="str">
        <f t="shared" si="10"/>
        <v>opened</v>
      </c>
      <c r="M44" s="23"/>
      <c r="N44" s="47">
        <v>36</v>
      </c>
      <c r="O44" s="193" t="s">
        <v>95</v>
      </c>
      <c r="P44" s="41">
        <v>1</v>
      </c>
      <c r="Q44" s="27">
        <v>0.031</v>
      </c>
      <c r="R44" s="48">
        <f>Q44+Костромаэнерго!D44</f>
        <v>0.111</v>
      </c>
      <c r="S44" s="49">
        <v>0.54</v>
      </c>
      <c r="T44" s="43">
        <v>120</v>
      </c>
      <c r="U44" s="37">
        <f t="shared" si="7"/>
        <v>-0.42900000000000005</v>
      </c>
      <c r="V44" s="37">
        <v>0</v>
      </c>
      <c r="W44" s="37">
        <f t="shared" si="8"/>
        <v>0.54</v>
      </c>
      <c r="X44" s="38">
        <f t="shared" si="9"/>
        <v>0.42900000000000005</v>
      </c>
      <c r="Y44" s="15">
        <f t="shared" si="11"/>
        <v>0.42900000000000005</v>
      </c>
      <c r="Z44" s="62" t="str">
        <f t="shared" si="12"/>
        <v>opened</v>
      </c>
    </row>
    <row r="45" spans="1:26" s="1" customFormat="1" ht="22.5">
      <c r="A45" s="39">
        <v>37</v>
      </c>
      <c r="B45" s="40" t="s">
        <v>96</v>
      </c>
      <c r="C45" s="41">
        <v>1.6</v>
      </c>
      <c r="D45" s="27">
        <v>0.45</v>
      </c>
      <c r="E45" s="42">
        <v>0.99</v>
      </c>
      <c r="F45" s="43">
        <v>120</v>
      </c>
      <c r="G45" s="44">
        <f t="shared" si="3"/>
        <v>0.99</v>
      </c>
      <c r="H45" s="31">
        <v>0</v>
      </c>
      <c r="I45" s="37">
        <f t="shared" si="4"/>
        <v>0.99</v>
      </c>
      <c r="J45" s="15">
        <f t="shared" si="5"/>
        <v>0.54</v>
      </c>
      <c r="K45" s="51">
        <f t="shared" si="13"/>
        <v>0.54</v>
      </c>
      <c r="L45" s="62" t="str">
        <f t="shared" si="10"/>
        <v>opened</v>
      </c>
      <c r="M45" s="23"/>
      <c r="N45" s="47">
        <v>37</v>
      </c>
      <c r="O45" s="40" t="s">
        <v>96</v>
      </c>
      <c r="P45" s="41">
        <v>1.6</v>
      </c>
      <c r="Q45" s="27">
        <v>0.137</v>
      </c>
      <c r="R45" s="48">
        <f>Q45+Костромаэнерго!D45</f>
        <v>0.587</v>
      </c>
      <c r="S45" s="49">
        <v>0.99</v>
      </c>
      <c r="T45" s="43">
        <v>120</v>
      </c>
      <c r="U45" s="37">
        <f t="shared" si="7"/>
        <v>-0.403</v>
      </c>
      <c r="V45" s="37">
        <v>0</v>
      </c>
      <c r="W45" s="37">
        <f t="shared" si="8"/>
        <v>0.99</v>
      </c>
      <c r="X45" s="38">
        <f t="shared" si="9"/>
        <v>0.403</v>
      </c>
      <c r="Y45" s="15">
        <f t="shared" si="11"/>
        <v>0.403</v>
      </c>
      <c r="Z45" s="62" t="str">
        <f t="shared" si="12"/>
        <v>opened</v>
      </c>
    </row>
    <row r="46" spans="1:26" s="1" customFormat="1" ht="22.5">
      <c r="A46" s="39">
        <v>38</v>
      </c>
      <c r="B46" s="40" t="s">
        <v>97</v>
      </c>
      <c r="C46" s="41">
        <v>2.5</v>
      </c>
      <c r="D46" s="27">
        <v>0.29</v>
      </c>
      <c r="E46" s="42">
        <v>1.63</v>
      </c>
      <c r="F46" s="43">
        <v>120</v>
      </c>
      <c r="G46" s="50">
        <f t="shared" si="3"/>
        <v>1.63</v>
      </c>
      <c r="H46" s="31">
        <v>0</v>
      </c>
      <c r="I46" s="44">
        <f t="shared" si="4"/>
        <v>1.63</v>
      </c>
      <c r="J46" s="15">
        <f t="shared" si="5"/>
        <v>1.3399999999999999</v>
      </c>
      <c r="K46" s="51">
        <f t="shared" si="13"/>
        <v>1.3399999999999999</v>
      </c>
      <c r="L46" s="62" t="str">
        <f t="shared" si="10"/>
        <v>opened</v>
      </c>
      <c r="M46" s="23"/>
      <c r="N46" s="47">
        <v>38</v>
      </c>
      <c r="O46" s="40" t="s">
        <v>97</v>
      </c>
      <c r="P46" s="41">
        <v>2.5</v>
      </c>
      <c r="Q46" s="27">
        <v>0</v>
      </c>
      <c r="R46" s="48">
        <f>Q46+Костромаэнерго!D46</f>
        <v>0.29</v>
      </c>
      <c r="S46" s="49">
        <v>1.63</v>
      </c>
      <c r="T46" s="43">
        <v>120</v>
      </c>
      <c r="U46" s="37">
        <f t="shared" si="7"/>
        <v>-1.3399999999999999</v>
      </c>
      <c r="V46" s="37">
        <v>0</v>
      </c>
      <c r="W46" s="37">
        <f t="shared" si="8"/>
        <v>1.63</v>
      </c>
      <c r="X46" s="38">
        <f t="shared" si="9"/>
        <v>1.3399999999999999</v>
      </c>
      <c r="Y46" s="15">
        <f t="shared" si="11"/>
        <v>1.3399999999999999</v>
      </c>
      <c r="Z46" s="62" t="str">
        <f t="shared" si="12"/>
        <v>opened</v>
      </c>
    </row>
    <row r="47" spans="1:26" s="1" customFormat="1" ht="22.5">
      <c r="A47" s="39">
        <v>39</v>
      </c>
      <c r="B47" s="40" t="s">
        <v>98</v>
      </c>
      <c r="C47" s="41">
        <v>2.5</v>
      </c>
      <c r="D47" s="27">
        <v>0.53</v>
      </c>
      <c r="E47" s="42">
        <v>1.3</v>
      </c>
      <c r="F47" s="43">
        <v>120</v>
      </c>
      <c r="G47" s="50">
        <f t="shared" si="3"/>
        <v>1.3</v>
      </c>
      <c r="H47" s="31">
        <v>0</v>
      </c>
      <c r="I47" s="15">
        <f t="shared" si="4"/>
        <v>1.3</v>
      </c>
      <c r="J47" s="15">
        <f t="shared" si="5"/>
        <v>0.77</v>
      </c>
      <c r="K47" s="51">
        <f t="shared" si="13"/>
        <v>0.77</v>
      </c>
      <c r="L47" s="62" t="str">
        <f t="shared" si="10"/>
        <v>opened</v>
      </c>
      <c r="M47" s="23"/>
      <c r="N47" s="47">
        <v>39</v>
      </c>
      <c r="O47" s="40" t="s">
        <v>98</v>
      </c>
      <c r="P47" s="41">
        <v>2.5</v>
      </c>
      <c r="Q47" s="27">
        <v>0</v>
      </c>
      <c r="R47" s="48">
        <f>Q47+Костромаэнерго!D47</f>
        <v>0.53</v>
      </c>
      <c r="S47" s="49">
        <v>1.3</v>
      </c>
      <c r="T47" s="43">
        <v>120</v>
      </c>
      <c r="U47" s="37">
        <f t="shared" si="7"/>
        <v>-0.77</v>
      </c>
      <c r="V47" s="37">
        <v>0</v>
      </c>
      <c r="W47" s="37">
        <f t="shared" si="8"/>
        <v>1.3</v>
      </c>
      <c r="X47" s="38">
        <f t="shared" si="9"/>
        <v>0.77</v>
      </c>
      <c r="Y47" s="15">
        <f t="shared" si="11"/>
        <v>0.77</v>
      </c>
      <c r="Z47" s="62" t="str">
        <f t="shared" si="12"/>
        <v>opened</v>
      </c>
    </row>
    <row r="48" spans="1:26" s="1" customFormat="1" ht="22.5">
      <c r="A48" s="39">
        <v>40</v>
      </c>
      <c r="B48" s="40" t="s">
        <v>99</v>
      </c>
      <c r="C48" s="41">
        <v>2.5</v>
      </c>
      <c r="D48" s="27">
        <v>0.03</v>
      </c>
      <c r="E48" s="42">
        <v>1.23</v>
      </c>
      <c r="F48" s="43">
        <v>120</v>
      </c>
      <c r="G48" s="50">
        <f t="shared" si="3"/>
        <v>1.23</v>
      </c>
      <c r="H48" s="31">
        <v>0</v>
      </c>
      <c r="I48" s="15">
        <f t="shared" si="4"/>
        <v>1.23</v>
      </c>
      <c r="J48" s="15">
        <f t="shared" si="5"/>
        <v>1.2</v>
      </c>
      <c r="K48" s="51">
        <f t="shared" si="13"/>
        <v>1.2</v>
      </c>
      <c r="L48" s="63" t="str">
        <f t="shared" si="10"/>
        <v>opened</v>
      </c>
      <c r="M48" s="23"/>
      <c r="N48" s="47">
        <v>40</v>
      </c>
      <c r="O48" s="40" t="s">
        <v>99</v>
      </c>
      <c r="P48" s="41">
        <v>2.5</v>
      </c>
      <c r="Q48" s="27">
        <v>0</v>
      </c>
      <c r="R48" s="48">
        <f>Q48+Костромаэнерго!D48</f>
        <v>0.03</v>
      </c>
      <c r="S48" s="49">
        <v>1.23</v>
      </c>
      <c r="T48" s="43">
        <v>120</v>
      </c>
      <c r="U48" s="37">
        <f t="shared" si="7"/>
        <v>-1.2</v>
      </c>
      <c r="V48" s="37">
        <v>0</v>
      </c>
      <c r="W48" s="37">
        <f t="shared" si="8"/>
        <v>1.23</v>
      </c>
      <c r="X48" s="38">
        <f t="shared" si="9"/>
        <v>1.2</v>
      </c>
      <c r="Y48" s="15">
        <f t="shared" si="11"/>
        <v>1.2</v>
      </c>
      <c r="Z48" s="63" t="str">
        <f t="shared" si="12"/>
        <v>opened</v>
      </c>
    </row>
    <row r="49" spans="1:26" s="1" customFormat="1" ht="22.5">
      <c r="A49" s="39">
        <v>41</v>
      </c>
      <c r="B49" s="40" t="s">
        <v>100</v>
      </c>
      <c r="C49" s="41">
        <v>1.6</v>
      </c>
      <c r="D49" s="27">
        <v>0.25</v>
      </c>
      <c r="E49" s="42">
        <v>0.96</v>
      </c>
      <c r="F49" s="43">
        <v>120</v>
      </c>
      <c r="G49" s="15">
        <f t="shared" si="3"/>
        <v>0.96</v>
      </c>
      <c r="H49" s="31">
        <v>0</v>
      </c>
      <c r="I49" s="15">
        <f t="shared" si="4"/>
        <v>0.96</v>
      </c>
      <c r="J49" s="15">
        <f t="shared" si="5"/>
        <v>0.71</v>
      </c>
      <c r="K49" s="51">
        <f t="shared" si="13"/>
        <v>0.71</v>
      </c>
      <c r="L49" s="62" t="str">
        <f t="shared" si="10"/>
        <v>opened</v>
      </c>
      <c r="M49" s="23"/>
      <c r="N49" s="47">
        <v>41</v>
      </c>
      <c r="O49" s="40" t="s">
        <v>100</v>
      </c>
      <c r="P49" s="41">
        <v>1.6</v>
      </c>
      <c r="Q49" s="27">
        <v>0.098</v>
      </c>
      <c r="R49" s="48">
        <f>Q49+Костромаэнерго!D49</f>
        <v>0.348</v>
      </c>
      <c r="S49" s="49">
        <v>0.96</v>
      </c>
      <c r="T49" s="43">
        <v>120</v>
      </c>
      <c r="U49" s="37">
        <f t="shared" si="7"/>
        <v>-0.612</v>
      </c>
      <c r="V49" s="37">
        <v>0</v>
      </c>
      <c r="W49" s="37">
        <f t="shared" si="8"/>
        <v>0.96</v>
      </c>
      <c r="X49" s="38">
        <f t="shared" si="9"/>
        <v>0.612</v>
      </c>
      <c r="Y49" s="15">
        <f t="shared" si="11"/>
        <v>0.612</v>
      </c>
      <c r="Z49" s="62" t="str">
        <f t="shared" si="12"/>
        <v>opened</v>
      </c>
    </row>
    <row r="50" spans="1:26" s="1" customFormat="1" ht="22.5">
      <c r="A50" s="39">
        <v>42</v>
      </c>
      <c r="B50" s="40" t="s">
        <v>101</v>
      </c>
      <c r="C50" s="41">
        <v>2.5</v>
      </c>
      <c r="D50" s="27">
        <v>0.28</v>
      </c>
      <c r="E50" s="42">
        <v>1.13</v>
      </c>
      <c r="F50" s="43">
        <v>120</v>
      </c>
      <c r="G50" s="44">
        <f t="shared" si="3"/>
        <v>1.13</v>
      </c>
      <c r="H50" s="31">
        <v>0</v>
      </c>
      <c r="I50" s="37">
        <f t="shared" si="4"/>
        <v>1.13</v>
      </c>
      <c r="J50" s="15">
        <f t="shared" si="5"/>
        <v>0.8499999999999999</v>
      </c>
      <c r="K50" s="51">
        <f t="shared" si="13"/>
        <v>0.8499999999999999</v>
      </c>
      <c r="L50" s="63" t="str">
        <f t="shared" si="10"/>
        <v>opened</v>
      </c>
      <c r="M50" s="23"/>
      <c r="N50" s="47">
        <v>42</v>
      </c>
      <c r="O50" s="40" t="s">
        <v>101</v>
      </c>
      <c r="P50" s="41">
        <v>2.5</v>
      </c>
      <c r="Q50" s="27">
        <v>0</v>
      </c>
      <c r="R50" s="48">
        <f>Q50+Костромаэнерго!D50</f>
        <v>0.28</v>
      </c>
      <c r="S50" s="49">
        <v>1.13</v>
      </c>
      <c r="T50" s="43">
        <v>120</v>
      </c>
      <c r="U50" s="37">
        <f t="shared" si="7"/>
        <v>-0.8499999999999999</v>
      </c>
      <c r="V50" s="37">
        <v>0</v>
      </c>
      <c r="W50" s="37">
        <f t="shared" si="8"/>
        <v>1.13</v>
      </c>
      <c r="X50" s="38">
        <f t="shared" si="9"/>
        <v>0.8499999999999999</v>
      </c>
      <c r="Y50" s="15">
        <f t="shared" si="11"/>
        <v>0.8499999999999999</v>
      </c>
      <c r="Z50" s="63" t="str">
        <f t="shared" si="12"/>
        <v>opened</v>
      </c>
    </row>
    <row r="51" spans="1:26" s="1" customFormat="1" ht="22.5">
      <c r="A51" s="39">
        <v>43</v>
      </c>
      <c r="B51" s="40" t="s">
        <v>102</v>
      </c>
      <c r="C51" s="41">
        <v>2.5</v>
      </c>
      <c r="D51" s="27">
        <v>0.76</v>
      </c>
      <c r="E51" s="42">
        <v>2.5</v>
      </c>
      <c r="F51" s="43" t="s">
        <v>3</v>
      </c>
      <c r="G51" s="15">
        <f t="shared" si="3"/>
        <v>2.5</v>
      </c>
      <c r="H51" s="31">
        <v>0</v>
      </c>
      <c r="I51" s="44">
        <f t="shared" si="4"/>
        <v>2.5</v>
      </c>
      <c r="J51" s="15">
        <f t="shared" si="5"/>
        <v>1.74</v>
      </c>
      <c r="K51" s="51">
        <f t="shared" si="13"/>
        <v>1.74</v>
      </c>
      <c r="L51" s="46" t="str">
        <f t="shared" si="10"/>
        <v>opened</v>
      </c>
      <c r="M51" s="23"/>
      <c r="N51" s="47">
        <v>43</v>
      </c>
      <c r="O51" s="40" t="s">
        <v>102</v>
      </c>
      <c r="P51" s="41">
        <v>2.5</v>
      </c>
      <c r="Q51" s="27">
        <v>0.006</v>
      </c>
      <c r="R51" s="48">
        <f>Q51+Костромаэнерго!D51</f>
        <v>0.766</v>
      </c>
      <c r="S51" s="49">
        <v>2.5</v>
      </c>
      <c r="T51" s="43" t="s">
        <v>3</v>
      </c>
      <c r="U51" s="37">
        <f t="shared" si="7"/>
        <v>-1.734</v>
      </c>
      <c r="V51" s="37">
        <v>0</v>
      </c>
      <c r="W51" s="37">
        <f t="shared" si="8"/>
        <v>2.5</v>
      </c>
      <c r="X51" s="38">
        <f t="shared" si="9"/>
        <v>1.734</v>
      </c>
      <c r="Y51" s="15">
        <f t="shared" si="11"/>
        <v>1.734</v>
      </c>
      <c r="Z51" s="46" t="str">
        <f t="shared" si="12"/>
        <v>opened</v>
      </c>
    </row>
    <row r="52" spans="1:26" s="1" customFormat="1" ht="22.5">
      <c r="A52" s="39">
        <v>44</v>
      </c>
      <c r="B52" s="40" t="s">
        <v>103</v>
      </c>
      <c r="C52" s="41">
        <v>2.5</v>
      </c>
      <c r="D52" s="27">
        <v>0.4</v>
      </c>
      <c r="E52" s="42">
        <v>1.48</v>
      </c>
      <c r="F52" s="43">
        <v>120</v>
      </c>
      <c r="G52" s="15">
        <f t="shared" si="3"/>
        <v>1.48</v>
      </c>
      <c r="H52" s="31">
        <v>0</v>
      </c>
      <c r="I52" s="15">
        <f t="shared" si="4"/>
        <v>1.48</v>
      </c>
      <c r="J52" s="15">
        <f t="shared" si="5"/>
        <v>1.08</v>
      </c>
      <c r="K52" s="51">
        <f t="shared" si="13"/>
        <v>1.08</v>
      </c>
      <c r="L52" s="62" t="str">
        <f t="shared" si="10"/>
        <v>opened</v>
      </c>
      <c r="M52" s="23"/>
      <c r="N52" s="47">
        <v>44</v>
      </c>
      <c r="O52" s="40" t="s">
        <v>103</v>
      </c>
      <c r="P52" s="41">
        <v>2.5</v>
      </c>
      <c r="Q52" s="27">
        <v>0</v>
      </c>
      <c r="R52" s="48">
        <f>Q52+Костромаэнерго!D52</f>
        <v>0.4</v>
      </c>
      <c r="S52" s="49">
        <v>1.48</v>
      </c>
      <c r="T52" s="43">
        <v>120</v>
      </c>
      <c r="U52" s="37">
        <f t="shared" si="7"/>
        <v>-1.08</v>
      </c>
      <c r="V52" s="37">
        <v>0</v>
      </c>
      <c r="W52" s="37">
        <f t="shared" si="8"/>
        <v>1.48</v>
      </c>
      <c r="X52" s="38">
        <f t="shared" si="9"/>
        <v>1.08</v>
      </c>
      <c r="Y52" s="15">
        <f t="shared" si="11"/>
        <v>1.08</v>
      </c>
      <c r="Z52" s="62" t="str">
        <f t="shared" si="12"/>
        <v>opened</v>
      </c>
    </row>
    <row r="53" spans="1:26" s="1" customFormat="1" ht="22.5">
      <c r="A53" s="39">
        <v>45</v>
      </c>
      <c r="B53" s="40" t="s">
        <v>104</v>
      </c>
      <c r="C53" s="41">
        <v>2.5</v>
      </c>
      <c r="D53" s="27">
        <v>1.04</v>
      </c>
      <c r="E53" s="42">
        <v>1.13</v>
      </c>
      <c r="F53" s="43">
        <v>120</v>
      </c>
      <c r="G53" s="44">
        <f t="shared" si="3"/>
        <v>1.13</v>
      </c>
      <c r="H53" s="31">
        <v>0</v>
      </c>
      <c r="I53" s="15">
        <f t="shared" si="4"/>
        <v>1.13</v>
      </c>
      <c r="J53" s="15">
        <f t="shared" si="5"/>
        <v>0.08999999999999986</v>
      </c>
      <c r="K53" s="51">
        <f t="shared" si="13"/>
        <v>0.08999999999999986</v>
      </c>
      <c r="L53" s="63" t="str">
        <f t="shared" si="10"/>
        <v>opened</v>
      </c>
      <c r="M53" s="23"/>
      <c r="N53" s="47">
        <v>45</v>
      </c>
      <c r="O53" s="40" t="s">
        <v>104</v>
      </c>
      <c r="P53" s="41">
        <v>2.5</v>
      </c>
      <c r="Q53" s="27">
        <v>0.045</v>
      </c>
      <c r="R53" s="48">
        <f>Q53+Костромаэнерго!D53</f>
        <v>1.085</v>
      </c>
      <c r="S53" s="49">
        <v>1.13</v>
      </c>
      <c r="T53" s="43">
        <v>120</v>
      </c>
      <c r="U53" s="37">
        <f t="shared" si="7"/>
        <v>-0.04499999999999993</v>
      </c>
      <c r="V53" s="37">
        <v>0</v>
      </c>
      <c r="W53" s="37">
        <f t="shared" si="8"/>
        <v>1.13</v>
      </c>
      <c r="X53" s="38">
        <f t="shared" si="9"/>
        <v>0.04499999999999993</v>
      </c>
      <c r="Y53" s="15">
        <f t="shared" si="11"/>
        <v>0.04499999999999993</v>
      </c>
      <c r="Z53" s="63" t="str">
        <f t="shared" si="12"/>
        <v>opened</v>
      </c>
    </row>
    <row r="54" spans="1:26" s="1" customFormat="1" ht="22.5">
      <c r="A54" s="173">
        <v>46</v>
      </c>
      <c r="B54" s="40" t="s">
        <v>105</v>
      </c>
      <c r="C54" s="41">
        <v>6.3</v>
      </c>
      <c r="D54" s="27">
        <v>0.28</v>
      </c>
      <c r="E54" s="42">
        <f>E55+E56</f>
        <v>3.15</v>
      </c>
      <c r="F54" s="43">
        <v>120</v>
      </c>
      <c r="G54" s="50">
        <f t="shared" si="3"/>
        <v>3.15</v>
      </c>
      <c r="H54" s="31">
        <v>0</v>
      </c>
      <c r="I54" s="15">
        <f t="shared" si="4"/>
        <v>3.15</v>
      </c>
      <c r="J54" s="15">
        <f t="shared" si="5"/>
        <v>2.87</v>
      </c>
      <c r="K54" s="187">
        <f>J54</f>
        <v>2.87</v>
      </c>
      <c r="L54" s="190" t="s">
        <v>229</v>
      </c>
      <c r="M54" s="23"/>
      <c r="N54" s="250">
        <v>46</v>
      </c>
      <c r="O54" s="40" t="s">
        <v>105</v>
      </c>
      <c r="P54" s="41">
        <v>6.3</v>
      </c>
      <c r="Q54" s="66">
        <v>0</v>
      </c>
      <c r="R54" s="48">
        <f>Q54+Костромаэнерго!D54</f>
        <v>0.28</v>
      </c>
      <c r="S54" s="49">
        <f>S55+S56</f>
        <v>3.15</v>
      </c>
      <c r="T54" s="43">
        <v>120</v>
      </c>
      <c r="U54" s="37">
        <f t="shared" si="7"/>
        <v>-2.87</v>
      </c>
      <c r="V54" s="37">
        <v>0</v>
      </c>
      <c r="W54" s="37">
        <f t="shared" si="8"/>
        <v>3.15</v>
      </c>
      <c r="X54" s="38">
        <f t="shared" si="9"/>
        <v>2.87</v>
      </c>
      <c r="Y54" s="251">
        <f t="shared" si="11"/>
        <v>2.87</v>
      </c>
      <c r="Z54" s="190" t="s">
        <v>229</v>
      </c>
    </row>
    <row r="55" spans="1:26" s="1" customFormat="1" ht="12.75">
      <c r="A55" s="174"/>
      <c r="B55" s="67" t="s">
        <v>92</v>
      </c>
      <c r="C55" s="41">
        <v>6.3</v>
      </c>
      <c r="D55" s="41">
        <v>0</v>
      </c>
      <c r="E55" s="49">
        <v>0</v>
      </c>
      <c r="F55" s="43">
        <v>120</v>
      </c>
      <c r="G55" s="15">
        <f t="shared" si="3"/>
        <v>0</v>
      </c>
      <c r="H55" s="31">
        <v>0</v>
      </c>
      <c r="I55" s="15">
        <f t="shared" si="4"/>
        <v>0</v>
      </c>
      <c r="J55" s="68">
        <f>I55-D55</f>
        <v>0</v>
      </c>
      <c r="K55" s="188"/>
      <c r="L55" s="191"/>
      <c r="M55" s="23"/>
      <c r="N55" s="250"/>
      <c r="O55" s="67" t="s">
        <v>92</v>
      </c>
      <c r="P55" s="41">
        <v>6.3</v>
      </c>
      <c r="Q55" s="69">
        <v>0</v>
      </c>
      <c r="R55" s="48">
        <f>Q55+Костромаэнерго!D55</f>
        <v>0</v>
      </c>
      <c r="S55" s="49">
        <v>0</v>
      </c>
      <c r="T55" s="43">
        <v>120</v>
      </c>
      <c r="U55" s="37">
        <f t="shared" si="7"/>
        <v>0</v>
      </c>
      <c r="V55" s="37">
        <v>0</v>
      </c>
      <c r="W55" s="37">
        <f t="shared" si="8"/>
        <v>0</v>
      </c>
      <c r="X55" s="38">
        <f t="shared" si="9"/>
        <v>0</v>
      </c>
      <c r="Y55" s="251"/>
      <c r="Z55" s="191"/>
    </row>
    <row r="56" spans="1:26" s="1" customFormat="1" ht="12.75">
      <c r="A56" s="175"/>
      <c r="B56" s="67" t="s">
        <v>93</v>
      </c>
      <c r="C56" s="41">
        <v>6.3</v>
      </c>
      <c r="D56" s="27">
        <v>0.28</v>
      </c>
      <c r="E56" s="49">
        <v>3.15</v>
      </c>
      <c r="F56" s="43">
        <v>120</v>
      </c>
      <c r="G56" s="44">
        <f t="shared" si="3"/>
        <v>3.15</v>
      </c>
      <c r="H56" s="31">
        <v>0</v>
      </c>
      <c r="I56" s="37">
        <f t="shared" si="4"/>
        <v>3.15</v>
      </c>
      <c r="J56" s="15">
        <f t="shared" si="5"/>
        <v>2.87</v>
      </c>
      <c r="K56" s="189"/>
      <c r="L56" s="191"/>
      <c r="M56" s="23"/>
      <c r="N56" s="250"/>
      <c r="O56" s="67" t="s">
        <v>93</v>
      </c>
      <c r="P56" s="41">
        <v>6.3</v>
      </c>
      <c r="Q56" s="66">
        <v>0</v>
      </c>
      <c r="R56" s="48">
        <f>Q56+Костромаэнерго!D56</f>
        <v>0.28</v>
      </c>
      <c r="S56" s="49">
        <v>3.15</v>
      </c>
      <c r="T56" s="43">
        <v>120</v>
      </c>
      <c r="U56" s="37">
        <f t="shared" si="7"/>
        <v>-2.87</v>
      </c>
      <c r="V56" s="37">
        <v>0</v>
      </c>
      <c r="W56" s="37">
        <f t="shared" si="8"/>
        <v>3.15</v>
      </c>
      <c r="X56" s="38">
        <f t="shared" si="9"/>
        <v>2.87</v>
      </c>
      <c r="Y56" s="251"/>
      <c r="Z56" s="191"/>
    </row>
    <row r="57" spans="1:26" s="1" customFormat="1" ht="22.5">
      <c r="A57" s="39">
        <v>47</v>
      </c>
      <c r="B57" s="40" t="s">
        <v>106</v>
      </c>
      <c r="C57" s="41">
        <v>1.6</v>
      </c>
      <c r="D57" s="27">
        <v>0.11</v>
      </c>
      <c r="E57" s="49">
        <v>0.67</v>
      </c>
      <c r="F57" s="43">
        <v>120</v>
      </c>
      <c r="G57" s="50">
        <f t="shared" si="3"/>
        <v>0.67</v>
      </c>
      <c r="H57" s="31">
        <v>0</v>
      </c>
      <c r="I57" s="44">
        <f t="shared" si="4"/>
        <v>0.67</v>
      </c>
      <c r="J57" s="15">
        <f t="shared" si="5"/>
        <v>0.56</v>
      </c>
      <c r="K57" s="51">
        <f>J57</f>
        <v>0.56</v>
      </c>
      <c r="L57" s="62" t="str">
        <f aca="true" t="shared" si="14" ref="L57:L71">IF(K57&lt;0,"closed","opened")</f>
        <v>opened</v>
      </c>
      <c r="M57" s="23"/>
      <c r="N57" s="47">
        <v>47</v>
      </c>
      <c r="O57" s="40" t="s">
        <v>106</v>
      </c>
      <c r="P57" s="41">
        <v>1.6</v>
      </c>
      <c r="Q57" s="27">
        <v>0</v>
      </c>
      <c r="R57" s="48">
        <f>Q57+Костромаэнерго!D57</f>
        <v>0.11</v>
      </c>
      <c r="S57" s="49">
        <v>0.67</v>
      </c>
      <c r="T57" s="43">
        <v>120</v>
      </c>
      <c r="U57" s="37">
        <f t="shared" si="7"/>
        <v>-0.56</v>
      </c>
      <c r="V57" s="37">
        <v>0</v>
      </c>
      <c r="W57" s="37">
        <f t="shared" si="8"/>
        <v>0.67</v>
      </c>
      <c r="X57" s="38">
        <f t="shared" si="9"/>
        <v>0.56</v>
      </c>
      <c r="Y57" s="15">
        <f aca="true" t="shared" si="15" ref="Y57:Y71">X57</f>
        <v>0.56</v>
      </c>
      <c r="Z57" s="62" t="str">
        <f aca="true" t="shared" si="16" ref="Z57:Z71">IF(Y57&lt;0,"closed","opened")</f>
        <v>opened</v>
      </c>
    </row>
    <row r="58" spans="1:26" s="1" customFormat="1" ht="32.25" customHeight="1">
      <c r="A58" s="39">
        <v>48</v>
      </c>
      <c r="B58" s="40" t="s">
        <v>107</v>
      </c>
      <c r="C58" s="41">
        <v>1.6</v>
      </c>
      <c r="D58" s="27">
        <v>0.26</v>
      </c>
      <c r="E58" s="42">
        <v>1.6</v>
      </c>
      <c r="F58" s="43" t="s">
        <v>3</v>
      </c>
      <c r="G58" s="50">
        <f t="shared" si="3"/>
        <v>1.6</v>
      </c>
      <c r="H58" s="31">
        <v>0</v>
      </c>
      <c r="I58" s="15">
        <f t="shared" si="4"/>
        <v>1.6</v>
      </c>
      <c r="J58" s="15">
        <f t="shared" si="5"/>
        <v>1.34</v>
      </c>
      <c r="K58" s="51">
        <f aca="true" t="shared" si="17" ref="K58:K71">J58</f>
        <v>1.34</v>
      </c>
      <c r="L58" s="63" t="str">
        <f t="shared" si="14"/>
        <v>opened</v>
      </c>
      <c r="M58" s="23"/>
      <c r="N58" s="47">
        <v>48</v>
      </c>
      <c r="O58" s="40" t="s">
        <v>107</v>
      </c>
      <c r="P58" s="41">
        <v>1.6</v>
      </c>
      <c r="Q58" s="27">
        <v>0</v>
      </c>
      <c r="R58" s="48">
        <f>Q58+Костромаэнерго!D58</f>
        <v>0.26</v>
      </c>
      <c r="S58" s="49">
        <v>1.6</v>
      </c>
      <c r="T58" s="43" t="s">
        <v>3</v>
      </c>
      <c r="U58" s="37">
        <f t="shared" si="7"/>
        <v>-1.34</v>
      </c>
      <c r="V58" s="37">
        <v>0</v>
      </c>
      <c r="W58" s="37">
        <f t="shared" si="8"/>
        <v>1.6</v>
      </c>
      <c r="X58" s="38">
        <f t="shared" si="9"/>
        <v>1.34</v>
      </c>
      <c r="Y58" s="15">
        <f t="shared" si="15"/>
        <v>1.34</v>
      </c>
      <c r="Z58" s="63" t="str">
        <f t="shared" si="16"/>
        <v>opened</v>
      </c>
    </row>
    <row r="59" spans="1:26" s="1" customFormat="1" ht="22.5">
      <c r="A59" s="39">
        <v>49</v>
      </c>
      <c r="B59" s="40" t="s">
        <v>108</v>
      </c>
      <c r="C59" s="41">
        <v>2.5</v>
      </c>
      <c r="D59" s="27">
        <v>0.06</v>
      </c>
      <c r="E59" s="42">
        <v>1.95</v>
      </c>
      <c r="F59" s="43">
        <v>120</v>
      </c>
      <c r="G59" s="15">
        <f t="shared" si="3"/>
        <v>1.95</v>
      </c>
      <c r="H59" s="31">
        <v>0</v>
      </c>
      <c r="I59" s="15">
        <f t="shared" si="4"/>
        <v>1.95</v>
      </c>
      <c r="J59" s="15">
        <f t="shared" si="5"/>
        <v>1.89</v>
      </c>
      <c r="K59" s="51">
        <f t="shared" si="17"/>
        <v>1.89</v>
      </c>
      <c r="L59" s="46" t="str">
        <f t="shared" si="14"/>
        <v>opened</v>
      </c>
      <c r="M59" s="23"/>
      <c r="N59" s="47">
        <v>49</v>
      </c>
      <c r="O59" s="40" t="s">
        <v>108</v>
      </c>
      <c r="P59" s="41">
        <v>2.5</v>
      </c>
      <c r="Q59" s="27">
        <v>0</v>
      </c>
      <c r="R59" s="48">
        <f>Q59+Костромаэнерго!D59</f>
        <v>0.06</v>
      </c>
      <c r="S59" s="49">
        <v>1.95</v>
      </c>
      <c r="T59" s="43">
        <v>120</v>
      </c>
      <c r="U59" s="37">
        <f t="shared" si="7"/>
        <v>-1.89</v>
      </c>
      <c r="V59" s="37">
        <v>0</v>
      </c>
      <c r="W59" s="37">
        <f t="shared" si="8"/>
        <v>1.95</v>
      </c>
      <c r="X59" s="38">
        <f t="shared" si="9"/>
        <v>1.89</v>
      </c>
      <c r="Y59" s="15">
        <f t="shared" si="15"/>
        <v>1.89</v>
      </c>
      <c r="Z59" s="46" t="str">
        <f t="shared" si="16"/>
        <v>opened</v>
      </c>
    </row>
    <row r="60" spans="1:26" s="1" customFormat="1" ht="22.5">
      <c r="A60" s="39">
        <v>50</v>
      </c>
      <c r="B60" s="40" t="s">
        <v>109</v>
      </c>
      <c r="C60" s="41">
        <v>1.6</v>
      </c>
      <c r="D60" s="27">
        <v>0.09</v>
      </c>
      <c r="E60" s="42">
        <v>0.88</v>
      </c>
      <c r="F60" s="43">
        <v>120</v>
      </c>
      <c r="G60" s="44">
        <f t="shared" si="3"/>
        <v>0.88</v>
      </c>
      <c r="H60" s="31">
        <v>0</v>
      </c>
      <c r="I60" s="15">
        <f t="shared" si="4"/>
        <v>0.88</v>
      </c>
      <c r="J60" s="15">
        <f t="shared" si="5"/>
        <v>0.79</v>
      </c>
      <c r="K60" s="51">
        <f t="shared" si="17"/>
        <v>0.79</v>
      </c>
      <c r="L60" s="46" t="str">
        <f t="shared" si="14"/>
        <v>opened</v>
      </c>
      <c r="M60" s="23"/>
      <c r="N60" s="47">
        <v>50</v>
      </c>
      <c r="O60" s="40" t="s">
        <v>109</v>
      </c>
      <c r="P60" s="41">
        <v>1.6</v>
      </c>
      <c r="Q60" s="27">
        <v>0</v>
      </c>
      <c r="R60" s="48">
        <f>Q60+Костромаэнерго!D60</f>
        <v>0.09</v>
      </c>
      <c r="S60" s="49">
        <v>0.88</v>
      </c>
      <c r="T60" s="43">
        <v>120</v>
      </c>
      <c r="U60" s="37">
        <f t="shared" si="7"/>
        <v>-0.79</v>
      </c>
      <c r="V60" s="37">
        <v>0</v>
      </c>
      <c r="W60" s="37">
        <f t="shared" si="8"/>
        <v>0.88</v>
      </c>
      <c r="X60" s="38">
        <f t="shared" si="9"/>
        <v>0.79</v>
      </c>
      <c r="Y60" s="15">
        <f t="shared" si="15"/>
        <v>0.79</v>
      </c>
      <c r="Z60" s="46" t="str">
        <f t="shared" si="16"/>
        <v>opened</v>
      </c>
    </row>
    <row r="61" spans="1:26" s="1" customFormat="1" ht="22.5">
      <c r="A61" s="39">
        <v>51</v>
      </c>
      <c r="B61" s="40" t="s">
        <v>110</v>
      </c>
      <c r="C61" s="41">
        <v>1.6</v>
      </c>
      <c r="D61" s="27">
        <v>0.04</v>
      </c>
      <c r="E61" s="42">
        <v>0.9</v>
      </c>
      <c r="F61" s="43">
        <v>120</v>
      </c>
      <c r="G61" s="15">
        <f t="shared" si="3"/>
        <v>0.9</v>
      </c>
      <c r="H61" s="31">
        <v>0</v>
      </c>
      <c r="I61" s="15">
        <f t="shared" si="4"/>
        <v>0.9</v>
      </c>
      <c r="J61" s="15">
        <f t="shared" si="5"/>
        <v>0.86</v>
      </c>
      <c r="K61" s="51">
        <f t="shared" si="17"/>
        <v>0.86</v>
      </c>
      <c r="L61" s="46" t="str">
        <f t="shared" si="14"/>
        <v>opened</v>
      </c>
      <c r="M61" s="23"/>
      <c r="N61" s="47">
        <v>51</v>
      </c>
      <c r="O61" s="40" t="s">
        <v>110</v>
      </c>
      <c r="P61" s="41">
        <v>1.6</v>
      </c>
      <c r="Q61" s="27">
        <v>0</v>
      </c>
      <c r="R61" s="48">
        <f>Q61+Костромаэнерго!D61</f>
        <v>0.04</v>
      </c>
      <c r="S61" s="49">
        <v>0.9</v>
      </c>
      <c r="T61" s="43">
        <v>120</v>
      </c>
      <c r="U61" s="37">
        <f t="shared" si="7"/>
        <v>-0.86</v>
      </c>
      <c r="V61" s="37">
        <v>0</v>
      </c>
      <c r="W61" s="37">
        <f t="shared" si="8"/>
        <v>0.9</v>
      </c>
      <c r="X61" s="38">
        <f t="shared" si="9"/>
        <v>0.86</v>
      </c>
      <c r="Y61" s="15">
        <f t="shared" si="15"/>
        <v>0.86</v>
      </c>
      <c r="Z61" s="46" t="str">
        <f t="shared" si="16"/>
        <v>opened</v>
      </c>
    </row>
    <row r="62" spans="1:26" s="1" customFormat="1" ht="22.5">
      <c r="A62" s="39">
        <v>52</v>
      </c>
      <c r="B62" s="40" t="s">
        <v>111</v>
      </c>
      <c r="C62" s="41">
        <v>2.5</v>
      </c>
      <c r="D62" s="27">
        <v>0.11</v>
      </c>
      <c r="E62" s="42">
        <v>1.35</v>
      </c>
      <c r="F62" s="43">
        <v>120</v>
      </c>
      <c r="G62" s="15">
        <f t="shared" si="3"/>
        <v>1.35</v>
      </c>
      <c r="H62" s="31">
        <v>0</v>
      </c>
      <c r="I62" s="15">
        <f t="shared" si="4"/>
        <v>1.35</v>
      </c>
      <c r="J62" s="15">
        <f t="shared" si="5"/>
        <v>1.24</v>
      </c>
      <c r="K62" s="51">
        <f t="shared" si="17"/>
        <v>1.24</v>
      </c>
      <c r="L62" s="62" t="str">
        <f t="shared" si="14"/>
        <v>opened</v>
      </c>
      <c r="M62" s="23"/>
      <c r="N62" s="47">
        <v>52</v>
      </c>
      <c r="O62" s="40" t="s">
        <v>111</v>
      </c>
      <c r="P62" s="41">
        <v>2.5</v>
      </c>
      <c r="Q62" s="27">
        <v>0</v>
      </c>
      <c r="R62" s="48">
        <f>Q62+Костромаэнерго!D62</f>
        <v>0.11</v>
      </c>
      <c r="S62" s="49">
        <v>1.35</v>
      </c>
      <c r="T62" s="43">
        <v>120</v>
      </c>
      <c r="U62" s="37">
        <f t="shared" si="7"/>
        <v>-1.24</v>
      </c>
      <c r="V62" s="37">
        <v>0</v>
      </c>
      <c r="W62" s="37">
        <f t="shared" si="8"/>
        <v>1.35</v>
      </c>
      <c r="X62" s="38">
        <f t="shared" si="9"/>
        <v>1.24</v>
      </c>
      <c r="Y62" s="15">
        <f t="shared" si="15"/>
        <v>1.24</v>
      </c>
      <c r="Z62" s="62" t="str">
        <f t="shared" si="16"/>
        <v>opened</v>
      </c>
    </row>
    <row r="63" spans="1:26" s="1" customFormat="1" ht="22.5">
      <c r="A63" s="39">
        <v>53</v>
      </c>
      <c r="B63" s="40" t="s">
        <v>112</v>
      </c>
      <c r="C63" s="41">
        <v>1.6</v>
      </c>
      <c r="D63" s="27">
        <v>0.09</v>
      </c>
      <c r="E63" s="42">
        <v>0.72</v>
      </c>
      <c r="F63" s="43">
        <v>120</v>
      </c>
      <c r="G63" s="15">
        <f t="shared" si="3"/>
        <v>0.72</v>
      </c>
      <c r="H63" s="31">
        <v>0</v>
      </c>
      <c r="I63" s="15">
        <f t="shared" si="4"/>
        <v>0.72</v>
      </c>
      <c r="J63" s="15">
        <f t="shared" si="5"/>
        <v>0.63</v>
      </c>
      <c r="K63" s="51">
        <f t="shared" si="17"/>
        <v>0.63</v>
      </c>
      <c r="L63" s="63" t="str">
        <f t="shared" si="14"/>
        <v>opened</v>
      </c>
      <c r="M63" s="23"/>
      <c r="N63" s="47">
        <v>53</v>
      </c>
      <c r="O63" s="40" t="s">
        <v>112</v>
      </c>
      <c r="P63" s="41">
        <v>1.6</v>
      </c>
      <c r="Q63" s="27">
        <v>0.007</v>
      </c>
      <c r="R63" s="48">
        <f>Q63+Костромаэнерго!D63</f>
        <v>0.097</v>
      </c>
      <c r="S63" s="49">
        <v>0.72</v>
      </c>
      <c r="T63" s="43">
        <v>120</v>
      </c>
      <c r="U63" s="37">
        <f t="shared" si="7"/>
        <v>-0.623</v>
      </c>
      <c r="V63" s="37">
        <v>0</v>
      </c>
      <c r="W63" s="37">
        <f t="shared" si="8"/>
        <v>0.72</v>
      </c>
      <c r="X63" s="38">
        <f t="shared" si="9"/>
        <v>0.623</v>
      </c>
      <c r="Y63" s="15">
        <f t="shared" si="15"/>
        <v>0.623</v>
      </c>
      <c r="Z63" s="63" t="str">
        <f t="shared" si="16"/>
        <v>opened</v>
      </c>
    </row>
    <row r="64" spans="1:26" s="1" customFormat="1" ht="22.5">
      <c r="A64" s="39">
        <v>54</v>
      </c>
      <c r="B64" s="40" t="s">
        <v>113</v>
      </c>
      <c r="C64" s="41">
        <v>2.5</v>
      </c>
      <c r="D64" s="27">
        <v>0.05</v>
      </c>
      <c r="E64" s="42">
        <v>1.38</v>
      </c>
      <c r="F64" s="43">
        <v>120</v>
      </c>
      <c r="G64" s="15">
        <f t="shared" si="3"/>
        <v>1.38</v>
      </c>
      <c r="H64" s="31">
        <v>0</v>
      </c>
      <c r="I64" s="44">
        <f t="shared" si="4"/>
        <v>1.38</v>
      </c>
      <c r="J64" s="15">
        <f t="shared" si="5"/>
        <v>1.3299999999999998</v>
      </c>
      <c r="K64" s="51">
        <f t="shared" si="17"/>
        <v>1.3299999999999998</v>
      </c>
      <c r="L64" s="46" t="str">
        <f t="shared" si="14"/>
        <v>opened</v>
      </c>
      <c r="M64" s="23"/>
      <c r="N64" s="47">
        <v>54</v>
      </c>
      <c r="O64" s="40" t="s">
        <v>113</v>
      </c>
      <c r="P64" s="41">
        <v>2.5</v>
      </c>
      <c r="Q64" s="27">
        <v>0</v>
      </c>
      <c r="R64" s="48">
        <f>Q64+Костромаэнерго!D64</f>
        <v>0.05</v>
      </c>
      <c r="S64" s="49">
        <v>1.38</v>
      </c>
      <c r="T64" s="43">
        <v>120</v>
      </c>
      <c r="U64" s="37">
        <f t="shared" si="7"/>
        <v>-1.3299999999999998</v>
      </c>
      <c r="V64" s="37">
        <v>0</v>
      </c>
      <c r="W64" s="37">
        <f t="shared" si="8"/>
        <v>1.38</v>
      </c>
      <c r="X64" s="38">
        <f t="shared" si="9"/>
        <v>1.3299999999999998</v>
      </c>
      <c r="Y64" s="15">
        <f t="shared" si="15"/>
        <v>1.3299999999999998</v>
      </c>
      <c r="Z64" s="46" t="str">
        <f t="shared" si="16"/>
        <v>opened</v>
      </c>
    </row>
    <row r="65" spans="1:26" s="1" customFormat="1" ht="22.5">
      <c r="A65" s="39">
        <v>55</v>
      </c>
      <c r="B65" s="40" t="s">
        <v>114</v>
      </c>
      <c r="C65" s="41">
        <v>6.3</v>
      </c>
      <c r="D65" s="27">
        <v>0.52</v>
      </c>
      <c r="E65" s="42">
        <v>3.47</v>
      </c>
      <c r="F65" s="43">
        <v>120</v>
      </c>
      <c r="G65" s="44">
        <f t="shared" si="3"/>
        <v>3.47</v>
      </c>
      <c r="H65" s="31">
        <v>0</v>
      </c>
      <c r="I65" s="15">
        <f t="shared" si="4"/>
        <v>3.47</v>
      </c>
      <c r="J65" s="15">
        <f t="shared" si="5"/>
        <v>2.95</v>
      </c>
      <c r="K65" s="51">
        <f t="shared" si="17"/>
        <v>2.95</v>
      </c>
      <c r="L65" s="62" t="str">
        <f t="shared" si="14"/>
        <v>opened</v>
      </c>
      <c r="M65" s="23"/>
      <c r="N65" s="47">
        <v>55</v>
      </c>
      <c r="O65" s="40" t="s">
        <v>114</v>
      </c>
      <c r="P65" s="41">
        <v>6.3</v>
      </c>
      <c r="Q65" s="27">
        <v>0.006</v>
      </c>
      <c r="R65" s="48">
        <f>Q65+Костромаэнерго!D65</f>
        <v>0.526</v>
      </c>
      <c r="S65" s="49">
        <v>3.47</v>
      </c>
      <c r="T65" s="43">
        <v>120</v>
      </c>
      <c r="U65" s="37">
        <f t="shared" si="7"/>
        <v>-2.944</v>
      </c>
      <c r="V65" s="37">
        <v>0</v>
      </c>
      <c r="W65" s="37">
        <f t="shared" si="8"/>
        <v>3.47</v>
      </c>
      <c r="X65" s="38">
        <f t="shared" si="9"/>
        <v>2.944</v>
      </c>
      <c r="Y65" s="15">
        <f t="shared" si="15"/>
        <v>2.944</v>
      </c>
      <c r="Z65" s="62" t="str">
        <f t="shared" si="16"/>
        <v>opened</v>
      </c>
    </row>
    <row r="66" spans="1:26" s="1" customFormat="1" ht="22.5">
      <c r="A66" s="39">
        <v>56</v>
      </c>
      <c r="B66" s="40" t="s">
        <v>115</v>
      </c>
      <c r="C66" s="41">
        <v>6.3</v>
      </c>
      <c r="D66" s="27">
        <v>1.41</v>
      </c>
      <c r="E66" s="42">
        <v>3.47</v>
      </c>
      <c r="F66" s="43">
        <v>120</v>
      </c>
      <c r="G66" s="50">
        <f t="shared" si="3"/>
        <v>3.47</v>
      </c>
      <c r="H66" s="31">
        <v>0</v>
      </c>
      <c r="I66" s="44">
        <f t="shared" si="4"/>
        <v>3.47</v>
      </c>
      <c r="J66" s="15">
        <f t="shared" si="5"/>
        <v>2.0600000000000005</v>
      </c>
      <c r="K66" s="51">
        <f t="shared" si="17"/>
        <v>2.0600000000000005</v>
      </c>
      <c r="L66" s="62" t="str">
        <f t="shared" si="14"/>
        <v>opened</v>
      </c>
      <c r="M66" s="23"/>
      <c r="N66" s="47">
        <v>56</v>
      </c>
      <c r="O66" s="40" t="s">
        <v>115</v>
      </c>
      <c r="P66" s="41">
        <v>6.3</v>
      </c>
      <c r="Q66" s="27">
        <v>0.069</v>
      </c>
      <c r="R66" s="48">
        <f>Q66+Костромаэнерго!D66</f>
        <v>1.4789999999999999</v>
      </c>
      <c r="S66" s="49">
        <v>3.47</v>
      </c>
      <c r="T66" s="43">
        <v>120</v>
      </c>
      <c r="U66" s="37">
        <f t="shared" si="7"/>
        <v>-1.9910000000000003</v>
      </c>
      <c r="V66" s="37">
        <v>0</v>
      </c>
      <c r="W66" s="37">
        <f t="shared" si="8"/>
        <v>3.47</v>
      </c>
      <c r="X66" s="38">
        <f t="shared" si="9"/>
        <v>1.9910000000000003</v>
      </c>
      <c r="Y66" s="15">
        <f t="shared" si="15"/>
        <v>1.9910000000000003</v>
      </c>
      <c r="Z66" s="62" t="str">
        <f t="shared" si="16"/>
        <v>opened</v>
      </c>
    </row>
    <row r="67" spans="1:26" s="1" customFormat="1" ht="22.5">
      <c r="A67" s="39">
        <v>57</v>
      </c>
      <c r="B67" s="40" t="s">
        <v>116</v>
      </c>
      <c r="C67" s="41">
        <v>2.5</v>
      </c>
      <c r="D67" s="27">
        <v>0.17</v>
      </c>
      <c r="E67" s="42">
        <v>1.33</v>
      </c>
      <c r="F67" s="43">
        <v>120</v>
      </c>
      <c r="G67" s="15">
        <f t="shared" si="3"/>
        <v>1.33</v>
      </c>
      <c r="H67" s="31">
        <v>0</v>
      </c>
      <c r="I67" s="15">
        <f t="shared" si="4"/>
        <v>1.33</v>
      </c>
      <c r="J67" s="15">
        <f t="shared" si="5"/>
        <v>1.1600000000000001</v>
      </c>
      <c r="K67" s="51">
        <f t="shared" si="17"/>
        <v>1.1600000000000001</v>
      </c>
      <c r="L67" s="63" t="str">
        <f t="shared" si="14"/>
        <v>opened</v>
      </c>
      <c r="M67" s="23"/>
      <c r="N67" s="47">
        <v>57</v>
      </c>
      <c r="O67" s="40" t="s">
        <v>116</v>
      </c>
      <c r="P67" s="41">
        <v>2.5</v>
      </c>
      <c r="Q67" s="27">
        <v>0</v>
      </c>
      <c r="R67" s="48">
        <f>Q67+Костромаэнерго!D67</f>
        <v>0.17</v>
      </c>
      <c r="S67" s="49">
        <v>1.33</v>
      </c>
      <c r="T67" s="43">
        <v>120</v>
      </c>
      <c r="U67" s="37">
        <f t="shared" si="7"/>
        <v>-1.1600000000000001</v>
      </c>
      <c r="V67" s="37">
        <v>0</v>
      </c>
      <c r="W67" s="37">
        <f t="shared" si="8"/>
        <v>1.33</v>
      </c>
      <c r="X67" s="38">
        <f t="shared" si="9"/>
        <v>1.1600000000000001</v>
      </c>
      <c r="Y67" s="15">
        <f t="shared" si="15"/>
        <v>1.1600000000000001</v>
      </c>
      <c r="Z67" s="63" t="str">
        <f t="shared" si="16"/>
        <v>opened</v>
      </c>
    </row>
    <row r="68" spans="1:26" s="1" customFormat="1" ht="22.5">
      <c r="A68" s="39">
        <v>58</v>
      </c>
      <c r="B68" s="40" t="s">
        <v>117</v>
      </c>
      <c r="C68" s="41">
        <v>1.6</v>
      </c>
      <c r="D68" s="27">
        <v>0.21</v>
      </c>
      <c r="E68" s="42">
        <v>0.88</v>
      </c>
      <c r="F68" s="43">
        <v>120</v>
      </c>
      <c r="G68" s="44">
        <f t="shared" si="3"/>
        <v>0.88</v>
      </c>
      <c r="H68" s="31">
        <v>0</v>
      </c>
      <c r="I68" s="15">
        <f t="shared" si="4"/>
        <v>0.88</v>
      </c>
      <c r="J68" s="15">
        <f t="shared" si="5"/>
        <v>0.67</v>
      </c>
      <c r="K68" s="51">
        <f t="shared" si="17"/>
        <v>0.67</v>
      </c>
      <c r="L68" s="62" t="str">
        <f t="shared" si="14"/>
        <v>opened</v>
      </c>
      <c r="M68" s="23"/>
      <c r="N68" s="47">
        <v>58</v>
      </c>
      <c r="O68" s="40" t="s">
        <v>117</v>
      </c>
      <c r="P68" s="41">
        <v>1.6</v>
      </c>
      <c r="Q68" s="27">
        <v>0</v>
      </c>
      <c r="R68" s="48">
        <f>Q68+Костромаэнерго!D68</f>
        <v>0.21</v>
      </c>
      <c r="S68" s="49">
        <v>0.88</v>
      </c>
      <c r="T68" s="43">
        <v>120</v>
      </c>
      <c r="U68" s="37">
        <f t="shared" si="7"/>
        <v>-0.67</v>
      </c>
      <c r="V68" s="37">
        <v>0</v>
      </c>
      <c r="W68" s="37">
        <f t="shared" si="8"/>
        <v>0.88</v>
      </c>
      <c r="X68" s="38">
        <f t="shared" si="9"/>
        <v>0.67</v>
      </c>
      <c r="Y68" s="15">
        <f t="shared" si="15"/>
        <v>0.67</v>
      </c>
      <c r="Z68" s="62" t="str">
        <f t="shared" si="16"/>
        <v>opened</v>
      </c>
    </row>
    <row r="69" spans="1:26" s="1" customFormat="1" ht="22.5">
      <c r="A69" s="39">
        <v>59</v>
      </c>
      <c r="B69" s="40" t="s">
        <v>118</v>
      </c>
      <c r="C69" s="41">
        <v>6.3</v>
      </c>
      <c r="D69" s="27">
        <v>0.58</v>
      </c>
      <c r="E69" s="42">
        <v>2.5</v>
      </c>
      <c r="F69" s="43" t="s">
        <v>3</v>
      </c>
      <c r="G69" s="50">
        <f t="shared" si="3"/>
        <v>2.5</v>
      </c>
      <c r="H69" s="31">
        <v>0</v>
      </c>
      <c r="I69" s="44">
        <f t="shared" si="4"/>
        <v>2.5</v>
      </c>
      <c r="J69" s="15">
        <f t="shared" si="5"/>
        <v>1.92</v>
      </c>
      <c r="K69" s="51">
        <f t="shared" si="17"/>
        <v>1.92</v>
      </c>
      <c r="L69" s="63" t="str">
        <f t="shared" si="14"/>
        <v>opened</v>
      </c>
      <c r="M69" s="23"/>
      <c r="N69" s="47">
        <v>59</v>
      </c>
      <c r="O69" s="40" t="s">
        <v>118</v>
      </c>
      <c r="P69" s="41">
        <v>6.3</v>
      </c>
      <c r="Q69" s="27">
        <v>0.033</v>
      </c>
      <c r="R69" s="48">
        <f>Q69+Костромаэнерго!D69</f>
        <v>0.613</v>
      </c>
      <c r="S69" s="49">
        <v>2.5</v>
      </c>
      <c r="T69" s="43" t="s">
        <v>3</v>
      </c>
      <c r="U69" s="37">
        <f t="shared" si="7"/>
        <v>-1.887</v>
      </c>
      <c r="V69" s="37">
        <v>0</v>
      </c>
      <c r="W69" s="37">
        <f t="shared" si="8"/>
        <v>2.5</v>
      </c>
      <c r="X69" s="38">
        <f t="shared" si="9"/>
        <v>1.887</v>
      </c>
      <c r="Y69" s="15">
        <f t="shared" si="15"/>
        <v>1.887</v>
      </c>
      <c r="Z69" s="63" t="str">
        <f t="shared" si="16"/>
        <v>opened</v>
      </c>
    </row>
    <row r="70" spans="1:26" s="1" customFormat="1" ht="22.5">
      <c r="A70" s="39">
        <v>60</v>
      </c>
      <c r="B70" s="40" t="s">
        <v>119</v>
      </c>
      <c r="C70" s="41">
        <v>1</v>
      </c>
      <c r="D70" s="27">
        <v>0.06</v>
      </c>
      <c r="E70" s="42">
        <v>0.12</v>
      </c>
      <c r="F70" s="43">
        <v>120</v>
      </c>
      <c r="G70" s="50">
        <f t="shared" si="3"/>
        <v>0.12</v>
      </c>
      <c r="H70" s="31">
        <v>0</v>
      </c>
      <c r="I70" s="15">
        <f t="shared" si="4"/>
        <v>0.12</v>
      </c>
      <c r="J70" s="15">
        <f t="shared" si="5"/>
        <v>0.06</v>
      </c>
      <c r="K70" s="51">
        <f t="shared" si="17"/>
        <v>0.06</v>
      </c>
      <c r="L70" s="62" t="str">
        <f t="shared" si="14"/>
        <v>opened</v>
      </c>
      <c r="M70" s="23"/>
      <c r="N70" s="47">
        <v>60</v>
      </c>
      <c r="O70" s="40" t="s">
        <v>119</v>
      </c>
      <c r="P70" s="41">
        <v>1</v>
      </c>
      <c r="Q70" s="27">
        <v>0</v>
      </c>
      <c r="R70" s="48">
        <f>Q70+Костромаэнерго!D70</f>
        <v>0.06</v>
      </c>
      <c r="S70" s="49">
        <v>0.12</v>
      </c>
      <c r="T70" s="43">
        <v>120</v>
      </c>
      <c r="U70" s="37">
        <f t="shared" si="7"/>
        <v>-0.06</v>
      </c>
      <c r="V70" s="37">
        <v>0</v>
      </c>
      <c r="W70" s="37">
        <f t="shared" si="8"/>
        <v>0.12</v>
      </c>
      <c r="X70" s="38">
        <f t="shared" si="9"/>
        <v>0.06</v>
      </c>
      <c r="Y70" s="15">
        <f t="shared" si="15"/>
        <v>0.06</v>
      </c>
      <c r="Z70" s="62" t="str">
        <f t="shared" si="16"/>
        <v>opened</v>
      </c>
    </row>
    <row r="71" spans="1:26" s="1" customFormat="1" ht="23.25" thickBot="1">
      <c r="A71" s="72">
        <v>61</v>
      </c>
      <c r="B71" s="73" t="s">
        <v>120</v>
      </c>
      <c r="C71" s="74">
        <v>1</v>
      </c>
      <c r="D71" s="27">
        <v>0.16</v>
      </c>
      <c r="E71" s="75">
        <v>0.45</v>
      </c>
      <c r="F71" s="43">
        <v>120</v>
      </c>
      <c r="G71" s="50">
        <f>E71</f>
        <v>0.45</v>
      </c>
      <c r="H71" s="31">
        <v>0</v>
      </c>
      <c r="I71" s="76">
        <f>G71-H71</f>
        <v>0.45</v>
      </c>
      <c r="J71" s="15">
        <f>I71-D71</f>
        <v>0.29000000000000004</v>
      </c>
      <c r="K71" s="51">
        <f t="shared" si="17"/>
        <v>0.29000000000000004</v>
      </c>
      <c r="L71" s="63" t="str">
        <f t="shared" si="14"/>
        <v>opened</v>
      </c>
      <c r="M71" s="23"/>
      <c r="N71" s="77">
        <v>61</v>
      </c>
      <c r="O71" s="73" t="s">
        <v>120</v>
      </c>
      <c r="P71" s="74">
        <v>1</v>
      </c>
      <c r="Q71" s="27">
        <v>0.034</v>
      </c>
      <c r="R71" s="48">
        <f>Q71+Костромаэнерго!D71</f>
        <v>0.194</v>
      </c>
      <c r="S71" s="78">
        <v>0.45</v>
      </c>
      <c r="T71" s="43">
        <v>120</v>
      </c>
      <c r="U71" s="37">
        <f>R71-S71</f>
        <v>-0.256</v>
      </c>
      <c r="V71" s="37">
        <v>0</v>
      </c>
      <c r="W71" s="37">
        <f>S71</f>
        <v>0.45</v>
      </c>
      <c r="X71" s="38">
        <f>W71-R71</f>
        <v>0.256</v>
      </c>
      <c r="Y71" s="76">
        <f t="shared" si="15"/>
        <v>0.256</v>
      </c>
      <c r="Z71" s="63" t="str">
        <f t="shared" si="16"/>
        <v>opened</v>
      </c>
    </row>
    <row r="72" spans="1:26" s="1" customFormat="1" ht="16.5" customHeight="1" thickBot="1">
      <c r="A72" s="178" t="s">
        <v>121</v>
      </c>
      <c r="B72" s="179"/>
      <c r="C72" s="179"/>
      <c r="D72" s="179"/>
      <c r="E72" s="179"/>
      <c r="F72" s="179"/>
      <c r="G72" s="179"/>
      <c r="H72" s="179"/>
      <c r="I72" s="179"/>
      <c r="J72" s="224"/>
      <c r="K72" s="179"/>
      <c r="L72" s="180"/>
      <c r="M72" s="23"/>
      <c r="N72" s="246" t="s">
        <v>121</v>
      </c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8"/>
      <c r="Z72" s="249"/>
    </row>
    <row r="73" spans="1:26" s="1" customFormat="1" ht="22.5">
      <c r="A73" s="225">
        <v>62</v>
      </c>
      <c r="B73" s="79" t="s">
        <v>122</v>
      </c>
      <c r="C73" s="80" t="s">
        <v>12</v>
      </c>
      <c r="D73" s="81">
        <f>D74+D75</f>
        <v>2.13</v>
      </c>
      <c r="E73" s="82">
        <f>E75+E74</f>
        <v>0.86</v>
      </c>
      <c r="F73" s="29">
        <v>120</v>
      </c>
      <c r="G73" s="32">
        <f>D73-E73</f>
        <v>1.27</v>
      </c>
      <c r="H73" s="83">
        <v>0</v>
      </c>
      <c r="I73" s="84">
        <f>10*1.05</f>
        <v>10.5</v>
      </c>
      <c r="J73" s="84">
        <f>I73-G73-H73</f>
        <v>9.23</v>
      </c>
      <c r="K73" s="226">
        <f>MIN(J73:J75)</f>
        <v>9.23</v>
      </c>
      <c r="L73" s="228" t="str">
        <f>IF(K73&lt;0,"closed","opened")</f>
        <v>opened</v>
      </c>
      <c r="M73" s="23"/>
      <c r="N73" s="252">
        <v>62</v>
      </c>
      <c r="O73" s="79" t="s">
        <v>122</v>
      </c>
      <c r="P73" s="85" t="s">
        <v>12</v>
      </c>
      <c r="Q73" s="66">
        <v>3.581</v>
      </c>
      <c r="R73" s="86">
        <f>Q73+Костромаэнерго!D73</f>
        <v>5.711</v>
      </c>
      <c r="S73" s="87">
        <f>S75+S74</f>
        <v>0.86</v>
      </c>
      <c r="T73" s="29">
        <v>120</v>
      </c>
      <c r="U73" s="37">
        <f>R73-S73</f>
        <v>4.851</v>
      </c>
      <c r="V73" s="88">
        <v>0</v>
      </c>
      <c r="W73" s="84">
        <f>10*1.05</f>
        <v>10.5</v>
      </c>
      <c r="X73" s="89">
        <f>W73-V73-U73</f>
        <v>5.649</v>
      </c>
      <c r="Y73" s="253">
        <f>MIN(X73:X75)</f>
        <v>5.649</v>
      </c>
      <c r="Z73" s="228" t="str">
        <f>IF(Y73&lt;0,"closed","opened")</f>
        <v>opened</v>
      </c>
    </row>
    <row r="74" spans="1:26" s="1" customFormat="1" ht="12.75">
      <c r="A74" s="174"/>
      <c r="B74" s="67" t="s">
        <v>92</v>
      </c>
      <c r="C74" s="91" t="s">
        <v>12</v>
      </c>
      <c r="D74" s="92">
        <v>0.59</v>
      </c>
      <c r="E74" s="93">
        <v>0</v>
      </c>
      <c r="F74" s="43">
        <v>120</v>
      </c>
      <c r="G74" s="15">
        <f aca="true" t="shared" si="18" ref="G74:G138">D74-E74</f>
        <v>0.59</v>
      </c>
      <c r="H74" s="31">
        <v>0</v>
      </c>
      <c r="I74" s="68">
        <f>10*1.05</f>
        <v>10.5</v>
      </c>
      <c r="J74" s="68">
        <f>I74-D74</f>
        <v>9.91</v>
      </c>
      <c r="K74" s="227"/>
      <c r="L74" s="191"/>
      <c r="M74" s="23"/>
      <c r="N74" s="221"/>
      <c r="O74" s="67" t="s">
        <v>92</v>
      </c>
      <c r="P74" s="94" t="s">
        <v>12</v>
      </c>
      <c r="Q74" s="95">
        <v>0</v>
      </c>
      <c r="R74" s="86">
        <f>Q74+Костромаэнерго!D74</f>
        <v>0.59</v>
      </c>
      <c r="S74" s="96">
        <v>0</v>
      </c>
      <c r="T74" s="43">
        <v>120</v>
      </c>
      <c r="U74" s="37">
        <f aca="true" t="shared" si="19" ref="U74:U138">R74-S74</f>
        <v>0.59</v>
      </c>
      <c r="V74" s="88">
        <v>0</v>
      </c>
      <c r="W74" s="68">
        <f>10*1.05</f>
        <v>10.5</v>
      </c>
      <c r="X74" s="89">
        <f aca="true" t="shared" si="20" ref="X74:X138">W74-V74-U74</f>
        <v>9.91</v>
      </c>
      <c r="Y74" s="251"/>
      <c r="Z74" s="191"/>
    </row>
    <row r="75" spans="1:26" s="1" customFormat="1" ht="12.75">
      <c r="A75" s="175"/>
      <c r="B75" s="67" t="s">
        <v>93</v>
      </c>
      <c r="C75" s="91" t="s">
        <v>12</v>
      </c>
      <c r="D75" s="92">
        <v>1.54</v>
      </c>
      <c r="E75" s="93">
        <v>0.86</v>
      </c>
      <c r="F75" s="43">
        <v>120</v>
      </c>
      <c r="G75" s="44">
        <f t="shared" si="18"/>
        <v>0.68</v>
      </c>
      <c r="H75" s="31">
        <v>0</v>
      </c>
      <c r="I75" s="68">
        <f>10*1.05</f>
        <v>10.5</v>
      </c>
      <c r="J75" s="68">
        <f aca="true" t="shared" si="21" ref="J75:J136">I75-G75-H75</f>
        <v>9.82</v>
      </c>
      <c r="K75" s="227"/>
      <c r="L75" s="192"/>
      <c r="M75" s="23"/>
      <c r="N75" s="222"/>
      <c r="O75" s="67" t="s">
        <v>93</v>
      </c>
      <c r="P75" s="94" t="s">
        <v>12</v>
      </c>
      <c r="Q75" s="66">
        <v>3.581</v>
      </c>
      <c r="R75" s="86">
        <f>Q75+Костромаэнерго!D75</f>
        <v>5.121</v>
      </c>
      <c r="S75" s="96">
        <v>0.86</v>
      </c>
      <c r="T75" s="43">
        <v>120</v>
      </c>
      <c r="U75" s="37">
        <f t="shared" si="19"/>
        <v>4.261</v>
      </c>
      <c r="V75" s="88">
        <v>0</v>
      </c>
      <c r="W75" s="68">
        <f>10*1.05</f>
        <v>10.5</v>
      </c>
      <c r="X75" s="89">
        <f t="shared" si="20"/>
        <v>6.239</v>
      </c>
      <c r="Y75" s="251"/>
      <c r="Z75" s="192"/>
    </row>
    <row r="76" spans="1:26" s="1" customFormat="1" ht="22.5">
      <c r="A76" s="173">
        <v>63</v>
      </c>
      <c r="B76" s="97" t="s">
        <v>123</v>
      </c>
      <c r="C76" s="91" t="s">
        <v>13</v>
      </c>
      <c r="D76" s="92">
        <f>D77+D78</f>
        <v>6.12</v>
      </c>
      <c r="E76" s="98">
        <f>E78+E77</f>
        <v>1.15</v>
      </c>
      <c r="F76" s="43">
        <v>120</v>
      </c>
      <c r="G76" s="15">
        <f t="shared" si="18"/>
        <v>4.970000000000001</v>
      </c>
      <c r="H76" s="31">
        <v>0</v>
      </c>
      <c r="I76" s="68">
        <f>(10+1.6)*1.05</f>
        <v>12.18</v>
      </c>
      <c r="J76" s="68">
        <f t="shared" si="21"/>
        <v>7.209999999999999</v>
      </c>
      <c r="K76" s="223">
        <f>MIN(J76:J78)</f>
        <v>7.209999999999999</v>
      </c>
      <c r="L76" s="191" t="str">
        <f>IF(K76&lt;0,"closed","opened")</f>
        <v>opened</v>
      </c>
      <c r="M76" s="23"/>
      <c r="N76" s="220">
        <v>63</v>
      </c>
      <c r="O76" s="97" t="s">
        <v>123</v>
      </c>
      <c r="P76" s="94" t="s">
        <v>13</v>
      </c>
      <c r="Q76" s="66">
        <v>0.378</v>
      </c>
      <c r="R76" s="100">
        <f>R78+R77</f>
        <v>6.497999999999999</v>
      </c>
      <c r="S76" s="101">
        <f>S78+S77</f>
        <v>1.15</v>
      </c>
      <c r="T76" s="43">
        <v>120</v>
      </c>
      <c r="U76" s="37">
        <f>R76-S76</f>
        <v>5.347999999999999</v>
      </c>
      <c r="V76" s="88">
        <v>0</v>
      </c>
      <c r="W76" s="68">
        <f>(10+1.6)*1.05</f>
        <v>12.18</v>
      </c>
      <c r="X76" s="89">
        <f t="shared" si="20"/>
        <v>6.832000000000001</v>
      </c>
      <c r="Y76" s="253">
        <f>MIN(X76:X78)</f>
        <v>6.832000000000001</v>
      </c>
      <c r="Z76" s="191" t="str">
        <f>IF(Y76&lt;0,"closed","opened")</f>
        <v>opened</v>
      </c>
    </row>
    <row r="77" spans="1:26" s="1" customFormat="1" ht="12.75">
      <c r="A77" s="174"/>
      <c r="B77" s="67" t="s">
        <v>92</v>
      </c>
      <c r="C77" s="91" t="s">
        <v>13</v>
      </c>
      <c r="D77" s="92">
        <v>4.59</v>
      </c>
      <c r="E77" s="86">
        <v>0</v>
      </c>
      <c r="F77" s="43">
        <v>120</v>
      </c>
      <c r="G77" s="44">
        <f t="shared" si="18"/>
        <v>4.59</v>
      </c>
      <c r="H77" s="31">
        <v>0</v>
      </c>
      <c r="I77" s="68">
        <f>(10+1.6)*1.05</f>
        <v>12.18</v>
      </c>
      <c r="J77" s="68">
        <f>I77-D77</f>
        <v>7.59</v>
      </c>
      <c r="K77" s="223"/>
      <c r="L77" s="191"/>
      <c r="M77" s="23"/>
      <c r="N77" s="221"/>
      <c r="O77" s="67" t="s">
        <v>92</v>
      </c>
      <c r="P77" s="94" t="s">
        <v>13</v>
      </c>
      <c r="Q77" s="95">
        <v>0</v>
      </c>
      <c r="R77" s="86">
        <f>Q77+Костромаэнерго!D77</f>
        <v>4.59</v>
      </c>
      <c r="S77" s="96">
        <v>0</v>
      </c>
      <c r="T77" s="43">
        <v>120</v>
      </c>
      <c r="U77" s="37">
        <f t="shared" si="19"/>
        <v>4.59</v>
      </c>
      <c r="V77" s="88">
        <v>0</v>
      </c>
      <c r="W77" s="68">
        <f>(10+1.6)*1.05</f>
        <v>12.18</v>
      </c>
      <c r="X77" s="89">
        <f t="shared" si="20"/>
        <v>7.59</v>
      </c>
      <c r="Y77" s="251"/>
      <c r="Z77" s="191"/>
    </row>
    <row r="78" spans="1:26" s="1" customFormat="1" ht="12.75">
      <c r="A78" s="175"/>
      <c r="B78" s="67" t="s">
        <v>93</v>
      </c>
      <c r="C78" s="91" t="s">
        <v>13</v>
      </c>
      <c r="D78" s="92">
        <v>1.53</v>
      </c>
      <c r="E78" s="86">
        <v>1.15</v>
      </c>
      <c r="F78" s="43">
        <v>120</v>
      </c>
      <c r="G78" s="50">
        <f t="shared" si="18"/>
        <v>0.3800000000000001</v>
      </c>
      <c r="H78" s="31">
        <v>0</v>
      </c>
      <c r="I78" s="68">
        <f>(10+1.6)*1.05</f>
        <v>12.18</v>
      </c>
      <c r="J78" s="68">
        <f t="shared" si="21"/>
        <v>11.799999999999999</v>
      </c>
      <c r="K78" s="223"/>
      <c r="L78" s="191"/>
      <c r="M78" s="23"/>
      <c r="N78" s="222"/>
      <c r="O78" s="67" t="s">
        <v>93</v>
      </c>
      <c r="P78" s="94" t="s">
        <v>13</v>
      </c>
      <c r="Q78" s="66">
        <v>0.378</v>
      </c>
      <c r="R78" s="86">
        <f>Q78+Костромаэнерго!D78</f>
        <v>1.908</v>
      </c>
      <c r="S78" s="96">
        <v>1.15</v>
      </c>
      <c r="T78" s="43">
        <v>120</v>
      </c>
      <c r="U78" s="37">
        <f t="shared" si="19"/>
        <v>0.758</v>
      </c>
      <c r="V78" s="88">
        <v>0</v>
      </c>
      <c r="W78" s="68">
        <f>(10+1.6)*1.05</f>
        <v>12.18</v>
      </c>
      <c r="X78" s="89">
        <f t="shared" si="20"/>
        <v>11.422</v>
      </c>
      <c r="Y78" s="251"/>
      <c r="Z78" s="191"/>
    </row>
    <row r="79" spans="1:26" s="1" customFormat="1" ht="22.5">
      <c r="A79" s="39">
        <v>64</v>
      </c>
      <c r="B79" s="97" t="s">
        <v>124</v>
      </c>
      <c r="C79" s="91" t="s">
        <v>14</v>
      </c>
      <c r="D79" s="102">
        <v>1.73</v>
      </c>
      <c r="E79" s="86">
        <v>0.425</v>
      </c>
      <c r="F79" s="43">
        <v>120</v>
      </c>
      <c r="G79" s="15">
        <f t="shared" si="18"/>
        <v>1.305</v>
      </c>
      <c r="H79" s="31">
        <v>0</v>
      </c>
      <c r="I79" s="68">
        <f>2.5*1.05</f>
        <v>2.625</v>
      </c>
      <c r="J79" s="68">
        <f t="shared" si="21"/>
        <v>1.32</v>
      </c>
      <c r="K79" s="99">
        <f>J79</f>
        <v>1.32</v>
      </c>
      <c r="L79" s="46" t="str">
        <f aca="true" t="shared" si="22" ref="L79:L92">IF(K79&lt;0,"closed","opened")</f>
        <v>opened</v>
      </c>
      <c r="M79" s="23"/>
      <c r="N79" s="52">
        <v>64</v>
      </c>
      <c r="O79" s="97" t="s">
        <v>124</v>
      </c>
      <c r="P79" s="94" t="s">
        <v>14</v>
      </c>
      <c r="Q79" s="103">
        <v>0.805</v>
      </c>
      <c r="R79" s="86">
        <f>Q79+Костромаэнерго!D79</f>
        <v>2.535</v>
      </c>
      <c r="S79" s="86">
        <v>0.425</v>
      </c>
      <c r="T79" s="43">
        <v>120</v>
      </c>
      <c r="U79" s="37">
        <f t="shared" si="19"/>
        <v>2.1100000000000003</v>
      </c>
      <c r="V79" s="88">
        <v>0</v>
      </c>
      <c r="W79" s="68">
        <f>2.5*1.05</f>
        <v>2.625</v>
      </c>
      <c r="X79" s="89">
        <f t="shared" si="20"/>
        <v>0.5149999999999997</v>
      </c>
      <c r="Y79" s="15">
        <f aca="true" t="shared" si="23" ref="Y79:Y91">X79</f>
        <v>0.5149999999999997</v>
      </c>
      <c r="Z79" s="46" t="str">
        <f aca="true" t="shared" si="24" ref="Z79:Z92">IF(Y79&lt;0,"closed","opened")</f>
        <v>opened</v>
      </c>
    </row>
    <row r="80" spans="1:26" s="1" customFormat="1" ht="22.5">
      <c r="A80" s="39">
        <v>65</v>
      </c>
      <c r="B80" s="97" t="s">
        <v>125</v>
      </c>
      <c r="C80" s="91" t="s">
        <v>15</v>
      </c>
      <c r="D80" s="103">
        <v>0.56</v>
      </c>
      <c r="E80" s="93">
        <v>0.62</v>
      </c>
      <c r="F80" s="43">
        <v>120</v>
      </c>
      <c r="G80" s="15">
        <f t="shared" si="18"/>
        <v>-0.05999999999999994</v>
      </c>
      <c r="H80" s="31">
        <v>0</v>
      </c>
      <c r="I80" s="68">
        <f>1.05*4</f>
        <v>4.2</v>
      </c>
      <c r="J80" s="68">
        <f t="shared" si="21"/>
        <v>4.26</v>
      </c>
      <c r="K80" s="99">
        <f aca="true" t="shared" si="25" ref="K80:K91">J80</f>
        <v>4.26</v>
      </c>
      <c r="L80" s="62" t="str">
        <f t="shared" si="22"/>
        <v>opened</v>
      </c>
      <c r="M80" s="23"/>
      <c r="N80" s="52">
        <v>65</v>
      </c>
      <c r="O80" s="97" t="s">
        <v>125</v>
      </c>
      <c r="P80" s="94" t="s">
        <v>15</v>
      </c>
      <c r="Q80" s="103">
        <v>0.369</v>
      </c>
      <c r="R80" s="86">
        <f>Q80+Костромаэнерго!D80</f>
        <v>0.929</v>
      </c>
      <c r="S80" s="86">
        <v>0.62</v>
      </c>
      <c r="T80" s="43">
        <v>120</v>
      </c>
      <c r="U80" s="37">
        <f t="shared" si="19"/>
        <v>0.30900000000000005</v>
      </c>
      <c r="V80" s="88">
        <v>0</v>
      </c>
      <c r="W80" s="68">
        <f>1.05*4</f>
        <v>4.2</v>
      </c>
      <c r="X80" s="89">
        <f t="shared" si="20"/>
        <v>3.891</v>
      </c>
      <c r="Y80" s="15">
        <f t="shared" si="23"/>
        <v>3.891</v>
      </c>
      <c r="Z80" s="46" t="str">
        <f t="shared" si="24"/>
        <v>opened</v>
      </c>
    </row>
    <row r="81" spans="1:26" s="1" customFormat="1" ht="22.5">
      <c r="A81" s="39">
        <v>66</v>
      </c>
      <c r="B81" s="97" t="s">
        <v>126</v>
      </c>
      <c r="C81" s="91" t="s">
        <v>16</v>
      </c>
      <c r="D81" s="103">
        <v>0.2</v>
      </c>
      <c r="E81" s="93">
        <v>0.11</v>
      </c>
      <c r="F81" s="43">
        <v>120</v>
      </c>
      <c r="G81" s="15">
        <f t="shared" si="18"/>
        <v>0.09000000000000001</v>
      </c>
      <c r="H81" s="31">
        <v>0</v>
      </c>
      <c r="I81" s="68">
        <f>1.05*1.6</f>
        <v>1.6800000000000002</v>
      </c>
      <c r="J81" s="68">
        <f t="shared" si="21"/>
        <v>1.59</v>
      </c>
      <c r="K81" s="99">
        <f t="shared" si="25"/>
        <v>1.59</v>
      </c>
      <c r="L81" s="63" t="str">
        <f t="shared" si="22"/>
        <v>opened</v>
      </c>
      <c r="M81" s="23"/>
      <c r="N81" s="52">
        <v>66</v>
      </c>
      <c r="O81" s="97" t="s">
        <v>126</v>
      </c>
      <c r="P81" s="94" t="s">
        <v>16</v>
      </c>
      <c r="Q81" s="103">
        <v>0.028</v>
      </c>
      <c r="R81" s="86">
        <f>Q81+Костромаэнерго!D81</f>
        <v>0.228</v>
      </c>
      <c r="S81" s="86">
        <v>0.11</v>
      </c>
      <c r="T81" s="43">
        <v>120</v>
      </c>
      <c r="U81" s="37">
        <f t="shared" si="19"/>
        <v>0.11800000000000001</v>
      </c>
      <c r="V81" s="88">
        <v>0</v>
      </c>
      <c r="W81" s="68">
        <f>1.05*1.6</f>
        <v>1.6800000000000002</v>
      </c>
      <c r="X81" s="89">
        <f t="shared" si="20"/>
        <v>1.562</v>
      </c>
      <c r="Y81" s="15">
        <f t="shared" si="23"/>
        <v>1.562</v>
      </c>
      <c r="Z81" s="46" t="str">
        <f t="shared" si="24"/>
        <v>opened</v>
      </c>
    </row>
    <row r="82" spans="1:26" s="1" customFormat="1" ht="22.5">
      <c r="A82" s="39">
        <v>67</v>
      </c>
      <c r="B82" s="97" t="s">
        <v>127</v>
      </c>
      <c r="C82" s="91" t="s">
        <v>14</v>
      </c>
      <c r="D82" s="103">
        <v>2.33</v>
      </c>
      <c r="E82" s="93">
        <v>0.55</v>
      </c>
      <c r="F82" s="43">
        <v>120</v>
      </c>
      <c r="G82" s="15">
        <f t="shared" si="18"/>
        <v>1.78</v>
      </c>
      <c r="H82" s="31">
        <v>0</v>
      </c>
      <c r="I82" s="68">
        <f>1.05*2.5</f>
        <v>2.625</v>
      </c>
      <c r="J82" s="68">
        <f t="shared" si="21"/>
        <v>0.845</v>
      </c>
      <c r="K82" s="99">
        <f t="shared" si="25"/>
        <v>0.845</v>
      </c>
      <c r="L82" s="62" t="str">
        <f t="shared" si="22"/>
        <v>opened</v>
      </c>
      <c r="M82" s="23"/>
      <c r="N82" s="52">
        <v>67</v>
      </c>
      <c r="O82" s="97" t="s">
        <v>127</v>
      </c>
      <c r="P82" s="94" t="s">
        <v>14</v>
      </c>
      <c r="Q82" s="103">
        <v>0.573</v>
      </c>
      <c r="R82" s="86">
        <f>Q82+Костромаэнерго!D82</f>
        <v>2.903</v>
      </c>
      <c r="S82" s="86">
        <v>0.55</v>
      </c>
      <c r="T82" s="43">
        <v>120</v>
      </c>
      <c r="U82" s="37">
        <f t="shared" si="19"/>
        <v>2.3529999999999998</v>
      </c>
      <c r="V82" s="88">
        <v>0</v>
      </c>
      <c r="W82" s="68">
        <f>1.05*2.5</f>
        <v>2.625</v>
      </c>
      <c r="X82" s="89">
        <f t="shared" si="20"/>
        <v>0.27200000000000024</v>
      </c>
      <c r="Y82" s="15">
        <f t="shared" si="23"/>
        <v>0.27200000000000024</v>
      </c>
      <c r="Z82" s="46" t="str">
        <f t="shared" si="24"/>
        <v>opened</v>
      </c>
    </row>
    <row r="83" spans="1:26" s="1" customFormat="1" ht="22.5">
      <c r="A83" s="39">
        <v>68</v>
      </c>
      <c r="B83" s="97" t="s">
        <v>128</v>
      </c>
      <c r="C83" s="91" t="s">
        <v>14</v>
      </c>
      <c r="D83" s="103">
        <v>1.1</v>
      </c>
      <c r="E83" s="93">
        <v>0.4</v>
      </c>
      <c r="F83" s="43">
        <v>120</v>
      </c>
      <c r="G83" s="44">
        <f t="shared" si="18"/>
        <v>0.7000000000000001</v>
      </c>
      <c r="H83" s="31">
        <v>0</v>
      </c>
      <c r="I83" s="68">
        <f>1.05*2.5</f>
        <v>2.625</v>
      </c>
      <c r="J83" s="68">
        <f t="shared" si="21"/>
        <v>1.9249999999999998</v>
      </c>
      <c r="K83" s="99">
        <f t="shared" si="25"/>
        <v>1.9249999999999998</v>
      </c>
      <c r="L83" s="63" t="str">
        <f t="shared" si="22"/>
        <v>opened</v>
      </c>
      <c r="M83" s="23"/>
      <c r="N83" s="52">
        <v>68</v>
      </c>
      <c r="O83" s="97" t="s">
        <v>128</v>
      </c>
      <c r="P83" s="94" t="s">
        <v>14</v>
      </c>
      <c r="Q83" s="103">
        <v>0.145</v>
      </c>
      <c r="R83" s="86">
        <f>Q83+Костромаэнерго!D83</f>
        <v>1.245</v>
      </c>
      <c r="S83" s="86">
        <v>0.4</v>
      </c>
      <c r="T83" s="43">
        <v>120</v>
      </c>
      <c r="U83" s="37">
        <f t="shared" si="19"/>
        <v>0.8450000000000001</v>
      </c>
      <c r="V83" s="88">
        <v>0</v>
      </c>
      <c r="W83" s="68">
        <f>1.05*2.5</f>
        <v>2.625</v>
      </c>
      <c r="X83" s="89">
        <f t="shared" si="20"/>
        <v>1.7799999999999998</v>
      </c>
      <c r="Y83" s="15">
        <f t="shared" si="23"/>
        <v>1.7799999999999998</v>
      </c>
      <c r="Z83" s="46" t="str">
        <f t="shared" si="24"/>
        <v>opened</v>
      </c>
    </row>
    <row r="84" spans="1:26" s="1" customFormat="1" ht="22.5">
      <c r="A84" s="39">
        <v>69</v>
      </c>
      <c r="B84" s="97" t="s">
        <v>129</v>
      </c>
      <c r="C84" s="91" t="s">
        <v>16</v>
      </c>
      <c r="D84" s="103">
        <v>0.72</v>
      </c>
      <c r="E84" s="93">
        <v>0.29</v>
      </c>
      <c r="F84" s="43">
        <v>120</v>
      </c>
      <c r="G84" s="15">
        <f t="shared" si="18"/>
        <v>0.43</v>
      </c>
      <c r="H84" s="31">
        <v>0</v>
      </c>
      <c r="I84" s="68">
        <f>1.05*1.6</f>
        <v>1.6800000000000002</v>
      </c>
      <c r="J84" s="68">
        <f t="shared" si="21"/>
        <v>1.2500000000000002</v>
      </c>
      <c r="K84" s="99">
        <f t="shared" si="25"/>
        <v>1.2500000000000002</v>
      </c>
      <c r="L84" s="46" t="str">
        <f t="shared" si="22"/>
        <v>opened</v>
      </c>
      <c r="M84" s="23"/>
      <c r="N84" s="52">
        <v>69</v>
      </c>
      <c r="O84" s="97" t="s">
        <v>129</v>
      </c>
      <c r="P84" s="94" t="s">
        <v>16</v>
      </c>
      <c r="Q84" s="103">
        <v>0.17</v>
      </c>
      <c r="R84" s="86">
        <f>Q84+Костромаэнерго!D84</f>
        <v>0.89</v>
      </c>
      <c r="S84" s="86">
        <v>0.29</v>
      </c>
      <c r="T84" s="43">
        <v>120</v>
      </c>
      <c r="U84" s="37">
        <f t="shared" si="19"/>
        <v>0.6000000000000001</v>
      </c>
      <c r="V84" s="88">
        <v>0</v>
      </c>
      <c r="W84" s="68">
        <f>1.05*1.6</f>
        <v>1.6800000000000002</v>
      </c>
      <c r="X84" s="89">
        <f t="shared" si="20"/>
        <v>1.08</v>
      </c>
      <c r="Y84" s="15">
        <f t="shared" si="23"/>
        <v>1.08</v>
      </c>
      <c r="Z84" s="46" t="str">
        <f t="shared" si="24"/>
        <v>opened</v>
      </c>
    </row>
    <row r="85" spans="1:26" s="1" customFormat="1" ht="22.5">
      <c r="A85" s="39">
        <v>70</v>
      </c>
      <c r="B85" s="97" t="s">
        <v>130</v>
      </c>
      <c r="C85" s="91" t="s">
        <v>14</v>
      </c>
      <c r="D85" s="103">
        <v>1.3</v>
      </c>
      <c r="E85" s="93">
        <v>0.43</v>
      </c>
      <c r="F85" s="43">
        <v>120</v>
      </c>
      <c r="G85" s="44">
        <f t="shared" si="18"/>
        <v>0.8700000000000001</v>
      </c>
      <c r="H85" s="31">
        <v>0</v>
      </c>
      <c r="I85" s="68">
        <f>1.05*2.5</f>
        <v>2.625</v>
      </c>
      <c r="J85" s="68">
        <f t="shared" si="21"/>
        <v>1.755</v>
      </c>
      <c r="K85" s="99">
        <f t="shared" si="25"/>
        <v>1.755</v>
      </c>
      <c r="L85" s="62" t="str">
        <f t="shared" si="22"/>
        <v>opened</v>
      </c>
      <c r="M85" s="23"/>
      <c r="N85" s="52">
        <v>70</v>
      </c>
      <c r="O85" s="97" t="s">
        <v>130</v>
      </c>
      <c r="P85" s="94" t="s">
        <v>14</v>
      </c>
      <c r="Q85" s="103">
        <v>0.541</v>
      </c>
      <c r="R85" s="86">
        <f>Q85+Костромаэнерго!D85</f>
        <v>1.8410000000000002</v>
      </c>
      <c r="S85" s="86">
        <v>0.43</v>
      </c>
      <c r="T85" s="43">
        <v>120</v>
      </c>
      <c r="U85" s="37">
        <f t="shared" si="19"/>
        <v>1.4110000000000003</v>
      </c>
      <c r="V85" s="88">
        <v>0</v>
      </c>
      <c r="W85" s="68">
        <f>1.05*2.5</f>
        <v>2.625</v>
      </c>
      <c r="X85" s="89">
        <f t="shared" si="20"/>
        <v>1.2139999999999997</v>
      </c>
      <c r="Y85" s="15">
        <f t="shared" si="23"/>
        <v>1.2139999999999997</v>
      </c>
      <c r="Z85" s="46" t="str">
        <f t="shared" si="24"/>
        <v>opened</v>
      </c>
    </row>
    <row r="86" spans="1:26" s="1" customFormat="1" ht="22.5">
      <c r="A86" s="39">
        <v>71</v>
      </c>
      <c r="B86" s="97" t="s">
        <v>131</v>
      </c>
      <c r="C86" s="91" t="s">
        <v>17</v>
      </c>
      <c r="D86" s="104">
        <v>0.35</v>
      </c>
      <c r="E86" s="86">
        <v>0.2</v>
      </c>
      <c r="F86" s="43">
        <v>120</v>
      </c>
      <c r="G86" s="50">
        <f t="shared" si="18"/>
        <v>0.14999999999999997</v>
      </c>
      <c r="H86" s="31">
        <v>0</v>
      </c>
      <c r="I86" s="68">
        <f>1.05*1.8</f>
        <v>1.8900000000000001</v>
      </c>
      <c r="J86" s="68">
        <f t="shared" si="21"/>
        <v>1.7400000000000002</v>
      </c>
      <c r="K86" s="99">
        <f t="shared" si="25"/>
        <v>1.7400000000000002</v>
      </c>
      <c r="L86" s="63" t="str">
        <f t="shared" si="22"/>
        <v>opened</v>
      </c>
      <c r="M86" s="23"/>
      <c r="N86" s="52">
        <v>71</v>
      </c>
      <c r="O86" s="97" t="s">
        <v>131</v>
      </c>
      <c r="P86" s="94" t="s">
        <v>17</v>
      </c>
      <c r="Q86" s="103">
        <v>0.041</v>
      </c>
      <c r="R86" s="86">
        <f>Q86+Костромаэнерго!D86</f>
        <v>0.39099999999999996</v>
      </c>
      <c r="S86" s="86">
        <v>0.2</v>
      </c>
      <c r="T86" s="43">
        <v>120</v>
      </c>
      <c r="U86" s="37">
        <f t="shared" si="19"/>
        <v>0.19099999999999995</v>
      </c>
      <c r="V86" s="88">
        <v>0</v>
      </c>
      <c r="W86" s="68">
        <f>1.05*1.8</f>
        <v>1.8900000000000001</v>
      </c>
      <c r="X86" s="89">
        <f t="shared" si="20"/>
        <v>1.6990000000000003</v>
      </c>
      <c r="Y86" s="15">
        <f t="shared" si="23"/>
        <v>1.6990000000000003</v>
      </c>
      <c r="Z86" s="46" t="str">
        <f t="shared" si="24"/>
        <v>opened</v>
      </c>
    </row>
    <row r="87" spans="1:26" s="1" customFormat="1" ht="22.5">
      <c r="A87" s="39">
        <v>72</v>
      </c>
      <c r="B87" s="97" t="s">
        <v>132</v>
      </c>
      <c r="C87" s="91" t="s">
        <v>15</v>
      </c>
      <c r="D87" s="104">
        <v>2.5</v>
      </c>
      <c r="E87" s="86">
        <v>0.92</v>
      </c>
      <c r="F87" s="43">
        <v>120</v>
      </c>
      <c r="G87" s="50">
        <f t="shared" si="18"/>
        <v>1.58</v>
      </c>
      <c r="H87" s="31">
        <v>0</v>
      </c>
      <c r="I87" s="68">
        <f>1.05*4</f>
        <v>4.2</v>
      </c>
      <c r="J87" s="68">
        <f t="shared" si="21"/>
        <v>2.62</v>
      </c>
      <c r="K87" s="99">
        <f t="shared" si="25"/>
        <v>2.62</v>
      </c>
      <c r="L87" s="46" t="str">
        <f t="shared" si="22"/>
        <v>opened</v>
      </c>
      <c r="M87" s="23"/>
      <c r="N87" s="52">
        <v>72</v>
      </c>
      <c r="O87" s="97" t="s">
        <v>132</v>
      </c>
      <c r="P87" s="94" t="s">
        <v>15</v>
      </c>
      <c r="Q87" s="103">
        <v>0.755</v>
      </c>
      <c r="R87" s="86">
        <f>Q87+Костромаэнерго!D87</f>
        <v>3.255</v>
      </c>
      <c r="S87" s="86">
        <v>0.92</v>
      </c>
      <c r="T87" s="43">
        <v>120</v>
      </c>
      <c r="U87" s="37">
        <f t="shared" si="19"/>
        <v>2.335</v>
      </c>
      <c r="V87" s="88">
        <v>0</v>
      </c>
      <c r="W87" s="68">
        <f>1.05*4</f>
        <v>4.2</v>
      </c>
      <c r="X87" s="89">
        <f t="shared" si="20"/>
        <v>1.8650000000000002</v>
      </c>
      <c r="Y87" s="15">
        <f t="shared" si="23"/>
        <v>1.8650000000000002</v>
      </c>
      <c r="Z87" s="46" t="str">
        <f t="shared" si="24"/>
        <v>opened</v>
      </c>
    </row>
    <row r="88" spans="1:26" s="1" customFormat="1" ht="22.5">
      <c r="A88" s="39">
        <v>73</v>
      </c>
      <c r="B88" s="97" t="s">
        <v>133</v>
      </c>
      <c r="C88" s="91" t="s">
        <v>18</v>
      </c>
      <c r="D88" s="104">
        <v>1.43</v>
      </c>
      <c r="E88" s="86">
        <v>0</v>
      </c>
      <c r="F88" s="43">
        <v>0</v>
      </c>
      <c r="G88" s="50">
        <f t="shared" si="18"/>
        <v>1.43</v>
      </c>
      <c r="H88" s="31">
        <v>0</v>
      </c>
      <c r="I88" s="68">
        <f>1.05*1.6</f>
        <v>1.6800000000000002</v>
      </c>
      <c r="J88" s="68">
        <f t="shared" si="21"/>
        <v>0.2500000000000002</v>
      </c>
      <c r="K88" s="99">
        <f t="shared" si="25"/>
        <v>0.2500000000000002</v>
      </c>
      <c r="L88" s="46" t="str">
        <f t="shared" si="22"/>
        <v>opened</v>
      </c>
      <c r="M88" s="23"/>
      <c r="N88" s="52">
        <v>73</v>
      </c>
      <c r="O88" s="97" t="s">
        <v>133</v>
      </c>
      <c r="P88" s="94" t="s">
        <v>18</v>
      </c>
      <c r="Q88" s="103">
        <v>0.175</v>
      </c>
      <c r="R88" s="86">
        <f>Q88+Костромаэнерго!D88</f>
        <v>1.605</v>
      </c>
      <c r="S88" s="86">
        <v>0</v>
      </c>
      <c r="T88" s="43">
        <v>0</v>
      </c>
      <c r="U88" s="37">
        <f t="shared" si="19"/>
        <v>1.605</v>
      </c>
      <c r="V88" s="88">
        <v>0</v>
      </c>
      <c r="W88" s="68">
        <f>1.05*1.6</f>
        <v>1.6800000000000002</v>
      </c>
      <c r="X88" s="89">
        <f t="shared" si="20"/>
        <v>0.07500000000000018</v>
      </c>
      <c r="Y88" s="15">
        <f t="shared" si="23"/>
        <v>0.07500000000000018</v>
      </c>
      <c r="Z88" s="46" t="str">
        <f t="shared" si="24"/>
        <v>opened</v>
      </c>
    </row>
    <row r="89" spans="1:26" s="1" customFormat="1" ht="22.5">
      <c r="A89" s="39">
        <v>74</v>
      </c>
      <c r="B89" s="97" t="s">
        <v>134</v>
      </c>
      <c r="C89" s="91" t="s">
        <v>19</v>
      </c>
      <c r="D89" s="104">
        <v>2.71</v>
      </c>
      <c r="E89" s="86">
        <v>0</v>
      </c>
      <c r="F89" s="43">
        <v>0</v>
      </c>
      <c r="G89" s="50">
        <f t="shared" si="18"/>
        <v>2.71</v>
      </c>
      <c r="H89" s="31">
        <v>0</v>
      </c>
      <c r="I89" s="68">
        <f>1.05*3.2</f>
        <v>3.3600000000000003</v>
      </c>
      <c r="J89" s="68">
        <f t="shared" si="21"/>
        <v>0.6500000000000004</v>
      </c>
      <c r="K89" s="99">
        <f t="shared" si="25"/>
        <v>0.6500000000000004</v>
      </c>
      <c r="L89" s="62" t="str">
        <f t="shared" si="22"/>
        <v>opened</v>
      </c>
      <c r="M89" s="23"/>
      <c r="N89" s="52">
        <v>74</v>
      </c>
      <c r="O89" s="97" t="s">
        <v>134</v>
      </c>
      <c r="P89" s="94" t="s">
        <v>19</v>
      </c>
      <c r="Q89" s="103">
        <v>0.486</v>
      </c>
      <c r="R89" s="86">
        <f>Q89+Костромаэнерго!D89</f>
        <v>3.1959999999999997</v>
      </c>
      <c r="S89" s="86">
        <v>0</v>
      </c>
      <c r="T89" s="43">
        <v>0</v>
      </c>
      <c r="U89" s="37">
        <f t="shared" si="19"/>
        <v>3.1959999999999997</v>
      </c>
      <c r="V89" s="88">
        <v>0</v>
      </c>
      <c r="W89" s="68">
        <f>1.05*3.2</f>
        <v>3.3600000000000003</v>
      </c>
      <c r="X89" s="89">
        <f t="shared" si="20"/>
        <v>0.1640000000000006</v>
      </c>
      <c r="Y89" s="15">
        <f t="shared" si="23"/>
        <v>0.1640000000000006</v>
      </c>
      <c r="Z89" s="62" t="str">
        <f t="shared" si="24"/>
        <v>opened</v>
      </c>
    </row>
    <row r="90" spans="1:26" s="1" customFormat="1" ht="22.5">
      <c r="A90" s="39">
        <v>75</v>
      </c>
      <c r="B90" s="97" t="s">
        <v>135</v>
      </c>
      <c r="C90" s="91" t="s">
        <v>15</v>
      </c>
      <c r="D90" s="104">
        <v>3.68</v>
      </c>
      <c r="E90" s="86">
        <v>0.76</v>
      </c>
      <c r="F90" s="43">
        <v>120</v>
      </c>
      <c r="G90" s="50">
        <f t="shared" si="18"/>
        <v>2.92</v>
      </c>
      <c r="H90" s="31">
        <v>0</v>
      </c>
      <c r="I90" s="68">
        <f>1.05*4</f>
        <v>4.2</v>
      </c>
      <c r="J90" s="68">
        <f t="shared" si="21"/>
        <v>1.2800000000000002</v>
      </c>
      <c r="K90" s="99">
        <f t="shared" si="25"/>
        <v>1.2800000000000002</v>
      </c>
      <c r="L90" s="62" t="str">
        <f t="shared" si="22"/>
        <v>opened</v>
      </c>
      <c r="M90" s="23"/>
      <c r="N90" s="52">
        <v>75</v>
      </c>
      <c r="O90" s="97" t="s">
        <v>135</v>
      </c>
      <c r="P90" s="94" t="s">
        <v>15</v>
      </c>
      <c r="Q90" s="103">
        <v>0.237</v>
      </c>
      <c r="R90" s="86">
        <f>Q90+Костромаэнерго!D90</f>
        <v>3.9170000000000003</v>
      </c>
      <c r="S90" s="86">
        <v>0.76</v>
      </c>
      <c r="T90" s="43">
        <v>120</v>
      </c>
      <c r="U90" s="37">
        <f t="shared" si="19"/>
        <v>3.157</v>
      </c>
      <c r="V90" s="88">
        <v>0</v>
      </c>
      <c r="W90" s="68">
        <f>1.05*4</f>
        <v>4.2</v>
      </c>
      <c r="X90" s="89">
        <f t="shared" si="20"/>
        <v>1.0430000000000001</v>
      </c>
      <c r="Y90" s="15">
        <f t="shared" si="23"/>
        <v>1.0430000000000001</v>
      </c>
      <c r="Z90" s="62" t="str">
        <f t="shared" si="24"/>
        <v>opened</v>
      </c>
    </row>
    <row r="91" spans="1:26" s="1" customFormat="1" ht="22.5">
      <c r="A91" s="39">
        <v>76</v>
      </c>
      <c r="B91" s="97" t="s">
        <v>136</v>
      </c>
      <c r="C91" s="91" t="s">
        <v>20</v>
      </c>
      <c r="D91" s="103">
        <v>0.76</v>
      </c>
      <c r="E91" s="93">
        <v>0</v>
      </c>
      <c r="F91" s="43">
        <v>0</v>
      </c>
      <c r="G91" s="50">
        <f t="shared" si="18"/>
        <v>0.76</v>
      </c>
      <c r="H91" s="31">
        <v>0</v>
      </c>
      <c r="I91" s="68">
        <f>1.05*1</f>
        <v>1.05</v>
      </c>
      <c r="J91" s="68">
        <f t="shared" si="21"/>
        <v>0.29000000000000004</v>
      </c>
      <c r="K91" s="99">
        <f t="shared" si="25"/>
        <v>0.29000000000000004</v>
      </c>
      <c r="L91" s="63" t="str">
        <f t="shared" si="22"/>
        <v>opened</v>
      </c>
      <c r="M91" s="23"/>
      <c r="N91" s="52">
        <v>76</v>
      </c>
      <c r="O91" s="97" t="s">
        <v>136</v>
      </c>
      <c r="P91" s="94" t="s">
        <v>20</v>
      </c>
      <c r="Q91" s="103">
        <v>0</v>
      </c>
      <c r="R91" s="86">
        <f>Q91+Костромаэнерго!D91</f>
        <v>0.76</v>
      </c>
      <c r="S91" s="86">
        <v>0</v>
      </c>
      <c r="T91" s="43">
        <v>0</v>
      </c>
      <c r="U91" s="37">
        <f t="shared" si="19"/>
        <v>0.76</v>
      </c>
      <c r="V91" s="88">
        <v>0</v>
      </c>
      <c r="W91" s="68">
        <f>1.05*1</f>
        <v>1.05</v>
      </c>
      <c r="X91" s="89">
        <f t="shared" si="20"/>
        <v>0.29000000000000004</v>
      </c>
      <c r="Y91" s="15">
        <f t="shared" si="23"/>
        <v>0.29000000000000004</v>
      </c>
      <c r="Z91" s="63" t="str">
        <f t="shared" si="24"/>
        <v>opened</v>
      </c>
    </row>
    <row r="92" spans="1:26" s="1" customFormat="1" ht="22.5">
      <c r="A92" s="173">
        <v>77</v>
      </c>
      <c r="B92" s="97" t="s">
        <v>137</v>
      </c>
      <c r="C92" s="91" t="s">
        <v>21</v>
      </c>
      <c r="D92" s="53">
        <v>12.41</v>
      </c>
      <c r="E92" s="98">
        <f>E94+E93</f>
        <v>0</v>
      </c>
      <c r="F92" s="43">
        <v>0</v>
      </c>
      <c r="G92" s="50">
        <f t="shared" si="18"/>
        <v>12.41</v>
      </c>
      <c r="H92" s="31">
        <v>0</v>
      </c>
      <c r="I92" s="68">
        <f>1.05*16</f>
        <v>16.8</v>
      </c>
      <c r="J92" s="68">
        <f t="shared" si="21"/>
        <v>4.390000000000001</v>
      </c>
      <c r="K92" s="229">
        <f>MIN(J92:J94)</f>
        <v>4.390000000000001</v>
      </c>
      <c r="L92" s="190" t="str">
        <f t="shared" si="22"/>
        <v>opened</v>
      </c>
      <c r="M92" s="23"/>
      <c r="N92" s="220">
        <v>77</v>
      </c>
      <c r="O92" s="97" t="s">
        <v>137</v>
      </c>
      <c r="P92" s="94" t="s">
        <v>21</v>
      </c>
      <c r="Q92" s="66">
        <v>2.026</v>
      </c>
      <c r="R92" s="86">
        <f>Q92+Костромаэнерго!D92</f>
        <v>14.436</v>
      </c>
      <c r="S92" s="101">
        <f>S94+S93</f>
        <v>0</v>
      </c>
      <c r="T92" s="43">
        <v>0</v>
      </c>
      <c r="U92" s="37">
        <f t="shared" si="19"/>
        <v>14.436</v>
      </c>
      <c r="V92" s="88">
        <v>0</v>
      </c>
      <c r="W92" s="68">
        <f>1.05*16</f>
        <v>16.8</v>
      </c>
      <c r="X92" s="89">
        <f t="shared" si="20"/>
        <v>2.3640000000000008</v>
      </c>
      <c r="Y92" s="251">
        <f>MIN(X92:X94)</f>
        <v>2.3640000000000008</v>
      </c>
      <c r="Z92" s="190" t="str">
        <f t="shared" si="24"/>
        <v>opened</v>
      </c>
    </row>
    <row r="93" spans="1:26" s="1" customFormat="1" ht="12.75">
      <c r="A93" s="174"/>
      <c r="B93" s="67" t="s">
        <v>92</v>
      </c>
      <c r="C93" s="91" t="s">
        <v>21</v>
      </c>
      <c r="D93" s="92">
        <v>0.77</v>
      </c>
      <c r="E93" s="93">
        <v>0</v>
      </c>
      <c r="F93" s="43">
        <v>0</v>
      </c>
      <c r="G93" s="15">
        <f t="shared" si="18"/>
        <v>0.77</v>
      </c>
      <c r="H93" s="31">
        <v>0</v>
      </c>
      <c r="I93" s="68">
        <f>1.05*16</f>
        <v>16.8</v>
      </c>
      <c r="J93" s="68">
        <f>I93-D93</f>
        <v>16.03</v>
      </c>
      <c r="K93" s="227"/>
      <c r="L93" s="191"/>
      <c r="M93" s="23"/>
      <c r="N93" s="221"/>
      <c r="O93" s="67" t="s">
        <v>92</v>
      </c>
      <c r="P93" s="94" t="s">
        <v>21</v>
      </c>
      <c r="Q93" s="95">
        <v>0</v>
      </c>
      <c r="R93" s="86">
        <f>Q93+Костромаэнерго!D93</f>
        <v>0.77</v>
      </c>
      <c r="S93" s="86">
        <v>0</v>
      </c>
      <c r="T93" s="43">
        <v>0</v>
      </c>
      <c r="U93" s="37">
        <f t="shared" si="19"/>
        <v>0.77</v>
      </c>
      <c r="V93" s="88">
        <v>0</v>
      </c>
      <c r="W93" s="68">
        <f>1.05*16</f>
        <v>16.8</v>
      </c>
      <c r="X93" s="89">
        <f t="shared" si="20"/>
        <v>16.03</v>
      </c>
      <c r="Y93" s="251"/>
      <c r="Z93" s="191"/>
    </row>
    <row r="94" spans="1:26" s="1" customFormat="1" ht="12.75">
      <c r="A94" s="175"/>
      <c r="B94" s="67" t="s">
        <v>93</v>
      </c>
      <c r="C94" s="91" t="s">
        <v>21</v>
      </c>
      <c r="D94" s="92">
        <v>11.64</v>
      </c>
      <c r="E94" s="93">
        <v>0</v>
      </c>
      <c r="F94" s="43">
        <v>0</v>
      </c>
      <c r="G94" s="44">
        <f t="shared" si="18"/>
        <v>11.64</v>
      </c>
      <c r="H94" s="31">
        <v>0</v>
      </c>
      <c r="I94" s="68">
        <f>1.05*16</f>
        <v>16.8</v>
      </c>
      <c r="J94" s="68">
        <f t="shared" si="21"/>
        <v>5.16</v>
      </c>
      <c r="K94" s="230"/>
      <c r="L94" s="191"/>
      <c r="M94" s="23"/>
      <c r="N94" s="222"/>
      <c r="O94" s="67" t="s">
        <v>93</v>
      </c>
      <c r="P94" s="94" t="s">
        <v>21</v>
      </c>
      <c r="Q94" s="66">
        <v>2.026</v>
      </c>
      <c r="R94" s="86">
        <f>Q94+Костромаэнерго!D94</f>
        <v>13.666</v>
      </c>
      <c r="S94" s="86">
        <v>0</v>
      </c>
      <c r="T94" s="43">
        <v>0</v>
      </c>
      <c r="U94" s="37">
        <f t="shared" si="19"/>
        <v>13.666</v>
      </c>
      <c r="V94" s="88">
        <v>0</v>
      </c>
      <c r="W94" s="68">
        <f>1.05*16</f>
        <v>16.8</v>
      </c>
      <c r="X94" s="89">
        <f t="shared" si="20"/>
        <v>3.1340000000000003</v>
      </c>
      <c r="Y94" s="251"/>
      <c r="Z94" s="191"/>
    </row>
    <row r="95" spans="1:26" s="1" customFormat="1" ht="22.5">
      <c r="A95" s="39">
        <v>78</v>
      </c>
      <c r="B95" s="97" t="s">
        <v>138</v>
      </c>
      <c r="C95" s="91" t="s">
        <v>15</v>
      </c>
      <c r="D95" s="103">
        <v>0.77</v>
      </c>
      <c r="E95" s="93">
        <v>1.03</v>
      </c>
      <c r="F95" s="43">
        <v>120</v>
      </c>
      <c r="G95" s="50">
        <f t="shared" si="18"/>
        <v>-0.26</v>
      </c>
      <c r="H95" s="31">
        <v>0</v>
      </c>
      <c r="I95" s="68">
        <f>1.05*4</f>
        <v>4.2</v>
      </c>
      <c r="J95" s="68">
        <f t="shared" si="21"/>
        <v>4.46</v>
      </c>
      <c r="K95" s="99">
        <f>J95</f>
        <v>4.46</v>
      </c>
      <c r="L95" s="46" t="str">
        <f>IF(K95&lt;0,"closed","opened")</f>
        <v>opened</v>
      </c>
      <c r="M95" s="23"/>
      <c r="N95" s="52">
        <v>78</v>
      </c>
      <c r="O95" s="97" t="s">
        <v>138</v>
      </c>
      <c r="P95" s="94" t="s">
        <v>15</v>
      </c>
      <c r="Q95" s="103">
        <v>2.193</v>
      </c>
      <c r="R95" s="86">
        <f>Q95+Костромаэнерго!D95</f>
        <v>2.963</v>
      </c>
      <c r="S95" s="86">
        <v>1.03</v>
      </c>
      <c r="T95" s="43">
        <v>120</v>
      </c>
      <c r="U95" s="37">
        <f t="shared" si="19"/>
        <v>1.933</v>
      </c>
      <c r="V95" s="88">
        <v>0</v>
      </c>
      <c r="W95" s="68">
        <f>1.05*4</f>
        <v>4.2</v>
      </c>
      <c r="X95" s="89">
        <f t="shared" si="20"/>
        <v>2.2670000000000003</v>
      </c>
      <c r="Y95" s="15">
        <f>X95</f>
        <v>2.2670000000000003</v>
      </c>
      <c r="Z95" s="46" t="str">
        <f>IF(Y95&lt;0,"closed","opened")</f>
        <v>opened</v>
      </c>
    </row>
    <row r="96" spans="1:26" s="1" customFormat="1" ht="22.5">
      <c r="A96" s="39">
        <v>79</v>
      </c>
      <c r="B96" s="97" t="s">
        <v>139</v>
      </c>
      <c r="C96" s="91" t="s">
        <v>14</v>
      </c>
      <c r="D96" s="103">
        <v>1.27</v>
      </c>
      <c r="E96" s="93">
        <v>0.43</v>
      </c>
      <c r="F96" s="43">
        <v>120</v>
      </c>
      <c r="G96" s="15">
        <f t="shared" si="18"/>
        <v>0.8400000000000001</v>
      </c>
      <c r="H96" s="31">
        <v>0</v>
      </c>
      <c r="I96" s="68">
        <f>1.05*2.5</f>
        <v>2.625</v>
      </c>
      <c r="J96" s="68">
        <f t="shared" si="21"/>
        <v>1.785</v>
      </c>
      <c r="K96" s="99">
        <f>J96</f>
        <v>1.785</v>
      </c>
      <c r="L96" s="62" t="str">
        <f>IF(K96&lt;0,"closed","opened")</f>
        <v>opened</v>
      </c>
      <c r="M96" s="23"/>
      <c r="N96" s="52">
        <v>79</v>
      </c>
      <c r="O96" s="97" t="s">
        <v>139</v>
      </c>
      <c r="P96" s="94" t="s">
        <v>14</v>
      </c>
      <c r="Q96" s="103">
        <v>0.109</v>
      </c>
      <c r="R96" s="86">
        <f>Q96+Костромаэнерго!D96</f>
        <v>1.379</v>
      </c>
      <c r="S96" s="86">
        <v>0.43</v>
      </c>
      <c r="T96" s="43">
        <v>120</v>
      </c>
      <c r="U96" s="37">
        <f t="shared" si="19"/>
        <v>0.9490000000000001</v>
      </c>
      <c r="V96" s="88">
        <v>0</v>
      </c>
      <c r="W96" s="68">
        <f>1.05*2.5</f>
        <v>2.625</v>
      </c>
      <c r="X96" s="89">
        <f t="shared" si="20"/>
        <v>1.676</v>
      </c>
      <c r="Y96" s="15">
        <f>X96</f>
        <v>1.676</v>
      </c>
      <c r="Z96" s="62" t="str">
        <f>IF(Y96&lt;0,"closed","opened")</f>
        <v>opened</v>
      </c>
    </row>
    <row r="97" spans="1:26" s="1" customFormat="1" ht="22.5">
      <c r="A97" s="39">
        <v>80</v>
      </c>
      <c r="B97" s="97" t="s">
        <v>140</v>
      </c>
      <c r="C97" s="91" t="s">
        <v>17</v>
      </c>
      <c r="D97" s="103">
        <v>0.37</v>
      </c>
      <c r="E97" s="93">
        <v>0.43</v>
      </c>
      <c r="F97" s="43">
        <v>120</v>
      </c>
      <c r="G97" s="44">
        <f t="shared" si="18"/>
        <v>-0.06</v>
      </c>
      <c r="H97" s="31">
        <v>0</v>
      </c>
      <c r="I97" s="68">
        <f>1.05*1.8</f>
        <v>1.8900000000000001</v>
      </c>
      <c r="J97" s="68">
        <f t="shared" si="21"/>
        <v>1.9500000000000002</v>
      </c>
      <c r="K97" s="99">
        <f>J97</f>
        <v>1.9500000000000002</v>
      </c>
      <c r="L97" s="62" t="str">
        <f>IF(K97&lt;0,"closed","opened")</f>
        <v>opened</v>
      </c>
      <c r="M97" s="23"/>
      <c r="N97" s="52">
        <v>80</v>
      </c>
      <c r="O97" s="97" t="s">
        <v>140</v>
      </c>
      <c r="P97" s="94" t="s">
        <v>17</v>
      </c>
      <c r="Q97" s="103">
        <v>0.023</v>
      </c>
      <c r="R97" s="86">
        <f>Q97+Костромаэнерго!D97</f>
        <v>0.393</v>
      </c>
      <c r="S97" s="86">
        <v>0.43</v>
      </c>
      <c r="T97" s="43">
        <v>120</v>
      </c>
      <c r="U97" s="37">
        <f t="shared" si="19"/>
        <v>-0.03699999999999998</v>
      </c>
      <c r="V97" s="88">
        <v>0</v>
      </c>
      <c r="W97" s="68">
        <f>1.05*1.8</f>
        <v>1.8900000000000001</v>
      </c>
      <c r="X97" s="89">
        <f t="shared" si="20"/>
        <v>1.927</v>
      </c>
      <c r="Y97" s="15">
        <f>X97</f>
        <v>1.927</v>
      </c>
      <c r="Z97" s="62" t="str">
        <f>IF(Y97&lt;0,"closed","opened")</f>
        <v>opened</v>
      </c>
    </row>
    <row r="98" spans="1:26" s="1" customFormat="1" ht="27" customHeight="1">
      <c r="A98" s="173">
        <v>81</v>
      </c>
      <c r="B98" s="195" t="s">
        <v>141</v>
      </c>
      <c r="C98" s="106" t="s">
        <v>22</v>
      </c>
      <c r="D98" s="107">
        <v>18.51</v>
      </c>
      <c r="E98" s="98">
        <f>E100+E99</f>
        <v>2.75</v>
      </c>
      <c r="F98" s="43">
        <v>120</v>
      </c>
      <c r="G98" s="50">
        <f t="shared" si="18"/>
        <v>15.760000000000002</v>
      </c>
      <c r="H98" s="31">
        <v>0</v>
      </c>
      <c r="I98" s="108">
        <f>1.05*25</f>
        <v>26.25</v>
      </c>
      <c r="J98" s="68">
        <f t="shared" si="21"/>
        <v>10.489999999999998</v>
      </c>
      <c r="K98" s="231">
        <f>MIN(J98:J101)</f>
        <v>10.489999999999998</v>
      </c>
      <c r="L98" s="190" t="str">
        <f>IF(K98&lt;0,"closed","opened")</f>
        <v>opened</v>
      </c>
      <c r="M98" s="23"/>
      <c r="N98" s="220">
        <v>81</v>
      </c>
      <c r="O98" s="195" t="s">
        <v>141</v>
      </c>
      <c r="P98" s="109" t="s">
        <v>22</v>
      </c>
      <c r="Q98" s="66">
        <v>0.518</v>
      </c>
      <c r="R98" s="86">
        <f>Q98+Костромаэнерго!D98</f>
        <v>19.028000000000002</v>
      </c>
      <c r="S98" s="101">
        <f>S100+S99</f>
        <v>2.75</v>
      </c>
      <c r="T98" s="43">
        <v>120</v>
      </c>
      <c r="U98" s="37">
        <f t="shared" si="19"/>
        <v>16.278000000000002</v>
      </c>
      <c r="V98" s="88">
        <v>0</v>
      </c>
      <c r="W98" s="108">
        <f>1.05*25</f>
        <v>26.25</v>
      </c>
      <c r="X98" s="89">
        <f t="shared" si="20"/>
        <v>9.971999999999998</v>
      </c>
      <c r="Y98" s="263">
        <f>MIN(X98:X101)</f>
        <v>9.971999999999998</v>
      </c>
      <c r="Z98" s="190" t="str">
        <f>IF(Y98&lt;0,"closed","opened")</f>
        <v>opened</v>
      </c>
    </row>
    <row r="99" spans="1:26" s="1" customFormat="1" ht="12.75">
      <c r="A99" s="174"/>
      <c r="B99" s="67" t="s">
        <v>92</v>
      </c>
      <c r="C99" s="106" t="s">
        <v>1</v>
      </c>
      <c r="D99" s="107">
        <v>6.52</v>
      </c>
      <c r="E99" s="110">
        <v>0</v>
      </c>
      <c r="F99" s="43">
        <v>120</v>
      </c>
      <c r="G99" s="50">
        <f t="shared" si="18"/>
        <v>6.52</v>
      </c>
      <c r="H99" s="31">
        <v>0</v>
      </c>
      <c r="I99" s="108">
        <f>1.05*25</f>
        <v>26.25</v>
      </c>
      <c r="J99" s="68">
        <f>I99-D99</f>
        <v>19.73</v>
      </c>
      <c r="K99" s="232"/>
      <c r="L99" s="191"/>
      <c r="M99" s="23"/>
      <c r="N99" s="221"/>
      <c r="O99" s="67" t="s">
        <v>92</v>
      </c>
      <c r="P99" s="109" t="s">
        <v>1</v>
      </c>
      <c r="Q99" s="111">
        <v>0</v>
      </c>
      <c r="R99" s="86">
        <f>Q99+Костромаэнерго!D99</f>
        <v>6.52</v>
      </c>
      <c r="S99" s="110">
        <v>0</v>
      </c>
      <c r="T99" s="43">
        <v>120</v>
      </c>
      <c r="U99" s="37">
        <f t="shared" si="19"/>
        <v>6.52</v>
      </c>
      <c r="V99" s="88">
        <v>0</v>
      </c>
      <c r="W99" s="108">
        <f>1.05*25</f>
        <v>26.25</v>
      </c>
      <c r="X99" s="89">
        <f t="shared" si="20"/>
        <v>19.73</v>
      </c>
      <c r="Y99" s="264"/>
      <c r="Z99" s="191"/>
    </row>
    <row r="100" spans="1:26" s="1" customFormat="1" ht="12.75">
      <c r="A100" s="174"/>
      <c r="B100" s="67" t="s">
        <v>93</v>
      </c>
      <c r="C100" s="106" t="s">
        <v>1</v>
      </c>
      <c r="D100" s="107">
        <v>11.99</v>
      </c>
      <c r="E100" s="110">
        <v>2.75</v>
      </c>
      <c r="F100" s="43">
        <v>120</v>
      </c>
      <c r="G100" s="50">
        <f t="shared" si="18"/>
        <v>9.24</v>
      </c>
      <c r="H100" s="31">
        <v>0</v>
      </c>
      <c r="I100" s="108">
        <f>1.05*25</f>
        <v>26.25</v>
      </c>
      <c r="J100" s="68">
        <f t="shared" si="21"/>
        <v>17.009999999999998</v>
      </c>
      <c r="K100" s="232"/>
      <c r="L100" s="191"/>
      <c r="M100" s="23"/>
      <c r="N100" s="221"/>
      <c r="O100" s="67" t="s">
        <v>93</v>
      </c>
      <c r="P100" s="109" t="s">
        <v>1</v>
      </c>
      <c r="Q100" s="66">
        <v>0.518</v>
      </c>
      <c r="R100" s="86">
        <f>Q100+Костромаэнерго!D100</f>
        <v>12.508000000000001</v>
      </c>
      <c r="S100" s="110">
        <v>2.75</v>
      </c>
      <c r="T100" s="43">
        <v>120</v>
      </c>
      <c r="U100" s="37">
        <f t="shared" si="19"/>
        <v>9.758000000000001</v>
      </c>
      <c r="V100" s="88">
        <v>0</v>
      </c>
      <c r="W100" s="108">
        <f>1.05*25</f>
        <v>26.25</v>
      </c>
      <c r="X100" s="89">
        <f t="shared" si="20"/>
        <v>16.491999999999997</v>
      </c>
      <c r="Y100" s="264"/>
      <c r="Z100" s="191"/>
    </row>
    <row r="101" spans="1:26" s="1" customFormat="1" ht="22.5">
      <c r="A101" s="175"/>
      <c r="B101" s="112" t="s">
        <v>142</v>
      </c>
      <c r="C101" s="106" t="s">
        <v>21</v>
      </c>
      <c r="D101" s="27">
        <v>2.41</v>
      </c>
      <c r="E101" s="113">
        <v>2.2</v>
      </c>
      <c r="F101" s="43">
        <v>120</v>
      </c>
      <c r="G101" s="15">
        <f t="shared" si="18"/>
        <v>0.20999999999999996</v>
      </c>
      <c r="H101" s="31">
        <v>0</v>
      </c>
      <c r="I101" s="108">
        <f>1.05*16</f>
        <v>16.8</v>
      </c>
      <c r="J101" s="68">
        <f t="shared" si="21"/>
        <v>16.59</v>
      </c>
      <c r="K101" s="233"/>
      <c r="L101" s="192"/>
      <c r="M101" s="23"/>
      <c r="N101" s="222"/>
      <c r="O101" s="112" t="s">
        <v>142</v>
      </c>
      <c r="P101" s="109" t="s">
        <v>21</v>
      </c>
      <c r="Q101" s="103">
        <v>0</v>
      </c>
      <c r="R101" s="86">
        <f>Q101+Костромаэнерго!D101</f>
        <v>2.41</v>
      </c>
      <c r="S101" s="110">
        <v>2.2</v>
      </c>
      <c r="T101" s="43">
        <v>120</v>
      </c>
      <c r="U101" s="37">
        <f t="shared" si="19"/>
        <v>0.20999999999999996</v>
      </c>
      <c r="V101" s="88">
        <v>0</v>
      </c>
      <c r="W101" s="108">
        <f>1.05*16</f>
        <v>16.8</v>
      </c>
      <c r="X101" s="89">
        <f t="shared" si="20"/>
        <v>16.59</v>
      </c>
      <c r="Y101" s="265"/>
      <c r="Z101" s="192"/>
    </row>
    <row r="102" spans="1:26" s="1" customFormat="1" ht="22.5">
      <c r="A102" s="71">
        <v>82</v>
      </c>
      <c r="B102" s="97" t="s">
        <v>143</v>
      </c>
      <c r="C102" s="91" t="s">
        <v>23</v>
      </c>
      <c r="D102" s="27">
        <v>0.93</v>
      </c>
      <c r="E102" s="93">
        <v>1.55</v>
      </c>
      <c r="F102" s="43">
        <v>120</v>
      </c>
      <c r="G102" s="15">
        <f t="shared" si="18"/>
        <v>-0.62</v>
      </c>
      <c r="H102" s="31">
        <v>0</v>
      </c>
      <c r="I102" s="68">
        <f>1.05*5.6</f>
        <v>5.88</v>
      </c>
      <c r="J102" s="68">
        <f t="shared" si="21"/>
        <v>6.5</v>
      </c>
      <c r="K102" s="114">
        <f>J102</f>
        <v>6.5</v>
      </c>
      <c r="L102" s="62" t="str">
        <f>IF(K102&lt;0,"closed","opened")</f>
        <v>opened</v>
      </c>
      <c r="M102" s="23"/>
      <c r="N102" s="65">
        <v>82</v>
      </c>
      <c r="O102" s="97" t="s">
        <v>143</v>
      </c>
      <c r="P102" s="94" t="s">
        <v>12</v>
      </c>
      <c r="Q102" s="104">
        <v>6.731</v>
      </c>
      <c r="R102" s="86">
        <f>Q102+Костромаэнерго!D102</f>
        <v>7.661</v>
      </c>
      <c r="S102" s="86">
        <v>1.55</v>
      </c>
      <c r="T102" s="43">
        <v>120</v>
      </c>
      <c r="U102" s="37">
        <f t="shared" si="19"/>
        <v>6.111</v>
      </c>
      <c r="V102" s="88">
        <v>0</v>
      </c>
      <c r="W102" s="68">
        <f>1.05*10</f>
        <v>10.5</v>
      </c>
      <c r="X102" s="89">
        <f t="shared" si="20"/>
        <v>4.389</v>
      </c>
      <c r="Y102" s="15">
        <f>X102</f>
        <v>4.389</v>
      </c>
      <c r="Z102" s="62" t="str">
        <f>IF(Y102&lt;0,"closed","opened")</f>
        <v>opened</v>
      </c>
    </row>
    <row r="103" spans="1:26" s="1" customFormat="1" ht="22.5">
      <c r="A103" s="39">
        <v>83</v>
      </c>
      <c r="B103" s="97" t="s">
        <v>144</v>
      </c>
      <c r="C103" s="91" t="s">
        <v>16</v>
      </c>
      <c r="D103" s="103">
        <v>0.57</v>
      </c>
      <c r="E103" s="93">
        <v>0.41</v>
      </c>
      <c r="F103" s="43">
        <v>120</v>
      </c>
      <c r="G103" s="44">
        <f t="shared" si="18"/>
        <v>0.15999999999999998</v>
      </c>
      <c r="H103" s="31">
        <v>0</v>
      </c>
      <c r="I103" s="68">
        <f>1.05*1.6</f>
        <v>1.6800000000000002</v>
      </c>
      <c r="J103" s="68">
        <f t="shared" si="21"/>
        <v>1.5200000000000002</v>
      </c>
      <c r="K103" s="114">
        <f>J103</f>
        <v>1.5200000000000002</v>
      </c>
      <c r="L103" s="63" t="str">
        <f>IF(K103&lt;0,"closed","opened")</f>
        <v>opened</v>
      </c>
      <c r="M103" s="23"/>
      <c r="N103" s="52">
        <v>83</v>
      </c>
      <c r="O103" s="97" t="s">
        <v>144</v>
      </c>
      <c r="P103" s="94" t="s">
        <v>16</v>
      </c>
      <c r="Q103" s="103">
        <v>0.087</v>
      </c>
      <c r="R103" s="86">
        <f>Q103+Костромаэнерго!D103</f>
        <v>0.6569999999999999</v>
      </c>
      <c r="S103" s="86">
        <v>0.41</v>
      </c>
      <c r="T103" s="43">
        <v>120</v>
      </c>
      <c r="U103" s="37">
        <f t="shared" si="19"/>
        <v>0.24699999999999994</v>
      </c>
      <c r="V103" s="88">
        <v>0</v>
      </c>
      <c r="W103" s="68">
        <f>1.05*1.6</f>
        <v>1.6800000000000002</v>
      </c>
      <c r="X103" s="89">
        <f t="shared" si="20"/>
        <v>1.4330000000000003</v>
      </c>
      <c r="Y103" s="15">
        <f>X103</f>
        <v>1.4330000000000003</v>
      </c>
      <c r="Z103" s="63" t="str">
        <f>IF(Y103&lt;0,"closed","opened")</f>
        <v>opened</v>
      </c>
    </row>
    <row r="104" spans="1:26" s="1" customFormat="1" ht="22.5">
      <c r="A104" s="39">
        <v>84</v>
      </c>
      <c r="B104" s="97" t="s">
        <v>145</v>
      </c>
      <c r="C104" s="91" t="s">
        <v>16</v>
      </c>
      <c r="D104" s="103">
        <v>0.36</v>
      </c>
      <c r="E104" s="93">
        <v>0.23</v>
      </c>
      <c r="F104" s="43">
        <v>120</v>
      </c>
      <c r="G104" s="15">
        <f t="shared" si="18"/>
        <v>0.12999999999999998</v>
      </c>
      <c r="H104" s="31">
        <v>0</v>
      </c>
      <c r="I104" s="68">
        <f>1.05*6.3</f>
        <v>6.615</v>
      </c>
      <c r="J104" s="68">
        <f t="shared" si="21"/>
        <v>6.485</v>
      </c>
      <c r="K104" s="114">
        <f>J104</f>
        <v>6.485</v>
      </c>
      <c r="L104" s="62" t="str">
        <f>IF(K104&lt;0,"closed","opened")</f>
        <v>opened</v>
      </c>
      <c r="M104" s="23"/>
      <c r="N104" s="52">
        <v>84</v>
      </c>
      <c r="O104" s="97" t="s">
        <v>145</v>
      </c>
      <c r="P104" s="94" t="s">
        <v>16</v>
      </c>
      <c r="Q104" s="103">
        <v>0.024</v>
      </c>
      <c r="R104" s="86">
        <f>Q104+Костромаэнерго!D104</f>
        <v>0.384</v>
      </c>
      <c r="S104" s="86">
        <v>0.23</v>
      </c>
      <c r="T104" s="43">
        <v>120</v>
      </c>
      <c r="U104" s="37">
        <f t="shared" si="19"/>
        <v>0.154</v>
      </c>
      <c r="V104" s="88">
        <v>0</v>
      </c>
      <c r="W104" s="68">
        <f>1.05*6.3</f>
        <v>6.615</v>
      </c>
      <c r="X104" s="89">
        <f t="shared" si="20"/>
        <v>6.461</v>
      </c>
      <c r="Y104" s="15">
        <f>X104</f>
        <v>6.461</v>
      </c>
      <c r="Z104" s="62" t="str">
        <f>IF(Y104&lt;0,"closed","opened")</f>
        <v>opened</v>
      </c>
    </row>
    <row r="105" spans="1:26" s="1" customFormat="1" ht="22.5">
      <c r="A105" s="173">
        <v>85</v>
      </c>
      <c r="B105" s="97" t="s">
        <v>146</v>
      </c>
      <c r="C105" s="91" t="s">
        <v>24</v>
      </c>
      <c r="D105" s="103">
        <v>3.89</v>
      </c>
      <c r="E105" s="98">
        <f>E107+E106</f>
        <v>0.76</v>
      </c>
      <c r="F105" s="43">
        <v>120</v>
      </c>
      <c r="G105" s="44">
        <f t="shared" si="18"/>
        <v>3.13</v>
      </c>
      <c r="H105" s="31">
        <v>0</v>
      </c>
      <c r="I105" s="68">
        <f>1.05*6.3</f>
        <v>6.615</v>
      </c>
      <c r="J105" s="68">
        <f t="shared" si="21"/>
        <v>3.4850000000000003</v>
      </c>
      <c r="K105" s="229">
        <f>MIN(J105:J107)</f>
        <v>3.305</v>
      </c>
      <c r="L105" s="190" t="str">
        <f>IF(K105&lt;0,"closed","opened")</f>
        <v>opened</v>
      </c>
      <c r="M105" s="23"/>
      <c r="N105" s="220">
        <v>85</v>
      </c>
      <c r="O105" s="97" t="s">
        <v>146</v>
      </c>
      <c r="P105" s="94" t="s">
        <v>24</v>
      </c>
      <c r="Q105" s="66">
        <v>0.088</v>
      </c>
      <c r="R105" s="86">
        <f>Q105+Костромаэнерго!D105</f>
        <v>3.978</v>
      </c>
      <c r="S105" s="101">
        <f>S107+S106</f>
        <v>0.76</v>
      </c>
      <c r="T105" s="43">
        <v>120</v>
      </c>
      <c r="U105" s="37">
        <f t="shared" si="19"/>
        <v>3.218</v>
      </c>
      <c r="V105" s="88">
        <v>0</v>
      </c>
      <c r="W105" s="68">
        <f>1.05*6.3</f>
        <v>6.615</v>
      </c>
      <c r="X105" s="89">
        <f t="shared" si="20"/>
        <v>3.3970000000000002</v>
      </c>
      <c r="Y105" s="251">
        <f>MIN(X105:X107)</f>
        <v>3.305</v>
      </c>
      <c r="Z105" s="190" t="str">
        <f>IF(Y105&lt;0,"closed","opened")</f>
        <v>opened</v>
      </c>
    </row>
    <row r="106" spans="1:26" s="1" customFormat="1" ht="12.75">
      <c r="A106" s="174"/>
      <c r="B106" s="67" t="s">
        <v>92</v>
      </c>
      <c r="C106" s="91" t="s">
        <v>24</v>
      </c>
      <c r="D106" s="92">
        <v>3.31</v>
      </c>
      <c r="E106" s="86">
        <v>0</v>
      </c>
      <c r="F106" s="43">
        <v>120</v>
      </c>
      <c r="G106" s="50">
        <f t="shared" si="18"/>
        <v>3.31</v>
      </c>
      <c r="H106" s="31">
        <v>0</v>
      </c>
      <c r="I106" s="68">
        <f>1.05*6.3</f>
        <v>6.615</v>
      </c>
      <c r="J106" s="68">
        <f>I106-D106</f>
        <v>3.305</v>
      </c>
      <c r="K106" s="227"/>
      <c r="L106" s="191"/>
      <c r="M106" s="23"/>
      <c r="N106" s="221"/>
      <c r="O106" s="67" t="s">
        <v>92</v>
      </c>
      <c r="P106" s="94" t="s">
        <v>24</v>
      </c>
      <c r="Q106" s="95">
        <v>0</v>
      </c>
      <c r="R106" s="86">
        <f>Q106+Костромаэнерго!D106</f>
        <v>3.31</v>
      </c>
      <c r="S106" s="86">
        <v>0</v>
      </c>
      <c r="T106" s="43">
        <v>120</v>
      </c>
      <c r="U106" s="37">
        <f t="shared" si="19"/>
        <v>3.31</v>
      </c>
      <c r="V106" s="88">
        <v>0</v>
      </c>
      <c r="W106" s="68">
        <f>1.05*6.3</f>
        <v>6.615</v>
      </c>
      <c r="X106" s="89">
        <f t="shared" si="20"/>
        <v>3.305</v>
      </c>
      <c r="Y106" s="251"/>
      <c r="Z106" s="191"/>
    </row>
    <row r="107" spans="1:26" s="1" customFormat="1" ht="12.75">
      <c r="A107" s="175"/>
      <c r="B107" s="67" t="s">
        <v>93</v>
      </c>
      <c r="C107" s="91" t="s">
        <v>24</v>
      </c>
      <c r="D107" s="92">
        <v>0.58</v>
      </c>
      <c r="E107" s="86">
        <v>0.76</v>
      </c>
      <c r="F107" s="43">
        <v>120</v>
      </c>
      <c r="G107" s="50">
        <f t="shared" si="18"/>
        <v>-0.18000000000000005</v>
      </c>
      <c r="H107" s="31">
        <v>0</v>
      </c>
      <c r="I107" s="68">
        <f>1.05*6.3</f>
        <v>6.615</v>
      </c>
      <c r="J107" s="68">
        <f t="shared" si="21"/>
        <v>6.795</v>
      </c>
      <c r="K107" s="230"/>
      <c r="L107" s="192"/>
      <c r="M107" s="23"/>
      <c r="N107" s="222"/>
      <c r="O107" s="67" t="s">
        <v>93</v>
      </c>
      <c r="P107" s="94" t="s">
        <v>24</v>
      </c>
      <c r="Q107" s="66">
        <v>0.088</v>
      </c>
      <c r="R107" s="86">
        <f>Q107+Костромаэнерго!D107</f>
        <v>0.6679999999999999</v>
      </c>
      <c r="S107" s="86">
        <v>0.76</v>
      </c>
      <c r="T107" s="43">
        <v>120</v>
      </c>
      <c r="U107" s="37">
        <f t="shared" si="19"/>
        <v>-0.09200000000000008</v>
      </c>
      <c r="V107" s="88">
        <v>0</v>
      </c>
      <c r="W107" s="68">
        <f>1.05*6.3</f>
        <v>6.615</v>
      </c>
      <c r="X107" s="89">
        <f t="shared" si="20"/>
        <v>6.707000000000001</v>
      </c>
      <c r="Y107" s="251"/>
      <c r="Z107" s="192"/>
    </row>
    <row r="108" spans="1:26" s="1" customFormat="1" ht="22.5">
      <c r="A108" s="173">
        <v>86</v>
      </c>
      <c r="B108" s="97" t="s">
        <v>147</v>
      </c>
      <c r="C108" s="91" t="s">
        <v>12</v>
      </c>
      <c r="D108" s="92">
        <v>3.91</v>
      </c>
      <c r="E108" s="98">
        <f>E110+E109</f>
        <v>1.28</v>
      </c>
      <c r="F108" s="43">
        <v>120</v>
      </c>
      <c r="G108" s="50">
        <f t="shared" si="18"/>
        <v>2.63</v>
      </c>
      <c r="H108" s="31">
        <v>0</v>
      </c>
      <c r="I108" s="68">
        <f>1.05*10</f>
        <v>10.5</v>
      </c>
      <c r="J108" s="68">
        <f t="shared" si="21"/>
        <v>7.87</v>
      </c>
      <c r="K108" s="229">
        <f>MIN(J108:J110)</f>
        <v>7.87</v>
      </c>
      <c r="L108" s="191" t="str">
        <f>IF(K108&lt;0,"closed","opened")</f>
        <v>opened</v>
      </c>
      <c r="M108" s="23"/>
      <c r="N108" s="220">
        <v>86</v>
      </c>
      <c r="O108" s="97" t="s">
        <v>147</v>
      </c>
      <c r="P108" s="94" t="s">
        <v>12</v>
      </c>
      <c r="Q108" s="66">
        <v>1.065</v>
      </c>
      <c r="R108" s="86">
        <f>Q108+Костромаэнерго!D108</f>
        <v>4.975</v>
      </c>
      <c r="S108" s="101">
        <f>S110+S109</f>
        <v>1.28</v>
      </c>
      <c r="T108" s="43">
        <v>120</v>
      </c>
      <c r="U108" s="37">
        <f t="shared" si="19"/>
        <v>3.6949999999999994</v>
      </c>
      <c r="V108" s="88">
        <v>0</v>
      </c>
      <c r="W108" s="68">
        <f>1.05*10</f>
        <v>10.5</v>
      </c>
      <c r="X108" s="89">
        <f t="shared" si="20"/>
        <v>6.805000000000001</v>
      </c>
      <c r="Y108" s="251">
        <f>MIN(X108:X110)</f>
        <v>6.805000000000001</v>
      </c>
      <c r="Z108" s="191" t="str">
        <f>IF(Y108&lt;0,"closed","opened")</f>
        <v>opened</v>
      </c>
    </row>
    <row r="109" spans="1:26" s="1" customFormat="1" ht="12.75">
      <c r="A109" s="174"/>
      <c r="B109" s="67" t="s">
        <v>92</v>
      </c>
      <c r="C109" s="91" t="s">
        <v>12</v>
      </c>
      <c r="D109" s="92">
        <v>0.72</v>
      </c>
      <c r="E109" s="86">
        <v>0</v>
      </c>
      <c r="F109" s="43">
        <v>120</v>
      </c>
      <c r="G109" s="15">
        <f t="shared" si="18"/>
        <v>0.72</v>
      </c>
      <c r="H109" s="31">
        <v>0</v>
      </c>
      <c r="I109" s="68">
        <f>1.05*10</f>
        <v>10.5</v>
      </c>
      <c r="J109" s="68">
        <f>I109-D109</f>
        <v>9.78</v>
      </c>
      <c r="K109" s="227"/>
      <c r="L109" s="191"/>
      <c r="M109" s="23"/>
      <c r="N109" s="221"/>
      <c r="O109" s="67" t="s">
        <v>92</v>
      </c>
      <c r="P109" s="94" t="s">
        <v>12</v>
      </c>
      <c r="Q109" s="95">
        <v>0</v>
      </c>
      <c r="R109" s="86">
        <f>Q109+Костромаэнерго!D109</f>
        <v>0.72</v>
      </c>
      <c r="S109" s="86">
        <v>0</v>
      </c>
      <c r="T109" s="43">
        <v>120</v>
      </c>
      <c r="U109" s="37">
        <f t="shared" si="19"/>
        <v>0.72</v>
      </c>
      <c r="V109" s="88">
        <v>0</v>
      </c>
      <c r="W109" s="68">
        <f>1.05*10</f>
        <v>10.5</v>
      </c>
      <c r="X109" s="89">
        <f t="shared" si="20"/>
        <v>9.78</v>
      </c>
      <c r="Y109" s="251"/>
      <c r="Z109" s="191"/>
    </row>
    <row r="110" spans="1:26" s="1" customFormat="1" ht="12.75">
      <c r="A110" s="175"/>
      <c r="B110" s="67" t="s">
        <v>93</v>
      </c>
      <c r="C110" s="91" t="s">
        <v>12</v>
      </c>
      <c r="D110" s="92">
        <v>3.19</v>
      </c>
      <c r="E110" s="86">
        <v>1.28</v>
      </c>
      <c r="F110" s="43">
        <v>120</v>
      </c>
      <c r="G110" s="15">
        <f t="shared" si="18"/>
        <v>1.91</v>
      </c>
      <c r="H110" s="31">
        <v>0</v>
      </c>
      <c r="I110" s="68">
        <f>1.05*10</f>
        <v>10.5</v>
      </c>
      <c r="J110" s="68">
        <f t="shared" si="21"/>
        <v>8.59</v>
      </c>
      <c r="K110" s="230"/>
      <c r="L110" s="191"/>
      <c r="M110" s="23"/>
      <c r="N110" s="222"/>
      <c r="O110" s="67" t="s">
        <v>93</v>
      </c>
      <c r="P110" s="94" t="s">
        <v>12</v>
      </c>
      <c r="Q110" s="66">
        <v>1.065</v>
      </c>
      <c r="R110" s="86">
        <f>Q110+Костромаэнерго!D110</f>
        <v>4.255</v>
      </c>
      <c r="S110" s="86">
        <v>1.28</v>
      </c>
      <c r="T110" s="43">
        <v>120</v>
      </c>
      <c r="U110" s="37">
        <f t="shared" si="19"/>
        <v>2.9749999999999996</v>
      </c>
      <c r="V110" s="88">
        <v>0</v>
      </c>
      <c r="W110" s="68">
        <f>1.05*10</f>
        <v>10.5</v>
      </c>
      <c r="X110" s="89">
        <f t="shared" si="20"/>
        <v>7.525</v>
      </c>
      <c r="Y110" s="251"/>
      <c r="Z110" s="191"/>
    </row>
    <row r="111" spans="1:26" s="1" customFormat="1" ht="22.5">
      <c r="A111" s="39">
        <v>87</v>
      </c>
      <c r="B111" s="97" t="s">
        <v>148</v>
      </c>
      <c r="C111" s="91" t="s">
        <v>16</v>
      </c>
      <c r="D111" s="103">
        <v>0.37</v>
      </c>
      <c r="E111" s="86">
        <v>0.25</v>
      </c>
      <c r="F111" s="43">
        <v>120</v>
      </c>
      <c r="G111" s="15">
        <f t="shared" si="18"/>
        <v>0.12</v>
      </c>
      <c r="H111" s="31">
        <v>0</v>
      </c>
      <c r="I111" s="68">
        <f>1.05*1.6</f>
        <v>1.6800000000000002</v>
      </c>
      <c r="J111" s="68">
        <f t="shared" si="21"/>
        <v>1.56</v>
      </c>
      <c r="K111" s="99">
        <f>J111</f>
        <v>1.56</v>
      </c>
      <c r="L111" s="62" t="str">
        <f aca="true" t="shared" si="26" ref="L111:L116">IF(K111&lt;0,"closed","opened")</f>
        <v>opened</v>
      </c>
      <c r="M111" s="23"/>
      <c r="N111" s="52">
        <v>87</v>
      </c>
      <c r="O111" s="97" t="s">
        <v>148</v>
      </c>
      <c r="P111" s="94" t="s">
        <v>16</v>
      </c>
      <c r="Q111" s="103">
        <v>0.097</v>
      </c>
      <c r="R111" s="86">
        <f>Q111+Костромаэнерго!D111</f>
        <v>0.46699999999999997</v>
      </c>
      <c r="S111" s="86">
        <v>0.25</v>
      </c>
      <c r="T111" s="43">
        <v>120</v>
      </c>
      <c r="U111" s="37">
        <f t="shared" si="19"/>
        <v>0.21699999999999997</v>
      </c>
      <c r="V111" s="88">
        <v>0</v>
      </c>
      <c r="W111" s="68">
        <f>1.05*1.6</f>
        <v>1.6800000000000002</v>
      </c>
      <c r="X111" s="89">
        <f t="shared" si="20"/>
        <v>1.463</v>
      </c>
      <c r="Y111" s="15">
        <f>X111</f>
        <v>1.463</v>
      </c>
      <c r="Z111" s="62" t="str">
        <f aca="true" t="shared" si="27" ref="Z111:Z116">IF(Y111&lt;0,"closed","opened")</f>
        <v>opened</v>
      </c>
    </row>
    <row r="112" spans="1:26" s="1" customFormat="1" ht="22.5">
      <c r="A112" s="39">
        <v>88</v>
      </c>
      <c r="B112" s="97" t="s">
        <v>149</v>
      </c>
      <c r="C112" s="91" t="s">
        <v>16</v>
      </c>
      <c r="D112" s="103">
        <v>0.8</v>
      </c>
      <c r="E112" s="86">
        <v>0.56</v>
      </c>
      <c r="F112" s="43">
        <v>120</v>
      </c>
      <c r="G112" s="44">
        <f t="shared" si="18"/>
        <v>0.24</v>
      </c>
      <c r="H112" s="31">
        <v>0</v>
      </c>
      <c r="I112" s="68">
        <f>1.05*1.6</f>
        <v>1.6800000000000002</v>
      </c>
      <c r="J112" s="68">
        <f t="shared" si="21"/>
        <v>1.4400000000000002</v>
      </c>
      <c r="K112" s="99">
        <f>J112</f>
        <v>1.4400000000000002</v>
      </c>
      <c r="L112" s="63" t="str">
        <f t="shared" si="26"/>
        <v>opened</v>
      </c>
      <c r="M112" s="23"/>
      <c r="N112" s="52">
        <v>88</v>
      </c>
      <c r="O112" s="97" t="s">
        <v>149</v>
      </c>
      <c r="P112" s="94" t="s">
        <v>16</v>
      </c>
      <c r="Q112" s="103">
        <v>0.017</v>
      </c>
      <c r="R112" s="86">
        <f>Q112+Костромаэнерго!D112</f>
        <v>0.8170000000000001</v>
      </c>
      <c r="S112" s="86">
        <v>0.56</v>
      </c>
      <c r="T112" s="43">
        <v>120</v>
      </c>
      <c r="U112" s="37">
        <f t="shared" si="19"/>
        <v>0.257</v>
      </c>
      <c r="V112" s="88">
        <v>0</v>
      </c>
      <c r="W112" s="68">
        <f>1.05*1.6</f>
        <v>1.6800000000000002</v>
      </c>
      <c r="X112" s="89">
        <f t="shared" si="20"/>
        <v>1.423</v>
      </c>
      <c r="Y112" s="15">
        <f>X112</f>
        <v>1.423</v>
      </c>
      <c r="Z112" s="63" t="str">
        <f t="shared" si="27"/>
        <v>opened</v>
      </c>
    </row>
    <row r="113" spans="1:26" s="1" customFormat="1" ht="22.5">
      <c r="A113" s="39">
        <v>89</v>
      </c>
      <c r="B113" s="97" t="s">
        <v>150</v>
      </c>
      <c r="C113" s="91" t="s">
        <v>14</v>
      </c>
      <c r="D113" s="103">
        <v>1.32</v>
      </c>
      <c r="E113" s="86">
        <v>0.52</v>
      </c>
      <c r="F113" s="43">
        <v>120</v>
      </c>
      <c r="G113" s="50">
        <f t="shared" si="18"/>
        <v>0.8</v>
      </c>
      <c r="H113" s="31">
        <v>0</v>
      </c>
      <c r="I113" s="68">
        <f>1.05*2.5</f>
        <v>2.625</v>
      </c>
      <c r="J113" s="68">
        <f t="shared" si="21"/>
        <v>1.825</v>
      </c>
      <c r="K113" s="99">
        <f>J113</f>
        <v>1.825</v>
      </c>
      <c r="L113" s="62" t="str">
        <f t="shared" si="26"/>
        <v>opened</v>
      </c>
      <c r="M113" s="23"/>
      <c r="N113" s="52">
        <v>89</v>
      </c>
      <c r="O113" s="97" t="s">
        <v>150</v>
      </c>
      <c r="P113" s="94" t="s">
        <v>14</v>
      </c>
      <c r="Q113" s="103">
        <v>0.075</v>
      </c>
      <c r="R113" s="86">
        <f>Q113+Костромаэнерго!D113</f>
        <v>1.395</v>
      </c>
      <c r="S113" s="86">
        <v>0.52</v>
      </c>
      <c r="T113" s="43">
        <v>120</v>
      </c>
      <c r="U113" s="37">
        <f t="shared" si="19"/>
        <v>0.875</v>
      </c>
      <c r="V113" s="88">
        <v>0</v>
      </c>
      <c r="W113" s="68">
        <f>1.05*2.5</f>
        <v>2.625</v>
      </c>
      <c r="X113" s="89">
        <f t="shared" si="20"/>
        <v>1.75</v>
      </c>
      <c r="Y113" s="15">
        <f>X113</f>
        <v>1.75</v>
      </c>
      <c r="Z113" s="62" t="str">
        <f t="shared" si="27"/>
        <v>opened</v>
      </c>
    </row>
    <row r="114" spans="1:26" s="1" customFormat="1" ht="22.5">
      <c r="A114" s="39">
        <v>90</v>
      </c>
      <c r="B114" s="97" t="s">
        <v>151</v>
      </c>
      <c r="C114" s="91" t="s">
        <v>12</v>
      </c>
      <c r="D114" s="115">
        <v>8.139999</v>
      </c>
      <c r="E114" s="86">
        <v>1.8</v>
      </c>
      <c r="F114" s="43">
        <v>120</v>
      </c>
      <c r="G114" s="15">
        <f t="shared" si="18"/>
        <v>6.339999</v>
      </c>
      <c r="H114" s="31">
        <v>0</v>
      </c>
      <c r="I114" s="68">
        <f>1.05*10</f>
        <v>10.5</v>
      </c>
      <c r="J114" s="68">
        <f t="shared" si="21"/>
        <v>4.160001</v>
      </c>
      <c r="K114" s="99">
        <f>J114</f>
        <v>4.160001</v>
      </c>
      <c r="L114" s="63" t="str">
        <f t="shared" si="26"/>
        <v>opened</v>
      </c>
      <c r="M114" s="23"/>
      <c r="N114" s="52">
        <v>90</v>
      </c>
      <c r="O114" s="97" t="s">
        <v>151</v>
      </c>
      <c r="P114" s="94" t="s">
        <v>12</v>
      </c>
      <c r="Q114" s="103">
        <v>1.353</v>
      </c>
      <c r="R114" s="86">
        <f>Q114+Костромаэнерго!D114</f>
        <v>9.492999</v>
      </c>
      <c r="S114" s="86">
        <v>1.8</v>
      </c>
      <c r="T114" s="43">
        <v>120</v>
      </c>
      <c r="U114" s="37">
        <f t="shared" si="19"/>
        <v>7.6929989999999995</v>
      </c>
      <c r="V114" s="88">
        <v>0</v>
      </c>
      <c r="W114" s="68">
        <f>1.05*10</f>
        <v>10.5</v>
      </c>
      <c r="X114" s="89">
        <f t="shared" si="20"/>
        <v>2.8070010000000005</v>
      </c>
      <c r="Y114" s="15">
        <f>X114</f>
        <v>2.8070010000000005</v>
      </c>
      <c r="Z114" s="63" t="str">
        <f t="shared" si="27"/>
        <v>opened</v>
      </c>
    </row>
    <row r="115" spans="1:26" s="1" customFormat="1" ht="22.5">
      <c r="A115" s="39">
        <v>91</v>
      </c>
      <c r="B115" s="97" t="s">
        <v>152</v>
      </c>
      <c r="C115" s="91" t="s">
        <v>17</v>
      </c>
      <c r="D115" s="103">
        <v>0.49</v>
      </c>
      <c r="E115" s="86">
        <v>0.4</v>
      </c>
      <c r="F115" s="43">
        <v>120</v>
      </c>
      <c r="G115" s="44">
        <f t="shared" si="18"/>
        <v>0.08999999999999997</v>
      </c>
      <c r="H115" s="31">
        <v>0</v>
      </c>
      <c r="I115" s="68">
        <f>1.05*1.8</f>
        <v>1.8900000000000001</v>
      </c>
      <c r="J115" s="68">
        <f t="shared" si="21"/>
        <v>1.8000000000000003</v>
      </c>
      <c r="K115" s="99">
        <f>J115</f>
        <v>1.8000000000000003</v>
      </c>
      <c r="L115" s="46" t="str">
        <f t="shared" si="26"/>
        <v>opened</v>
      </c>
      <c r="M115" s="23"/>
      <c r="N115" s="52">
        <v>91</v>
      </c>
      <c r="O115" s="97" t="s">
        <v>152</v>
      </c>
      <c r="P115" s="94" t="s">
        <v>17</v>
      </c>
      <c r="Q115" s="103">
        <v>0.055</v>
      </c>
      <c r="R115" s="86">
        <f>Q115+Костромаэнерго!D115</f>
        <v>0.545</v>
      </c>
      <c r="S115" s="86">
        <v>0.4</v>
      </c>
      <c r="T115" s="43">
        <v>120</v>
      </c>
      <c r="U115" s="37">
        <f t="shared" si="19"/>
        <v>0.14500000000000002</v>
      </c>
      <c r="V115" s="88">
        <v>0</v>
      </c>
      <c r="W115" s="68">
        <f>1.05*1.8</f>
        <v>1.8900000000000001</v>
      </c>
      <c r="X115" s="89">
        <f t="shared" si="20"/>
        <v>1.745</v>
      </c>
      <c r="Y115" s="15">
        <f>X115</f>
        <v>1.745</v>
      </c>
      <c r="Z115" s="46" t="str">
        <f t="shared" si="27"/>
        <v>opened</v>
      </c>
    </row>
    <row r="116" spans="1:26" s="1" customFormat="1" ht="22.5">
      <c r="A116" s="173">
        <v>92</v>
      </c>
      <c r="B116" s="97" t="s">
        <v>153</v>
      </c>
      <c r="C116" s="91" t="s">
        <v>12</v>
      </c>
      <c r="D116" s="103">
        <v>3.93</v>
      </c>
      <c r="E116" s="98">
        <f>E118+E117</f>
        <v>1.89</v>
      </c>
      <c r="F116" s="43">
        <v>120</v>
      </c>
      <c r="G116" s="50">
        <f t="shared" si="18"/>
        <v>2.04</v>
      </c>
      <c r="H116" s="31">
        <v>0</v>
      </c>
      <c r="I116" s="68">
        <f>1.05*10</f>
        <v>10.5</v>
      </c>
      <c r="J116" s="68">
        <f t="shared" si="21"/>
        <v>8.46</v>
      </c>
      <c r="K116" s="229">
        <f>MIN(J116:J118)</f>
        <v>8.46</v>
      </c>
      <c r="L116" s="190" t="str">
        <f t="shared" si="26"/>
        <v>opened</v>
      </c>
      <c r="M116" s="23"/>
      <c r="N116" s="220">
        <v>92</v>
      </c>
      <c r="O116" s="97" t="s">
        <v>153</v>
      </c>
      <c r="P116" s="94" t="s">
        <v>12</v>
      </c>
      <c r="Q116" s="66">
        <v>0.627</v>
      </c>
      <c r="R116" s="86">
        <f>Q116+Костромаэнерго!D116</f>
        <v>4.557</v>
      </c>
      <c r="S116" s="101">
        <f>S118+S117</f>
        <v>1.89</v>
      </c>
      <c r="T116" s="43">
        <v>120</v>
      </c>
      <c r="U116" s="37">
        <f t="shared" si="19"/>
        <v>2.6670000000000007</v>
      </c>
      <c r="V116" s="88">
        <v>0</v>
      </c>
      <c r="W116" s="68">
        <f>1.05*10</f>
        <v>10.5</v>
      </c>
      <c r="X116" s="89">
        <f t="shared" si="20"/>
        <v>7.832999999999999</v>
      </c>
      <c r="Y116" s="251">
        <f>MIN(X116:X118)</f>
        <v>7.832999999999999</v>
      </c>
      <c r="Z116" s="190" t="str">
        <f t="shared" si="27"/>
        <v>opened</v>
      </c>
    </row>
    <row r="117" spans="1:26" s="1" customFormat="1" ht="12.75">
      <c r="A117" s="174"/>
      <c r="B117" s="67" t="s">
        <v>92</v>
      </c>
      <c r="C117" s="91" t="s">
        <v>12</v>
      </c>
      <c r="D117" s="92">
        <v>0.38</v>
      </c>
      <c r="E117" s="86">
        <v>0</v>
      </c>
      <c r="F117" s="43">
        <v>120</v>
      </c>
      <c r="G117" s="15">
        <f t="shared" si="18"/>
        <v>0.38</v>
      </c>
      <c r="H117" s="31">
        <v>0</v>
      </c>
      <c r="I117" s="68">
        <f>1.05*10</f>
        <v>10.5</v>
      </c>
      <c r="J117" s="68">
        <f>I117-D117</f>
        <v>10.12</v>
      </c>
      <c r="K117" s="227"/>
      <c r="L117" s="191"/>
      <c r="M117" s="23"/>
      <c r="N117" s="221"/>
      <c r="O117" s="67" t="s">
        <v>92</v>
      </c>
      <c r="P117" s="94" t="s">
        <v>12</v>
      </c>
      <c r="Q117" s="95">
        <v>0</v>
      </c>
      <c r="R117" s="86">
        <f>Q117+Костромаэнерго!D117</f>
        <v>0.38</v>
      </c>
      <c r="S117" s="86">
        <v>0</v>
      </c>
      <c r="T117" s="43">
        <v>120</v>
      </c>
      <c r="U117" s="37">
        <f t="shared" si="19"/>
        <v>0.38</v>
      </c>
      <c r="V117" s="88">
        <v>0</v>
      </c>
      <c r="W117" s="68">
        <f>1.05*10</f>
        <v>10.5</v>
      </c>
      <c r="X117" s="89">
        <f t="shared" si="20"/>
        <v>10.12</v>
      </c>
      <c r="Y117" s="251"/>
      <c r="Z117" s="191"/>
    </row>
    <row r="118" spans="1:26" s="1" customFormat="1" ht="12.75">
      <c r="A118" s="175"/>
      <c r="B118" s="67" t="s">
        <v>93</v>
      </c>
      <c r="C118" s="91" t="s">
        <v>12</v>
      </c>
      <c r="D118" s="92">
        <v>3.55</v>
      </c>
      <c r="E118" s="86">
        <v>1.89</v>
      </c>
      <c r="F118" s="43">
        <v>120</v>
      </c>
      <c r="G118" s="15">
        <f t="shared" si="18"/>
        <v>1.66</v>
      </c>
      <c r="H118" s="31">
        <v>0</v>
      </c>
      <c r="I118" s="68">
        <f>1.05*10</f>
        <v>10.5</v>
      </c>
      <c r="J118" s="68">
        <f t="shared" si="21"/>
        <v>8.84</v>
      </c>
      <c r="K118" s="230"/>
      <c r="L118" s="191"/>
      <c r="M118" s="23"/>
      <c r="N118" s="222"/>
      <c r="O118" s="67" t="s">
        <v>93</v>
      </c>
      <c r="P118" s="94" t="s">
        <v>12</v>
      </c>
      <c r="Q118" s="66">
        <v>0.627</v>
      </c>
      <c r="R118" s="86">
        <f>Q118+Костромаэнерго!D118</f>
        <v>4.177</v>
      </c>
      <c r="S118" s="86">
        <v>1.89</v>
      </c>
      <c r="T118" s="43">
        <v>120</v>
      </c>
      <c r="U118" s="37">
        <f t="shared" si="19"/>
        <v>2.287</v>
      </c>
      <c r="V118" s="88">
        <v>0</v>
      </c>
      <c r="W118" s="68">
        <f>1.05*10</f>
        <v>10.5</v>
      </c>
      <c r="X118" s="89">
        <f t="shared" si="20"/>
        <v>8.213000000000001</v>
      </c>
      <c r="Y118" s="251"/>
      <c r="Z118" s="191"/>
    </row>
    <row r="119" spans="1:26" s="1" customFormat="1" ht="22.5">
      <c r="A119" s="39">
        <v>93</v>
      </c>
      <c r="B119" s="97" t="s">
        <v>154</v>
      </c>
      <c r="C119" s="91" t="s">
        <v>14</v>
      </c>
      <c r="D119" s="103">
        <v>0.2</v>
      </c>
      <c r="E119" s="86">
        <v>0.07</v>
      </c>
      <c r="F119" s="43">
        <v>120</v>
      </c>
      <c r="G119" s="15">
        <f t="shared" si="18"/>
        <v>0.13</v>
      </c>
      <c r="H119" s="31">
        <v>0</v>
      </c>
      <c r="I119" s="68">
        <f>1.05*2.5</f>
        <v>2.625</v>
      </c>
      <c r="J119" s="68">
        <f t="shared" si="21"/>
        <v>2.495</v>
      </c>
      <c r="K119" s="99">
        <f>J119</f>
        <v>2.495</v>
      </c>
      <c r="L119" s="46" t="str">
        <f>IF(K119&lt;0,"closed","opened")</f>
        <v>opened</v>
      </c>
      <c r="M119" s="23"/>
      <c r="N119" s="52">
        <v>93</v>
      </c>
      <c r="O119" s="97" t="s">
        <v>154</v>
      </c>
      <c r="P119" s="94" t="s">
        <v>14</v>
      </c>
      <c r="Q119" s="103">
        <v>0.034</v>
      </c>
      <c r="R119" s="86">
        <f>Q119+Костромаэнерго!D119</f>
        <v>0.234</v>
      </c>
      <c r="S119" s="86">
        <v>0.07</v>
      </c>
      <c r="T119" s="43">
        <v>120</v>
      </c>
      <c r="U119" s="37">
        <f t="shared" si="19"/>
        <v>0.164</v>
      </c>
      <c r="V119" s="88">
        <v>0</v>
      </c>
      <c r="W119" s="68">
        <f>1.05*2.5</f>
        <v>2.625</v>
      </c>
      <c r="X119" s="89">
        <f t="shared" si="20"/>
        <v>2.461</v>
      </c>
      <c r="Y119" s="15">
        <f>X119</f>
        <v>2.461</v>
      </c>
      <c r="Z119" s="46" t="str">
        <f>IF(Y119&lt;0,"closed","opened")</f>
        <v>opened</v>
      </c>
    </row>
    <row r="120" spans="1:26" s="1" customFormat="1" ht="22.5">
      <c r="A120" s="173">
        <v>94</v>
      </c>
      <c r="B120" s="97" t="s">
        <v>155</v>
      </c>
      <c r="C120" s="91" t="s">
        <v>21</v>
      </c>
      <c r="D120" s="103">
        <v>4.17</v>
      </c>
      <c r="E120" s="98">
        <f>E122+E121</f>
        <v>2.88</v>
      </c>
      <c r="F120" s="43">
        <v>120</v>
      </c>
      <c r="G120" s="15">
        <f t="shared" si="18"/>
        <v>1.29</v>
      </c>
      <c r="H120" s="31">
        <v>0</v>
      </c>
      <c r="I120" s="68">
        <f>1.05*16</f>
        <v>16.8</v>
      </c>
      <c r="J120" s="68">
        <f t="shared" si="21"/>
        <v>15.510000000000002</v>
      </c>
      <c r="K120" s="229">
        <f>MIN(J120:J122)</f>
        <v>15.510000000000002</v>
      </c>
      <c r="L120" s="190" t="str">
        <f>IF(K120&lt;0,"closed","opened")</f>
        <v>opened</v>
      </c>
      <c r="M120" s="23"/>
      <c r="N120" s="220">
        <v>94</v>
      </c>
      <c r="O120" s="97" t="s">
        <v>155</v>
      </c>
      <c r="P120" s="94" t="s">
        <v>21</v>
      </c>
      <c r="Q120" s="66">
        <v>0.786</v>
      </c>
      <c r="R120" s="86">
        <f>Q120+Костромаэнерго!D120</f>
        <v>4.9559999999999995</v>
      </c>
      <c r="S120" s="101">
        <f>S122+S121</f>
        <v>2.88</v>
      </c>
      <c r="T120" s="43">
        <v>120</v>
      </c>
      <c r="U120" s="37">
        <f t="shared" si="19"/>
        <v>2.0759999999999996</v>
      </c>
      <c r="V120" s="88">
        <v>0</v>
      </c>
      <c r="W120" s="68">
        <f>1.05*16</f>
        <v>16.8</v>
      </c>
      <c r="X120" s="89">
        <f t="shared" si="20"/>
        <v>14.724</v>
      </c>
      <c r="Y120" s="263">
        <f>MIN(X120:X122)</f>
        <v>14.724</v>
      </c>
      <c r="Z120" s="190" t="str">
        <f>IF(Y120&lt;0,"closed","opened")</f>
        <v>opened</v>
      </c>
    </row>
    <row r="121" spans="1:26" s="1" customFormat="1" ht="12.75">
      <c r="A121" s="174"/>
      <c r="B121" s="67" t="s">
        <v>92</v>
      </c>
      <c r="C121" s="91" t="s">
        <v>21</v>
      </c>
      <c r="D121" s="92">
        <v>0</v>
      </c>
      <c r="E121" s="86">
        <v>0</v>
      </c>
      <c r="F121" s="43">
        <v>120</v>
      </c>
      <c r="G121" s="44">
        <f t="shared" si="18"/>
        <v>0</v>
      </c>
      <c r="H121" s="31">
        <v>0</v>
      </c>
      <c r="I121" s="68">
        <f>1.05*16</f>
        <v>16.8</v>
      </c>
      <c r="J121" s="68">
        <f>I121-D121</f>
        <v>16.8</v>
      </c>
      <c r="K121" s="227"/>
      <c r="L121" s="191"/>
      <c r="M121" s="23"/>
      <c r="N121" s="221"/>
      <c r="O121" s="67" t="s">
        <v>92</v>
      </c>
      <c r="P121" s="94" t="s">
        <v>21</v>
      </c>
      <c r="Q121" s="95">
        <v>0</v>
      </c>
      <c r="R121" s="86">
        <f>Q121+Костромаэнерго!D121</f>
        <v>0</v>
      </c>
      <c r="S121" s="86">
        <v>0</v>
      </c>
      <c r="T121" s="43">
        <v>120</v>
      </c>
      <c r="U121" s="37">
        <f t="shared" si="19"/>
        <v>0</v>
      </c>
      <c r="V121" s="88">
        <v>0</v>
      </c>
      <c r="W121" s="68">
        <f>1.05*16</f>
        <v>16.8</v>
      </c>
      <c r="X121" s="89">
        <f t="shared" si="20"/>
        <v>16.8</v>
      </c>
      <c r="Y121" s="264"/>
      <c r="Z121" s="191"/>
    </row>
    <row r="122" spans="1:26" s="1" customFormat="1" ht="12.75">
      <c r="A122" s="175"/>
      <c r="B122" s="67" t="s">
        <v>93</v>
      </c>
      <c r="C122" s="91" t="s">
        <v>21</v>
      </c>
      <c r="D122" s="92">
        <v>4.17</v>
      </c>
      <c r="E122" s="86">
        <v>2.88</v>
      </c>
      <c r="F122" s="43">
        <v>120</v>
      </c>
      <c r="G122" s="50">
        <f t="shared" si="18"/>
        <v>1.29</v>
      </c>
      <c r="H122" s="31">
        <v>0</v>
      </c>
      <c r="I122" s="68">
        <f>1.05*16</f>
        <v>16.8</v>
      </c>
      <c r="J122" s="68">
        <f t="shared" si="21"/>
        <v>15.510000000000002</v>
      </c>
      <c r="K122" s="230"/>
      <c r="L122" s="192"/>
      <c r="M122" s="23"/>
      <c r="N122" s="222"/>
      <c r="O122" s="67" t="s">
        <v>93</v>
      </c>
      <c r="P122" s="94" t="s">
        <v>21</v>
      </c>
      <c r="Q122" s="66">
        <v>0.786</v>
      </c>
      <c r="R122" s="86">
        <f>Q122+Костромаэнерго!D122</f>
        <v>4.9559999999999995</v>
      </c>
      <c r="S122" s="86">
        <v>2.88</v>
      </c>
      <c r="T122" s="43">
        <v>120</v>
      </c>
      <c r="U122" s="37">
        <f t="shared" si="19"/>
        <v>2.0759999999999996</v>
      </c>
      <c r="V122" s="88">
        <v>0</v>
      </c>
      <c r="W122" s="68">
        <f>1.05*16</f>
        <v>16.8</v>
      </c>
      <c r="X122" s="89">
        <f t="shared" si="20"/>
        <v>14.724</v>
      </c>
      <c r="Y122" s="253"/>
      <c r="Z122" s="192"/>
    </row>
    <row r="123" spans="1:26" s="2" customFormat="1" ht="27.75" customHeight="1">
      <c r="A123" s="220">
        <v>95</v>
      </c>
      <c r="B123" s="97" t="s">
        <v>156</v>
      </c>
      <c r="C123" s="91" t="s">
        <v>1</v>
      </c>
      <c r="D123" s="92">
        <v>23.04</v>
      </c>
      <c r="E123" s="98">
        <f>E125+E124</f>
        <v>0.02</v>
      </c>
      <c r="F123" s="43">
        <v>120</v>
      </c>
      <c r="G123" s="15">
        <f t="shared" si="18"/>
        <v>23.02</v>
      </c>
      <c r="H123" s="31">
        <v>0</v>
      </c>
      <c r="I123" s="68">
        <f>1.05*25</f>
        <v>26.25</v>
      </c>
      <c r="J123" s="68">
        <f t="shared" si="21"/>
        <v>3.2300000000000004</v>
      </c>
      <c r="K123" s="229">
        <f>MIN(J123:J125)</f>
        <v>3.2300000000000004</v>
      </c>
      <c r="L123" s="191" t="str">
        <f>IF(K123&lt;0,"closed","opened")</f>
        <v>opened</v>
      </c>
      <c r="M123" s="23"/>
      <c r="N123" s="220">
        <v>95</v>
      </c>
      <c r="O123" s="97" t="s">
        <v>156</v>
      </c>
      <c r="P123" s="94" t="s">
        <v>1</v>
      </c>
      <c r="Q123" s="66">
        <v>1.389</v>
      </c>
      <c r="R123" s="86">
        <f>Q123+Костромаэнерго!D123</f>
        <v>24.429</v>
      </c>
      <c r="S123" s="101">
        <f>S125+S124</f>
        <v>0.02</v>
      </c>
      <c r="T123" s="43">
        <v>120</v>
      </c>
      <c r="U123" s="37">
        <f t="shared" si="19"/>
        <v>24.409</v>
      </c>
      <c r="V123" s="88">
        <v>0</v>
      </c>
      <c r="W123" s="68">
        <f>1.05*25</f>
        <v>26.25</v>
      </c>
      <c r="X123" s="89">
        <f t="shared" si="20"/>
        <v>1.841000000000001</v>
      </c>
      <c r="Y123" s="263">
        <f>MIN(X123:X125)</f>
        <v>1.841000000000001</v>
      </c>
      <c r="Z123" s="190" t="str">
        <f>IF(Y123&lt;0,"closed","opened")</f>
        <v>opened</v>
      </c>
    </row>
    <row r="124" spans="1:26" s="2" customFormat="1" ht="12.75">
      <c r="A124" s="221"/>
      <c r="B124" s="90" t="s">
        <v>92</v>
      </c>
      <c r="C124" s="91" t="s">
        <v>1</v>
      </c>
      <c r="D124" s="92">
        <v>19.24</v>
      </c>
      <c r="E124" s="86">
        <v>0</v>
      </c>
      <c r="F124" s="43">
        <v>120</v>
      </c>
      <c r="G124" s="44">
        <f t="shared" si="18"/>
        <v>19.24</v>
      </c>
      <c r="H124" s="31">
        <v>0</v>
      </c>
      <c r="I124" s="68">
        <f>1.05*25</f>
        <v>26.25</v>
      </c>
      <c r="J124" s="68">
        <f>I124-D124</f>
        <v>7.010000000000002</v>
      </c>
      <c r="K124" s="227"/>
      <c r="L124" s="191"/>
      <c r="M124" s="23"/>
      <c r="N124" s="221"/>
      <c r="O124" s="90" t="s">
        <v>92</v>
      </c>
      <c r="P124" s="94" t="s">
        <v>1</v>
      </c>
      <c r="Q124" s="95">
        <v>0</v>
      </c>
      <c r="R124" s="86">
        <f>Q124+Костромаэнерго!D124</f>
        <v>19.24</v>
      </c>
      <c r="S124" s="86">
        <v>0</v>
      </c>
      <c r="T124" s="43">
        <v>120</v>
      </c>
      <c r="U124" s="37">
        <f t="shared" si="19"/>
        <v>19.24</v>
      </c>
      <c r="V124" s="88">
        <v>0</v>
      </c>
      <c r="W124" s="68">
        <f>1.05*25</f>
        <v>26.25</v>
      </c>
      <c r="X124" s="89">
        <f t="shared" si="20"/>
        <v>7.010000000000002</v>
      </c>
      <c r="Y124" s="264"/>
      <c r="Z124" s="191"/>
    </row>
    <row r="125" spans="1:26" s="2" customFormat="1" ht="12.75">
      <c r="A125" s="222"/>
      <c r="B125" s="90" t="s">
        <v>93</v>
      </c>
      <c r="C125" s="91" t="s">
        <v>1</v>
      </c>
      <c r="D125" s="92">
        <v>3.8</v>
      </c>
      <c r="E125" s="86">
        <v>0.02</v>
      </c>
      <c r="F125" s="43">
        <v>120</v>
      </c>
      <c r="G125" s="50">
        <f t="shared" si="18"/>
        <v>3.78</v>
      </c>
      <c r="H125" s="31">
        <v>0</v>
      </c>
      <c r="I125" s="68">
        <f>1.05*25</f>
        <v>26.25</v>
      </c>
      <c r="J125" s="68">
        <f t="shared" si="21"/>
        <v>22.47</v>
      </c>
      <c r="K125" s="230"/>
      <c r="L125" s="191"/>
      <c r="M125" s="23"/>
      <c r="N125" s="222"/>
      <c r="O125" s="90" t="s">
        <v>93</v>
      </c>
      <c r="P125" s="94" t="s">
        <v>1</v>
      </c>
      <c r="Q125" s="66">
        <v>1.389</v>
      </c>
      <c r="R125" s="86">
        <f>Q125+Костромаэнерго!D125</f>
        <v>5.189</v>
      </c>
      <c r="S125" s="86">
        <v>0.02</v>
      </c>
      <c r="T125" s="43">
        <v>120</v>
      </c>
      <c r="U125" s="37">
        <f t="shared" si="19"/>
        <v>5.1690000000000005</v>
      </c>
      <c r="V125" s="88">
        <v>0</v>
      </c>
      <c r="W125" s="68">
        <f>1.05*25</f>
        <v>26.25</v>
      </c>
      <c r="X125" s="89">
        <f t="shared" si="20"/>
        <v>21.081</v>
      </c>
      <c r="Y125" s="253"/>
      <c r="Z125" s="192"/>
    </row>
    <row r="126" spans="1:26" s="1" customFormat="1" ht="22.5">
      <c r="A126" s="234">
        <v>96</v>
      </c>
      <c r="B126" s="196" t="s">
        <v>157</v>
      </c>
      <c r="C126" s="116" t="s">
        <v>25</v>
      </c>
      <c r="D126" s="117">
        <v>11.49</v>
      </c>
      <c r="E126" s="118">
        <f>E128+E127</f>
        <v>0</v>
      </c>
      <c r="F126" s="58">
        <v>120</v>
      </c>
      <c r="G126" s="119">
        <f t="shared" si="18"/>
        <v>11.49</v>
      </c>
      <c r="H126" s="120">
        <v>0</v>
      </c>
      <c r="I126" s="121">
        <f>1.05*10</f>
        <v>10.5</v>
      </c>
      <c r="J126" s="121">
        <f t="shared" si="21"/>
        <v>-0.9900000000000002</v>
      </c>
      <c r="K126" s="237">
        <f>MIN(J126:J128)</f>
        <v>-0.9900000000000002</v>
      </c>
      <c r="L126" s="240" t="str">
        <f>IF(K126&lt;0,"closed","opened")</f>
        <v>closed</v>
      </c>
      <c r="M126" s="23"/>
      <c r="N126" s="234">
        <v>96</v>
      </c>
      <c r="O126" s="196" t="s">
        <v>157</v>
      </c>
      <c r="P126" s="122" t="s">
        <v>25</v>
      </c>
      <c r="Q126" s="123">
        <v>0.739</v>
      </c>
      <c r="R126" s="124">
        <f>Q126+Костромаэнерго!D126</f>
        <v>12.229000000000001</v>
      </c>
      <c r="S126" s="125">
        <f>S128+S127</f>
        <v>0</v>
      </c>
      <c r="T126" s="58">
        <v>120</v>
      </c>
      <c r="U126" s="59">
        <f t="shared" si="19"/>
        <v>12.229000000000001</v>
      </c>
      <c r="V126" s="126">
        <v>0</v>
      </c>
      <c r="W126" s="121">
        <f>1.05*10</f>
        <v>10.5</v>
      </c>
      <c r="X126" s="127">
        <f t="shared" si="20"/>
        <v>-1.729000000000001</v>
      </c>
      <c r="Y126" s="266">
        <f>MIN(X126:X128)</f>
        <v>-8.499</v>
      </c>
      <c r="Z126" s="240" t="str">
        <f>IF(Y126&lt;0,"closed","opened")</f>
        <v>closed</v>
      </c>
    </row>
    <row r="127" spans="1:26" s="1" customFormat="1" ht="12.75">
      <c r="A127" s="235"/>
      <c r="B127" s="197" t="s">
        <v>92</v>
      </c>
      <c r="C127" s="116" t="s">
        <v>25</v>
      </c>
      <c r="D127" s="117">
        <v>2.68</v>
      </c>
      <c r="E127" s="124">
        <v>0</v>
      </c>
      <c r="F127" s="58">
        <v>120</v>
      </c>
      <c r="G127" s="119">
        <f t="shared" si="18"/>
        <v>2.68</v>
      </c>
      <c r="H127" s="120">
        <v>0</v>
      </c>
      <c r="I127" s="121">
        <f>1.05*10</f>
        <v>10.5</v>
      </c>
      <c r="J127" s="121">
        <f>I127-D127</f>
        <v>7.82</v>
      </c>
      <c r="K127" s="238"/>
      <c r="L127" s="241"/>
      <c r="M127" s="23"/>
      <c r="N127" s="235"/>
      <c r="O127" s="197" t="s">
        <v>92</v>
      </c>
      <c r="P127" s="122" t="s">
        <v>25</v>
      </c>
      <c r="Q127" s="128">
        <v>0</v>
      </c>
      <c r="R127" s="124">
        <f>Q127+Костромаэнерго!D127</f>
        <v>2.68</v>
      </c>
      <c r="S127" s="124">
        <v>0</v>
      </c>
      <c r="T127" s="58">
        <v>120</v>
      </c>
      <c r="U127" s="59">
        <f t="shared" si="19"/>
        <v>2.68</v>
      </c>
      <c r="V127" s="126">
        <v>0</v>
      </c>
      <c r="W127" s="121">
        <f>1.05*10</f>
        <v>10.5</v>
      </c>
      <c r="X127" s="127">
        <f t="shared" si="20"/>
        <v>7.82</v>
      </c>
      <c r="Y127" s="267"/>
      <c r="Z127" s="241"/>
    </row>
    <row r="128" spans="1:26" s="1" customFormat="1" ht="12.75">
      <c r="A128" s="236"/>
      <c r="B128" s="197" t="s">
        <v>93</v>
      </c>
      <c r="C128" s="116" t="s">
        <v>25</v>
      </c>
      <c r="D128" s="117">
        <v>8.81</v>
      </c>
      <c r="E128" s="124">
        <v>0</v>
      </c>
      <c r="F128" s="58">
        <v>120</v>
      </c>
      <c r="G128" s="119">
        <f t="shared" si="18"/>
        <v>8.81</v>
      </c>
      <c r="H128" s="120">
        <v>0</v>
      </c>
      <c r="I128" s="121">
        <f>1.05*10</f>
        <v>10.5</v>
      </c>
      <c r="J128" s="121">
        <f t="shared" si="21"/>
        <v>1.6899999999999995</v>
      </c>
      <c r="K128" s="239"/>
      <c r="L128" s="241"/>
      <c r="M128" s="23"/>
      <c r="N128" s="236"/>
      <c r="O128" s="197" t="s">
        <v>93</v>
      </c>
      <c r="P128" s="122" t="s">
        <v>25</v>
      </c>
      <c r="Q128" s="123">
        <v>0.739</v>
      </c>
      <c r="R128" s="124">
        <f>Q128+Костромаэнерго!D128</f>
        <v>9.549000000000001</v>
      </c>
      <c r="S128" s="124">
        <v>0</v>
      </c>
      <c r="T128" s="58">
        <v>120</v>
      </c>
      <c r="U128" s="59">
        <f t="shared" si="19"/>
        <v>9.549000000000001</v>
      </c>
      <c r="V128" s="126">
        <v>0</v>
      </c>
      <c r="W128" s="121">
        <f>1.05*1</f>
        <v>1.05</v>
      </c>
      <c r="X128" s="127">
        <f t="shared" si="20"/>
        <v>-8.499</v>
      </c>
      <c r="Y128" s="268"/>
      <c r="Z128" s="241"/>
    </row>
    <row r="129" spans="1:26" s="1" customFormat="1" ht="22.5">
      <c r="A129" s="173">
        <v>97</v>
      </c>
      <c r="B129" s="97" t="s">
        <v>158</v>
      </c>
      <c r="C129" s="91" t="s">
        <v>1</v>
      </c>
      <c r="D129" s="92">
        <v>10.9</v>
      </c>
      <c r="E129" s="98">
        <f>E131+E130</f>
        <v>0</v>
      </c>
      <c r="F129" s="43">
        <v>120</v>
      </c>
      <c r="G129" s="50">
        <f t="shared" si="18"/>
        <v>10.9</v>
      </c>
      <c r="H129" s="31">
        <v>0</v>
      </c>
      <c r="I129" s="68">
        <f>1.05*25</f>
        <v>26.25</v>
      </c>
      <c r="J129" s="68">
        <f t="shared" si="21"/>
        <v>15.35</v>
      </c>
      <c r="K129" s="229">
        <f>MIN(J129:J131)</f>
        <v>15.35</v>
      </c>
      <c r="L129" s="190" t="str">
        <f>IF(K129&lt;0,"closed","opened")</f>
        <v>opened</v>
      </c>
      <c r="M129" s="23"/>
      <c r="N129" s="220">
        <v>97</v>
      </c>
      <c r="O129" s="97" t="s">
        <v>158</v>
      </c>
      <c r="P129" s="94" t="s">
        <v>1</v>
      </c>
      <c r="Q129" s="66">
        <v>6.05</v>
      </c>
      <c r="R129" s="86">
        <f>Q129+Костромаэнерго!D129</f>
        <v>16.95</v>
      </c>
      <c r="S129" s="101">
        <f>S131+S130</f>
        <v>0</v>
      </c>
      <c r="T129" s="43">
        <v>120</v>
      </c>
      <c r="U129" s="37">
        <f t="shared" si="19"/>
        <v>16.95</v>
      </c>
      <c r="V129" s="88">
        <v>0</v>
      </c>
      <c r="W129" s="68">
        <f>1.05*25</f>
        <v>26.25</v>
      </c>
      <c r="X129" s="89">
        <f t="shared" si="20"/>
        <v>9.3</v>
      </c>
      <c r="Y129" s="263">
        <f>MIN(X129:X131)</f>
        <v>9.3</v>
      </c>
      <c r="Z129" s="190" t="str">
        <f>IF(Y129&lt;0,"closed","opened")</f>
        <v>opened</v>
      </c>
    </row>
    <row r="130" spans="1:26" s="1" customFormat="1" ht="12.75">
      <c r="A130" s="174"/>
      <c r="B130" s="67" t="s">
        <v>92</v>
      </c>
      <c r="C130" s="91" t="s">
        <v>1</v>
      </c>
      <c r="D130" s="92">
        <v>5.45</v>
      </c>
      <c r="E130" s="86">
        <v>0</v>
      </c>
      <c r="F130" s="43">
        <v>120</v>
      </c>
      <c r="G130" s="15">
        <f t="shared" si="18"/>
        <v>5.45</v>
      </c>
      <c r="H130" s="31">
        <v>0</v>
      </c>
      <c r="I130" s="68">
        <f>1.05*25</f>
        <v>26.25</v>
      </c>
      <c r="J130" s="68">
        <f>I130-D130</f>
        <v>20.8</v>
      </c>
      <c r="K130" s="227"/>
      <c r="L130" s="191"/>
      <c r="M130" s="23"/>
      <c r="N130" s="221"/>
      <c r="O130" s="67" t="s">
        <v>92</v>
      </c>
      <c r="P130" s="94" t="s">
        <v>1</v>
      </c>
      <c r="Q130" s="95">
        <v>0</v>
      </c>
      <c r="R130" s="86">
        <f>Q130+Костромаэнерго!D130</f>
        <v>5.45</v>
      </c>
      <c r="S130" s="86">
        <v>0</v>
      </c>
      <c r="T130" s="43">
        <v>120</v>
      </c>
      <c r="U130" s="37">
        <f t="shared" si="19"/>
        <v>5.45</v>
      </c>
      <c r="V130" s="88">
        <v>0</v>
      </c>
      <c r="W130" s="68">
        <f>1.05*25</f>
        <v>26.25</v>
      </c>
      <c r="X130" s="89">
        <f t="shared" si="20"/>
        <v>20.8</v>
      </c>
      <c r="Y130" s="264"/>
      <c r="Z130" s="191"/>
    </row>
    <row r="131" spans="1:26" s="1" customFormat="1" ht="12.75">
      <c r="A131" s="175"/>
      <c r="B131" s="67" t="s">
        <v>93</v>
      </c>
      <c r="C131" s="91" t="s">
        <v>1</v>
      </c>
      <c r="D131" s="92">
        <v>5.45</v>
      </c>
      <c r="E131" s="86">
        <v>0</v>
      </c>
      <c r="F131" s="43">
        <v>120</v>
      </c>
      <c r="G131" s="15">
        <f t="shared" si="18"/>
        <v>5.45</v>
      </c>
      <c r="H131" s="31">
        <v>0</v>
      </c>
      <c r="I131" s="68">
        <f>1.05*25</f>
        <v>26.25</v>
      </c>
      <c r="J131" s="68">
        <f t="shared" si="21"/>
        <v>20.8</v>
      </c>
      <c r="K131" s="230"/>
      <c r="L131" s="192"/>
      <c r="M131" s="23"/>
      <c r="N131" s="222"/>
      <c r="O131" s="67" t="s">
        <v>93</v>
      </c>
      <c r="P131" s="94" t="s">
        <v>1</v>
      </c>
      <c r="Q131" s="66">
        <v>6.05</v>
      </c>
      <c r="R131" s="86">
        <f>Q131+Костромаэнерго!D131</f>
        <v>11.5</v>
      </c>
      <c r="S131" s="86">
        <v>0</v>
      </c>
      <c r="T131" s="43">
        <v>120</v>
      </c>
      <c r="U131" s="37">
        <f t="shared" si="19"/>
        <v>11.5</v>
      </c>
      <c r="V131" s="88">
        <v>0</v>
      </c>
      <c r="W131" s="68">
        <f>1.05*25</f>
        <v>26.25</v>
      </c>
      <c r="X131" s="89">
        <f t="shared" si="20"/>
        <v>14.75</v>
      </c>
      <c r="Y131" s="253"/>
      <c r="Z131" s="192"/>
    </row>
    <row r="132" spans="1:27" s="2" customFormat="1" ht="31.5" customHeight="1">
      <c r="A132" s="70">
        <v>98</v>
      </c>
      <c r="B132" s="97" t="s">
        <v>159</v>
      </c>
      <c r="C132" s="91" t="s">
        <v>1</v>
      </c>
      <c r="D132" s="103">
        <v>8.91</v>
      </c>
      <c r="E132" s="86">
        <v>0.02</v>
      </c>
      <c r="F132" s="43">
        <v>120</v>
      </c>
      <c r="G132" s="15">
        <f t="shared" si="18"/>
        <v>8.89</v>
      </c>
      <c r="H132" s="15">
        <v>0</v>
      </c>
      <c r="I132" s="68">
        <f>1.05*25</f>
        <v>26.25</v>
      </c>
      <c r="J132" s="68">
        <f t="shared" si="21"/>
        <v>17.36</v>
      </c>
      <c r="K132" s="99">
        <f>J132</f>
        <v>17.36</v>
      </c>
      <c r="L132" s="63" t="str">
        <f aca="true" t="shared" si="28" ref="L132:L142">IF(K132&lt;0,"closed","opened")</f>
        <v>opened</v>
      </c>
      <c r="M132" s="23"/>
      <c r="N132" s="70">
        <v>98</v>
      </c>
      <c r="O132" s="97" t="s">
        <v>159</v>
      </c>
      <c r="P132" s="91" t="s">
        <v>1</v>
      </c>
      <c r="Q132" s="103">
        <v>4.951</v>
      </c>
      <c r="R132" s="86">
        <f>Q132+Костромаэнерго!D132</f>
        <v>13.861</v>
      </c>
      <c r="S132" s="86">
        <v>0.02</v>
      </c>
      <c r="T132" s="43">
        <v>120</v>
      </c>
      <c r="U132" s="37">
        <f t="shared" si="19"/>
        <v>13.841000000000001</v>
      </c>
      <c r="V132" s="88">
        <v>0</v>
      </c>
      <c r="W132" s="68">
        <f>1.05*25</f>
        <v>26.25</v>
      </c>
      <c r="X132" s="89">
        <f t="shared" si="20"/>
        <v>12.408999999999999</v>
      </c>
      <c r="Y132" s="15">
        <f aca="true" t="shared" si="29" ref="Y132:Y141">X132</f>
        <v>12.408999999999999</v>
      </c>
      <c r="Z132" s="62" t="str">
        <f>IF(Y132&lt;0,"closed","opened")</f>
        <v>opened</v>
      </c>
      <c r="AA132" s="4" t="s">
        <v>231</v>
      </c>
    </row>
    <row r="133" spans="1:26" s="1" customFormat="1" ht="22.5">
      <c r="A133" s="39">
        <v>99</v>
      </c>
      <c r="B133" s="97" t="s">
        <v>160</v>
      </c>
      <c r="C133" s="91" t="s">
        <v>12</v>
      </c>
      <c r="D133" s="104">
        <v>10.38</v>
      </c>
      <c r="E133" s="86">
        <v>0</v>
      </c>
      <c r="F133" s="43">
        <v>0</v>
      </c>
      <c r="G133" s="15">
        <f t="shared" si="18"/>
        <v>10.38</v>
      </c>
      <c r="H133" s="31">
        <v>0</v>
      </c>
      <c r="I133" s="68">
        <f>1.05*10</f>
        <v>10.5</v>
      </c>
      <c r="J133" s="68">
        <f t="shared" si="21"/>
        <v>0.11999999999999922</v>
      </c>
      <c r="K133" s="99">
        <f>J133</f>
        <v>0.11999999999999922</v>
      </c>
      <c r="L133" s="63" t="str">
        <f t="shared" si="28"/>
        <v>opened</v>
      </c>
      <c r="M133" s="23"/>
      <c r="N133" s="129">
        <v>99</v>
      </c>
      <c r="O133" s="196" t="s">
        <v>160</v>
      </c>
      <c r="P133" s="122" t="s">
        <v>12</v>
      </c>
      <c r="Q133" s="130">
        <v>0.544</v>
      </c>
      <c r="R133" s="124">
        <f>Q133+Костромаэнерго!D133</f>
        <v>10.924000000000001</v>
      </c>
      <c r="S133" s="124">
        <v>0</v>
      </c>
      <c r="T133" s="58">
        <v>0</v>
      </c>
      <c r="U133" s="59">
        <f t="shared" si="19"/>
        <v>10.924000000000001</v>
      </c>
      <c r="V133" s="126">
        <v>0</v>
      </c>
      <c r="W133" s="121">
        <v>10.5</v>
      </c>
      <c r="X133" s="127">
        <f t="shared" si="20"/>
        <v>-0.42400000000000126</v>
      </c>
      <c r="Y133" s="120">
        <f t="shared" si="29"/>
        <v>-0.42400000000000126</v>
      </c>
      <c r="Z133" s="131" t="str">
        <f>IF(Y133&lt;0,"закрыт","открыт")</f>
        <v>закрыт</v>
      </c>
    </row>
    <row r="134" spans="1:26" s="1" customFormat="1" ht="22.5">
      <c r="A134" s="39">
        <v>100</v>
      </c>
      <c r="B134" s="97" t="s">
        <v>161</v>
      </c>
      <c r="C134" s="91" t="s">
        <v>26</v>
      </c>
      <c r="D134" s="104">
        <v>19.24</v>
      </c>
      <c r="E134" s="93">
        <v>0</v>
      </c>
      <c r="F134" s="43">
        <v>0</v>
      </c>
      <c r="G134" s="15">
        <f t="shared" si="18"/>
        <v>19.24</v>
      </c>
      <c r="H134" s="31">
        <v>0</v>
      </c>
      <c r="I134" s="68">
        <f>1.05*20</f>
        <v>21</v>
      </c>
      <c r="J134" s="68">
        <f t="shared" si="21"/>
        <v>1.7600000000000016</v>
      </c>
      <c r="K134" s="99">
        <f aca="true" t="shared" si="30" ref="K134:K141">J134</f>
        <v>1.7600000000000016</v>
      </c>
      <c r="L134" s="46" t="str">
        <f t="shared" si="28"/>
        <v>opened</v>
      </c>
      <c r="M134" s="23"/>
      <c r="N134" s="52">
        <v>100</v>
      </c>
      <c r="O134" s="97" t="s">
        <v>161</v>
      </c>
      <c r="P134" s="94" t="s">
        <v>26</v>
      </c>
      <c r="Q134" s="103">
        <v>1.31</v>
      </c>
      <c r="R134" s="86">
        <f>Q134+Костромаэнерго!D134</f>
        <v>20.549999999999997</v>
      </c>
      <c r="S134" s="86">
        <v>0</v>
      </c>
      <c r="T134" s="43">
        <v>0</v>
      </c>
      <c r="U134" s="37">
        <f t="shared" si="19"/>
        <v>20.549999999999997</v>
      </c>
      <c r="V134" s="88">
        <v>0</v>
      </c>
      <c r="W134" s="68">
        <f>1.05*20</f>
        <v>21</v>
      </c>
      <c r="X134" s="89">
        <f t="shared" si="20"/>
        <v>0.45000000000000284</v>
      </c>
      <c r="Y134" s="15">
        <f t="shared" si="29"/>
        <v>0.45000000000000284</v>
      </c>
      <c r="Z134" s="46" t="str">
        <f aca="true" t="shared" si="31" ref="Z134:Z142">IF(Y134&lt;0,"closed","opened")</f>
        <v>opened</v>
      </c>
    </row>
    <row r="135" spans="1:26" s="1" customFormat="1" ht="22.5">
      <c r="A135" s="39">
        <v>101</v>
      </c>
      <c r="B135" s="97" t="s">
        <v>162</v>
      </c>
      <c r="C135" s="91" t="s">
        <v>7</v>
      </c>
      <c r="D135" s="115">
        <v>9.030001</v>
      </c>
      <c r="E135" s="93">
        <v>0</v>
      </c>
      <c r="F135" s="43">
        <v>0</v>
      </c>
      <c r="G135" s="15">
        <f t="shared" si="18"/>
        <v>9.030001</v>
      </c>
      <c r="H135" s="31">
        <v>0</v>
      </c>
      <c r="I135" s="68">
        <f>1.05*40</f>
        <v>42</v>
      </c>
      <c r="J135" s="68">
        <f t="shared" si="21"/>
        <v>32.969999</v>
      </c>
      <c r="K135" s="99">
        <f t="shared" si="30"/>
        <v>32.969999</v>
      </c>
      <c r="L135" s="46" t="str">
        <f t="shared" si="28"/>
        <v>opened</v>
      </c>
      <c r="M135" s="23"/>
      <c r="N135" s="52">
        <v>101</v>
      </c>
      <c r="O135" s="97" t="s">
        <v>162</v>
      </c>
      <c r="P135" s="94" t="s">
        <v>7</v>
      </c>
      <c r="Q135" s="103">
        <v>4.433</v>
      </c>
      <c r="R135" s="86">
        <f>Q135+Костромаэнерго!D135</f>
        <v>13.463001</v>
      </c>
      <c r="S135" s="86">
        <v>0</v>
      </c>
      <c r="T135" s="43">
        <v>0</v>
      </c>
      <c r="U135" s="37">
        <f t="shared" si="19"/>
        <v>13.463001</v>
      </c>
      <c r="V135" s="88">
        <v>0</v>
      </c>
      <c r="W135" s="68">
        <f>1.05*40</f>
        <v>42</v>
      </c>
      <c r="X135" s="89">
        <f t="shared" si="20"/>
        <v>28.536999</v>
      </c>
      <c r="Y135" s="15">
        <f t="shared" si="29"/>
        <v>28.536999</v>
      </c>
      <c r="Z135" s="46" t="str">
        <f t="shared" si="31"/>
        <v>opened</v>
      </c>
    </row>
    <row r="136" spans="1:26" s="1" customFormat="1" ht="22.5">
      <c r="A136" s="71">
        <v>102</v>
      </c>
      <c r="B136" s="97" t="s">
        <v>163</v>
      </c>
      <c r="C136" s="91" t="s">
        <v>1</v>
      </c>
      <c r="D136" s="103">
        <v>16.44</v>
      </c>
      <c r="E136" s="93">
        <v>0</v>
      </c>
      <c r="F136" s="43">
        <v>0</v>
      </c>
      <c r="G136" s="15">
        <f t="shared" si="18"/>
        <v>16.44</v>
      </c>
      <c r="H136" s="31">
        <v>0</v>
      </c>
      <c r="I136" s="68">
        <f>1.05*25</f>
        <v>26.25</v>
      </c>
      <c r="J136" s="68">
        <f t="shared" si="21"/>
        <v>9.809999999999999</v>
      </c>
      <c r="K136" s="105">
        <f>MIN(J136:J136)</f>
        <v>9.809999999999999</v>
      </c>
      <c r="L136" s="46" t="str">
        <f t="shared" si="28"/>
        <v>opened</v>
      </c>
      <c r="M136" s="23"/>
      <c r="N136" s="65">
        <v>102</v>
      </c>
      <c r="O136" s="97" t="s">
        <v>163</v>
      </c>
      <c r="P136" s="94" t="s">
        <v>1</v>
      </c>
      <c r="Q136" s="103">
        <v>5.935</v>
      </c>
      <c r="R136" s="86">
        <f>Q136+Костромаэнерго!D136</f>
        <v>22.375</v>
      </c>
      <c r="S136" s="86">
        <v>0</v>
      </c>
      <c r="T136" s="43">
        <v>0</v>
      </c>
      <c r="U136" s="37">
        <f t="shared" si="19"/>
        <v>22.375</v>
      </c>
      <c r="V136" s="88">
        <v>0</v>
      </c>
      <c r="W136" s="68">
        <f>1.05*25</f>
        <v>26.25</v>
      </c>
      <c r="X136" s="89">
        <f t="shared" si="20"/>
        <v>3.875</v>
      </c>
      <c r="Y136" s="15">
        <f t="shared" si="29"/>
        <v>3.875</v>
      </c>
      <c r="Z136" s="46" t="str">
        <f t="shared" si="31"/>
        <v>opened</v>
      </c>
    </row>
    <row r="137" spans="1:27" s="2" customFormat="1" ht="22.5">
      <c r="A137" s="52">
        <v>103</v>
      </c>
      <c r="B137" s="97" t="s">
        <v>164</v>
      </c>
      <c r="C137" s="91" t="s">
        <v>24</v>
      </c>
      <c r="D137" s="103">
        <v>1.99</v>
      </c>
      <c r="E137" s="86">
        <v>1.2</v>
      </c>
      <c r="F137" s="43">
        <v>120</v>
      </c>
      <c r="G137" s="15">
        <f t="shared" si="18"/>
        <v>0.79</v>
      </c>
      <c r="H137" s="31">
        <v>0</v>
      </c>
      <c r="I137" s="68">
        <f>1.05*6.3</f>
        <v>6.615</v>
      </c>
      <c r="J137" s="68">
        <f aca="true" t="shared" si="32" ref="J137:J200">I137-G137-H137</f>
        <v>5.825</v>
      </c>
      <c r="K137" s="99">
        <f t="shared" si="30"/>
        <v>5.825</v>
      </c>
      <c r="L137" s="46" t="str">
        <f t="shared" si="28"/>
        <v>opened</v>
      </c>
      <c r="M137" s="23"/>
      <c r="N137" s="52">
        <v>103</v>
      </c>
      <c r="O137" s="97" t="s">
        <v>164</v>
      </c>
      <c r="P137" s="94" t="s">
        <v>24</v>
      </c>
      <c r="Q137" s="103">
        <v>0.735</v>
      </c>
      <c r="R137" s="86">
        <f>Q137+Костромаэнерго!D137</f>
        <v>2.725</v>
      </c>
      <c r="S137" s="86">
        <v>1.2</v>
      </c>
      <c r="T137" s="43">
        <v>120</v>
      </c>
      <c r="U137" s="37">
        <f t="shared" si="19"/>
        <v>1.5250000000000001</v>
      </c>
      <c r="V137" s="88">
        <v>0</v>
      </c>
      <c r="W137" s="68">
        <f>1.05*6.3</f>
        <v>6.615</v>
      </c>
      <c r="X137" s="89">
        <f t="shared" si="20"/>
        <v>5.09</v>
      </c>
      <c r="Y137" s="15">
        <f t="shared" si="29"/>
        <v>5.09</v>
      </c>
      <c r="Z137" s="46" t="str">
        <f t="shared" si="31"/>
        <v>opened</v>
      </c>
      <c r="AA137" s="3"/>
    </row>
    <row r="138" spans="1:26" s="2" customFormat="1" ht="22.5">
      <c r="A138" s="52">
        <v>104</v>
      </c>
      <c r="B138" s="97" t="s">
        <v>165</v>
      </c>
      <c r="C138" s="91" t="s">
        <v>15</v>
      </c>
      <c r="D138" s="103">
        <v>1.29</v>
      </c>
      <c r="E138" s="86">
        <v>0.76</v>
      </c>
      <c r="F138" s="43">
        <v>120</v>
      </c>
      <c r="G138" s="15">
        <f t="shared" si="18"/>
        <v>0.53</v>
      </c>
      <c r="H138" s="31">
        <v>0</v>
      </c>
      <c r="I138" s="68">
        <f>1.05*4</f>
        <v>4.2</v>
      </c>
      <c r="J138" s="68">
        <f t="shared" si="32"/>
        <v>3.67</v>
      </c>
      <c r="K138" s="99">
        <f t="shared" si="30"/>
        <v>3.67</v>
      </c>
      <c r="L138" s="46" t="str">
        <f t="shared" si="28"/>
        <v>opened</v>
      </c>
      <c r="M138" s="23"/>
      <c r="N138" s="52">
        <v>104</v>
      </c>
      <c r="O138" s="97" t="s">
        <v>165</v>
      </c>
      <c r="P138" s="94" t="s">
        <v>15</v>
      </c>
      <c r="Q138" s="103">
        <v>0.252</v>
      </c>
      <c r="R138" s="86">
        <f>Q138+Костромаэнерго!D138</f>
        <v>1.542</v>
      </c>
      <c r="S138" s="96">
        <v>0.76</v>
      </c>
      <c r="T138" s="43">
        <v>120</v>
      </c>
      <c r="U138" s="37">
        <f t="shared" si="19"/>
        <v>0.782</v>
      </c>
      <c r="V138" s="88">
        <v>0</v>
      </c>
      <c r="W138" s="68">
        <f>1.05*4</f>
        <v>4.2</v>
      </c>
      <c r="X138" s="89">
        <f t="shared" si="20"/>
        <v>3.418</v>
      </c>
      <c r="Y138" s="15">
        <f t="shared" si="29"/>
        <v>3.418</v>
      </c>
      <c r="Z138" s="46" t="str">
        <f t="shared" si="31"/>
        <v>opened</v>
      </c>
    </row>
    <row r="139" spans="1:27" s="5" customFormat="1" ht="22.5">
      <c r="A139" s="129">
        <v>105</v>
      </c>
      <c r="B139" s="196" t="s">
        <v>166</v>
      </c>
      <c r="C139" s="116" t="s">
        <v>27</v>
      </c>
      <c r="D139" s="132">
        <v>22.36</v>
      </c>
      <c r="E139" s="124">
        <v>0</v>
      </c>
      <c r="F139" s="58">
        <v>0</v>
      </c>
      <c r="G139" s="133">
        <f aca="true" t="shared" si="33" ref="G139:G202">D139-E139</f>
        <v>22.36</v>
      </c>
      <c r="H139" s="120">
        <v>0</v>
      </c>
      <c r="I139" s="121">
        <f>1.05*(10+6.3)</f>
        <v>17.115000000000002</v>
      </c>
      <c r="J139" s="121">
        <f t="shared" si="32"/>
        <v>-5.244999999999997</v>
      </c>
      <c r="K139" s="134">
        <f t="shared" si="30"/>
        <v>-5.244999999999997</v>
      </c>
      <c r="L139" s="61" t="str">
        <f t="shared" si="28"/>
        <v>closed</v>
      </c>
      <c r="M139" s="23"/>
      <c r="N139" s="129">
        <v>105</v>
      </c>
      <c r="O139" s="196" t="s">
        <v>166</v>
      </c>
      <c r="P139" s="122" t="s">
        <v>27</v>
      </c>
      <c r="Q139" s="130">
        <v>2.047</v>
      </c>
      <c r="R139" s="124">
        <f>Q139+Костромаэнерго!D139</f>
        <v>24.407</v>
      </c>
      <c r="S139" s="124">
        <v>0</v>
      </c>
      <c r="T139" s="58">
        <v>0</v>
      </c>
      <c r="U139" s="59">
        <f aca="true" t="shared" si="34" ref="U139:U202">R139-S139</f>
        <v>24.407</v>
      </c>
      <c r="V139" s="126">
        <v>0</v>
      </c>
      <c r="W139" s="121">
        <f>1.05*16.3</f>
        <v>17.115000000000002</v>
      </c>
      <c r="X139" s="127">
        <f aca="true" t="shared" si="35" ref="X139:X202">W139-V139-U139</f>
        <v>-7.291999999999998</v>
      </c>
      <c r="Y139" s="120">
        <f t="shared" si="29"/>
        <v>-7.291999999999998</v>
      </c>
      <c r="Z139" s="61" t="str">
        <f t="shared" si="31"/>
        <v>closed</v>
      </c>
      <c r="AA139" s="2"/>
    </row>
    <row r="140" spans="1:27" s="2" customFormat="1" ht="22.5">
      <c r="A140" s="52">
        <v>106</v>
      </c>
      <c r="B140" s="97" t="s">
        <v>167</v>
      </c>
      <c r="C140" s="91" t="s">
        <v>24</v>
      </c>
      <c r="D140" s="103">
        <v>3.46</v>
      </c>
      <c r="E140" s="86">
        <v>0</v>
      </c>
      <c r="F140" s="43">
        <v>0</v>
      </c>
      <c r="G140" s="15">
        <f t="shared" si="33"/>
        <v>3.46</v>
      </c>
      <c r="H140" s="31">
        <v>0</v>
      </c>
      <c r="I140" s="68">
        <f>1.05*6.3</f>
        <v>6.615</v>
      </c>
      <c r="J140" s="68">
        <f t="shared" si="32"/>
        <v>3.1550000000000002</v>
      </c>
      <c r="K140" s="99">
        <f t="shared" si="30"/>
        <v>3.1550000000000002</v>
      </c>
      <c r="L140" s="46" t="str">
        <f t="shared" si="28"/>
        <v>opened</v>
      </c>
      <c r="M140" s="23"/>
      <c r="N140" s="52">
        <v>106</v>
      </c>
      <c r="O140" s="97" t="s">
        <v>167</v>
      </c>
      <c r="P140" s="94" t="s">
        <v>24</v>
      </c>
      <c r="Q140" s="103">
        <v>1.466</v>
      </c>
      <c r="R140" s="86">
        <f>Q140+Костромаэнерго!D140</f>
        <v>4.926</v>
      </c>
      <c r="S140" s="86">
        <v>0</v>
      </c>
      <c r="T140" s="43">
        <v>0</v>
      </c>
      <c r="U140" s="37">
        <f t="shared" si="34"/>
        <v>4.926</v>
      </c>
      <c r="V140" s="88">
        <v>0</v>
      </c>
      <c r="W140" s="68">
        <f>1.05*6.3</f>
        <v>6.615</v>
      </c>
      <c r="X140" s="89">
        <f t="shared" si="35"/>
        <v>1.689</v>
      </c>
      <c r="Y140" s="15">
        <f t="shared" si="29"/>
        <v>1.689</v>
      </c>
      <c r="Z140" s="46" t="str">
        <f t="shared" si="31"/>
        <v>opened</v>
      </c>
      <c r="AA140" s="3"/>
    </row>
    <row r="141" spans="1:27" s="2" customFormat="1" ht="22.5">
      <c r="A141" s="52">
        <v>107</v>
      </c>
      <c r="B141" s="97" t="s">
        <v>168</v>
      </c>
      <c r="C141" s="91" t="s">
        <v>14</v>
      </c>
      <c r="D141" s="103">
        <v>1.67</v>
      </c>
      <c r="E141" s="86">
        <v>0.85</v>
      </c>
      <c r="F141" s="43">
        <v>120</v>
      </c>
      <c r="G141" s="15">
        <f t="shared" si="33"/>
        <v>0.82</v>
      </c>
      <c r="H141" s="31">
        <v>0</v>
      </c>
      <c r="I141" s="68">
        <f>1.05*2.5</f>
        <v>2.625</v>
      </c>
      <c r="J141" s="68">
        <f t="shared" si="32"/>
        <v>1.8050000000000002</v>
      </c>
      <c r="K141" s="99">
        <f t="shared" si="30"/>
        <v>1.8050000000000002</v>
      </c>
      <c r="L141" s="46" t="str">
        <f t="shared" si="28"/>
        <v>opened</v>
      </c>
      <c r="M141" s="23"/>
      <c r="N141" s="52">
        <v>107</v>
      </c>
      <c r="O141" s="97" t="s">
        <v>168</v>
      </c>
      <c r="P141" s="94" t="s">
        <v>14</v>
      </c>
      <c r="Q141" s="103">
        <v>0.375</v>
      </c>
      <c r="R141" s="86">
        <f>Q141+Костромаэнерго!D141</f>
        <v>2.045</v>
      </c>
      <c r="S141" s="86">
        <v>0.85</v>
      </c>
      <c r="T141" s="43">
        <v>120</v>
      </c>
      <c r="U141" s="37">
        <f t="shared" si="34"/>
        <v>1.1949999999999998</v>
      </c>
      <c r="V141" s="88">
        <v>0</v>
      </c>
      <c r="W141" s="68">
        <f>1.05*2.5</f>
        <v>2.625</v>
      </c>
      <c r="X141" s="89">
        <f t="shared" si="35"/>
        <v>1.4300000000000002</v>
      </c>
      <c r="Y141" s="15">
        <f t="shared" si="29"/>
        <v>1.4300000000000002</v>
      </c>
      <c r="Z141" s="46" t="str">
        <f t="shared" si="31"/>
        <v>opened</v>
      </c>
      <c r="AA141" s="3"/>
    </row>
    <row r="142" spans="1:26" s="2" customFormat="1" ht="22.5">
      <c r="A142" s="220">
        <v>108</v>
      </c>
      <c r="B142" s="97" t="s">
        <v>169</v>
      </c>
      <c r="C142" s="91" t="s">
        <v>21</v>
      </c>
      <c r="D142" s="103">
        <v>7.54</v>
      </c>
      <c r="E142" s="98">
        <f>E144+E143</f>
        <v>1.44</v>
      </c>
      <c r="F142" s="43">
        <v>120</v>
      </c>
      <c r="G142" s="44">
        <f t="shared" si="33"/>
        <v>6.1</v>
      </c>
      <c r="H142" s="31">
        <v>0</v>
      </c>
      <c r="I142" s="68">
        <f>1.05*16</f>
        <v>16.8</v>
      </c>
      <c r="J142" s="68">
        <f t="shared" si="32"/>
        <v>10.700000000000001</v>
      </c>
      <c r="K142" s="229">
        <f>MIN(J142:J144)</f>
        <v>10.700000000000001</v>
      </c>
      <c r="L142" s="190" t="str">
        <f t="shared" si="28"/>
        <v>opened</v>
      </c>
      <c r="M142" s="23"/>
      <c r="N142" s="220">
        <v>108</v>
      </c>
      <c r="O142" s="97" t="s">
        <v>169</v>
      </c>
      <c r="P142" s="94" t="s">
        <v>1</v>
      </c>
      <c r="Q142" s="66">
        <v>11.047</v>
      </c>
      <c r="R142" s="86">
        <f>Q142+Костромаэнерго!D142</f>
        <v>18.587</v>
      </c>
      <c r="S142" s="101">
        <f>S144+S143</f>
        <v>1.44</v>
      </c>
      <c r="T142" s="43">
        <v>120</v>
      </c>
      <c r="U142" s="37">
        <f t="shared" si="34"/>
        <v>17.147</v>
      </c>
      <c r="V142" s="88">
        <v>0</v>
      </c>
      <c r="W142" s="68">
        <f>1.05*25</f>
        <v>26.25</v>
      </c>
      <c r="X142" s="89">
        <f t="shared" si="35"/>
        <v>9.103000000000002</v>
      </c>
      <c r="Y142" s="251">
        <f>MIN(X142:X144)</f>
        <v>9.103000000000002</v>
      </c>
      <c r="Z142" s="190" t="str">
        <f t="shared" si="31"/>
        <v>opened</v>
      </c>
    </row>
    <row r="143" spans="1:26" s="2" customFormat="1" ht="12.75">
      <c r="A143" s="221"/>
      <c r="B143" s="67" t="s">
        <v>92</v>
      </c>
      <c r="C143" s="91" t="s">
        <v>21</v>
      </c>
      <c r="D143" s="135">
        <v>0.62</v>
      </c>
      <c r="E143" s="86">
        <v>0</v>
      </c>
      <c r="F143" s="43">
        <v>120</v>
      </c>
      <c r="G143" s="50">
        <f t="shared" si="33"/>
        <v>0.62</v>
      </c>
      <c r="H143" s="31">
        <v>0</v>
      </c>
      <c r="I143" s="68">
        <f>1.05*16</f>
        <v>16.8</v>
      </c>
      <c r="J143" s="68">
        <f>I143-D143</f>
        <v>16.18</v>
      </c>
      <c r="K143" s="227"/>
      <c r="L143" s="191"/>
      <c r="M143" s="23"/>
      <c r="N143" s="221"/>
      <c r="O143" s="67" t="s">
        <v>92</v>
      </c>
      <c r="P143" s="94" t="s">
        <v>1</v>
      </c>
      <c r="Q143" s="66">
        <v>11.047</v>
      </c>
      <c r="R143" s="86">
        <f>Q143+Костромаэнерго!D143</f>
        <v>11.667</v>
      </c>
      <c r="S143" s="86">
        <v>0</v>
      </c>
      <c r="T143" s="43">
        <v>120</v>
      </c>
      <c r="U143" s="37">
        <f t="shared" si="34"/>
        <v>11.667</v>
      </c>
      <c r="V143" s="88">
        <v>0</v>
      </c>
      <c r="W143" s="68">
        <f>1.05*25</f>
        <v>26.25</v>
      </c>
      <c r="X143" s="89">
        <f t="shared" si="35"/>
        <v>14.583</v>
      </c>
      <c r="Y143" s="251"/>
      <c r="Z143" s="191"/>
    </row>
    <row r="144" spans="1:26" s="2" customFormat="1" ht="12.75">
      <c r="A144" s="222"/>
      <c r="B144" s="67" t="s">
        <v>93</v>
      </c>
      <c r="C144" s="91" t="s">
        <v>21</v>
      </c>
      <c r="D144" s="92">
        <v>6.92</v>
      </c>
      <c r="E144" s="86">
        <v>1.44</v>
      </c>
      <c r="F144" s="43">
        <v>120</v>
      </c>
      <c r="G144" s="50">
        <f t="shared" si="33"/>
        <v>5.48</v>
      </c>
      <c r="H144" s="31">
        <v>0</v>
      </c>
      <c r="I144" s="68">
        <f>1.05*16</f>
        <v>16.8</v>
      </c>
      <c r="J144" s="68">
        <f t="shared" si="32"/>
        <v>11.32</v>
      </c>
      <c r="K144" s="230"/>
      <c r="L144" s="192"/>
      <c r="M144" s="23"/>
      <c r="N144" s="222"/>
      <c r="O144" s="67" t="s">
        <v>93</v>
      </c>
      <c r="P144" s="94" t="s">
        <v>1</v>
      </c>
      <c r="Q144" s="66">
        <v>0</v>
      </c>
      <c r="R144" s="86">
        <f>Q144+Костромаэнерго!D144</f>
        <v>6.92</v>
      </c>
      <c r="S144" s="86">
        <v>1.44</v>
      </c>
      <c r="T144" s="43">
        <v>120</v>
      </c>
      <c r="U144" s="37">
        <f t="shared" si="34"/>
        <v>5.48</v>
      </c>
      <c r="V144" s="88">
        <v>0</v>
      </c>
      <c r="W144" s="68">
        <f>1.05*25</f>
        <v>26.25</v>
      </c>
      <c r="X144" s="89">
        <f t="shared" si="35"/>
        <v>20.77</v>
      </c>
      <c r="Y144" s="251"/>
      <c r="Z144" s="192"/>
    </row>
    <row r="145" spans="1:26" s="2" customFormat="1" ht="27.75" customHeight="1">
      <c r="A145" s="220">
        <v>109</v>
      </c>
      <c r="B145" s="97" t="s">
        <v>170</v>
      </c>
      <c r="C145" s="91" t="s">
        <v>25</v>
      </c>
      <c r="D145" s="92">
        <v>6.48</v>
      </c>
      <c r="E145" s="98">
        <f>E147+E146</f>
        <v>0</v>
      </c>
      <c r="F145" s="43">
        <v>0</v>
      </c>
      <c r="G145" s="50">
        <f t="shared" si="33"/>
        <v>6.48</v>
      </c>
      <c r="H145" s="31">
        <v>0</v>
      </c>
      <c r="I145" s="68">
        <f>1.05*10</f>
        <v>10.5</v>
      </c>
      <c r="J145" s="68">
        <f t="shared" si="32"/>
        <v>4.02</v>
      </c>
      <c r="K145" s="229">
        <f>MIN(J145:J147)</f>
        <v>4.02</v>
      </c>
      <c r="L145" s="191" t="str">
        <f>IF(K145&lt;0,"closed","opened")</f>
        <v>opened</v>
      </c>
      <c r="M145" s="23"/>
      <c r="N145" s="220">
        <v>109</v>
      </c>
      <c r="O145" s="97" t="s">
        <v>170</v>
      </c>
      <c r="P145" s="94" t="s">
        <v>25</v>
      </c>
      <c r="Q145" s="66">
        <v>2.89</v>
      </c>
      <c r="R145" s="86">
        <f>Q145+Костромаэнерго!D145</f>
        <v>9.370000000000001</v>
      </c>
      <c r="S145" s="101">
        <f>S147+S146</f>
        <v>0</v>
      </c>
      <c r="T145" s="43">
        <v>0</v>
      </c>
      <c r="U145" s="37">
        <f t="shared" si="34"/>
        <v>9.370000000000001</v>
      </c>
      <c r="V145" s="88">
        <v>0</v>
      </c>
      <c r="W145" s="68">
        <f>1.05*10</f>
        <v>10.5</v>
      </c>
      <c r="X145" s="89">
        <f t="shared" si="35"/>
        <v>1.129999999999999</v>
      </c>
      <c r="Y145" s="251">
        <f>MIN(X145:X147)</f>
        <v>1.129999999999999</v>
      </c>
      <c r="Z145" s="191" t="str">
        <f>IF(Y145&lt;0,"closed","opened")</f>
        <v>opened</v>
      </c>
    </row>
    <row r="146" spans="1:26" s="2" customFormat="1" ht="12.75">
      <c r="A146" s="221"/>
      <c r="B146" s="67" t="s">
        <v>92</v>
      </c>
      <c r="C146" s="91" t="s">
        <v>25</v>
      </c>
      <c r="D146" s="92">
        <v>0.62</v>
      </c>
      <c r="E146" s="86">
        <v>0</v>
      </c>
      <c r="F146" s="43">
        <v>0</v>
      </c>
      <c r="G146" s="50">
        <f t="shared" si="33"/>
        <v>0.62</v>
      </c>
      <c r="H146" s="31">
        <v>0</v>
      </c>
      <c r="I146" s="68">
        <f>1.05*10</f>
        <v>10.5</v>
      </c>
      <c r="J146" s="68">
        <f>I146-D146</f>
        <v>9.88</v>
      </c>
      <c r="K146" s="227"/>
      <c r="L146" s="191"/>
      <c r="M146" s="23"/>
      <c r="N146" s="221"/>
      <c r="O146" s="67" t="s">
        <v>92</v>
      </c>
      <c r="P146" s="94" t="s">
        <v>25</v>
      </c>
      <c r="Q146" s="95">
        <v>0</v>
      </c>
      <c r="R146" s="86">
        <f>Q146+Костромаэнерго!D146</f>
        <v>0.62</v>
      </c>
      <c r="S146" s="86">
        <v>0</v>
      </c>
      <c r="T146" s="43">
        <v>0</v>
      </c>
      <c r="U146" s="37">
        <f t="shared" si="34"/>
        <v>0.62</v>
      </c>
      <c r="V146" s="88">
        <v>0</v>
      </c>
      <c r="W146" s="68">
        <f>1.05*10</f>
        <v>10.5</v>
      </c>
      <c r="X146" s="89">
        <f t="shared" si="35"/>
        <v>9.88</v>
      </c>
      <c r="Y146" s="251"/>
      <c r="Z146" s="191"/>
    </row>
    <row r="147" spans="1:26" s="2" customFormat="1" ht="12.75">
      <c r="A147" s="222"/>
      <c r="B147" s="67" t="s">
        <v>93</v>
      </c>
      <c r="C147" s="91" t="s">
        <v>25</v>
      </c>
      <c r="D147" s="92">
        <v>5.86</v>
      </c>
      <c r="E147" s="86">
        <v>0</v>
      </c>
      <c r="F147" s="43">
        <v>0</v>
      </c>
      <c r="G147" s="50">
        <f t="shared" si="33"/>
        <v>5.86</v>
      </c>
      <c r="H147" s="31">
        <v>0</v>
      </c>
      <c r="I147" s="68">
        <f>1.05*10</f>
        <v>10.5</v>
      </c>
      <c r="J147" s="68">
        <f t="shared" si="32"/>
        <v>4.64</v>
      </c>
      <c r="K147" s="230"/>
      <c r="L147" s="191"/>
      <c r="M147" s="23"/>
      <c r="N147" s="222"/>
      <c r="O147" s="67" t="s">
        <v>93</v>
      </c>
      <c r="P147" s="94" t="s">
        <v>25</v>
      </c>
      <c r="Q147" s="66">
        <v>2.89</v>
      </c>
      <c r="R147" s="86">
        <f>Q147+Костромаэнерго!D147</f>
        <v>8.75</v>
      </c>
      <c r="S147" s="86">
        <v>0</v>
      </c>
      <c r="T147" s="43">
        <v>0</v>
      </c>
      <c r="U147" s="37">
        <f t="shared" si="34"/>
        <v>8.75</v>
      </c>
      <c r="V147" s="88">
        <v>0</v>
      </c>
      <c r="W147" s="68">
        <f>1.05*10</f>
        <v>10.5</v>
      </c>
      <c r="X147" s="89">
        <f t="shared" si="35"/>
        <v>1.75</v>
      </c>
      <c r="Y147" s="251"/>
      <c r="Z147" s="191"/>
    </row>
    <row r="148" spans="1:26" s="2" customFormat="1" ht="22.5">
      <c r="A148" s="52">
        <v>110</v>
      </c>
      <c r="B148" s="97" t="s">
        <v>171</v>
      </c>
      <c r="C148" s="91" t="s">
        <v>28</v>
      </c>
      <c r="D148" s="104">
        <v>0.76</v>
      </c>
      <c r="E148" s="86">
        <v>0.82</v>
      </c>
      <c r="F148" s="43">
        <v>120</v>
      </c>
      <c r="G148" s="50">
        <f t="shared" si="33"/>
        <v>-0.05999999999999994</v>
      </c>
      <c r="H148" s="31">
        <v>0</v>
      </c>
      <c r="I148" s="68">
        <f>1.05*2.5</f>
        <v>2.625</v>
      </c>
      <c r="J148" s="68">
        <f t="shared" si="32"/>
        <v>2.685</v>
      </c>
      <c r="K148" s="99">
        <f>J148</f>
        <v>2.685</v>
      </c>
      <c r="L148" s="46" t="str">
        <f>IF(K148&lt;0,"closed","opened")</f>
        <v>opened</v>
      </c>
      <c r="M148" s="23"/>
      <c r="N148" s="52">
        <v>110</v>
      </c>
      <c r="O148" s="97" t="s">
        <v>171</v>
      </c>
      <c r="P148" s="94" t="s">
        <v>28</v>
      </c>
      <c r="Q148" s="103">
        <v>0.14</v>
      </c>
      <c r="R148" s="86">
        <f>Q148+Костромаэнерго!D148</f>
        <v>0.9</v>
      </c>
      <c r="S148" s="86">
        <v>0.82</v>
      </c>
      <c r="T148" s="43">
        <v>120</v>
      </c>
      <c r="U148" s="37">
        <f t="shared" si="34"/>
        <v>0.08000000000000007</v>
      </c>
      <c r="V148" s="88">
        <v>0</v>
      </c>
      <c r="W148" s="68">
        <f>1.05*2.5</f>
        <v>2.625</v>
      </c>
      <c r="X148" s="89">
        <f t="shared" si="35"/>
        <v>2.545</v>
      </c>
      <c r="Y148" s="15">
        <f>X148</f>
        <v>2.545</v>
      </c>
      <c r="Z148" s="46" t="str">
        <f>IF(Y148&lt;0,"closed","opened")</f>
        <v>opened</v>
      </c>
    </row>
    <row r="149" spans="1:26" s="2" customFormat="1" ht="25.5" customHeight="1">
      <c r="A149" s="220">
        <v>111</v>
      </c>
      <c r="B149" s="97" t="s">
        <v>172</v>
      </c>
      <c r="C149" s="91" t="s">
        <v>29</v>
      </c>
      <c r="D149" s="104">
        <v>1.87</v>
      </c>
      <c r="E149" s="100">
        <f>E151+E150</f>
        <v>0</v>
      </c>
      <c r="F149" s="43">
        <v>0</v>
      </c>
      <c r="G149" s="15">
        <f t="shared" si="33"/>
        <v>1.87</v>
      </c>
      <c r="H149" s="31">
        <v>0</v>
      </c>
      <c r="I149" s="68">
        <f>1.05*4</f>
        <v>4.2</v>
      </c>
      <c r="J149" s="68">
        <f t="shared" si="32"/>
        <v>2.33</v>
      </c>
      <c r="K149" s="229">
        <f>MIN(J149:J151)</f>
        <v>2.33</v>
      </c>
      <c r="L149" s="190" t="str">
        <f>IF(K149&lt;0,"closed","opened")</f>
        <v>opened</v>
      </c>
      <c r="M149" s="23"/>
      <c r="N149" s="220">
        <v>111</v>
      </c>
      <c r="O149" s="97" t="s">
        <v>172</v>
      </c>
      <c r="P149" s="94" t="s">
        <v>29</v>
      </c>
      <c r="Q149" s="66">
        <v>0.249</v>
      </c>
      <c r="R149" s="86">
        <f>Q149+Костромаэнерго!D149</f>
        <v>2.119</v>
      </c>
      <c r="S149" s="101">
        <f>S151+S150</f>
        <v>0</v>
      </c>
      <c r="T149" s="43">
        <v>120</v>
      </c>
      <c r="U149" s="37">
        <f t="shared" si="34"/>
        <v>2.119</v>
      </c>
      <c r="V149" s="88">
        <v>0</v>
      </c>
      <c r="W149" s="68">
        <f>1.05*4</f>
        <v>4.2</v>
      </c>
      <c r="X149" s="89">
        <f t="shared" si="35"/>
        <v>2.081</v>
      </c>
      <c r="Y149" s="251">
        <f>MIN(X149:X151)</f>
        <v>2.081</v>
      </c>
      <c r="Z149" s="190" t="str">
        <f>IF(Y149&lt;0,"closed","opened")</f>
        <v>opened</v>
      </c>
    </row>
    <row r="150" spans="1:26" s="2" customFormat="1" ht="12.75">
      <c r="A150" s="221"/>
      <c r="B150" s="67" t="s">
        <v>92</v>
      </c>
      <c r="C150" s="91" t="s">
        <v>29</v>
      </c>
      <c r="D150" s="91">
        <v>1.87</v>
      </c>
      <c r="E150" s="86">
        <v>0</v>
      </c>
      <c r="F150" s="43">
        <v>0</v>
      </c>
      <c r="G150" s="15">
        <f t="shared" si="33"/>
        <v>1.87</v>
      </c>
      <c r="H150" s="31">
        <v>0</v>
      </c>
      <c r="I150" s="68">
        <f>1.05*4</f>
        <v>4.2</v>
      </c>
      <c r="J150" s="68">
        <f>I150-D150</f>
        <v>2.33</v>
      </c>
      <c r="K150" s="227"/>
      <c r="L150" s="191"/>
      <c r="M150" s="23"/>
      <c r="N150" s="221"/>
      <c r="O150" s="67" t="s">
        <v>92</v>
      </c>
      <c r="P150" s="94" t="s">
        <v>29</v>
      </c>
      <c r="Q150" s="136">
        <v>0</v>
      </c>
      <c r="R150" s="86">
        <f>Q150+Костромаэнерго!D150</f>
        <v>1.87</v>
      </c>
      <c r="S150" s="86">
        <v>0</v>
      </c>
      <c r="T150" s="43">
        <v>120</v>
      </c>
      <c r="U150" s="37">
        <f t="shared" si="34"/>
        <v>1.87</v>
      </c>
      <c r="V150" s="88">
        <v>0</v>
      </c>
      <c r="W150" s="68">
        <f>1.05*4</f>
        <v>4.2</v>
      </c>
      <c r="X150" s="89">
        <f t="shared" si="35"/>
        <v>2.33</v>
      </c>
      <c r="Y150" s="251"/>
      <c r="Z150" s="191"/>
    </row>
    <row r="151" spans="1:26" s="2" customFormat="1" ht="12.75">
      <c r="A151" s="222"/>
      <c r="B151" s="67" t="s">
        <v>93</v>
      </c>
      <c r="C151" s="91" t="s">
        <v>29</v>
      </c>
      <c r="D151" s="92">
        <v>0</v>
      </c>
      <c r="E151" s="86">
        <v>0</v>
      </c>
      <c r="F151" s="43">
        <v>0</v>
      </c>
      <c r="G151" s="44">
        <f t="shared" si="33"/>
        <v>0</v>
      </c>
      <c r="H151" s="31">
        <v>0</v>
      </c>
      <c r="I151" s="68">
        <f>1.05*4</f>
        <v>4.2</v>
      </c>
      <c r="J151" s="68">
        <f t="shared" si="32"/>
        <v>4.2</v>
      </c>
      <c r="K151" s="230"/>
      <c r="L151" s="191"/>
      <c r="M151" s="23"/>
      <c r="N151" s="222"/>
      <c r="O151" s="67" t="s">
        <v>93</v>
      </c>
      <c r="P151" s="94" t="s">
        <v>29</v>
      </c>
      <c r="Q151" s="136">
        <v>0.249</v>
      </c>
      <c r="R151" s="86">
        <f>Q151+Костромаэнерго!D151</f>
        <v>0.249</v>
      </c>
      <c r="S151" s="86">
        <v>0</v>
      </c>
      <c r="T151" s="43">
        <v>120</v>
      </c>
      <c r="U151" s="37">
        <f t="shared" si="34"/>
        <v>0.249</v>
      </c>
      <c r="V151" s="88">
        <v>0</v>
      </c>
      <c r="W151" s="68">
        <f>1.05*4</f>
        <v>4.2</v>
      </c>
      <c r="X151" s="89">
        <f t="shared" si="35"/>
        <v>3.951</v>
      </c>
      <c r="Y151" s="251"/>
      <c r="Z151" s="191"/>
    </row>
    <row r="152" spans="1:26" s="2" customFormat="1" ht="22.5">
      <c r="A152" s="52">
        <v>112</v>
      </c>
      <c r="B152" s="97" t="s">
        <v>173</v>
      </c>
      <c r="C152" s="91" t="s">
        <v>24</v>
      </c>
      <c r="D152" s="103">
        <v>6.25</v>
      </c>
      <c r="E152" s="86">
        <v>1.2</v>
      </c>
      <c r="F152" s="43">
        <v>120</v>
      </c>
      <c r="G152" s="50">
        <f t="shared" si="33"/>
        <v>5.05</v>
      </c>
      <c r="H152" s="31">
        <v>0</v>
      </c>
      <c r="I152" s="68">
        <f>1.05*6.3</f>
        <v>6.615</v>
      </c>
      <c r="J152" s="68">
        <f t="shared" si="32"/>
        <v>1.5650000000000004</v>
      </c>
      <c r="K152" s="99">
        <f aca="true" t="shared" si="36" ref="K152:K157">J152</f>
        <v>1.5650000000000004</v>
      </c>
      <c r="L152" s="46" t="str">
        <f aca="true" t="shared" si="37" ref="L152:L158">IF(K152&lt;0,"closed","opened")</f>
        <v>opened</v>
      </c>
      <c r="M152" s="23"/>
      <c r="N152" s="52">
        <v>112</v>
      </c>
      <c r="O152" s="97" t="s">
        <v>173</v>
      </c>
      <c r="P152" s="94" t="s">
        <v>24</v>
      </c>
      <c r="Q152" s="103">
        <v>0.5</v>
      </c>
      <c r="R152" s="86">
        <f>Q152+Костромаэнерго!D152</f>
        <v>6.75</v>
      </c>
      <c r="S152" s="86">
        <v>1.2</v>
      </c>
      <c r="T152" s="43">
        <v>120</v>
      </c>
      <c r="U152" s="37">
        <f t="shared" si="34"/>
        <v>5.55</v>
      </c>
      <c r="V152" s="88">
        <v>0</v>
      </c>
      <c r="W152" s="68">
        <f>1.05*6.3</f>
        <v>6.615</v>
      </c>
      <c r="X152" s="89">
        <f t="shared" si="35"/>
        <v>1.0650000000000004</v>
      </c>
      <c r="Y152" s="15">
        <f aca="true" t="shared" si="38" ref="Y152:Y157">X152</f>
        <v>1.0650000000000004</v>
      </c>
      <c r="Z152" s="46" t="str">
        <f aca="true" t="shared" si="39" ref="Z152:Z158">IF(Y152&lt;0,"closed","opened")</f>
        <v>opened</v>
      </c>
    </row>
    <row r="153" spans="1:26" s="2" customFormat="1" ht="22.5">
      <c r="A153" s="52">
        <v>113</v>
      </c>
      <c r="B153" s="97" t="s">
        <v>174</v>
      </c>
      <c r="C153" s="91" t="s">
        <v>12</v>
      </c>
      <c r="D153" s="103">
        <v>5.08</v>
      </c>
      <c r="E153" s="86">
        <v>2.63</v>
      </c>
      <c r="F153" s="43">
        <v>120</v>
      </c>
      <c r="G153" s="15">
        <f t="shared" si="33"/>
        <v>2.45</v>
      </c>
      <c r="H153" s="31">
        <v>0</v>
      </c>
      <c r="I153" s="68">
        <f>1.05*10</f>
        <v>10.5</v>
      </c>
      <c r="J153" s="68">
        <f t="shared" si="32"/>
        <v>8.05</v>
      </c>
      <c r="K153" s="99">
        <f t="shared" si="36"/>
        <v>8.05</v>
      </c>
      <c r="L153" s="62" t="str">
        <f t="shared" si="37"/>
        <v>opened</v>
      </c>
      <c r="M153" s="23"/>
      <c r="N153" s="52">
        <v>113</v>
      </c>
      <c r="O153" s="97" t="s">
        <v>174</v>
      </c>
      <c r="P153" s="94" t="s">
        <v>12</v>
      </c>
      <c r="Q153" s="103">
        <v>0.006</v>
      </c>
      <c r="R153" s="86">
        <f>Q153+Костромаэнерго!D153</f>
        <v>5.086</v>
      </c>
      <c r="S153" s="86">
        <v>2.63</v>
      </c>
      <c r="T153" s="43">
        <v>120</v>
      </c>
      <c r="U153" s="37">
        <f t="shared" si="34"/>
        <v>2.4560000000000004</v>
      </c>
      <c r="V153" s="88">
        <v>0</v>
      </c>
      <c r="W153" s="68">
        <f>1.05*10</f>
        <v>10.5</v>
      </c>
      <c r="X153" s="89">
        <f t="shared" si="35"/>
        <v>8.044</v>
      </c>
      <c r="Y153" s="15">
        <f t="shared" si="38"/>
        <v>8.044</v>
      </c>
      <c r="Z153" s="46" t="str">
        <f t="shared" si="39"/>
        <v>opened</v>
      </c>
    </row>
    <row r="154" spans="1:26" s="2" customFormat="1" ht="22.5">
      <c r="A154" s="52">
        <v>114</v>
      </c>
      <c r="B154" s="97" t="s">
        <v>175</v>
      </c>
      <c r="C154" s="91" t="s">
        <v>16</v>
      </c>
      <c r="D154" s="103">
        <v>0.46</v>
      </c>
      <c r="E154" s="86">
        <v>0.06</v>
      </c>
      <c r="F154" s="43">
        <v>120</v>
      </c>
      <c r="G154" s="44">
        <f t="shared" si="33"/>
        <v>0.4</v>
      </c>
      <c r="H154" s="31">
        <v>0</v>
      </c>
      <c r="I154" s="68">
        <f>1.05*1.6</f>
        <v>1.6800000000000002</v>
      </c>
      <c r="J154" s="68">
        <f t="shared" si="32"/>
        <v>1.2800000000000002</v>
      </c>
      <c r="K154" s="99">
        <f t="shared" si="36"/>
        <v>1.2800000000000002</v>
      </c>
      <c r="L154" s="63" t="str">
        <f t="shared" si="37"/>
        <v>opened</v>
      </c>
      <c r="M154" s="23"/>
      <c r="N154" s="52">
        <v>114</v>
      </c>
      <c r="O154" s="97" t="s">
        <v>175</v>
      </c>
      <c r="P154" s="94" t="s">
        <v>16</v>
      </c>
      <c r="Q154" s="103">
        <v>0.023</v>
      </c>
      <c r="R154" s="86">
        <f>Q154+Костромаэнерго!D154</f>
        <v>0.48300000000000004</v>
      </c>
      <c r="S154" s="86">
        <v>0.06</v>
      </c>
      <c r="T154" s="43">
        <v>120</v>
      </c>
      <c r="U154" s="37">
        <f t="shared" si="34"/>
        <v>0.42300000000000004</v>
      </c>
      <c r="V154" s="88">
        <v>0</v>
      </c>
      <c r="W154" s="68">
        <f>1.05*1.6</f>
        <v>1.6800000000000002</v>
      </c>
      <c r="X154" s="89">
        <f t="shared" si="35"/>
        <v>1.2570000000000001</v>
      </c>
      <c r="Y154" s="15">
        <f t="shared" si="38"/>
        <v>1.2570000000000001</v>
      </c>
      <c r="Z154" s="46" t="str">
        <f t="shared" si="39"/>
        <v>opened</v>
      </c>
    </row>
    <row r="155" spans="1:26" s="2" customFormat="1" ht="22.5">
      <c r="A155" s="52">
        <v>115</v>
      </c>
      <c r="B155" s="97" t="s">
        <v>176</v>
      </c>
      <c r="C155" s="91" t="s">
        <v>20</v>
      </c>
      <c r="D155" s="103">
        <v>0.23</v>
      </c>
      <c r="E155" s="86">
        <v>0.26</v>
      </c>
      <c r="F155" s="43">
        <v>120</v>
      </c>
      <c r="G155" s="15">
        <f t="shared" si="33"/>
        <v>-0.03</v>
      </c>
      <c r="H155" s="31">
        <v>0</v>
      </c>
      <c r="I155" s="68">
        <f>1.05*1</f>
        <v>1.05</v>
      </c>
      <c r="J155" s="68">
        <f t="shared" si="32"/>
        <v>1.08</v>
      </c>
      <c r="K155" s="99">
        <f t="shared" si="36"/>
        <v>1.08</v>
      </c>
      <c r="L155" s="62" t="str">
        <f t="shared" si="37"/>
        <v>opened</v>
      </c>
      <c r="M155" s="23"/>
      <c r="N155" s="52">
        <v>115</v>
      </c>
      <c r="O155" s="97" t="s">
        <v>176</v>
      </c>
      <c r="P155" s="94" t="s">
        <v>20</v>
      </c>
      <c r="Q155" s="103">
        <v>0</v>
      </c>
      <c r="R155" s="86">
        <f>Q155+Костромаэнерго!D155</f>
        <v>0.23</v>
      </c>
      <c r="S155" s="86">
        <v>0.26</v>
      </c>
      <c r="T155" s="43">
        <v>120</v>
      </c>
      <c r="U155" s="37">
        <f t="shared" si="34"/>
        <v>-0.03</v>
      </c>
      <c r="V155" s="88">
        <v>0</v>
      </c>
      <c r="W155" s="68">
        <f>1.05*1</f>
        <v>1.05</v>
      </c>
      <c r="X155" s="89">
        <f t="shared" si="35"/>
        <v>1.08</v>
      </c>
      <c r="Y155" s="15">
        <f t="shared" si="38"/>
        <v>1.08</v>
      </c>
      <c r="Z155" s="46" t="str">
        <f t="shared" si="39"/>
        <v>opened</v>
      </c>
    </row>
    <row r="156" spans="1:26" s="2" customFormat="1" ht="22.5">
      <c r="A156" s="52">
        <v>116</v>
      </c>
      <c r="B156" s="97" t="s">
        <v>177</v>
      </c>
      <c r="C156" s="91" t="s">
        <v>30</v>
      </c>
      <c r="D156" s="103">
        <v>0.2</v>
      </c>
      <c r="E156" s="86">
        <v>0.12</v>
      </c>
      <c r="F156" s="43">
        <v>120</v>
      </c>
      <c r="G156" s="15">
        <f t="shared" si="33"/>
        <v>0.08000000000000002</v>
      </c>
      <c r="H156" s="31">
        <v>0</v>
      </c>
      <c r="I156" s="68">
        <f>1.05*1.6</f>
        <v>1.6800000000000002</v>
      </c>
      <c r="J156" s="68">
        <f t="shared" si="32"/>
        <v>1.6</v>
      </c>
      <c r="K156" s="99">
        <f t="shared" si="36"/>
        <v>1.6</v>
      </c>
      <c r="L156" s="63" t="str">
        <f t="shared" si="37"/>
        <v>opened</v>
      </c>
      <c r="M156" s="23"/>
      <c r="N156" s="52">
        <v>116</v>
      </c>
      <c r="O156" s="97" t="s">
        <v>177</v>
      </c>
      <c r="P156" s="94" t="s">
        <v>30</v>
      </c>
      <c r="Q156" s="103">
        <v>0.001</v>
      </c>
      <c r="R156" s="86">
        <f>Q156+Костромаэнерго!D156</f>
        <v>0.201</v>
      </c>
      <c r="S156" s="86">
        <v>0.12</v>
      </c>
      <c r="T156" s="43">
        <v>120</v>
      </c>
      <c r="U156" s="37">
        <f t="shared" si="34"/>
        <v>0.08100000000000002</v>
      </c>
      <c r="V156" s="88">
        <v>0</v>
      </c>
      <c r="W156" s="68">
        <f>1.05*1.6</f>
        <v>1.6800000000000002</v>
      </c>
      <c r="X156" s="89">
        <f t="shared" si="35"/>
        <v>1.5990000000000002</v>
      </c>
      <c r="Y156" s="15">
        <f t="shared" si="38"/>
        <v>1.5990000000000002</v>
      </c>
      <c r="Z156" s="46" t="str">
        <f t="shared" si="39"/>
        <v>opened</v>
      </c>
    </row>
    <row r="157" spans="1:26" s="2" customFormat="1" ht="22.5">
      <c r="A157" s="52">
        <v>117</v>
      </c>
      <c r="B157" s="97" t="s">
        <v>178</v>
      </c>
      <c r="C157" s="91" t="s">
        <v>20</v>
      </c>
      <c r="D157" s="103">
        <v>0.29</v>
      </c>
      <c r="E157" s="86">
        <v>0.06</v>
      </c>
      <c r="F157" s="43">
        <v>120</v>
      </c>
      <c r="G157" s="44">
        <f t="shared" si="33"/>
        <v>0.22999999999999998</v>
      </c>
      <c r="H157" s="31">
        <v>0</v>
      </c>
      <c r="I157" s="68">
        <f>1.05*1</f>
        <v>1.05</v>
      </c>
      <c r="J157" s="68">
        <f t="shared" si="32"/>
        <v>0.8200000000000001</v>
      </c>
      <c r="K157" s="99">
        <f t="shared" si="36"/>
        <v>0.8200000000000001</v>
      </c>
      <c r="L157" s="62" t="str">
        <f t="shared" si="37"/>
        <v>opened</v>
      </c>
      <c r="M157" s="23"/>
      <c r="N157" s="52">
        <v>117</v>
      </c>
      <c r="O157" s="97" t="s">
        <v>178</v>
      </c>
      <c r="P157" s="94" t="s">
        <v>20</v>
      </c>
      <c r="Q157" s="103">
        <v>0.012</v>
      </c>
      <c r="R157" s="86">
        <f>Q157+Костромаэнерго!D157</f>
        <v>0.302</v>
      </c>
      <c r="S157" s="86">
        <v>0.06</v>
      </c>
      <c r="T157" s="43">
        <v>120</v>
      </c>
      <c r="U157" s="37">
        <f t="shared" si="34"/>
        <v>0.242</v>
      </c>
      <c r="V157" s="88">
        <v>0</v>
      </c>
      <c r="W157" s="68">
        <f>1.05*1</f>
        <v>1.05</v>
      </c>
      <c r="X157" s="89">
        <f t="shared" si="35"/>
        <v>0.808</v>
      </c>
      <c r="Y157" s="15">
        <f t="shared" si="38"/>
        <v>0.808</v>
      </c>
      <c r="Z157" s="46" t="str">
        <f t="shared" si="39"/>
        <v>opened</v>
      </c>
    </row>
    <row r="158" spans="1:26" s="2" customFormat="1" ht="22.5">
      <c r="A158" s="220">
        <v>118</v>
      </c>
      <c r="B158" s="97" t="s">
        <v>179</v>
      </c>
      <c r="C158" s="91" t="s">
        <v>24</v>
      </c>
      <c r="D158" s="103">
        <v>2.93</v>
      </c>
      <c r="E158" s="98">
        <f>E160+E159</f>
        <v>0.64</v>
      </c>
      <c r="F158" s="43">
        <v>120</v>
      </c>
      <c r="G158" s="50">
        <f t="shared" si="33"/>
        <v>2.29</v>
      </c>
      <c r="H158" s="31">
        <v>0</v>
      </c>
      <c r="I158" s="68">
        <f aca="true" t="shared" si="40" ref="I158:I163">1.05*6.3</f>
        <v>6.615</v>
      </c>
      <c r="J158" s="68">
        <f t="shared" si="32"/>
        <v>4.325</v>
      </c>
      <c r="K158" s="229">
        <f>MIN(J158:J160)</f>
        <v>4.325</v>
      </c>
      <c r="L158" s="190" t="str">
        <f t="shared" si="37"/>
        <v>opened</v>
      </c>
      <c r="M158" s="23"/>
      <c r="N158" s="220">
        <v>118</v>
      </c>
      <c r="O158" s="97" t="s">
        <v>179</v>
      </c>
      <c r="P158" s="94" t="s">
        <v>24</v>
      </c>
      <c r="Q158" s="66">
        <v>0.652</v>
      </c>
      <c r="R158" s="86">
        <f>Q158+Костромаэнерго!D158</f>
        <v>3.5820000000000003</v>
      </c>
      <c r="S158" s="101">
        <f>S160+S159</f>
        <v>0.64</v>
      </c>
      <c r="T158" s="43">
        <v>120</v>
      </c>
      <c r="U158" s="37">
        <f t="shared" si="34"/>
        <v>2.942</v>
      </c>
      <c r="V158" s="88">
        <v>0</v>
      </c>
      <c r="W158" s="68">
        <f aca="true" t="shared" si="41" ref="W158:W163">1.05*6.3</f>
        <v>6.615</v>
      </c>
      <c r="X158" s="89">
        <f t="shared" si="35"/>
        <v>3.673</v>
      </c>
      <c r="Y158" s="251">
        <f>MIN(X158:X160)</f>
        <v>3.673</v>
      </c>
      <c r="Z158" s="190" t="str">
        <f t="shared" si="39"/>
        <v>opened</v>
      </c>
    </row>
    <row r="159" spans="1:26" s="2" customFormat="1" ht="12.75">
      <c r="A159" s="221"/>
      <c r="B159" s="67" t="s">
        <v>92</v>
      </c>
      <c r="C159" s="91" t="s">
        <v>24</v>
      </c>
      <c r="D159" s="135">
        <v>1.83</v>
      </c>
      <c r="E159" s="86">
        <v>0</v>
      </c>
      <c r="F159" s="43">
        <v>120</v>
      </c>
      <c r="G159" s="50">
        <f t="shared" si="33"/>
        <v>1.83</v>
      </c>
      <c r="H159" s="31">
        <v>0</v>
      </c>
      <c r="I159" s="68">
        <f t="shared" si="40"/>
        <v>6.615</v>
      </c>
      <c r="J159" s="68">
        <f>I159-D159</f>
        <v>4.785</v>
      </c>
      <c r="K159" s="227"/>
      <c r="L159" s="191"/>
      <c r="M159" s="23"/>
      <c r="N159" s="221"/>
      <c r="O159" s="67" t="s">
        <v>92</v>
      </c>
      <c r="P159" s="94" t="s">
        <v>24</v>
      </c>
      <c r="Q159" s="95">
        <v>0</v>
      </c>
      <c r="R159" s="86">
        <f>Q159+Костромаэнерго!D159</f>
        <v>1.83</v>
      </c>
      <c r="S159" s="86">
        <v>0</v>
      </c>
      <c r="T159" s="43">
        <v>120</v>
      </c>
      <c r="U159" s="37">
        <f t="shared" si="34"/>
        <v>1.83</v>
      </c>
      <c r="V159" s="88">
        <v>0</v>
      </c>
      <c r="W159" s="68">
        <f t="shared" si="41"/>
        <v>6.615</v>
      </c>
      <c r="X159" s="89">
        <f t="shared" si="35"/>
        <v>4.785</v>
      </c>
      <c r="Y159" s="251"/>
      <c r="Z159" s="191"/>
    </row>
    <row r="160" spans="1:26" s="2" customFormat="1" ht="12.75">
      <c r="A160" s="222"/>
      <c r="B160" s="67" t="s">
        <v>93</v>
      </c>
      <c r="C160" s="91" t="s">
        <v>24</v>
      </c>
      <c r="D160" s="92">
        <v>1.1</v>
      </c>
      <c r="E160" s="86">
        <v>0.64</v>
      </c>
      <c r="F160" s="43">
        <v>120</v>
      </c>
      <c r="G160" s="50">
        <f t="shared" si="33"/>
        <v>0.4600000000000001</v>
      </c>
      <c r="H160" s="31">
        <v>0</v>
      </c>
      <c r="I160" s="68">
        <f t="shared" si="40"/>
        <v>6.615</v>
      </c>
      <c r="J160" s="68">
        <f t="shared" si="32"/>
        <v>6.155</v>
      </c>
      <c r="K160" s="230"/>
      <c r="L160" s="192"/>
      <c r="M160" s="23"/>
      <c r="N160" s="222"/>
      <c r="O160" s="67" t="s">
        <v>93</v>
      </c>
      <c r="P160" s="94" t="s">
        <v>24</v>
      </c>
      <c r="Q160" s="66">
        <v>0.652</v>
      </c>
      <c r="R160" s="86">
        <f>Q160+Костромаэнерго!D160</f>
        <v>1.7520000000000002</v>
      </c>
      <c r="S160" s="86">
        <v>0.64</v>
      </c>
      <c r="T160" s="43">
        <v>120</v>
      </c>
      <c r="U160" s="37">
        <f t="shared" si="34"/>
        <v>1.112</v>
      </c>
      <c r="V160" s="88">
        <v>0</v>
      </c>
      <c r="W160" s="68">
        <f t="shared" si="41"/>
        <v>6.615</v>
      </c>
      <c r="X160" s="89">
        <f t="shared" si="35"/>
        <v>5.503</v>
      </c>
      <c r="Y160" s="251"/>
      <c r="Z160" s="192"/>
    </row>
    <row r="161" spans="1:26" s="2" customFormat="1" ht="22.5">
      <c r="A161" s="220">
        <v>119</v>
      </c>
      <c r="B161" s="97" t="s">
        <v>180</v>
      </c>
      <c r="C161" s="91" t="s">
        <v>24</v>
      </c>
      <c r="D161" s="92">
        <v>1.36</v>
      </c>
      <c r="E161" s="98">
        <f>E163+E162</f>
        <v>0</v>
      </c>
      <c r="F161" s="43">
        <v>120</v>
      </c>
      <c r="G161" s="15">
        <f t="shared" si="33"/>
        <v>1.36</v>
      </c>
      <c r="H161" s="31">
        <v>0</v>
      </c>
      <c r="I161" s="68">
        <f t="shared" si="40"/>
        <v>6.615</v>
      </c>
      <c r="J161" s="68">
        <f t="shared" si="32"/>
        <v>5.255</v>
      </c>
      <c r="K161" s="229">
        <f>MIN(J161:J163)</f>
        <v>5.255</v>
      </c>
      <c r="L161" s="191" t="str">
        <f>IF(K161&lt;0,"closed","opened")</f>
        <v>opened</v>
      </c>
      <c r="M161" s="23"/>
      <c r="N161" s="220">
        <v>119</v>
      </c>
      <c r="O161" s="97" t="s">
        <v>180</v>
      </c>
      <c r="P161" s="94" t="s">
        <v>24</v>
      </c>
      <c r="Q161" s="66">
        <v>0.146</v>
      </c>
      <c r="R161" s="86">
        <f>Q161+Костромаэнерго!D161</f>
        <v>1.506</v>
      </c>
      <c r="S161" s="101">
        <f>S163+S162</f>
        <v>0</v>
      </c>
      <c r="T161" s="43">
        <v>120</v>
      </c>
      <c r="U161" s="37">
        <f t="shared" si="34"/>
        <v>1.506</v>
      </c>
      <c r="V161" s="88">
        <v>0</v>
      </c>
      <c r="W161" s="68">
        <f t="shared" si="41"/>
        <v>6.615</v>
      </c>
      <c r="X161" s="89">
        <f t="shared" si="35"/>
        <v>5.109</v>
      </c>
      <c r="Y161" s="251">
        <f>MIN(X161:X163)</f>
        <v>5.109</v>
      </c>
      <c r="Z161" s="191" t="str">
        <f>IF(Y161&lt;0,"closed","opened")</f>
        <v>opened</v>
      </c>
    </row>
    <row r="162" spans="1:26" s="2" customFormat="1" ht="12.75">
      <c r="A162" s="221"/>
      <c r="B162" s="67" t="s">
        <v>92</v>
      </c>
      <c r="C162" s="91" t="s">
        <v>24</v>
      </c>
      <c r="D162" s="92">
        <v>0.53</v>
      </c>
      <c r="E162" s="86">
        <v>0</v>
      </c>
      <c r="F162" s="43">
        <v>120</v>
      </c>
      <c r="G162" s="44">
        <f t="shared" si="33"/>
        <v>0.53</v>
      </c>
      <c r="H162" s="31">
        <v>0</v>
      </c>
      <c r="I162" s="68">
        <f t="shared" si="40"/>
        <v>6.615</v>
      </c>
      <c r="J162" s="68">
        <f>I162-D162</f>
        <v>6.085</v>
      </c>
      <c r="K162" s="227"/>
      <c r="L162" s="191"/>
      <c r="M162" s="23"/>
      <c r="N162" s="221"/>
      <c r="O162" s="67" t="s">
        <v>92</v>
      </c>
      <c r="P162" s="94" t="s">
        <v>24</v>
      </c>
      <c r="Q162" s="95">
        <v>0</v>
      </c>
      <c r="R162" s="86">
        <f>Q162+Костромаэнерго!D162</f>
        <v>0.53</v>
      </c>
      <c r="S162" s="86">
        <v>0</v>
      </c>
      <c r="T162" s="43">
        <v>120</v>
      </c>
      <c r="U162" s="37">
        <f t="shared" si="34"/>
        <v>0.53</v>
      </c>
      <c r="V162" s="88">
        <v>0</v>
      </c>
      <c r="W162" s="68">
        <f t="shared" si="41"/>
        <v>6.615</v>
      </c>
      <c r="X162" s="89">
        <f t="shared" si="35"/>
        <v>6.085</v>
      </c>
      <c r="Y162" s="251"/>
      <c r="Z162" s="191"/>
    </row>
    <row r="163" spans="1:26" s="2" customFormat="1" ht="12.75">
      <c r="A163" s="222"/>
      <c r="B163" s="67" t="s">
        <v>93</v>
      </c>
      <c r="C163" s="91" t="s">
        <v>24</v>
      </c>
      <c r="D163" s="92">
        <v>0.83</v>
      </c>
      <c r="E163" s="86">
        <v>0</v>
      </c>
      <c r="F163" s="43">
        <v>120</v>
      </c>
      <c r="G163" s="50">
        <f t="shared" si="33"/>
        <v>0.83</v>
      </c>
      <c r="H163" s="31">
        <v>0</v>
      </c>
      <c r="I163" s="68">
        <f t="shared" si="40"/>
        <v>6.615</v>
      </c>
      <c r="J163" s="68">
        <f t="shared" si="32"/>
        <v>5.785</v>
      </c>
      <c r="K163" s="230"/>
      <c r="L163" s="191"/>
      <c r="M163" s="23"/>
      <c r="N163" s="222"/>
      <c r="O163" s="67" t="s">
        <v>93</v>
      </c>
      <c r="P163" s="94" t="s">
        <v>24</v>
      </c>
      <c r="Q163" s="66">
        <v>0.146</v>
      </c>
      <c r="R163" s="86">
        <f>Q163+Костромаэнерго!D163</f>
        <v>0.976</v>
      </c>
      <c r="S163" s="86">
        <v>0</v>
      </c>
      <c r="T163" s="43">
        <v>120</v>
      </c>
      <c r="U163" s="37">
        <f t="shared" si="34"/>
        <v>0.976</v>
      </c>
      <c r="V163" s="88">
        <v>0</v>
      </c>
      <c r="W163" s="68">
        <f t="shared" si="41"/>
        <v>6.615</v>
      </c>
      <c r="X163" s="89">
        <f t="shared" si="35"/>
        <v>5.639</v>
      </c>
      <c r="Y163" s="251"/>
      <c r="Z163" s="191"/>
    </row>
    <row r="164" spans="1:26" s="2" customFormat="1" ht="22.5">
      <c r="A164" s="52">
        <v>120</v>
      </c>
      <c r="B164" s="97" t="s">
        <v>181</v>
      </c>
      <c r="C164" s="91" t="s">
        <v>14</v>
      </c>
      <c r="D164" s="103">
        <v>0.36</v>
      </c>
      <c r="E164" s="86">
        <v>0.55</v>
      </c>
      <c r="F164" s="43">
        <v>120</v>
      </c>
      <c r="G164" s="15">
        <f t="shared" si="33"/>
        <v>-0.19000000000000006</v>
      </c>
      <c r="H164" s="31">
        <v>0</v>
      </c>
      <c r="I164" s="68">
        <f>1.05*2.5</f>
        <v>2.625</v>
      </c>
      <c r="J164" s="68">
        <f t="shared" si="32"/>
        <v>2.815</v>
      </c>
      <c r="K164" s="99">
        <f aca="true" t="shared" si="42" ref="K164:K169">J164</f>
        <v>2.815</v>
      </c>
      <c r="L164" s="46" t="str">
        <f aca="true" t="shared" si="43" ref="L164:L169">IF(K164&lt;0,"closed","opened")</f>
        <v>opened</v>
      </c>
      <c r="M164" s="23"/>
      <c r="N164" s="52">
        <v>120</v>
      </c>
      <c r="O164" s="97" t="s">
        <v>181</v>
      </c>
      <c r="P164" s="94" t="s">
        <v>14</v>
      </c>
      <c r="Q164" s="103">
        <v>0.242</v>
      </c>
      <c r="R164" s="86">
        <f>Q164+Костромаэнерго!D164</f>
        <v>0.602</v>
      </c>
      <c r="S164" s="86">
        <v>0.55</v>
      </c>
      <c r="T164" s="43">
        <v>120</v>
      </c>
      <c r="U164" s="37">
        <f t="shared" si="34"/>
        <v>0.051999999999999935</v>
      </c>
      <c r="V164" s="88">
        <v>0</v>
      </c>
      <c r="W164" s="68">
        <f>1.05*2.5</f>
        <v>2.625</v>
      </c>
      <c r="X164" s="89">
        <f t="shared" si="35"/>
        <v>2.573</v>
      </c>
      <c r="Y164" s="15">
        <f aca="true" t="shared" si="44" ref="Y164:Y169">X164</f>
        <v>2.573</v>
      </c>
      <c r="Z164" s="46" t="str">
        <f aca="true" t="shared" si="45" ref="Z164:Z169">IF(Y164&lt;0,"closed","opened")</f>
        <v>opened</v>
      </c>
    </row>
    <row r="165" spans="1:26" s="2" customFormat="1" ht="22.5">
      <c r="A165" s="52">
        <v>121</v>
      </c>
      <c r="B165" s="97" t="s">
        <v>182</v>
      </c>
      <c r="C165" s="91" t="s">
        <v>15</v>
      </c>
      <c r="D165" s="103">
        <v>1.73</v>
      </c>
      <c r="E165" s="86">
        <v>1.28</v>
      </c>
      <c r="F165" s="43">
        <v>120</v>
      </c>
      <c r="G165" s="15">
        <f t="shared" si="33"/>
        <v>0.44999999999999996</v>
      </c>
      <c r="H165" s="31">
        <v>0</v>
      </c>
      <c r="I165" s="68">
        <f>1.05*4</f>
        <v>4.2</v>
      </c>
      <c r="J165" s="68">
        <f t="shared" si="32"/>
        <v>3.75</v>
      </c>
      <c r="K165" s="99">
        <f t="shared" si="42"/>
        <v>3.75</v>
      </c>
      <c r="L165" s="46" t="str">
        <f t="shared" si="43"/>
        <v>opened</v>
      </c>
      <c r="M165" s="23"/>
      <c r="N165" s="52">
        <v>121</v>
      </c>
      <c r="O165" s="97" t="s">
        <v>182</v>
      </c>
      <c r="P165" s="94" t="s">
        <v>15</v>
      </c>
      <c r="Q165" s="103">
        <v>0.02</v>
      </c>
      <c r="R165" s="86">
        <f>Q165+Костромаэнерго!D165</f>
        <v>1.75</v>
      </c>
      <c r="S165" s="86">
        <v>1.28</v>
      </c>
      <c r="T165" s="43">
        <v>120</v>
      </c>
      <c r="U165" s="37">
        <f t="shared" si="34"/>
        <v>0.47</v>
      </c>
      <c r="V165" s="88">
        <v>0</v>
      </c>
      <c r="W165" s="68">
        <f>1.05*4</f>
        <v>4.2</v>
      </c>
      <c r="X165" s="89">
        <f t="shared" si="35"/>
        <v>3.7300000000000004</v>
      </c>
      <c r="Y165" s="15">
        <f t="shared" si="44"/>
        <v>3.7300000000000004</v>
      </c>
      <c r="Z165" s="46" t="str">
        <f t="shared" si="45"/>
        <v>opened</v>
      </c>
    </row>
    <row r="166" spans="1:26" s="2" customFormat="1" ht="22.5">
      <c r="A166" s="52">
        <v>122</v>
      </c>
      <c r="B166" s="97" t="s">
        <v>183</v>
      </c>
      <c r="C166" s="91" t="s">
        <v>14</v>
      </c>
      <c r="D166" s="103">
        <v>0.28</v>
      </c>
      <c r="E166" s="86">
        <v>0.22</v>
      </c>
      <c r="F166" s="43">
        <v>120</v>
      </c>
      <c r="G166" s="15">
        <f t="shared" si="33"/>
        <v>0.060000000000000026</v>
      </c>
      <c r="H166" s="31">
        <v>0</v>
      </c>
      <c r="I166" s="68">
        <f>1.05*2.5</f>
        <v>2.625</v>
      </c>
      <c r="J166" s="68">
        <f t="shared" si="32"/>
        <v>2.565</v>
      </c>
      <c r="K166" s="99">
        <f t="shared" si="42"/>
        <v>2.565</v>
      </c>
      <c r="L166" s="62" t="str">
        <f t="shared" si="43"/>
        <v>opened</v>
      </c>
      <c r="M166" s="23"/>
      <c r="N166" s="52">
        <v>122</v>
      </c>
      <c r="O166" s="97" t="s">
        <v>183</v>
      </c>
      <c r="P166" s="94" t="s">
        <v>14</v>
      </c>
      <c r="Q166" s="103">
        <v>0.006</v>
      </c>
      <c r="R166" s="86">
        <f>Q166+Костромаэнерго!D166</f>
        <v>0.28600000000000003</v>
      </c>
      <c r="S166" s="86">
        <v>0.22</v>
      </c>
      <c r="T166" s="43">
        <v>120</v>
      </c>
      <c r="U166" s="37">
        <f t="shared" si="34"/>
        <v>0.06600000000000003</v>
      </c>
      <c r="V166" s="88">
        <v>0</v>
      </c>
      <c r="W166" s="68">
        <f>1.05*2.5</f>
        <v>2.625</v>
      </c>
      <c r="X166" s="89">
        <f t="shared" si="35"/>
        <v>2.559</v>
      </c>
      <c r="Y166" s="15">
        <f t="shared" si="44"/>
        <v>2.559</v>
      </c>
      <c r="Z166" s="62" t="str">
        <f t="shared" si="45"/>
        <v>opened</v>
      </c>
    </row>
    <row r="167" spans="1:26" s="2" customFormat="1" ht="22.5">
      <c r="A167" s="52">
        <v>123</v>
      </c>
      <c r="B167" s="40" t="s">
        <v>184</v>
      </c>
      <c r="C167" s="91" t="s">
        <v>16</v>
      </c>
      <c r="D167" s="103">
        <v>0.22</v>
      </c>
      <c r="E167" s="49">
        <v>0.74</v>
      </c>
      <c r="F167" s="43">
        <v>120</v>
      </c>
      <c r="G167" s="15">
        <f t="shared" si="33"/>
        <v>-0.52</v>
      </c>
      <c r="H167" s="31">
        <v>0</v>
      </c>
      <c r="I167" s="15">
        <f>1.05*1.6</f>
        <v>1.6800000000000002</v>
      </c>
      <c r="J167" s="68">
        <f t="shared" si="32"/>
        <v>2.2</v>
      </c>
      <c r="K167" s="99">
        <f t="shared" si="42"/>
        <v>2.2</v>
      </c>
      <c r="L167" s="63" t="str">
        <f t="shared" si="43"/>
        <v>opened</v>
      </c>
      <c r="M167" s="23"/>
      <c r="N167" s="52">
        <v>123</v>
      </c>
      <c r="O167" s="40" t="s">
        <v>184</v>
      </c>
      <c r="P167" s="137" t="s">
        <v>16</v>
      </c>
      <c r="Q167" s="103">
        <v>0.006</v>
      </c>
      <c r="R167" s="86">
        <f>Q167+Костромаэнерго!D167</f>
        <v>0.226</v>
      </c>
      <c r="S167" s="49">
        <v>0.74</v>
      </c>
      <c r="T167" s="43">
        <v>120</v>
      </c>
      <c r="U167" s="37">
        <f t="shared" si="34"/>
        <v>-0.514</v>
      </c>
      <c r="V167" s="88">
        <v>0</v>
      </c>
      <c r="W167" s="15">
        <f>1.05*1.6</f>
        <v>1.6800000000000002</v>
      </c>
      <c r="X167" s="89">
        <f t="shared" si="35"/>
        <v>2.194</v>
      </c>
      <c r="Y167" s="15">
        <f t="shared" si="44"/>
        <v>2.194</v>
      </c>
      <c r="Z167" s="63" t="str">
        <f t="shared" si="45"/>
        <v>opened</v>
      </c>
    </row>
    <row r="168" spans="1:26" s="2" customFormat="1" ht="22.5">
      <c r="A168" s="52">
        <v>124</v>
      </c>
      <c r="B168" s="97" t="s">
        <v>185</v>
      </c>
      <c r="C168" s="91" t="s">
        <v>31</v>
      </c>
      <c r="D168" s="103">
        <v>0.38</v>
      </c>
      <c r="E168" s="86">
        <v>0.2</v>
      </c>
      <c r="F168" s="43">
        <v>120</v>
      </c>
      <c r="G168" s="44">
        <f t="shared" si="33"/>
        <v>0.18</v>
      </c>
      <c r="H168" s="31">
        <v>0</v>
      </c>
      <c r="I168" s="68">
        <f>1.05*2.5</f>
        <v>2.625</v>
      </c>
      <c r="J168" s="68">
        <f t="shared" si="32"/>
        <v>2.445</v>
      </c>
      <c r="K168" s="99">
        <f t="shared" si="42"/>
        <v>2.445</v>
      </c>
      <c r="L168" s="62" t="str">
        <f t="shared" si="43"/>
        <v>opened</v>
      </c>
      <c r="M168" s="23"/>
      <c r="N168" s="52">
        <v>124</v>
      </c>
      <c r="O168" s="97" t="s">
        <v>185</v>
      </c>
      <c r="P168" s="94" t="s">
        <v>31</v>
      </c>
      <c r="Q168" s="103">
        <v>0.01</v>
      </c>
      <c r="R168" s="86">
        <f>Q168+Костромаэнерго!D168</f>
        <v>0.39</v>
      </c>
      <c r="S168" s="86">
        <v>0.2</v>
      </c>
      <c r="T168" s="43">
        <v>120</v>
      </c>
      <c r="U168" s="37">
        <f t="shared" si="34"/>
        <v>0.19</v>
      </c>
      <c r="V168" s="88">
        <v>0</v>
      </c>
      <c r="W168" s="68">
        <f>1.05*2.5</f>
        <v>2.625</v>
      </c>
      <c r="X168" s="89">
        <f t="shared" si="35"/>
        <v>2.435</v>
      </c>
      <c r="Y168" s="15">
        <f t="shared" si="44"/>
        <v>2.435</v>
      </c>
      <c r="Z168" s="62" t="str">
        <f t="shared" si="45"/>
        <v>opened</v>
      </c>
    </row>
    <row r="169" spans="1:26" s="2" customFormat="1" ht="22.5">
      <c r="A169" s="52">
        <v>125</v>
      </c>
      <c r="B169" s="97" t="s">
        <v>186</v>
      </c>
      <c r="C169" s="91" t="s">
        <v>14</v>
      </c>
      <c r="D169" s="103">
        <v>0.2</v>
      </c>
      <c r="E169" s="86">
        <v>0.13</v>
      </c>
      <c r="F169" s="43">
        <v>120</v>
      </c>
      <c r="G169" s="15">
        <f t="shared" si="33"/>
        <v>0.07</v>
      </c>
      <c r="H169" s="31">
        <v>0</v>
      </c>
      <c r="I169" s="68">
        <f>1.05*2.5</f>
        <v>2.625</v>
      </c>
      <c r="J169" s="68">
        <f t="shared" si="32"/>
        <v>2.555</v>
      </c>
      <c r="K169" s="99">
        <f t="shared" si="42"/>
        <v>2.555</v>
      </c>
      <c r="L169" s="63" t="str">
        <f t="shared" si="43"/>
        <v>opened</v>
      </c>
      <c r="M169" s="23"/>
      <c r="N169" s="52">
        <v>125</v>
      </c>
      <c r="O169" s="97" t="s">
        <v>186</v>
      </c>
      <c r="P169" s="94" t="s">
        <v>14</v>
      </c>
      <c r="Q169" s="103">
        <v>0.278</v>
      </c>
      <c r="R169" s="86">
        <f>Q169+Костромаэнерго!D169</f>
        <v>0.47800000000000004</v>
      </c>
      <c r="S169" s="86">
        <v>0.13</v>
      </c>
      <c r="T169" s="43">
        <v>120</v>
      </c>
      <c r="U169" s="37">
        <f t="shared" si="34"/>
        <v>0.34800000000000003</v>
      </c>
      <c r="V169" s="88">
        <v>0</v>
      </c>
      <c r="W169" s="68">
        <f>1.05*2.5</f>
        <v>2.625</v>
      </c>
      <c r="X169" s="89">
        <f t="shared" si="35"/>
        <v>2.277</v>
      </c>
      <c r="Y169" s="15">
        <f t="shared" si="44"/>
        <v>2.277</v>
      </c>
      <c r="Z169" s="63" t="str">
        <f t="shared" si="45"/>
        <v>opened</v>
      </c>
    </row>
    <row r="170" spans="1:26" s="2" customFormat="1" ht="22.5">
      <c r="A170" s="220">
        <v>126</v>
      </c>
      <c r="B170" s="97" t="s">
        <v>187</v>
      </c>
      <c r="C170" s="91" t="s">
        <v>12</v>
      </c>
      <c r="D170" s="103">
        <v>5.27</v>
      </c>
      <c r="E170" s="98">
        <f>E172+E171</f>
        <v>1.7</v>
      </c>
      <c r="F170" s="43">
        <v>120</v>
      </c>
      <c r="G170" s="44">
        <f t="shared" si="33"/>
        <v>3.5699999999999994</v>
      </c>
      <c r="H170" s="31">
        <v>0</v>
      </c>
      <c r="I170" s="68">
        <f>1.05*10</f>
        <v>10.5</v>
      </c>
      <c r="J170" s="68">
        <f t="shared" si="32"/>
        <v>6.930000000000001</v>
      </c>
      <c r="K170" s="229">
        <f>MIN(J170:J172)</f>
        <v>6.930000000000001</v>
      </c>
      <c r="L170" s="242" t="s">
        <v>229</v>
      </c>
      <c r="M170" s="23"/>
      <c r="N170" s="220">
        <v>126</v>
      </c>
      <c r="O170" s="97" t="s">
        <v>187</v>
      </c>
      <c r="P170" s="94" t="s">
        <v>12</v>
      </c>
      <c r="Q170" s="66">
        <v>0.862</v>
      </c>
      <c r="R170" s="86">
        <f>Q170+Костромаэнерго!D170</f>
        <v>6.132</v>
      </c>
      <c r="S170" s="101">
        <f>S172+S171</f>
        <v>1.7</v>
      </c>
      <c r="T170" s="43">
        <v>120</v>
      </c>
      <c r="U170" s="37">
        <f t="shared" si="34"/>
        <v>4.4319999999999995</v>
      </c>
      <c r="V170" s="88">
        <v>0</v>
      </c>
      <c r="W170" s="68">
        <f>1.05*10</f>
        <v>10.5</v>
      </c>
      <c r="X170" s="89">
        <f t="shared" si="35"/>
        <v>6.0680000000000005</v>
      </c>
      <c r="Y170" s="251">
        <f>MIN(X170:X172)</f>
        <v>6.0680000000000005</v>
      </c>
      <c r="Z170" s="242" t="s">
        <v>229</v>
      </c>
    </row>
    <row r="171" spans="1:26" s="2" customFormat="1" ht="12.75">
      <c r="A171" s="221"/>
      <c r="B171" s="67" t="s">
        <v>92</v>
      </c>
      <c r="C171" s="91" t="s">
        <v>12</v>
      </c>
      <c r="D171" s="92">
        <v>0.94</v>
      </c>
      <c r="E171" s="86">
        <v>0</v>
      </c>
      <c r="F171" s="43">
        <v>120</v>
      </c>
      <c r="G171" s="50">
        <f t="shared" si="33"/>
        <v>0.94</v>
      </c>
      <c r="H171" s="31">
        <v>0</v>
      </c>
      <c r="I171" s="68">
        <f>1.05*10</f>
        <v>10.5</v>
      </c>
      <c r="J171" s="68">
        <f>I171-D171</f>
        <v>9.56</v>
      </c>
      <c r="K171" s="227"/>
      <c r="L171" s="243"/>
      <c r="M171" s="23"/>
      <c r="N171" s="221"/>
      <c r="O171" s="67" t="s">
        <v>92</v>
      </c>
      <c r="P171" s="94" t="s">
        <v>12</v>
      </c>
      <c r="Q171" s="95">
        <v>0</v>
      </c>
      <c r="R171" s="86">
        <f>Q171+Костромаэнерго!D171</f>
        <v>0.94</v>
      </c>
      <c r="S171" s="86">
        <v>0</v>
      </c>
      <c r="T171" s="43">
        <v>120</v>
      </c>
      <c r="U171" s="37">
        <f t="shared" si="34"/>
        <v>0.94</v>
      </c>
      <c r="V171" s="88">
        <v>0</v>
      </c>
      <c r="W171" s="68">
        <f>1.05*10</f>
        <v>10.5</v>
      </c>
      <c r="X171" s="89">
        <f t="shared" si="35"/>
        <v>9.56</v>
      </c>
      <c r="Y171" s="251"/>
      <c r="Z171" s="243"/>
    </row>
    <row r="172" spans="1:26" s="2" customFormat="1" ht="12.75">
      <c r="A172" s="222"/>
      <c r="B172" s="67" t="s">
        <v>93</v>
      </c>
      <c r="C172" s="91" t="s">
        <v>12</v>
      </c>
      <c r="D172" s="92">
        <v>4.33</v>
      </c>
      <c r="E172" s="86">
        <v>1.7</v>
      </c>
      <c r="F172" s="43">
        <v>120</v>
      </c>
      <c r="G172" s="50">
        <f t="shared" si="33"/>
        <v>2.63</v>
      </c>
      <c r="H172" s="31">
        <v>0</v>
      </c>
      <c r="I172" s="68">
        <f>1.05*10</f>
        <v>10.5</v>
      </c>
      <c r="J172" s="68">
        <f t="shared" si="32"/>
        <v>7.87</v>
      </c>
      <c r="K172" s="230"/>
      <c r="L172" s="244"/>
      <c r="M172" s="23"/>
      <c r="N172" s="222"/>
      <c r="O172" s="67" t="s">
        <v>93</v>
      </c>
      <c r="P172" s="94" t="s">
        <v>12</v>
      </c>
      <c r="Q172" s="66">
        <v>0.862</v>
      </c>
      <c r="R172" s="86">
        <f>Q172+Костромаэнерго!D172</f>
        <v>5.192</v>
      </c>
      <c r="S172" s="86">
        <v>1.7</v>
      </c>
      <c r="T172" s="43">
        <v>120</v>
      </c>
      <c r="U172" s="37">
        <f t="shared" si="34"/>
        <v>3.492</v>
      </c>
      <c r="V172" s="88">
        <v>0</v>
      </c>
      <c r="W172" s="68">
        <f>1.05*10</f>
        <v>10.5</v>
      </c>
      <c r="X172" s="89">
        <f t="shared" si="35"/>
        <v>7.008</v>
      </c>
      <c r="Y172" s="251"/>
      <c r="Z172" s="244"/>
    </row>
    <row r="173" spans="1:26" s="2" customFormat="1" ht="22.5">
      <c r="A173" s="52">
        <v>127</v>
      </c>
      <c r="B173" s="97" t="s">
        <v>188</v>
      </c>
      <c r="C173" s="91" t="s">
        <v>32</v>
      </c>
      <c r="D173" s="103">
        <v>0.53</v>
      </c>
      <c r="E173" s="86">
        <v>0.34</v>
      </c>
      <c r="F173" s="43">
        <v>120</v>
      </c>
      <c r="G173" s="15">
        <f t="shared" si="33"/>
        <v>0.19</v>
      </c>
      <c r="H173" s="31">
        <v>0</v>
      </c>
      <c r="I173" s="68">
        <f>1.05*1.6</f>
        <v>1.6800000000000002</v>
      </c>
      <c r="J173" s="68">
        <f t="shared" si="32"/>
        <v>1.4900000000000002</v>
      </c>
      <c r="K173" s="99">
        <f>J173</f>
        <v>1.4900000000000002</v>
      </c>
      <c r="L173" s="62" t="str">
        <f>IF(K173&lt;0,"closed","opened")</f>
        <v>opened</v>
      </c>
      <c r="M173" s="23"/>
      <c r="N173" s="52">
        <v>127</v>
      </c>
      <c r="O173" s="97" t="s">
        <v>188</v>
      </c>
      <c r="P173" s="94" t="s">
        <v>32</v>
      </c>
      <c r="Q173" s="103">
        <v>0.017</v>
      </c>
      <c r="R173" s="86">
        <f>Q173+Костромаэнерго!D173</f>
        <v>0.547</v>
      </c>
      <c r="S173" s="86">
        <v>0.34</v>
      </c>
      <c r="T173" s="43">
        <v>120</v>
      </c>
      <c r="U173" s="37">
        <f t="shared" si="34"/>
        <v>0.20700000000000002</v>
      </c>
      <c r="V173" s="88">
        <v>0</v>
      </c>
      <c r="W173" s="68">
        <f>1.05*1.6</f>
        <v>1.6800000000000002</v>
      </c>
      <c r="X173" s="89">
        <f t="shared" si="35"/>
        <v>1.473</v>
      </c>
      <c r="Y173" s="15">
        <f>X173</f>
        <v>1.473</v>
      </c>
      <c r="Z173" s="62" t="str">
        <f>IF(Y173&lt;0,"closed","opened")</f>
        <v>opened</v>
      </c>
    </row>
    <row r="174" spans="1:26" s="2" customFormat="1" ht="22.5">
      <c r="A174" s="220">
        <v>128</v>
      </c>
      <c r="B174" s="97" t="s">
        <v>189</v>
      </c>
      <c r="C174" s="91" t="s">
        <v>24</v>
      </c>
      <c r="D174" s="103">
        <v>3.97</v>
      </c>
      <c r="E174" s="98">
        <f>E176+E175</f>
        <v>2.06</v>
      </c>
      <c r="F174" s="43">
        <v>120</v>
      </c>
      <c r="G174" s="44">
        <f t="shared" si="33"/>
        <v>1.9100000000000001</v>
      </c>
      <c r="H174" s="31">
        <v>0</v>
      </c>
      <c r="I174" s="68">
        <f>1.05*6.3</f>
        <v>6.615</v>
      </c>
      <c r="J174" s="68">
        <f t="shared" si="32"/>
        <v>4.705</v>
      </c>
      <c r="K174" s="229">
        <f>MIN(J174:J176)</f>
        <v>4.705</v>
      </c>
      <c r="L174" s="190" t="str">
        <f>IF(K174&lt;0,"closed","opened")</f>
        <v>opened</v>
      </c>
      <c r="M174" s="23"/>
      <c r="N174" s="220">
        <v>128</v>
      </c>
      <c r="O174" s="97" t="s">
        <v>189</v>
      </c>
      <c r="P174" s="94" t="s">
        <v>24</v>
      </c>
      <c r="Q174" s="66">
        <v>0.546</v>
      </c>
      <c r="R174" s="86">
        <f>Q174+Костромаэнерго!D174</f>
        <v>4.516</v>
      </c>
      <c r="S174" s="101">
        <f>S176+S175</f>
        <v>2.06</v>
      </c>
      <c r="T174" s="43">
        <v>120</v>
      </c>
      <c r="U174" s="37">
        <f t="shared" si="34"/>
        <v>2.456</v>
      </c>
      <c r="V174" s="88">
        <v>0</v>
      </c>
      <c r="W174" s="68">
        <f>1.05*6.3</f>
        <v>6.615</v>
      </c>
      <c r="X174" s="89">
        <f t="shared" si="35"/>
        <v>4.159000000000001</v>
      </c>
      <c r="Y174" s="263">
        <f>MIN(X174:X176)</f>
        <v>4.159000000000001</v>
      </c>
      <c r="Z174" s="190" t="str">
        <f>IF(Y174&lt;0,"closed","opened")</f>
        <v>opened</v>
      </c>
    </row>
    <row r="175" spans="1:26" s="2" customFormat="1" ht="12.75">
      <c r="A175" s="221"/>
      <c r="B175" s="67" t="s">
        <v>92</v>
      </c>
      <c r="C175" s="91" t="s">
        <v>24</v>
      </c>
      <c r="D175" s="92">
        <v>1.12</v>
      </c>
      <c r="E175" s="86">
        <v>0</v>
      </c>
      <c r="F175" s="43">
        <v>120</v>
      </c>
      <c r="G175" s="15">
        <f t="shared" si="33"/>
        <v>1.12</v>
      </c>
      <c r="H175" s="31">
        <v>0</v>
      </c>
      <c r="I175" s="68">
        <f>1.05*6.3</f>
        <v>6.615</v>
      </c>
      <c r="J175" s="68">
        <f>I175-D175</f>
        <v>5.495</v>
      </c>
      <c r="K175" s="227"/>
      <c r="L175" s="191"/>
      <c r="M175" s="23"/>
      <c r="N175" s="221"/>
      <c r="O175" s="67" t="s">
        <v>92</v>
      </c>
      <c r="P175" s="94" t="s">
        <v>24</v>
      </c>
      <c r="Q175" s="95">
        <v>0</v>
      </c>
      <c r="R175" s="86">
        <f>Q175+Костромаэнерго!D175</f>
        <v>1.12</v>
      </c>
      <c r="S175" s="86">
        <v>0</v>
      </c>
      <c r="T175" s="43">
        <v>120</v>
      </c>
      <c r="U175" s="37">
        <f t="shared" si="34"/>
        <v>1.12</v>
      </c>
      <c r="V175" s="88">
        <v>0</v>
      </c>
      <c r="W175" s="68">
        <f>1.05*6.3</f>
        <v>6.615</v>
      </c>
      <c r="X175" s="89">
        <f t="shared" si="35"/>
        <v>5.495</v>
      </c>
      <c r="Y175" s="264"/>
      <c r="Z175" s="191"/>
    </row>
    <row r="176" spans="1:26" s="2" customFormat="1" ht="12.75">
      <c r="A176" s="222"/>
      <c r="B176" s="67" t="s">
        <v>93</v>
      </c>
      <c r="C176" s="91" t="s">
        <v>24</v>
      </c>
      <c r="D176" s="92">
        <v>2.85</v>
      </c>
      <c r="E176" s="86">
        <v>2.06</v>
      </c>
      <c r="F176" s="43">
        <v>120</v>
      </c>
      <c r="G176" s="15">
        <f t="shared" si="33"/>
        <v>0.79</v>
      </c>
      <c r="H176" s="31">
        <v>0</v>
      </c>
      <c r="I176" s="68">
        <f>1.05*6.3</f>
        <v>6.615</v>
      </c>
      <c r="J176" s="68">
        <f t="shared" si="32"/>
        <v>5.825</v>
      </c>
      <c r="K176" s="230"/>
      <c r="L176" s="192"/>
      <c r="M176" s="23"/>
      <c r="N176" s="222"/>
      <c r="O176" s="67" t="s">
        <v>93</v>
      </c>
      <c r="P176" s="94" t="s">
        <v>24</v>
      </c>
      <c r="Q176" s="66">
        <v>0.546</v>
      </c>
      <c r="R176" s="86">
        <f>Q176+Костромаэнерго!D176</f>
        <v>3.396</v>
      </c>
      <c r="S176" s="86">
        <v>2.06</v>
      </c>
      <c r="T176" s="43">
        <v>120</v>
      </c>
      <c r="U176" s="37">
        <f t="shared" si="34"/>
        <v>1.3359999999999999</v>
      </c>
      <c r="V176" s="88">
        <v>0</v>
      </c>
      <c r="W176" s="68">
        <f>1.05*6.3</f>
        <v>6.615</v>
      </c>
      <c r="X176" s="89">
        <f t="shared" si="35"/>
        <v>5.279</v>
      </c>
      <c r="Y176" s="253"/>
      <c r="Z176" s="192"/>
    </row>
    <row r="177" spans="1:26" s="2" customFormat="1" ht="22.5">
      <c r="A177" s="52">
        <v>129</v>
      </c>
      <c r="B177" s="97" t="s">
        <v>190</v>
      </c>
      <c r="C177" s="91" t="s">
        <v>16</v>
      </c>
      <c r="D177" s="103">
        <v>1.01</v>
      </c>
      <c r="E177" s="86">
        <v>0.49</v>
      </c>
      <c r="F177" s="43">
        <v>120</v>
      </c>
      <c r="G177" s="15">
        <f t="shared" si="33"/>
        <v>0.52</v>
      </c>
      <c r="H177" s="31">
        <v>0</v>
      </c>
      <c r="I177" s="68">
        <f>1.05*1.6</f>
        <v>1.6800000000000002</v>
      </c>
      <c r="J177" s="68">
        <f t="shared" si="32"/>
        <v>1.1600000000000001</v>
      </c>
      <c r="K177" s="99">
        <f>J177</f>
        <v>1.1600000000000001</v>
      </c>
      <c r="L177" s="63" t="str">
        <f>IF(K177&lt;0,"closed","opened")</f>
        <v>opened</v>
      </c>
      <c r="M177" s="23"/>
      <c r="N177" s="52">
        <v>129</v>
      </c>
      <c r="O177" s="97" t="s">
        <v>190</v>
      </c>
      <c r="P177" s="94" t="s">
        <v>16</v>
      </c>
      <c r="Q177" s="103">
        <v>0.067</v>
      </c>
      <c r="R177" s="86">
        <f>Q177+Костромаэнерго!D177</f>
        <v>1.077</v>
      </c>
      <c r="S177" s="86">
        <v>0.49</v>
      </c>
      <c r="T177" s="43">
        <v>120</v>
      </c>
      <c r="U177" s="37">
        <f t="shared" si="34"/>
        <v>0.587</v>
      </c>
      <c r="V177" s="88">
        <v>0</v>
      </c>
      <c r="W177" s="68">
        <f>1.05*1.6</f>
        <v>1.6800000000000002</v>
      </c>
      <c r="X177" s="89">
        <f t="shared" si="35"/>
        <v>1.0930000000000002</v>
      </c>
      <c r="Y177" s="15">
        <f>X177</f>
        <v>1.0930000000000002</v>
      </c>
      <c r="Z177" s="63" t="str">
        <f>IF(Y177&lt;0,"closed","opened")</f>
        <v>opened</v>
      </c>
    </row>
    <row r="178" spans="1:26" s="2" customFormat="1" ht="22.5">
      <c r="A178" s="220">
        <v>130</v>
      </c>
      <c r="B178" s="97" t="s">
        <v>191</v>
      </c>
      <c r="C178" s="91" t="s">
        <v>33</v>
      </c>
      <c r="D178" s="103">
        <v>6.09</v>
      </c>
      <c r="E178" s="98">
        <f>E180+E179</f>
        <v>0.38</v>
      </c>
      <c r="F178" s="43">
        <v>120</v>
      </c>
      <c r="G178" s="15">
        <f t="shared" si="33"/>
        <v>5.71</v>
      </c>
      <c r="H178" s="31">
        <v>0</v>
      </c>
      <c r="I178" s="68">
        <f>1.05*6.3</f>
        <v>6.615</v>
      </c>
      <c r="J178" s="68">
        <f t="shared" si="32"/>
        <v>0.9050000000000002</v>
      </c>
      <c r="K178" s="229">
        <f>MIN(J178:J180)</f>
        <v>0.9050000000000002</v>
      </c>
      <c r="L178" s="190" t="str">
        <f>IF(K178&lt;0,"closed","opened")</f>
        <v>opened</v>
      </c>
      <c r="M178" s="23"/>
      <c r="N178" s="220">
        <v>130</v>
      </c>
      <c r="O178" s="97" t="s">
        <v>191</v>
      </c>
      <c r="P178" s="94" t="s">
        <v>33</v>
      </c>
      <c r="Q178" s="66">
        <v>0.132</v>
      </c>
      <c r="R178" s="86">
        <f>Q178+Костромаэнерго!D178</f>
        <v>6.2219999999999995</v>
      </c>
      <c r="S178" s="101">
        <f>S180+S179</f>
        <v>0.38</v>
      </c>
      <c r="T178" s="43">
        <v>120</v>
      </c>
      <c r="U178" s="37">
        <f t="shared" si="34"/>
        <v>5.842</v>
      </c>
      <c r="V178" s="88">
        <v>0</v>
      </c>
      <c r="W178" s="68">
        <f>1.05*6.3</f>
        <v>6.615</v>
      </c>
      <c r="X178" s="89">
        <f t="shared" si="35"/>
        <v>0.7730000000000006</v>
      </c>
      <c r="Y178" s="251">
        <f>MIN(X178:X180)</f>
        <v>0.7730000000000006</v>
      </c>
      <c r="Z178" s="190" t="str">
        <f>IF(Y178&lt;0,"closed","opened")</f>
        <v>opened</v>
      </c>
    </row>
    <row r="179" spans="1:26" s="2" customFormat="1" ht="12.75">
      <c r="A179" s="221"/>
      <c r="B179" s="67" t="s">
        <v>92</v>
      </c>
      <c r="C179" s="91" t="s">
        <v>33</v>
      </c>
      <c r="D179" s="135">
        <v>3.53</v>
      </c>
      <c r="E179" s="86">
        <v>0</v>
      </c>
      <c r="F179" s="43">
        <v>120</v>
      </c>
      <c r="G179" s="44">
        <f t="shared" si="33"/>
        <v>3.53</v>
      </c>
      <c r="H179" s="31">
        <v>0</v>
      </c>
      <c r="I179" s="68">
        <f>1.05*6.3</f>
        <v>6.615</v>
      </c>
      <c r="J179" s="68">
        <f>I179-D179</f>
        <v>3.0850000000000004</v>
      </c>
      <c r="K179" s="227"/>
      <c r="L179" s="191"/>
      <c r="M179" s="23"/>
      <c r="N179" s="221"/>
      <c r="O179" s="67" t="s">
        <v>92</v>
      </c>
      <c r="P179" s="94" t="s">
        <v>33</v>
      </c>
      <c r="Q179" s="95">
        <v>0</v>
      </c>
      <c r="R179" s="86">
        <f>Q179+Костромаэнерго!D179</f>
        <v>3.53</v>
      </c>
      <c r="S179" s="86">
        <v>0</v>
      </c>
      <c r="T179" s="43">
        <v>120</v>
      </c>
      <c r="U179" s="37">
        <f t="shared" si="34"/>
        <v>3.53</v>
      </c>
      <c r="V179" s="88">
        <v>0</v>
      </c>
      <c r="W179" s="68">
        <f>1.05*6.3</f>
        <v>6.615</v>
      </c>
      <c r="X179" s="89">
        <f t="shared" si="35"/>
        <v>3.0850000000000004</v>
      </c>
      <c r="Y179" s="251"/>
      <c r="Z179" s="191"/>
    </row>
    <row r="180" spans="1:26" s="2" customFormat="1" ht="12.75">
      <c r="A180" s="222"/>
      <c r="B180" s="67" t="s">
        <v>93</v>
      </c>
      <c r="C180" s="91" t="s">
        <v>33</v>
      </c>
      <c r="D180" s="92">
        <v>2.56</v>
      </c>
      <c r="E180" s="86">
        <v>0.38</v>
      </c>
      <c r="F180" s="43">
        <v>120</v>
      </c>
      <c r="G180" s="50">
        <f t="shared" si="33"/>
        <v>2.18</v>
      </c>
      <c r="H180" s="31">
        <v>0</v>
      </c>
      <c r="I180" s="68">
        <f>1.05*6.3</f>
        <v>6.615</v>
      </c>
      <c r="J180" s="68">
        <f t="shared" si="32"/>
        <v>4.4350000000000005</v>
      </c>
      <c r="K180" s="230"/>
      <c r="L180" s="192"/>
      <c r="M180" s="23"/>
      <c r="N180" s="222"/>
      <c r="O180" s="67" t="s">
        <v>93</v>
      </c>
      <c r="P180" s="94" t="s">
        <v>33</v>
      </c>
      <c r="Q180" s="66">
        <v>0.132</v>
      </c>
      <c r="R180" s="86">
        <f>Q180+Костромаэнерго!D180</f>
        <v>2.692</v>
      </c>
      <c r="S180" s="86">
        <v>0.38</v>
      </c>
      <c r="T180" s="43">
        <v>120</v>
      </c>
      <c r="U180" s="37">
        <f t="shared" si="34"/>
        <v>2.3120000000000003</v>
      </c>
      <c r="V180" s="88">
        <v>0</v>
      </c>
      <c r="W180" s="68">
        <f>1.05*6.3</f>
        <v>6.615</v>
      </c>
      <c r="X180" s="89">
        <f t="shared" si="35"/>
        <v>4.303</v>
      </c>
      <c r="Y180" s="251"/>
      <c r="Z180" s="192"/>
    </row>
    <row r="181" spans="1:26" s="2" customFormat="1" ht="22.5">
      <c r="A181" s="52">
        <v>131</v>
      </c>
      <c r="B181" s="97" t="s">
        <v>192</v>
      </c>
      <c r="C181" s="91" t="s">
        <v>28</v>
      </c>
      <c r="D181" s="103">
        <v>0.7</v>
      </c>
      <c r="E181" s="86">
        <v>0.45</v>
      </c>
      <c r="F181" s="43">
        <v>120</v>
      </c>
      <c r="G181" s="50">
        <f t="shared" si="33"/>
        <v>0.24999999999999994</v>
      </c>
      <c r="H181" s="31">
        <v>0</v>
      </c>
      <c r="I181" s="68">
        <f>1.05*2.5</f>
        <v>2.625</v>
      </c>
      <c r="J181" s="68">
        <f t="shared" si="32"/>
        <v>2.375</v>
      </c>
      <c r="K181" s="99">
        <f>J181</f>
        <v>2.375</v>
      </c>
      <c r="L181" s="62" t="str">
        <f>IF(K181&lt;0,"closed","opened")</f>
        <v>opened</v>
      </c>
      <c r="M181" s="23"/>
      <c r="N181" s="52">
        <v>131</v>
      </c>
      <c r="O181" s="97" t="s">
        <v>192</v>
      </c>
      <c r="P181" s="94" t="s">
        <v>28</v>
      </c>
      <c r="Q181" s="103">
        <v>0</v>
      </c>
      <c r="R181" s="86">
        <f>Q181+Костромаэнерго!D181</f>
        <v>0.7</v>
      </c>
      <c r="S181" s="86">
        <v>0.45</v>
      </c>
      <c r="T181" s="43">
        <v>120</v>
      </c>
      <c r="U181" s="37">
        <f t="shared" si="34"/>
        <v>0.24999999999999994</v>
      </c>
      <c r="V181" s="88">
        <v>0</v>
      </c>
      <c r="W181" s="68">
        <f>1.05*2.5</f>
        <v>2.625</v>
      </c>
      <c r="X181" s="89">
        <f t="shared" si="35"/>
        <v>2.375</v>
      </c>
      <c r="Y181" s="15">
        <f>X181</f>
        <v>2.375</v>
      </c>
      <c r="Z181" s="62" t="str">
        <f>IF(Y181&lt;0,"closed","opened")</f>
        <v>opened</v>
      </c>
    </row>
    <row r="182" spans="1:26" s="2" customFormat="1" ht="22.5">
      <c r="A182" s="52">
        <v>132</v>
      </c>
      <c r="B182" s="97" t="s">
        <v>193</v>
      </c>
      <c r="C182" s="91" t="s">
        <v>16</v>
      </c>
      <c r="D182" s="103">
        <v>0.11</v>
      </c>
      <c r="E182" s="86">
        <v>0.1</v>
      </c>
      <c r="F182" s="43">
        <v>120</v>
      </c>
      <c r="G182" s="50">
        <f t="shared" si="33"/>
        <v>0.009999999999999995</v>
      </c>
      <c r="H182" s="31">
        <v>0</v>
      </c>
      <c r="I182" s="68">
        <f>1.05*1.6</f>
        <v>1.6800000000000002</v>
      </c>
      <c r="J182" s="68">
        <f t="shared" si="32"/>
        <v>1.6700000000000002</v>
      </c>
      <c r="K182" s="99">
        <f>J182</f>
        <v>1.6700000000000002</v>
      </c>
      <c r="L182" s="63" t="str">
        <f>IF(K182&lt;0,"closed","opened")</f>
        <v>opened</v>
      </c>
      <c r="M182" s="23"/>
      <c r="N182" s="52">
        <v>132</v>
      </c>
      <c r="O182" s="97" t="s">
        <v>193</v>
      </c>
      <c r="P182" s="94" t="s">
        <v>16</v>
      </c>
      <c r="Q182" s="103">
        <v>0.006</v>
      </c>
      <c r="R182" s="86">
        <f>Q182+Костромаэнерго!D182</f>
        <v>0.116</v>
      </c>
      <c r="S182" s="86">
        <v>0.1</v>
      </c>
      <c r="T182" s="43">
        <v>120</v>
      </c>
      <c r="U182" s="37">
        <f t="shared" si="34"/>
        <v>0.016</v>
      </c>
      <c r="V182" s="88">
        <v>0</v>
      </c>
      <c r="W182" s="68">
        <f>1.05*1.6</f>
        <v>1.6800000000000002</v>
      </c>
      <c r="X182" s="89">
        <f t="shared" si="35"/>
        <v>1.6640000000000001</v>
      </c>
      <c r="Y182" s="15">
        <f>X182</f>
        <v>1.6640000000000001</v>
      </c>
      <c r="Z182" s="63" t="str">
        <f>IF(Y182&lt;0,"closed","opened")</f>
        <v>opened</v>
      </c>
    </row>
    <row r="183" spans="1:26" s="2" customFormat="1" ht="22.5">
      <c r="A183" s="220">
        <v>133</v>
      </c>
      <c r="B183" s="97" t="s">
        <v>194</v>
      </c>
      <c r="C183" s="91" t="s">
        <v>12</v>
      </c>
      <c r="D183" s="103">
        <v>3.48</v>
      </c>
      <c r="E183" s="98">
        <f>E185+E184</f>
        <v>0.69</v>
      </c>
      <c r="F183" s="43">
        <v>120</v>
      </c>
      <c r="G183" s="15">
        <f t="shared" si="33"/>
        <v>2.79</v>
      </c>
      <c r="H183" s="31">
        <v>0</v>
      </c>
      <c r="I183" s="68">
        <f>1.05*10</f>
        <v>10.5</v>
      </c>
      <c r="J183" s="68">
        <f t="shared" si="32"/>
        <v>7.71</v>
      </c>
      <c r="K183" s="229">
        <f>MIN(J183:J185)</f>
        <v>7.71</v>
      </c>
      <c r="L183" s="190" t="str">
        <f>IF(K183&lt;0,"closed","opened")</f>
        <v>opened</v>
      </c>
      <c r="M183" s="23"/>
      <c r="N183" s="220">
        <v>133</v>
      </c>
      <c r="O183" s="97" t="s">
        <v>194</v>
      </c>
      <c r="P183" s="94" t="s">
        <v>12</v>
      </c>
      <c r="Q183" s="66">
        <v>0.306</v>
      </c>
      <c r="R183" s="86">
        <f>Q183+Костромаэнерго!D183</f>
        <v>3.786</v>
      </c>
      <c r="S183" s="101">
        <f>S185+S184</f>
        <v>0.69</v>
      </c>
      <c r="T183" s="43">
        <v>120</v>
      </c>
      <c r="U183" s="37">
        <f t="shared" si="34"/>
        <v>3.096</v>
      </c>
      <c r="V183" s="88">
        <v>0</v>
      </c>
      <c r="W183" s="68">
        <f>1.05*10</f>
        <v>10.5</v>
      </c>
      <c r="X183" s="89">
        <f t="shared" si="35"/>
        <v>7.404</v>
      </c>
      <c r="Y183" s="251">
        <f>MIN(X183:X185)</f>
        <v>7.404</v>
      </c>
      <c r="Z183" s="190" t="str">
        <f>IF(Y183&lt;0,"closed","opened")</f>
        <v>opened</v>
      </c>
    </row>
    <row r="184" spans="1:26" s="2" customFormat="1" ht="12.75">
      <c r="A184" s="221"/>
      <c r="B184" s="67" t="s">
        <v>92</v>
      </c>
      <c r="C184" s="91" t="s">
        <v>12</v>
      </c>
      <c r="D184" s="92">
        <v>1.23</v>
      </c>
      <c r="E184" s="86">
        <v>0</v>
      </c>
      <c r="F184" s="43">
        <v>120</v>
      </c>
      <c r="G184" s="15">
        <f t="shared" si="33"/>
        <v>1.23</v>
      </c>
      <c r="H184" s="31">
        <v>0</v>
      </c>
      <c r="I184" s="68">
        <f>1.05*10</f>
        <v>10.5</v>
      </c>
      <c r="J184" s="68">
        <f>I184-D184</f>
        <v>9.27</v>
      </c>
      <c r="K184" s="227"/>
      <c r="L184" s="191"/>
      <c r="M184" s="23"/>
      <c r="N184" s="221"/>
      <c r="O184" s="67" t="s">
        <v>92</v>
      </c>
      <c r="P184" s="94" t="s">
        <v>12</v>
      </c>
      <c r="Q184" s="95">
        <v>0</v>
      </c>
      <c r="R184" s="86">
        <f>Q184+Костромаэнерго!D184</f>
        <v>1.23</v>
      </c>
      <c r="S184" s="86">
        <v>0</v>
      </c>
      <c r="T184" s="43">
        <v>120</v>
      </c>
      <c r="U184" s="37">
        <f t="shared" si="34"/>
        <v>1.23</v>
      </c>
      <c r="V184" s="88">
        <v>0</v>
      </c>
      <c r="W184" s="68">
        <f>1.05*10</f>
        <v>10.5</v>
      </c>
      <c r="X184" s="89">
        <f t="shared" si="35"/>
        <v>9.27</v>
      </c>
      <c r="Y184" s="251"/>
      <c r="Z184" s="191"/>
    </row>
    <row r="185" spans="1:26" s="2" customFormat="1" ht="12.75">
      <c r="A185" s="222"/>
      <c r="B185" s="67" t="s">
        <v>93</v>
      </c>
      <c r="C185" s="91" t="s">
        <v>12</v>
      </c>
      <c r="D185" s="92">
        <v>2.25</v>
      </c>
      <c r="E185" s="86">
        <v>0.69</v>
      </c>
      <c r="F185" s="43">
        <v>120</v>
      </c>
      <c r="G185" s="15">
        <f t="shared" si="33"/>
        <v>1.56</v>
      </c>
      <c r="H185" s="31">
        <v>0</v>
      </c>
      <c r="I185" s="68">
        <f>1.05*10</f>
        <v>10.5</v>
      </c>
      <c r="J185" s="68">
        <f t="shared" si="32"/>
        <v>8.94</v>
      </c>
      <c r="K185" s="230"/>
      <c r="L185" s="191"/>
      <c r="M185" s="23"/>
      <c r="N185" s="222"/>
      <c r="O185" s="67" t="s">
        <v>93</v>
      </c>
      <c r="P185" s="94" t="s">
        <v>12</v>
      </c>
      <c r="Q185" s="66">
        <v>0.306</v>
      </c>
      <c r="R185" s="86">
        <f>Q185+Костромаэнерго!D185</f>
        <v>2.556</v>
      </c>
      <c r="S185" s="86">
        <v>0.69</v>
      </c>
      <c r="T185" s="43">
        <v>120</v>
      </c>
      <c r="U185" s="37">
        <f t="shared" si="34"/>
        <v>1.866</v>
      </c>
      <c r="V185" s="88">
        <v>0</v>
      </c>
      <c r="W185" s="68">
        <f>1.05*10</f>
        <v>10.5</v>
      </c>
      <c r="X185" s="89">
        <f t="shared" si="35"/>
        <v>8.634</v>
      </c>
      <c r="Y185" s="251"/>
      <c r="Z185" s="191"/>
    </row>
    <row r="186" spans="1:26" s="2" customFormat="1" ht="22.5">
      <c r="A186" s="52">
        <v>134</v>
      </c>
      <c r="B186" s="97" t="s">
        <v>195</v>
      </c>
      <c r="C186" s="91" t="s">
        <v>16</v>
      </c>
      <c r="D186" s="103">
        <v>0.09</v>
      </c>
      <c r="E186" s="86">
        <v>0.1</v>
      </c>
      <c r="F186" s="43">
        <v>120</v>
      </c>
      <c r="G186" s="44">
        <f t="shared" si="33"/>
        <v>-0.010000000000000009</v>
      </c>
      <c r="H186" s="31">
        <v>0</v>
      </c>
      <c r="I186" s="68">
        <f>1.05*1.6</f>
        <v>1.6800000000000002</v>
      </c>
      <c r="J186" s="68">
        <f t="shared" si="32"/>
        <v>1.6900000000000002</v>
      </c>
      <c r="K186" s="99">
        <f>J186</f>
        <v>1.6900000000000002</v>
      </c>
      <c r="L186" s="62" t="str">
        <f>IF(K186&lt;0,"closed","opened")</f>
        <v>opened</v>
      </c>
      <c r="M186" s="23"/>
      <c r="N186" s="52">
        <v>134</v>
      </c>
      <c r="O186" s="97" t="s">
        <v>195</v>
      </c>
      <c r="P186" s="94" t="s">
        <v>16</v>
      </c>
      <c r="Q186" s="103">
        <v>0.006</v>
      </c>
      <c r="R186" s="86">
        <f>Q186+Костромаэнерго!D186</f>
        <v>0.096</v>
      </c>
      <c r="S186" s="86">
        <v>0.1</v>
      </c>
      <c r="T186" s="43">
        <v>120</v>
      </c>
      <c r="U186" s="37">
        <f t="shared" si="34"/>
        <v>-0.0040000000000000036</v>
      </c>
      <c r="V186" s="88">
        <v>0</v>
      </c>
      <c r="W186" s="68">
        <f>1.05*1.6</f>
        <v>1.6800000000000002</v>
      </c>
      <c r="X186" s="89">
        <f t="shared" si="35"/>
        <v>1.6840000000000002</v>
      </c>
      <c r="Y186" s="15">
        <f>X186</f>
        <v>1.6840000000000002</v>
      </c>
      <c r="Z186" s="62" t="str">
        <f>IF(Y186&lt;0,"closed","opened")</f>
        <v>opened</v>
      </c>
    </row>
    <row r="187" spans="1:26" s="2" customFormat="1" ht="22.5">
      <c r="A187" s="220">
        <v>135</v>
      </c>
      <c r="B187" s="97" t="s">
        <v>196</v>
      </c>
      <c r="C187" s="91" t="s">
        <v>12</v>
      </c>
      <c r="D187" s="103">
        <v>5.36</v>
      </c>
      <c r="E187" s="98">
        <f>E189+E188</f>
        <v>0.04</v>
      </c>
      <c r="F187" s="43">
        <v>120</v>
      </c>
      <c r="G187" s="50">
        <f t="shared" si="33"/>
        <v>5.32</v>
      </c>
      <c r="H187" s="31">
        <v>0</v>
      </c>
      <c r="I187" s="68">
        <f>1.05*10</f>
        <v>10.5</v>
      </c>
      <c r="J187" s="68">
        <f t="shared" si="32"/>
        <v>5.18</v>
      </c>
      <c r="K187" s="229">
        <f>MIN(J187:J189)</f>
        <v>5.18</v>
      </c>
      <c r="L187" s="190" t="str">
        <f>IF(K187&lt;0,"closed","opened")</f>
        <v>opened</v>
      </c>
      <c r="M187" s="23"/>
      <c r="N187" s="220">
        <v>135</v>
      </c>
      <c r="O187" s="97" t="s">
        <v>196</v>
      </c>
      <c r="P187" s="94" t="s">
        <v>12</v>
      </c>
      <c r="Q187" s="66">
        <v>0</v>
      </c>
      <c r="R187" s="86">
        <f>Q187+Костромаэнерго!D187</f>
        <v>5.36</v>
      </c>
      <c r="S187" s="101">
        <f>S189+S188</f>
        <v>0.04</v>
      </c>
      <c r="T187" s="43">
        <v>120</v>
      </c>
      <c r="U187" s="37">
        <f t="shared" si="34"/>
        <v>5.32</v>
      </c>
      <c r="V187" s="88">
        <v>0</v>
      </c>
      <c r="W187" s="68">
        <v>10.5</v>
      </c>
      <c r="X187" s="89">
        <f t="shared" si="35"/>
        <v>5.18</v>
      </c>
      <c r="Y187" s="251">
        <f>MIN(X187:X189)</f>
        <v>5.18</v>
      </c>
      <c r="Z187" s="190" t="str">
        <f>IF(Y187&lt;0,"closed","opened")</f>
        <v>opened</v>
      </c>
    </row>
    <row r="188" spans="1:26" s="2" customFormat="1" ht="12.75">
      <c r="A188" s="221"/>
      <c r="B188" s="67" t="s">
        <v>92</v>
      </c>
      <c r="C188" s="91" t="s">
        <v>12</v>
      </c>
      <c r="D188" s="92">
        <v>5.25</v>
      </c>
      <c r="E188" s="86">
        <v>0</v>
      </c>
      <c r="F188" s="43">
        <v>120</v>
      </c>
      <c r="G188" s="50">
        <f t="shared" si="33"/>
        <v>5.25</v>
      </c>
      <c r="H188" s="31">
        <v>0</v>
      </c>
      <c r="I188" s="68">
        <f>1.05*10</f>
        <v>10.5</v>
      </c>
      <c r="J188" s="68">
        <f>I188-D188</f>
        <v>5.25</v>
      </c>
      <c r="K188" s="227"/>
      <c r="L188" s="191"/>
      <c r="M188" s="23"/>
      <c r="N188" s="221"/>
      <c r="O188" s="67" t="s">
        <v>92</v>
      </c>
      <c r="P188" s="94" t="s">
        <v>12</v>
      </c>
      <c r="Q188" s="95">
        <v>0</v>
      </c>
      <c r="R188" s="86">
        <f>Q188+Костромаэнерго!D188</f>
        <v>5.25</v>
      </c>
      <c r="S188" s="86">
        <v>0</v>
      </c>
      <c r="T188" s="43">
        <v>120</v>
      </c>
      <c r="U188" s="37">
        <f t="shared" si="34"/>
        <v>5.25</v>
      </c>
      <c r="V188" s="88">
        <v>0</v>
      </c>
      <c r="W188" s="68">
        <f>1.05*10</f>
        <v>10.5</v>
      </c>
      <c r="X188" s="89">
        <f t="shared" si="35"/>
        <v>5.25</v>
      </c>
      <c r="Y188" s="251"/>
      <c r="Z188" s="191"/>
    </row>
    <row r="189" spans="1:26" s="2" customFormat="1" ht="12.75">
      <c r="A189" s="222"/>
      <c r="B189" s="67" t="s">
        <v>93</v>
      </c>
      <c r="C189" s="91" t="s">
        <v>12</v>
      </c>
      <c r="D189" s="92">
        <v>0.11</v>
      </c>
      <c r="E189" s="86">
        <v>0.04</v>
      </c>
      <c r="F189" s="43">
        <v>120</v>
      </c>
      <c r="G189" s="50">
        <f t="shared" si="33"/>
        <v>0.07</v>
      </c>
      <c r="H189" s="31">
        <v>0</v>
      </c>
      <c r="I189" s="68">
        <f>1.05*10</f>
        <v>10.5</v>
      </c>
      <c r="J189" s="68">
        <f t="shared" si="32"/>
        <v>10.43</v>
      </c>
      <c r="K189" s="230"/>
      <c r="L189" s="192"/>
      <c r="M189" s="23"/>
      <c r="N189" s="222"/>
      <c r="O189" s="67" t="s">
        <v>93</v>
      </c>
      <c r="P189" s="94" t="s">
        <v>12</v>
      </c>
      <c r="Q189" s="66">
        <v>0</v>
      </c>
      <c r="R189" s="86">
        <f>Q189+Костромаэнерго!D189</f>
        <v>0.11</v>
      </c>
      <c r="S189" s="86">
        <v>0.04</v>
      </c>
      <c r="T189" s="43">
        <v>120</v>
      </c>
      <c r="U189" s="37">
        <f t="shared" si="34"/>
        <v>0.07</v>
      </c>
      <c r="V189" s="88">
        <v>0</v>
      </c>
      <c r="W189" s="68">
        <f>1.05*10</f>
        <v>10.5</v>
      </c>
      <c r="X189" s="89">
        <f t="shared" si="35"/>
        <v>10.43</v>
      </c>
      <c r="Y189" s="251"/>
      <c r="Z189" s="192"/>
    </row>
    <row r="190" spans="1:26" s="2" customFormat="1" ht="22.5">
      <c r="A190" s="52">
        <v>136</v>
      </c>
      <c r="B190" s="97" t="s">
        <v>197</v>
      </c>
      <c r="C190" s="91" t="s">
        <v>15</v>
      </c>
      <c r="D190" s="103">
        <v>2.12</v>
      </c>
      <c r="E190" s="86">
        <v>1.42</v>
      </c>
      <c r="F190" s="43">
        <v>120</v>
      </c>
      <c r="G190" s="15">
        <f t="shared" si="33"/>
        <v>0.7000000000000002</v>
      </c>
      <c r="H190" s="31">
        <v>0</v>
      </c>
      <c r="I190" s="68">
        <f>1.05*4</f>
        <v>4.2</v>
      </c>
      <c r="J190" s="68">
        <f t="shared" si="32"/>
        <v>3.5</v>
      </c>
      <c r="K190" s="99">
        <f>J190</f>
        <v>3.5</v>
      </c>
      <c r="L190" s="62" t="str">
        <f>IF(K190&lt;0,"closed","opened")</f>
        <v>opened</v>
      </c>
      <c r="M190" s="23"/>
      <c r="N190" s="52">
        <v>136</v>
      </c>
      <c r="O190" s="97" t="s">
        <v>197</v>
      </c>
      <c r="P190" s="94" t="s">
        <v>15</v>
      </c>
      <c r="Q190" s="103">
        <v>0.144</v>
      </c>
      <c r="R190" s="86">
        <f>Q190+Костромаэнерго!D190</f>
        <v>2.2640000000000002</v>
      </c>
      <c r="S190" s="86">
        <v>1.42</v>
      </c>
      <c r="T190" s="43">
        <v>120</v>
      </c>
      <c r="U190" s="37">
        <f t="shared" si="34"/>
        <v>0.8440000000000003</v>
      </c>
      <c r="V190" s="88">
        <v>0</v>
      </c>
      <c r="W190" s="68">
        <f>1.05*4</f>
        <v>4.2</v>
      </c>
      <c r="X190" s="89">
        <f t="shared" si="35"/>
        <v>3.356</v>
      </c>
      <c r="Y190" s="15">
        <f>X190</f>
        <v>3.356</v>
      </c>
      <c r="Z190" s="62" t="str">
        <f>IF(Y190&lt;0,"closed","opened")</f>
        <v>opened</v>
      </c>
    </row>
    <row r="191" spans="1:26" s="2" customFormat="1" ht="22.5">
      <c r="A191" s="52">
        <v>137</v>
      </c>
      <c r="B191" s="97" t="s">
        <v>198</v>
      </c>
      <c r="C191" s="91" t="s">
        <v>16</v>
      </c>
      <c r="D191" s="103">
        <v>0.23</v>
      </c>
      <c r="E191" s="86">
        <v>0.08</v>
      </c>
      <c r="F191" s="43">
        <v>120</v>
      </c>
      <c r="G191" s="44">
        <f t="shared" si="33"/>
        <v>0.15000000000000002</v>
      </c>
      <c r="H191" s="31">
        <v>0</v>
      </c>
      <c r="I191" s="68">
        <f>1.05*1.6</f>
        <v>1.6800000000000002</v>
      </c>
      <c r="J191" s="68">
        <f t="shared" si="32"/>
        <v>1.5300000000000002</v>
      </c>
      <c r="K191" s="99">
        <f>J191</f>
        <v>1.5300000000000002</v>
      </c>
      <c r="L191" s="63" t="str">
        <f>IF(K191&lt;0,"closed","opened")</f>
        <v>opened</v>
      </c>
      <c r="M191" s="23"/>
      <c r="N191" s="52">
        <v>137</v>
      </c>
      <c r="O191" s="97" t="s">
        <v>198</v>
      </c>
      <c r="P191" s="94" t="s">
        <v>16</v>
      </c>
      <c r="Q191" s="103">
        <v>0.006</v>
      </c>
      <c r="R191" s="86">
        <f>Q191+Костромаэнерго!D191</f>
        <v>0.23600000000000002</v>
      </c>
      <c r="S191" s="86">
        <v>0.08</v>
      </c>
      <c r="T191" s="43">
        <v>120</v>
      </c>
      <c r="U191" s="37">
        <f t="shared" si="34"/>
        <v>0.15600000000000003</v>
      </c>
      <c r="V191" s="88">
        <v>0</v>
      </c>
      <c r="W191" s="68">
        <f>1.05*1.6</f>
        <v>1.6800000000000002</v>
      </c>
      <c r="X191" s="89">
        <f t="shared" si="35"/>
        <v>1.524</v>
      </c>
      <c r="Y191" s="15">
        <f>X191</f>
        <v>1.524</v>
      </c>
      <c r="Z191" s="63" t="str">
        <f>IF(Y191&lt;0,"closed","opened")</f>
        <v>opened</v>
      </c>
    </row>
    <row r="192" spans="1:26" s="2" customFormat="1" ht="22.5">
      <c r="A192" s="220">
        <v>138</v>
      </c>
      <c r="B192" s="97" t="s">
        <v>199</v>
      </c>
      <c r="C192" s="91" t="s">
        <v>12</v>
      </c>
      <c r="D192" s="103">
        <v>7.54</v>
      </c>
      <c r="E192" s="98">
        <f>E194+E193</f>
        <v>0.8</v>
      </c>
      <c r="F192" s="43">
        <v>120</v>
      </c>
      <c r="G192" s="15">
        <f t="shared" si="33"/>
        <v>6.74</v>
      </c>
      <c r="H192" s="31">
        <v>0</v>
      </c>
      <c r="I192" s="68">
        <f>1.05*10</f>
        <v>10.5</v>
      </c>
      <c r="J192" s="68">
        <f t="shared" si="32"/>
        <v>3.76</v>
      </c>
      <c r="K192" s="229">
        <f>MIN(J192:J194)</f>
        <v>3.76</v>
      </c>
      <c r="L192" s="190" t="str">
        <f>IF(K192&lt;0,"closed","opened")</f>
        <v>opened</v>
      </c>
      <c r="M192" s="23"/>
      <c r="N192" s="220">
        <v>138</v>
      </c>
      <c r="O192" s="97" t="s">
        <v>199</v>
      </c>
      <c r="P192" s="94" t="s">
        <v>12</v>
      </c>
      <c r="Q192" s="66">
        <v>0.03</v>
      </c>
      <c r="R192" s="86">
        <f>Q192+Костромаэнерго!D192</f>
        <v>7.57</v>
      </c>
      <c r="S192" s="101">
        <f>S194+S193</f>
        <v>0.8</v>
      </c>
      <c r="T192" s="43">
        <v>120</v>
      </c>
      <c r="U192" s="37">
        <f t="shared" si="34"/>
        <v>6.7700000000000005</v>
      </c>
      <c r="V192" s="88">
        <v>0</v>
      </c>
      <c r="W192" s="68">
        <f>1.05*10</f>
        <v>10.5</v>
      </c>
      <c r="X192" s="89">
        <f t="shared" si="35"/>
        <v>3.7299999999999995</v>
      </c>
      <c r="Y192" s="251">
        <f>MIN(X192:X194)</f>
        <v>3.7299999999999995</v>
      </c>
      <c r="Z192" s="190" t="str">
        <f>IF(Y192&lt;0,"closed","opened")</f>
        <v>opened</v>
      </c>
    </row>
    <row r="193" spans="1:26" s="2" customFormat="1" ht="12.75">
      <c r="A193" s="221"/>
      <c r="B193" s="67" t="s">
        <v>92</v>
      </c>
      <c r="C193" s="91" t="s">
        <v>12</v>
      </c>
      <c r="D193" s="92">
        <v>5.36</v>
      </c>
      <c r="E193" s="86">
        <v>0</v>
      </c>
      <c r="F193" s="43">
        <v>120</v>
      </c>
      <c r="G193" s="15">
        <f t="shared" si="33"/>
        <v>5.36</v>
      </c>
      <c r="H193" s="31">
        <v>0</v>
      </c>
      <c r="I193" s="68">
        <f>1.05*10</f>
        <v>10.5</v>
      </c>
      <c r="J193" s="68">
        <f>I193-D193</f>
        <v>5.14</v>
      </c>
      <c r="K193" s="227"/>
      <c r="L193" s="191"/>
      <c r="M193" s="23"/>
      <c r="N193" s="221"/>
      <c r="O193" s="67" t="s">
        <v>92</v>
      </c>
      <c r="P193" s="94" t="s">
        <v>12</v>
      </c>
      <c r="Q193" s="95">
        <v>0</v>
      </c>
      <c r="R193" s="86">
        <f>Q193+Костромаэнерго!D193</f>
        <v>5.36</v>
      </c>
      <c r="S193" s="86">
        <v>0</v>
      </c>
      <c r="T193" s="43">
        <v>120</v>
      </c>
      <c r="U193" s="37">
        <f t="shared" si="34"/>
        <v>5.36</v>
      </c>
      <c r="V193" s="88">
        <v>0</v>
      </c>
      <c r="W193" s="68">
        <f>1.05*10</f>
        <v>10.5</v>
      </c>
      <c r="X193" s="89">
        <f t="shared" si="35"/>
        <v>5.14</v>
      </c>
      <c r="Y193" s="251"/>
      <c r="Z193" s="191"/>
    </row>
    <row r="194" spans="1:26" s="2" customFormat="1" ht="12.75">
      <c r="A194" s="222"/>
      <c r="B194" s="67" t="s">
        <v>92</v>
      </c>
      <c r="C194" s="91" t="s">
        <v>12</v>
      </c>
      <c r="D194" s="92">
        <v>2.18</v>
      </c>
      <c r="E194" s="86">
        <v>0.8</v>
      </c>
      <c r="F194" s="43">
        <v>120</v>
      </c>
      <c r="G194" s="15">
        <f t="shared" si="33"/>
        <v>1.3800000000000001</v>
      </c>
      <c r="H194" s="31">
        <v>0</v>
      </c>
      <c r="I194" s="68">
        <f>1.05*10</f>
        <v>10.5</v>
      </c>
      <c r="J194" s="68">
        <f t="shared" si="32"/>
        <v>9.12</v>
      </c>
      <c r="K194" s="230"/>
      <c r="L194" s="191"/>
      <c r="M194" s="23"/>
      <c r="N194" s="222"/>
      <c r="O194" s="67" t="s">
        <v>92</v>
      </c>
      <c r="P194" s="94" t="s">
        <v>12</v>
      </c>
      <c r="Q194" s="66">
        <v>0.03</v>
      </c>
      <c r="R194" s="86">
        <f>Q194+Костромаэнерго!D194</f>
        <v>2.21</v>
      </c>
      <c r="S194" s="86">
        <v>0.8</v>
      </c>
      <c r="T194" s="43">
        <v>120</v>
      </c>
      <c r="U194" s="37">
        <f t="shared" si="34"/>
        <v>1.41</v>
      </c>
      <c r="V194" s="88">
        <v>0</v>
      </c>
      <c r="W194" s="68">
        <f>1.05*10</f>
        <v>10.5</v>
      </c>
      <c r="X194" s="89">
        <f t="shared" si="35"/>
        <v>9.09</v>
      </c>
      <c r="Y194" s="251"/>
      <c r="Z194" s="191"/>
    </row>
    <row r="195" spans="1:26" s="2" customFormat="1" ht="22.5">
      <c r="A195" s="52">
        <v>139</v>
      </c>
      <c r="B195" s="97" t="s">
        <v>200</v>
      </c>
      <c r="C195" s="91" t="s">
        <v>14</v>
      </c>
      <c r="D195" s="103">
        <v>1.19</v>
      </c>
      <c r="E195" s="86">
        <v>0</v>
      </c>
      <c r="F195" s="43">
        <v>0</v>
      </c>
      <c r="G195" s="15">
        <f t="shared" si="33"/>
        <v>1.19</v>
      </c>
      <c r="H195" s="31">
        <v>0</v>
      </c>
      <c r="I195" s="68">
        <f>1.05*2.5</f>
        <v>2.625</v>
      </c>
      <c r="J195" s="68">
        <f t="shared" si="32"/>
        <v>1.435</v>
      </c>
      <c r="K195" s="99">
        <f>J195</f>
        <v>1.435</v>
      </c>
      <c r="L195" s="62" t="str">
        <f aca="true" t="shared" si="46" ref="L195:L203">IF(K195&lt;0,"closed","opened")</f>
        <v>opened</v>
      </c>
      <c r="M195" s="23"/>
      <c r="N195" s="52">
        <v>139</v>
      </c>
      <c r="O195" s="97" t="s">
        <v>200</v>
      </c>
      <c r="P195" s="94" t="s">
        <v>14</v>
      </c>
      <c r="Q195" s="103">
        <v>0.006</v>
      </c>
      <c r="R195" s="86">
        <f>Q195+Костромаэнерго!D195</f>
        <v>1.196</v>
      </c>
      <c r="S195" s="86">
        <v>0</v>
      </c>
      <c r="T195" s="43">
        <v>0</v>
      </c>
      <c r="U195" s="37">
        <f t="shared" si="34"/>
        <v>1.196</v>
      </c>
      <c r="V195" s="88">
        <v>0</v>
      </c>
      <c r="W195" s="68">
        <f>1.05*2.5</f>
        <v>2.625</v>
      </c>
      <c r="X195" s="89">
        <f t="shared" si="35"/>
        <v>1.429</v>
      </c>
      <c r="Y195" s="15">
        <f aca="true" t="shared" si="47" ref="Y195:Y202">X195</f>
        <v>1.429</v>
      </c>
      <c r="Z195" s="62" t="str">
        <f aca="true" t="shared" si="48" ref="Z195:Z203">IF(Y195&lt;0,"closed","opened")</f>
        <v>opened</v>
      </c>
    </row>
    <row r="196" spans="1:26" s="2" customFormat="1" ht="22.5">
      <c r="A196" s="52">
        <v>140</v>
      </c>
      <c r="B196" s="97" t="s">
        <v>201</v>
      </c>
      <c r="C196" s="91" t="s">
        <v>15</v>
      </c>
      <c r="D196" s="103">
        <v>3</v>
      </c>
      <c r="E196" s="86">
        <v>1.58</v>
      </c>
      <c r="F196" s="43">
        <v>120</v>
      </c>
      <c r="G196" s="15">
        <f t="shared" si="33"/>
        <v>1.42</v>
      </c>
      <c r="H196" s="31">
        <v>0</v>
      </c>
      <c r="I196" s="68">
        <f>1.05*4</f>
        <v>4.2</v>
      </c>
      <c r="J196" s="68">
        <f t="shared" si="32"/>
        <v>2.7800000000000002</v>
      </c>
      <c r="K196" s="99">
        <f aca="true" t="shared" si="49" ref="K196:K202">J196</f>
        <v>2.7800000000000002</v>
      </c>
      <c r="L196" s="62" t="str">
        <f t="shared" si="46"/>
        <v>opened</v>
      </c>
      <c r="M196" s="23"/>
      <c r="N196" s="52">
        <v>140</v>
      </c>
      <c r="O196" s="97" t="s">
        <v>201</v>
      </c>
      <c r="P196" s="94" t="s">
        <v>15</v>
      </c>
      <c r="Q196" s="103">
        <v>0.145</v>
      </c>
      <c r="R196" s="86">
        <f>Q196+Костромаэнерго!D196</f>
        <v>3.145</v>
      </c>
      <c r="S196" s="86">
        <v>1.58</v>
      </c>
      <c r="T196" s="43">
        <v>120</v>
      </c>
      <c r="U196" s="37">
        <f t="shared" si="34"/>
        <v>1.565</v>
      </c>
      <c r="V196" s="88">
        <v>0</v>
      </c>
      <c r="W196" s="68">
        <f>1.05*4</f>
        <v>4.2</v>
      </c>
      <c r="X196" s="89">
        <f t="shared" si="35"/>
        <v>2.6350000000000002</v>
      </c>
      <c r="Y196" s="15">
        <f t="shared" si="47"/>
        <v>2.6350000000000002</v>
      </c>
      <c r="Z196" s="62" t="str">
        <f t="shared" si="48"/>
        <v>opened</v>
      </c>
    </row>
    <row r="197" spans="1:26" s="2" customFormat="1" ht="22.5">
      <c r="A197" s="52">
        <v>141</v>
      </c>
      <c r="B197" s="97" t="s">
        <v>202</v>
      </c>
      <c r="C197" s="91" t="s">
        <v>20</v>
      </c>
      <c r="D197" s="103">
        <v>0.18</v>
      </c>
      <c r="E197" s="86">
        <v>0</v>
      </c>
      <c r="F197" s="43">
        <v>0</v>
      </c>
      <c r="G197" s="44">
        <f t="shared" si="33"/>
        <v>0.18</v>
      </c>
      <c r="H197" s="31">
        <v>0</v>
      </c>
      <c r="I197" s="68">
        <f>1.05*1</f>
        <v>1.05</v>
      </c>
      <c r="J197" s="68">
        <f t="shared" si="32"/>
        <v>0.8700000000000001</v>
      </c>
      <c r="K197" s="99">
        <f t="shared" si="49"/>
        <v>0.8700000000000001</v>
      </c>
      <c r="L197" s="63" t="str">
        <f t="shared" si="46"/>
        <v>opened</v>
      </c>
      <c r="M197" s="23"/>
      <c r="N197" s="52">
        <v>141</v>
      </c>
      <c r="O197" s="97" t="s">
        <v>202</v>
      </c>
      <c r="P197" s="94" t="s">
        <v>20</v>
      </c>
      <c r="Q197" s="103">
        <v>0.077</v>
      </c>
      <c r="R197" s="86">
        <f>Q197+Костромаэнерго!D197</f>
        <v>0.257</v>
      </c>
      <c r="S197" s="86">
        <v>0</v>
      </c>
      <c r="T197" s="43">
        <v>0</v>
      </c>
      <c r="U197" s="37">
        <f t="shared" si="34"/>
        <v>0.257</v>
      </c>
      <c r="V197" s="88">
        <v>0</v>
      </c>
      <c r="W197" s="68">
        <f>1.05*1</f>
        <v>1.05</v>
      </c>
      <c r="X197" s="89">
        <f t="shared" si="35"/>
        <v>0.793</v>
      </c>
      <c r="Y197" s="15">
        <f t="shared" si="47"/>
        <v>0.793</v>
      </c>
      <c r="Z197" s="63" t="str">
        <f t="shared" si="48"/>
        <v>opened</v>
      </c>
    </row>
    <row r="198" spans="1:26" s="2" customFormat="1" ht="22.5">
      <c r="A198" s="52">
        <v>142</v>
      </c>
      <c r="B198" s="97" t="s">
        <v>203</v>
      </c>
      <c r="C198" s="91" t="s">
        <v>34</v>
      </c>
      <c r="D198" s="103">
        <v>0.81</v>
      </c>
      <c r="E198" s="86">
        <v>0.1</v>
      </c>
      <c r="F198" s="43">
        <v>120</v>
      </c>
      <c r="G198" s="50">
        <f t="shared" si="33"/>
        <v>0.7100000000000001</v>
      </c>
      <c r="H198" s="31">
        <v>0</v>
      </c>
      <c r="I198" s="68">
        <f>1.05*1</f>
        <v>1.05</v>
      </c>
      <c r="J198" s="68">
        <f t="shared" si="32"/>
        <v>0.33999999999999997</v>
      </c>
      <c r="K198" s="99">
        <f t="shared" si="49"/>
        <v>0.33999999999999997</v>
      </c>
      <c r="L198" s="62" t="str">
        <f t="shared" si="46"/>
        <v>opened</v>
      </c>
      <c r="M198" s="23"/>
      <c r="N198" s="52">
        <v>142</v>
      </c>
      <c r="O198" s="97" t="s">
        <v>203</v>
      </c>
      <c r="P198" s="94" t="s">
        <v>34</v>
      </c>
      <c r="Q198" s="103">
        <v>0</v>
      </c>
      <c r="R198" s="86">
        <f>Q198+Костромаэнерго!D198</f>
        <v>0.81</v>
      </c>
      <c r="S198" s="86">
        <v>0.1</v>
      </c>
      <c r="T198" s="43">
        <v>120</v>
      </c>
      <c r="U198" s="37">
        <f t="shared" si="34"/>
        <v>0.7100000000000001</v>
      </c>
      <c r="V198" s="88">
        <v>0</v>
      </c>
      <c r="W198" s="68">
        <f>1.05*1</f>
        <v>1.05</v>
      </c>
      <c r="X198" s="89">
        <f t="shared" si="35"/>
        <v>0.33999999999999997</v>
      </c>
      <c r="Y198" s="15">
        <f t="shared" si="47"/>
        <v>0.33999999999999997</v>
      </c>
      <c r="Z198" s="62" t="str">
        <f t="shared" si="48"/>
        <v>opened</v>
      </c>
    </row>
    <row r="199" spans="1:26" s="2" customFormat="1" ht="22.5">
      <c r="A199" s="52">
        <v>143</v>
      </c>
      <c r="B199" s="97" t="s">
        <v>204</v>
      </c>
      <c r="C199" s="91" t="s">
        <v>32</v>
      </c>
      <c r="D199" s="103">
        <v>0.12</v>
      </c>
      <c r="E199" s="86">
        <v>0.32</v>
      </c>
      <c r="F199" s="43">
        <v>120</v>
      </c>
      <c r="G199" s="50">
        <f t="shared" si="33"/>
        <v>-0.2</v>
      </c>
      <c r="H199" s="31">
        <v>0</v>
      </c>
      <c r="I199" s="68">
        <f>1.05*1.6</f>
        <v>1.6800000000000002</v>
      </c>
      <c r="J199" s="68">
        <f t="shared" si="32"/>
        <v>1.8800000000000001</v>
      </c>
      <c r="K199" s="99">
        <f t="shared" si="49"/>
        <v>1.8800000000000001</v>
      </c>
      <c r="L199" s="62" t="str">
        <f t="shared" si="46"/>
        <v>opened</v>
      </c>
      <c r="M199" s="23"/>
      <c r="N199" s="52">
        <v>143</v>
      </c>
      <c r="O199" s="97" t="s">
        <v>204</v>
      </c>
      <c r="P199" s="94" t="s">
        <v>32</v>
      </c>
      <c r="Q199" s="103">
        <v>0</v>
      </c>
      <c r="R199" s="86">
        <f>Q199+Костромаэнерго!D199</f>
        <v>0.12</v>
      </c>
      <c r="S199" s="86">
        <v>0.32</v>
      </c>
      <c r="T199" s="43">
        <v>120</v>
      </c>
      <c r="U199" s="37">
        <f t="shared" si="34"/>
        <v>-0.2</v>
      </c>
      <c r="V199" s="88">
        <v>0</v>
      </c>
      <c r="W199" s="68">
        <f>1.05*1.6</f>
        <v>1.6800000000000002</v>
      </c>
      <c r="X199" s="89">
        <f t="shared" si="35"/>
        <v>1.8800000000000001</v>
      </c>
      <c r="Y199" s="15">
        <f t="shared" si="47"/>
        <v>1.8800000000000001</v>
      </c>
      <c r="Z199" s="62" t="str">
        <f t="shared" si="48"/>
        <v>opened</v>
      </c>
    </row>
    <row r="200" spans="1:26" s="2" customFormat="1" ht="22.5">
      <c r="A200" s="52">
        <v>144</v>
      </c>
      <c r="B200" s="97" t="s">
        <v>205</v>
      </c>
      <c r="C200" s="91" t="s">
        <v>1</v>
      </c>
      <c r="D200" s="103">
        <v>2.58</v>
      </c>
      <c r="E200" s="86">
        <v>0</v>
      </c>
      <c r="F200" s="43">
        <v>0</v>
      </c>
      <c r="G200" s="50">
        <f t="shared" si="33"/>
        <v>2.58</v>
      </c>
      <c r="H200" s="31">
        <v>0</v>
      </c>
      <c r="I200" s="68">
        <f>1.05*25</f>
        <v>26.25</v>
      </c>
      <c r="J200" s="68">
        <f t="shared" si="32"/>
        <v>23.67</v>
      </c>
      <c r="K200" s="99">
        <f t="shared" si="49"/>
        <v>23.67</v>
      </c>
      <c r="L200" s="62" t="str">
        <f t="shared" si="46"/>
        <v>opened</v>
      </c>
      <c r="M200" s="23"/>
      <c r="N200" s="52">
        <v>144</v>
      </c>
      <c r="O200" s="97" t="s">
        <v>205</v>
      </c>
      <c r="P200" s="94" t="s">
        <v>1</v>
      </c>
      <c r="Q200" s="103">
        <v>0.176</v>
      </c>
      <c r="R200" s="86">
        <f>Q200+Костромаэнерго!D200</f>
        <v>2.7560000000000002</v>
      </c>
      <c r="S200" s="86">
        <v>0</v>
      </c>
      <c r="T200" s="43">
        <v>0</v>
      </c>
      <c r="U200" s="37">
        <f t="shared" si="34"/>
        <v>2.7560000000000002</v>
      </c>
      <c r="V200" s="88">
        <v>0</v>
      </c>
      <c r="W200" s="68">
        <f>1.05*25</f>
        <v>26.25</v>
      </c>
      <c r="X200" s="89">
        <f t="shared" si="35"/>
        <v>23.494</v>
      </c>
      <c r="Y200" s="15">
        <f t="shared" si="47"/>
        <v>23.494</v>
      </c>
      <c r="Z200" s="62" t="str">
        <f t="shared" si="48"/>
        <v>opened</v>
      </c>
    </row>
    <row r="201" spans="1:26" s="2" customFormat="1" ht="22.5">
      <c r="A201" s="52">
        <v>145</v>
      </c>
      <c r="B201" s="97" t="s">
        <v>206</v>
      </c>
      <c r="C201" s="91" t="s">
        <v>35</v>
      </c>
      <c r="D201" s="103">
        <v>0.44</v>
      </c>
      <c r="E201" s="86">
        <v>0.15</v>
      </c>
      <c r="F201" s="43">
        <v>120</v>
      </c>
      <c r="G201" s="50">
        <f t="shared" si="33"/>
        <v>0.29000000000000004</v>
      </c>
      <c r="H201" s="31">
        <v>0</v>
      </c>
      <c r="I201" s="68">
        <f>1.05*1.6</f>
        <v>1.6800000000000002</v>
      </c>
      <c r="J201" s="68">
        <f aca="true" t="shared" si="50" ref="J201:J232">I201-G201-H201</f>
        <v>1.3900000000000001</v>
      </c>
      <c r="K201" s="99">
        <f t="shared" si="49"/>
        <v>1.3900000000000001</v>
      </c>
      <c r="L201" s="62" t="str">
        <f t="shared" si="46"/>
        <v>opened</v>
      </c>
      <c r="M201" s="23"/>
      <c r="N201" s="52">
        <v>145</v>
      </c>
      <c r="O201" s="97" t="s">
        <v>206</v>
      </c>
      <c r="P201" s="94" t="s">
        <v>35</v>
      </c>
      <c r="Q201" s="103">
        <v>0.071</v>
      </c>
      <c r="R201" s="86">
        <f>Q201+Костромаэнерго!D201</f>
        <v>0.511</v>
      </c>
      <c r="S201" s="86">
        <v>0.15</v>
      </c>
      <c r="T201" s="43">
        <v>120</v>
      </c>
      <c r="U201" s="37">
        <f t="shared" si="34"/>
        <v>0.361</v>
      </c>
      <c r="V201" s="88">
        <v>0</v>
      </c>
      <c r="W201" s="68">
        <f>1.05*1.6</f>
        <v>1.6800000000000002</v>
      </c>
      <c r="X201" s="89">
        <f t="shared" si="35"/>
        <v>1.3190000000000002</v>
      </c>
      <c r="Y201" s="15">
        <f t="shared" si="47"/>
        <v>1.3190000000000002</v>
      </c>
      <c r="Z201" s="62" t="str">
        <f t="shared" si="48"/>
        <v>opened</v>
      </c>
    </row>
    <row r="202" spans="1:26" s="2" customFormat="1" ht="22.5">
      <c r="A202" s="52">
        <v>146</v>
      </c>
      <c r="B202" s="97" t="s">
        <v>207</v>
      </c>
      <c r="C202" s="91" t="s">
        <v>14</v>
      </c>
      <c r="D202" s="103">
        <v>2.15</v>
      </c>
      <c r="E202" s="86">
        <v>1.23</v>
      </c>
      <c r="F202" s="43">
        <v>120</v>
      </c>
      <c r="G202" s="15">
        <f t="shared" si="33"/>
        <v>0.9199999999999999</v>
      </c>
      <c r="H202" s="31">
        <v>0</v>
      </c>
      <c r="I202" s="68">
        <f>1.05*2.5</f>
        <v>2.625</v>
      </c>
      <c r="J202" s="68">
        <f t="shared" si="50"/>
        <v>1.705</v>
      </c>
      <c r="K202" s="99">
        <f t="shared" si="49"/>
        <v>1.705</v>
      </c>
      <c r="L202" s="63" t="str">
        <f t="shared" si="46"/>
        <v>opened</v>
      </c>
      <c r="M202" s="23"/>
      <c r="N202" s="52">
        <v>146</v>
      </c>
      <c r="O202" s="97" t="s">
        <v>207</v>
      </c>
      <c r="P202" s="94" t="s">
        <v>14</v>
      </c>
      <c r="Q202" s="103">
        <v>0.114</v>
      </c>
      <c r="R202" s="86">
        <f>Q202+Костромаэнерго!D202</f>
        <v>2.264</v>
      </c>
      <c r="S202" s="86">
        <v>1.23</v>
      </c>
      <c r="T202" s="43">
        <v>120</v>
      </c>
      <c r="U202" s="37">
        <f t="shared" si="34"/>
        <v>1.0339999999999998</v>
      </c>
      <c r="V202" s="88">
        <v>0</v>
      </c>
      <c r="W202" s="68">
        <f>1.05*2.5</f>
        <v>2.625</v>
      </c>
      <c r="X202" s="89">
        <f t="shared" si="35"/>
        <v>1.5910000000000002</v>
      </c>
      <c r="Y202" s="15">
        <f t="shared" si="47"/>
        <v>1.5910000000000002</v>
      </c>
      <c r="Z202" s="63" t="str">
        <f t="shared" si="48"/>
        <v>opened</v>
      </c>
    </row>
    <row r="203" spans="1:26" s="2" customFormat="1" ht="22.5">
      <c r="A203" s="220">
        <v>147</v>
      </c>
      <c r="B203" s="97" t="s">
        <v>208</v>
      </c>
      <c r="C203" s="91" t="s">
        <v>36</v>
      </c>
      <c r="D203" s="103">
        <v>16.05</v>
      </c>
      <c r="E203" s="98">
        <f>E205+E204</f>
        <v>3.6</v>
      </c>
      <c r="F203" s="43">
        <v>120</v>
      </c>
      <c r="G203" s="44">
        <f aca="true" t="shared" si="51" ref="G203:G232">D203-E203</f>
        <v>12.450000000000001</v>
      </c>
      <c r="H203" s="31">
        <v>0</v>
      </c>
      <c r="I203" s="68">
        <f>1.05*(40+6.3)</f>
        <v>48.615</v>
      </c>
      <c r="J203" s="68">
        <f t="shared" si="50"/>
        <v>36.165</v>
      </c>
      <c r="K203" s="229">
        <f>MIN(J203:J205)</f>
        <v>36.165</v>
      </c>
      <c r="L203" s="190" t="str">
        <f t="shared" si="46"/>
        <v>opened</v>
      </c>
      <c r="M203" s="23"/>
      <c r="N203" s="220">
        <v>147</v>
      </c>
      <c r="O203" s="97" t="s">
        <v>208</v>
      </c>
      <c r="P203" s="94" t="s">
        <v>36</v>
      </c>
      <c r="Q203" s="66">
        <v>0.558</v>
      </c>
      <c r="R203" s="86">
        <f>Q203+Костромаэнерго!D203</f>
        <v>16.608</v>
      </c>
      <c r="S203" s="101">
        <f>S205+S204</f>
        <v>3.6</v>
      </c>
      <c r="T203" s="43">
        <v>120</v>
      </c>
      <c r="U203" s="37">
        <f aca="true" t="shared" si="52" ref="U203:U232">R203-S203</f>
        <v>13.008000000000001</v>
      </c>
      <c r="V203" s="88">
        <v>0</v>
      </c>
      <c r="W203" s="68">
        <f>1.05*(40+6.3)</f>
        <v>48.615</v>
      </c>
      <c r="X203" s="89">
        <f aca="true" t="shared" si="53" ref="X203:X232">W203-V203-U203</f>
        <v>35.607</v>
      </c>
      <c r="Y203" s="251">
        <f>MIN(X203:X205)</f>
        <v>35.607</v>
      </c>
      <c r="Z203" s="190" t="str">
        <f t="shared" si="48"/>
        <v>opened</v>
      </c>
    </row>
    <row r="204" spans="1:26" s="2" customFormat="1" ht="12.75">
      <c r="A204" s="221"/>
      <c r="B204" s="67" t="s">
        <v>92</v>
      </c>
      <c r="C204" s="91" t="s">
        <v>36</v>
      </c>
      <c r="D204" s="92">
        <v>8.53</v>
      </c>
      <c r="E204" s="86">
        <v>0</v>
      </c>
      <c r="F204" s="43">
        <v>120</v>
      </c>
      <c r="G204" s="50">
        <f t="shared" si="51"/>
        <v>8.53</v>
      </c>
      <c r="H204" s="31">
        <v>0</v>
      </c>
      <c r="I204" s="68">
        <f>1.05*(40+6.3)</f>
        <v>48.615</v>
      </c>
      <c r="J204" s="68">
        <f>I204-D204</f>
        <v>40.085</v>
      </c>
      <c r="K204" s="227"/>
      <c r="L204" s="191"/>
      <c r="M204" s="23"/>
      <c r="N204" s="221"/>
      <c r="O204" s="67" t="s">
        <v>92</v>
      </c>
      <c r="P204" s="94" t="s">
        <v>36</v>
      </c>
      <c r="Q204" s="95">
        <v>0</v>
      </c>
      <c r="R204" s="86">
        <f>Q204+Костромаэнерго!D204</f>
        <v>8.53</v>
      </c>
      <c r="S204" s="86">
        <v>0</v>
      </c>
      <c r="T204" s="43">
        <v>120</v>
      </c>
      <c r="U204" s="37">
        <f t="shared" si="52"/>
        <v>8.53</v>
      </c>
      <c r="V204" s="88">
        <v>0</v>
      </c>
      <c r="W204" s="68">
        <f>1.05*(40+6.3)</f>
        <v>48.615</v>
      </c>
      <c r="X204" s="89">
        <f t="shared" si="53"/>
        <v>40.085</v>
      </c>
      <c r="Y204" s="251"/>
      <c r="Z204" s="191"/>
    </row>
    <row r="205" spans="1:26" s="2" customFormat="1" ht="12.75">
      <c r="A205" s="222"/>
      <c r="B205" s="67" t="s">
        <v>93</v>
      </c>
      <c r="C205" s="91" t="s">
        <v>36</v>
      </c>
      <c r="D205" s="92">
        <v>7.52</v>
      </c>
      <c r="E205" s="86">
        <v>3.6</v>
      </c>
      <c r="F205" s="43">
        <v>120</v>
      </c>
      <c r="G205" s="50">
        <f t="shared" si="51"/>
        <v>3.9199999999999995</v>
      </c>
      <c r="H205" s="31">
        <v>0</v>
      </c>
      <c r="I205" s="68">
        <f>1.05*(40+6.3)</f>
        <v>48.615</v>
      </c>
      <c r="J205" s="68">
        <f t="shared" si="50"/>
        <v>44.695</v>
      </c>
      <c r="K205" s="230"/>
      <c r="L205" s="192"/>
      <c r="M205" s="23"/>
      <c r="N205" s="222"/>
      <c r="O205" s="67" t="s">
        <v>93</v>
      </c>
      <c r="P205" s="94" t="s">
        <v>36</v>
      </c>
      <c r="Q205" s="66">
        <v>0.558</v>
      </c>
      <c r="R205" s="86">
        <f>Q205+Костромаэнерго!D205</f>
        <v>8.078</v>
      </c>
      <c r="S205" s="86">
        <v>3.6</v>
      </c>
      <c r="T205" s="43">
        <v>120</v>
      </c>
      <c r="U205" s="37">
        <f t="shared" si="52"/>
        <v>4.478</v>
      </c>
      <c r="V205" s="88">
        <v>0</v>
      </c>
      <c r="W205" s="68">
        <f>1.05*(40+6.3)</f>
        <v>48.615</v>
      </c>
      <c r="X205" s="89">
        <f t="shared" si="53"/>
        <v>44.137</v>
      </c>
      <c r="Y205" s="251"/>
      <c r="Z205" s="192"/>
    </row>
    <row r="206" spans="1:26" s="2" customFormat="1" ht="22.5">
      <c r="A206" s="52">
        <v>148</v>
      </c>
      <c r="B206" s="97" t="s">
        <v>209</v>
      </c>
      <c r="C206" s="91" t="s">
        <v>16</v>
      </c>
      <c r="D206" s="103">
        <v>0.15</v>
      </c>
      <c r="E206" s="86">
        <v>0.12</v>
      </c>
      <c r="F206" s="43">
        <v>120</v>
      </c>
      <c r="G206" s="15">
        <f t="shared" si="51"/>
        <v>0.03</v>
      </c>
      <c r="H206" s="31">
        <v>0</v>
      </c>
      <c r="I206" s="68">
        <f>1.05*1.6</f>
        <v>1.6800000000000002</v>
      </c>
      <c r="J206" s="68">
        <f t="shared" si="50"/>
        <v>1.6500000000000001</v>
      </c>
      <c r="K206" s="99">
        <f>J206</f>
        <v>1.6500000000000001</v>
      </c>
      <c r="L206" s="62" t="str">
        <f>IF(K206&lt;0,"closed","opened")</f>
        <v>opened</v>
      </c>
      <c r="M206" s="23"/>
      <c r="N206" s="52">
        <v>148</v>
      </c>
      <c r="O206" s="97" t="s">
        <v>209</v>
      </c>
      <c r="P206" s="94" t="s">
        <v>16</v>
      </c>
      <c r="Q206" s="103">
        <v>0</v>
      </c>
      <c r="R206" s="86">
        <f>Q206+Костромаэнерго!D206</f>
        <v>0.15</v>
      </c>
      <c r="S206" s="86">
        <v>0.12</v>
      </c>
      <c r="T206" s="43">
        <v>120</v>
      </c>
      <c r="U206" s="37">
        <f t="shared" si="52"/>
        <v>0.03</v>
      </c>
      <c r="V206" s="88">
        <v>0</v>
      </c>
      <c r="W206" s="68">
        <f>1.05*1.6</f>
        <v>1.6800000000000002</v>
      </c>
      <c r="X206" s="89">
        <f t="shared" si="53"/>
        <v>1.6500000000000001</v>
      </c>
      <c r="Y206" s="15">
        <f>X206</f>
        <v>1.6500000000000001</v>
      </c>
      <c r="Z206" s="62" t="str">
        <f>IF(Y206&lt;0,"closed","opened")</f>
        <v>opened</v>
      </c>
    </row>
    <row r="207" spans="1:26" s="2" customFormat="1" ht="22.5">
      <c r="A207" s="52">
        <v>149</v>
      </c>
      <c r="B207" s="97" t="s">
        <v>210</v>
      </c>
      <c r="C207" s="91" t="s">
        <v>37</v>
      </c>
      <c r="D207" s="103">
        <v>0.51</v>
      </c>
      <c r="E207" s="86">
        <v>0.42</v>
      </c>
      <c r="F207" s="43">
        <v>120</v>
      </c>
      <c r="G207" s="15">
        <f t="shared" si="51"/>
        <v>0.09000000000000002</v>
      </c>
      <c r="H207" s="31">
        <v>0</v>
      </c>
      <c r="I207" s="68">
        <f>1.05*1.8</f>
        <v>1.8900000000000001</v>
      </c>
      <c r="J207" s="68">
        <f t="shared" si="50"/>
        <v>1.8</v>
      </c>
      <c r="K207" s="99">
        <f>J207</f>
        <v>1.8</v>
      </c>
      <c r="L207" s="63" t="str">
        <f>IF(K207&lt;0,"closed","opened")</f>
        <v>opened</v>
      </c>
      <c r="M207" s="23"/>
      <c r="N207" s="52">
        <v>149</v>
      </c>
      <c r="O207" s="97" t="s">
        <v>210</v>
      </c>
      <c r="P207" s="94" t="s">
        <v>37</v>
      </c>
      <c r="Q207" s="103">
        <v>0.009</v>
      </c>
      <c r="R207" s="86">
        <f>Q207+Костромаэнерго!D207</f>
        <v>0.519</v>
      </c>
      <c r="S207" s="86">
        <v>0.42</v>
      </c>
      <c r="T207" s="43">
        <v>120</v>
      </c>
      <c r="U207" s="37">
        <f t="shared" si="52"/>
        <v>0.09900000000000003</v>
      </c>
      <c r="V207" s="88">
        <v>0</v>
      </c>
      <c r="W207" s="68">
        <f>1.05*1.8</f>
        <v>1.8900000000000001</v>
      </c>
      <c r="X207" s="89">
        <f t="shared" si="53"/>
        <v>1.7910000000000001</v>
      </c>
      <c r="Y207" s="15">
        <f>X207</f>
        <v>1.7910000000000001</v>
      </c>
      <c r="Z207" s="63" t="str">
        <f>IF(Y207&lt;0,"closed","opened")</f>
        <v>opened</v>
      </c>
    </row>
    <row r="208" spans="1:26" s="2" customFormat="1" ht="22.5">
      <c r="A208" s="52">
        <v>150</v>
      </c>
      <c r="B208" s="97" t="s">
        <v>211</v>
      </c>
      <c r="C208" s="91" t="s">
        <v>15</v>
      </c>
      <c r="D208" s="103">
        <v>2.32</v>
      </c>
      <c r="E208" s="86">
        <v>1.89</v>
      </c>
      <c r="F208" s="43">
        <v>120</v>
      </c>
      <c r="G208" s="44">
        <f t="shared" si="51"/>
        <v>0.42999999999999994</v>
      </c>
      <c r="H208" s="31">
        <v>0</v>
      </c>
      <c r="I208" s="68">
        <f>1.05*4</f>
        <v>4.2</v>
      </c>
      <c r="J208" s="68">
        <f t="shared" si="50"/>
        <v>3.7700000000000005</v>
      </c>
      <c r="K208" s="99">
        <f>J208</f>
        <v>3.7700000000000005</v>
      </c>
      <c r="L208" s="62" t="str">
        <f>IF(K208&lt;0,"closed","opened")</f>
        <v>opened</v>
      </c>
      <c r="M208" s="23"/>
      <c r="N208" s="52">
        <v>150</v>
      </c>
      <c r="O208" s="97" t="s">
        <v>211</v>
      </c>
      <c r="P208" s="94" t="s">
        <v>15</v>
      </c>
      <c r="Q208" s="103">
        <v>0.033</v>
      </c>
      <c r="R208" s="86">
        <f>Q208+Костромаэнерго!D208</f>
        <v>2.3529999999999998</v>
      </c>
      <c r="S208" s="86">
        <v>1.89</v>
      </c>
      <c r="T208" s="43">
        <v>120</v>
      </c>
      <c r="U208" s="37">
        <f t="shared" si="52"/>
        <v>0.46299999999999986</v>
      </c>
      <c r="V208" s="88">
        <v>0</v>
      </c>
      <c r="W208" s="68">
        <f>1.05*4</f>
        <v>4.2</v>
      </c>
      <c r="X208" s="89">
        <f t="shared" si="53"/>
        <v>3.737</v>
      </c>
      <c r="Y208" s="15">
        <f>X208</f>
        <v>3.737</v>
      </c>
      <c r="Z208" s="62" t="str">
        <f>IF(Y208&lt;0,"closed","opened")</f>
        <v>opened</v>
      </c>
    </row>
    <row r="209" spans="1:26" s="2" customFormat="1" ht="22.5">
      <c r="A209" s="220">
        <v>151</v>
      </c>
      <c r="B209" s="97" t="s">
        <v>212</v>
      </c>
      <c r="C209" s="91" t="s">
        <v>33</v>
      </c>
      <c r="D209" s="103">
        <v>5.42</v>
      </c>
      <c r="E209" s="98">
        <f>E211+E210</f>
        <v>0</v>
      </c>
      <c r="F209" s="43">
        <v>0</v>
      </c>
      <c r="G209" s="50">
        <f t="shared" si="51"/>
        <v>5.42</v>
      </c>
      <c r="H209" s="31">
        <v>0</v>
      </c>
      <c r="I209" s="68">
        <f>1.05*6.3</f>
        <v>6.615</v>
      </c>
      <c r="J209" s="68">
        <f t="shared" si="50"/>
        <v>1.1950000000000003</v>
      </c>
      <c r="K209" s="229">
        <f>MIN(J209:J211)</f>
        <v>1.1950000000000003</v>
      </c>
      <c r="L209" s="190" t="str">
        <f>IF(K209&lt;0,"closed","opened")</f>
        <v>opened</v>
      </c>
      <c r="M209" s="23"/>
      <c r="N209" s="220">
        <v>151</v>
      </c>
      <c r="O209" s="97" t="s">
        <v>212</v>
      </c>
      <c r="P209" s="94" t="s">
        <v>33</v>
      </c>
      <c r="Q209" s="66">
        <v>0.172</v>
      </c>
      <c r="R209" s="86">
        <f>Q209+Костромаэнерго!D209</f>
        <v>5.592</v>
      </c>
      <c r="S209" s="101">
        <f>S211+S210</f>
        <v>0</v>
      </c>
      <c r="T209" s="43">
        <v>0</v>
      </c>
      <c r="U209" s="37">
        <f t="shared" si="52"/>
        <v>5.592</v>
      </c>
      <c r="V209" s="88">
        <v>0</v>
      </c>
      <c r="W209" s="68">
        <f>1.05*6.3</f>
        <v>6.615</v>
      </c>
      <c r="X209" s="89">
        <f t="shared" si="53"/>
        <v>1.0230000000000006</v>
      </c>
      <c r="Y209" s="251">
        <f>MIN(X209:X211)</f>
        <v>1.0230000000000006</v>
      </c>
      <c r="Z209" s="190" t="str">
        <f>IF(Y209&lt;0,"closed","opened")</f>
        <v>opened</v>
      </c>
    </row>
    <row r="210" spans="1:26" s="2" customFormat="1" ht="12.75">
      <c r="A210" s="221"/>
      <c r="B210" s="67" t="s">
        <v>92</v>
      </c>
      <c r="C210" s="91" t="s">
        <v>41</v>
      </c>
      <c r="D210" s="92">
        <v>1.53</v>
      </c>
      <c r="E210" s="86">
        <v>0</v>
      </c>
      <c r="F210" s="43">
        <v>0</v>
      </c>
      <c r="G210" s="50">
        <f t="shared" si="51"/>
        <v>1.53</v>
      </c>
      <c r="H210" s="31">
        <v>0</v>
      </c>
      <c r="I210" s="68">
        <f>1.05*6.3</f>
        <v>6.615</v>
      </c>
      <c r="J210" s="68">
        <f>I210-D210</f>
        <v>5.085</v>
      </c>
      <c r="K210" s="227"/>
      <c r="L210" s="191"/>
      <c r="M210" s="23"/>
      <c r="N210" s="221"/>
      <c r="O210" s="67" t="s">
        <v>92</v>
      </c>
      <c r="P210" s="94" t="s">
        <v>41</v>
      </c>
      <c r="Q210" s="95">
        <v>0</v>
      </c>
      <c r="R210" s="86">
        <f>Q210+Костромаэнерго!D210</f>
        <v>1.53</v>
      </c>
      <c r="S210" s="86">
        <v>0</v>
      </c>
      <c r="T210" s="43">
        <v>0</v>
      </c>
      <c r="U210" s="37">
        <f t="shared" si="52"/>
        <v>1.53</v>
      </c>
      <c r="V210" s="88">
        <v>0</v>
      </c>
      <c r="W210" s="68">
        <f>1.05*6.3</f>
        <v>6.615</v>
      </c>
      <c r="X210" s="89">
        <f t="shared" si="53"/>
        <v>5.085</v>
      </c>
      <c r="Y210" s="251"/>
      <c r="Z210" s="191"/>
    </row>
    <row r="211" spans="1:26" s="2" customFormat="1" ht="12.75">
      <c r="A211" s="222"/>
      <c r="B211" s="67" t="s">
        <v>93</v>
      </c>
      <c r="C211" s="91" t="s">
        <v>41</v>
      </c>
      <c r="D211" s="92">
        <v>3.89</v>
      </c>
      <c r="E211" s="86">
        <v>0</v>
      </c>
      <c r="F211" s="43">
        <v>0</v>
      </c>
      <c r="G211" s="15">
        <f t="shared" si="51"/>
        <v>3.89</v>
      </c>
      <c r="H211" s="31">
        <v>0</v>
      </c>
      <c r="I211" s="68">
        <f>1.05*6.3</f>
        <v>6.615</v>
      </c>
      <c r="J211" s="68">
        <f t="shared" si="50"/>
        <v>2.725</v>
      </c>
      <c r="K211" s="230"/>
      <c r="L211" s="192"/>
      <c r="M211" s="23"/>
      <c r="N211" s="222"/>
      <c r="O211" s="67" t="s">
        <v>93</v>
      </c>
      <c r="P211" s="94" t="s">
        <v>41</v>
      </c>
      <c r="Q211" s="66">
        <v>0.172</v>
      </c>
      <c r="R211" s="86">
        <f>Q211+Костромаэнерго!D211</f>
        <v>4.062</v>
      </c>
      <c r="S211" s="86">
        <v>0</v>
      </c>
      <c r="T211" s="43">
        <v>0</v>
      </c>
      <c r="U211" s="37">
        <f t="shared" si="52"/>
        <v>4.062</v>
      </c>
      <c r="V211" s="88">
        <v>0</v>
      </c>
      <c r="W211" s="68">
        <f>1.05*6.3</f>
        <v>6.615</v>
      </c>
      <c r="X211" s="89">
        <f t="shared" si="53"/>
        <v>2.553</v>
      </c>
      <c r="Y211" s="251"/>
      <c r="Z211" s="192"/>
    </row>
    <row r="212" spans="1:26" s="2" customFormat="1" ht="22.5">
      <c r="A212" s="52">
        <v>152</v>
      </c>
      <c r="B212" s="97" t="s">
        <v>213</v>
      </c>
      <c r="C212" s="91" t="s">
        <v>14</v>
      </c>
      <c r="D212" s="103">
        <v>0.36</v>
      </c>
      <c r="E212" s="86">
        <v>0.05</v>
      </c>
      <c r="F212" s="43">
        <v>120</v>
      </c>
      <c r="G212" s="44">
        <f t="shared" si="51"/>
        <v>0.31</v>
      </c>
      <c r="H212" s="31">
        <v>0</v>
      </c>
      <c r="I212" s="68">
        <f>1.05*2.5</f>
        <v>2.625</v>
      </c>
      <c r="J212" s="68">
        <f t="shared" si="50"/>
        <v>2.315</v>
      </c>
      <c r="K212" s="99">
        <f>J212</f>
        <v>2.315</v>
      </c>
      <c r="L212" s="63" t="str">
        <f>IF(K212&lt;0,"closed","opened")</f>
        <v>opened</v>
      </c>
      <c r="M212" s="23"/>
      <c r="N212" s="52">
        <v>152</v>
      </c>
      <c r="O212" s="97" t="s">
        <v>213</v>
      </c>
      <c r="P212" s="94" t="s">
        <v>14</v>
      </c>
      <c r="Q212" s="103">
        <v>0</v>
      </c>
      <c r="R212" s="86">
        <f>Q212+Костромаэнерго!D212</f>
        <v>0.36</v>
      </c>
      <c r="S212" s="86">
        <v>0.05</v>
      </c>
      <c r="T212" s="43">
        <v>120</v>
      </c>
      <c r="U212" s="37">
        <f t="shared" si="52"/>
        <v>0.31</v>
      </c>
      <c r="V212" s="88">
        <v>0</v>
      </c>
      <c r="W212" s="68">
        <f>1.05*2.5</f>
        <v>2.625</v>
      </c>
      <c r="X212" s="89">
        <f t="shared" si="53"/>
        <v>2.315</v>
      </c>
      <c r="Y212" s="15">
        <f>X212</f>
        <v>2.315</v>
      </c>
      <c r="Z212" s="63" t="str">
        <f>IF(Y212&lt;0,"closed","opened")</f>
        <v>opened</v>
      </c>
    </row>
    <row r="213" spans="1:26" s="2" customFormat="1" ht="22.5">
      <c r="A213" s="52">
        <v>153</v>
      </c>
      <c r="B213" s="97" t="s">
        <v>214</v>
      </c>
      <c r="C213" s="91" t="s">
        <v>32</v>
      </c>
      <c r="D213" s="103">
        <v>0.35</v>
      </c>
      <c r="E213" s="86">
        <v>0.35</v>
      </c>
      <c r="F213" s="43">
        <v>120</v>
      </c>
      <c r="G213" s="15">
        <f t="shared" si="51"/>
        <v>0</v>
      </c>
      <c r="H213" s="31">
        <v>0</v>
      </c>
      <c r="I213" s="68">
        <f>1.05*1.6</f>
        <v>1.6800000000000002</v>
      </c>
      <c r="J213" s="68">
        <f t="shared" si="50"/>
        <v>1.6800000000000002</v>
      </c>
      <c r="K213" s="99">
        <f>J213</f>
        <v>1.6800000000000002</v>
      </c>
      <c r="L213" s="46" t="str">
        <f>IF(K213&lt;0,"closed","opened")</f>
        <v>opened</v>
      </c>
      <c r="M213" s="23"/>
      <c r="N213" s="52">
        <v>153</v>
      </c>
      <c r="O213" s="97" t="s">
        <v>214</v>
      </c>
      <c r="P213" s="94" t="s">
        <v>32</v>
      </c>
      <c r="Q213" s="103">
        <v>0.006</v>
      </c>
      <c r="R213" s="86">
        <f>Q213+Костромаэнерго!D213</f>
        <v>0.356</v>
      </c>
      <c r="S213" s="86">
        <v>0.35</v>
      </c>
      <c r="T213" s="43">
        <v>120</v>
      </c>
      <c r="U213" s="37">
        <f t="shared" si="52"/>
        <v>0.006000000000000005</v>
      </c>
      <c r="V213" s="88">
        <v>0</v>
      </c>
      <c r="W213" s="68">
        <f>1.05*1.6</f>
        <v>1.6800000000000002</v>
      </c>
      <c r="X213" s="89">
        <f t="shared" si="53"/>
        <v>1.6740000000000002</v>
      </c>
      <c r="Y213" s="15">
        <f>X213</f>
        <v>1.6740000000000002</v>
      </c>
      <c r="Z213" s="46" t="str">
        <f>IF(Y213&lt;0,"closed","opened")</f>
        <v>opened</v>
      </c>
    </row>
    <row r="214" spans="1:26" s="2" customFormat="1" ht="22.5">
      <c r="A214" s="52">
        <v>154</v>
      </c>
      <c r="B214" s="97" t="s">
        <v>215</v>
      </c>
      <c r="C214" s="91" t="s">
        <v>28</v>
      </c>
      <c r="D214" s="103">
        <v>1.59</v>
      </c>
      <c r="E214" s="86">
        <v>1</v>
      </c>
      <c r="F214" s="43">
        <v>120</v>
      </c>
      <c r="G214" s="44">
        <f t="shared" si="51"/>
        <v>0.5900000000000001</v>
      </c>
      <c r="H214" s="31">
        <v>0</v>
      </c>
      <c r="I214" s="68">
        <f>1.05*2.5</f>
        <v>2.625</v>
      </c>
      <c r="J214" s="68">
        <f t="shared" si="50"/>
        <v>2.035</v>
      </c>
      <c r="K214" s="99">
        <f>J214</f>
        <v>2.035</v>
      </c>
      <c r="L214" s="62" t="str">
        <f>IF(K214&lt;0,"closed","opened")</f>
        <v>opened</v>
      </c>
      <c r="M214" s="23"/>
      <c r="N214" s="52">
        <v>154</v>
      </c>
      <c r="O214" s="97" t="s">
        <v>215</v>
      </c>
      <c r="P214" s="94" t="s">
        <v>28</v>
      </c>
      <c r="Q214" s="103">
        <v>0.089</v>
      </c>
      <c r="R214" s="86">
        <f>Q214+Костромаэнерго!D214</f>
        <v>1.679</v>
      </c>
      <c r="S214" s="86">
        <v>1</v>
      </c>
      <c r="T214" s="43">
        <v>120</v>
      </c>
      <c r="U214" s="37">
        <f t="shared" si="52"/>
        <v>0.679</v>
      </c>
      <c r="V214" s="88">
        <v>0</v>
      </c>
      <c r="W214" s="68">
        <f>1.05*2.5</f>
        <v>2.625</v>
      </c>
      <c r="X214" s="89">
        <f t="shared" si="53"/>
        <v>1.946</v>
      </c>
      <c r="Y214" s="15">
        <f>X214</f>
        <v>1.946</v>
      </c>
      <c r="Z214" s="62" t="str">
        <f>IF(Y214&lt;0,"closed","opened")</f>
        <v>opened</v>
      </c>
    </row>
    <row r="215" spans="1:26" s="2" customFormat="1" ht="22.5" customHeight="1">
      <c r="A215" s="220">
        <v>155</v>
      </c>
      <c r="B215" s="97" t="s">
        <v>216</v>
      </c>
      <c r="C215" s="91" t="s">
        <v>38</v>
      </c>
      <c r="D215" s="103">
        <v>1.69</v>
      </c>
      <c r="E215" s="98">
        <f>E217+E216</f>
        <v>0</v>
      </c>
      <c r="F215" s="43">
        <v>0</v>
      </c>
      <c r="G215" s="15">
        <f t="shared" si="51"/>
        <v>1.69</v>
      </c>
      <c r="H215" s="31">
        <v>0</v>
      </c>
      <c r="I215" s="68">
        <f>1.05*6.3</f>
        <v>6.615</v>
      </c>
      <c r="J215" s="68">
        <f t="shared" si="50"/>
        <v>4.925000000000001</v>
      </c>
      <c r="K215" s="229">
        <f>MIN(J215:J217)</f>
        <v>4.925000000000001</v>
      </c>
      <c r="L215" s="191" t="str">
        <f>IF(K215&lt;0,"closed","opened")</f>
        <v>opened</v>
      </c>
      <c r="M215" s="23"/>
      <c r="N215" s="220">
        <v>155</v>
      </c>
      <c r="O215" s="97" t="s">
        <v>216</v>
      </c>
      <c r="P215" s="94" t="s">
        <v>38</v>
      </c>
      <c r="Q215" s="66">
        <v>0.071</v>
      </c>
      <c r="R215" s="86">
        <f>Q215+Костромаэнерго!D215</f>
        <v>1.761</v>
      </c>
      <c r="S215" s="101">
        <f>S217+S216</f>
        <v>0</v>
      </c>
      <c r="T215" s="43">
        <v>0</v>
      </c>
      <c r="U215" s="37">
        <f t="shared" si="52"/>
        <v>1.761</v>
      </c>
      <c r="V215" s="88">
        <v>0</v>
      </c>
      <c r="W215" s="68">
        <f>1.05*6.3</f>
        <v>6.615</v>
      </c>
      <c r="X215" s="89">
        <f t="shared" si="53"/>
        <v>4.854</v>
      </c>
      <c r="Y215" s="251">
        <f>MIN(X215:X217)</f>
        <v>4.854</v>
      </c>
      <c r="Z215" s="191" t="str">
        <f>IF(Y215&lt;0,"closed","opened")</f>
        <v>opened</v>
      </c>
    </row>
    <row r="216" spans="1:26" s="2" customFormat="1" ht="12.75">
      <c r="A216" s="221"/>
      <c r="B216" s="67" t="s">
        <v>92</v>
      </c>
      <c r="C216" s="91" t="s">
        <v>38</v>
      </c>
      <c r="D216" s="92">
        <v>0.18</v>
      </c>
      <c r="E216" s="86">
        <v>0</v>
      </c>
      <c r="F216" s="43">
        <v>0</v>
      </c>
      <c r="G216" s="15">
        <f t="shared" si="51"/>
        <v>0.18</v>
      </c>
      <c r="H216" s="31">
        <v>0</v>
      </c>
      <c r="I216" s="68">
        <f>1.05*6.3</f>
        <v>6.615</v>
      </c>
      <c r="J216" s="68">
        <f>I216-D216</f>
        <v>6.4350000000000005</v>
      </c>
      <c r="K216" s="227"/>
      <c r="L216" s="191"/>
      <c r="M216" s="23"/>
      <c r="N216" s="221"/>
      <c r="O216" s="67" t="s">
        <v>92</v>
      </c>
      <c r="P216" s="94" t="s">
        <v>38</v>
      </c>
      <c r="Q216" s="95">
        <v>0</v>
      </c>
      <c r="R216" s="86">
        <f>Q216+Костромаэнерго!D216</f>
        <v>0.18</v>
      </c>
      <c r="S216" s="86">
        <v>0</v>
      </c>
      <c r="T216" s="43">
        <v>0</v>
      </c>
      <c r="U216" s="37">
        <f t="shared" si="52"/>
        <v>0.18</v>
      </c>
      <c r="V216" s="88">
        <v>0</v>
      </c>
      <c r="W216" s="68">
        <f>1.05*6.3</f>
        <v>6.615</v>
      </c>
      <c r="X216" s="89">
        <f t="shared" si="53"/>
        <v>6.4350000000000005</v>
      </c>
      <c r="Y216" s="251"/>
      <c r="Z216" s="191"/>
    </row>
    <row r="217" spans="1:26" s="2" customFormat="1" ht="12.75">
      <c r="A217" s="222"/>
      <c r="B217" s="67" t="s">
        <v>93</v>
      </c>
      <c r="C217" s="91" t="s">
        <v>38</v>
      </c>
      <c r="D217" s="92">
        <v>1.51</v>
      </c>
      <c r="E217" s="86">
        <v>0</v>
      </c>
      <c r="F217" s="43">
        <v>0</v>
      </c>
      <c r="G217" s="15">
        <f t="shared" si="51"/>
        <v>1.51</v>
      </c>
      <c r="H217" s="31">
        <v>0</v>
      </c>
      <c r="I217" s="68">
        <f>1.05*6.3</f>
        <v>6.615</v>
      </c>
      <c r="J217" s="68">
        <f t="shared" si="50"/>
        <v>5.105</v>
      </c>
      <c r="K217" s="230"/>
      <c r="L217" s="191"/>
      <c r="M217" s="23"/>
      <c r="N217" s="222"/>
      <c r="O217" s="67" t="s">
        <v>93</v>
      </c>
      <c r="P217" s="94" t="s">
        <v>38</v>
      </c>
      <c r="Q217" s="66">
        <v>0.071</v>
      </c>
      <c r="R217" s="86">
        <f>Q217+Костромаэнерго!D217</f>
        <v>1.581</v>
      </c>
      <c r="S217" s="86">
        <v>0</v>
      </c>
      <c r="T217" s="43">
        <v>0</v>
      </c>
      <c r="U217" s="37">
        <f t="shared" si="52"/>
        <v>1.581</v>
      </c>
      <c r="V217" s="88">
        <v>0</v>
      </c>
      <c r="W217" s="68">
        <f>1.05*6.3</f>
        <v>6.615</v>
      </c>
      <c r="X217" s="89">
        <f t="shared" si="53"/>
        <v>5.034000000000001</v>
      </c>
      <c r="Y217" s="251"/>
      <c r="Z217" s="191"/>
    </row>
    <row r="218" spans="1:26" s="2" customFormat="1" ht="22.5">
      <c r="A218" s="52">
        <v>156</v>
      </c>
      <c r="B218" s="97" t="s">
        <v>217</v>
      </c>
      <c r="C218" s="91" t="s">
        <v>18</v>
      </c>
      <c r="D218" s="103">
        <v>0.07</v>
      </c>
      <c r="E218" s="86">
        <v>0.07</v>
      </c>
      <c r="F218" s="43">
        <v>120</v>
      </c>
      <c r="G218" s="15">
        <f t="shared" si="51"/>
        <v>0</v>
      </c>
      <c r="H218" s="31">
        <v>0</v>
      </c>
      <c r="I218" s="68">
        <f>1.05*1.6</f>
        <v>1.6800000000000002</v>
      </c>
      <c r="J218" s="68">
        <f t="shared" si="50"/>
        <v>1.6800000000000002</v>
      </c>
      <c r="K218" s="99">
        <f>J218</f>
        <v>1.6800000000000002</v>
      </c>
      <c r="L218" s="62" t="str">
        <f>IF(K218&lt;0,"closed","opened")</f>
        <v>opened</v>
      </c>
      <c r="M218" s="23"/>
      <c r="N218" s="52">
        <v>156</v>
      </c>
      <c r="O218" s="97" t="s">
        <v>217</v>
      </c>
      <c r="P218" s="94" t="s">
        <v>18</v>
      </c>
      <c r="Q218" s="103">
        <v>0</v>
      </c>
      <c r="R218" s="86">
        <f>Q218+Костромаэнерго!D218</f>
        <v>0.07</v>
      </c>
      <c r="S218" s="86">
        <v>0.07</v>
      </c>
      <c r="T218" s="43">
        <v>120</v>
      </c>
      <c r="U218" s="37">
        <f t="shared" si="52"/>
        <v>0</v>
      </c>
      <c r="V218" s="88">
        <v>0</v>
      </c>
      <c r="W218" s="68">
        <f>1.05*1.6</f>
        <v>1.6800000000000002</v>
      </c>
      <c r="X218" s="89">
        <f t="shared" si="53"/>
        <v>1.6800000000000002</v>
      </c>
      <c r="Y218" s="15">
        <f>X218</f>
        <v>1.6800000000000002</v>
      </c>
      <c r="Z218" s="62" t="str">
        <f>IF(Y218&lt;0,"closed","opened")</f>
        <v>opened</v>
      </c>
    </row>
    <row r="219" spans="1:26" s="2" customFormat="1" ht="23.25" customHeight="1">
      <c r="A219" s="220">
        <v>157</v>
      </c>
      <c r="B219" s="97" t="s">
        <v>218</v>
      </c>
      <c r="C219" s="91" t="s">
        <v>24</v>
      </c>
      <c r="D219" s="103">
        <v>2.42</v>
      </c>
      <c r="E219" s="98">
        <f>E221+E220</f>
        <v>0</v>
      </c>
      <c r="F219" s="43">
        <v>0</v>
      </c>
      <c r="G219" s="15">
        <f t="shared" si="51"/>
        <v>2.42</v>
      </c>
      <c r="H219" s="31">
        <v>0</v>
      </c>
      <c r="I219" s="68">
        <f>1.05*6.3</f>
        <v>6.615</v>
      </c>
      <c r="J219" s="68">
        <f t="shared" si="50"/>
        <v>4.195</v>
      </c>
      <c r="K219" s="229">
        <f>MIN(J219:J221)</f>
        <v>4.195</v>
      </c>
      <c r="L219" s="190" t="str">
        <f>IF(K219&lt;0,"closed","opened")</f>
        <v>opened</v>
      </c>
      <c r="M219" s="23"/>
      <c r="N219" s="220">
        <v>157</v>
      </c>
      <c r="O219" s="97" t="s">
        <v>218</v>
      </c>
      <c r="P219" s="94" t="s">
        <v>24</v>
      </c>
      <c r="Q219" s="66">
        <v>0.189</v>
      </c>
      <c r="R219" s="86">
        <f>Q219+Костромаэнерго!D219</f>
        <v>2.609</v>
      </c>
      <c r="S219" s="101">
        <f>S221+S220</f>
        <v>0</v>
      </c>
      <c r="T219" s="43">
        <v>0</v>
      </c>
      <c r="U219" s="37">
        <f t="shared" si="52"/>
        <v>2.609</v>
      </c>
      <c r="V219" s="88">
        <v>0</v>
      </c>
      <c r="W219" s="68">
        <f>1.05*6.3</f>
        <v>6.615</v>
      </c>
      <c r="X219" s="89">
        <f t="shared" si="53"/>
        <v>4.006</v>
      </c>
      <c r="Y219" s="251">
        <f>MIN(X219:X221)</f>
        <v>4.006</v>
      </c>
      <c r="Z219" s="190" t="str">
        <f>IF(Y219&lt;0,"closed","opened")</f>
        <v>opened</v>
      </c>
    </row>
    <row r="220" spans="1:26" s="2" customFormat="1" ht="12.75">
      <c r="A220" s="221"/>
      <c r="B220" s="67" t="s">
        <v>92</v>
      </c>
      <c r="C220" s="91" t="s">
        <v>24</v>
      </c>
      <c r="D220" s="92">
        <v>0.12</v>
      </c>
      <c r="E220" s="86">
        <v>0</v>
      </c>
      <c r="F220" s="43">
        <v>0</v>
      </c>
      <c r="G220" s="15">
        <f t="shared" si="51"/>
        <v>0.12</v>
      </c>
      <c r="H220" s="31">
        <v>0</v>
      </c>
      <c r="I220" s="68">
        <f>1.05*6.3</f>
        <v>6.615</v>
      </c>
      <c r="J220" s="68">
        <f>I220-D220</f>
        <v>6.495</v>
      </c>
      <c r="K220" s="227"/>
      <c r="L220" s="191"/>
      <c r="M220" s="23"/>
      <c r="N220" s="221"/>
      <c r="O220" s="67" t="s">
        <v>92</v>
      </c>
      <c r="P220" s="94" t="s">
        <v>24</v>
      </c>
      <c r="Q220" s="95">
        <v>0</v>
      </c>
      <c r="R220" s="86">
        <f>Q220+Костромаэнерго!D220</f>
        <v>0.12</v>
      </c>
      <c r="S220" s="86">
        <v>0</v>
      </c>
      <c r="T220" s="43">
        <v>0</v>
      </c>
      <c r="U220" s="37">
        <f t="shared" si="52"/>
        <v>0.12</v>
      </c>
      <c r="V220" s="88">
        <v>0</v>
      </c>
      <c r="W220" s="68">
        <f>1.05*6.3</f>
        <v>6.615</v>
      </c>
      <c r="X220" s="89">
        <f t="shared" si="53"/>
        <v>6.495</v>
      </c>
      <c r="Y220" s="251"/>
      <c r="Z220" s="191"/>
    </row>
    <row r="221" spans="1:26" s="2" customFormat="1" ht="12.75">
      <c r="A221" s="222"/>
      <c r="B221" s="67" t="s">
        <v>93</v>
      </c>
      <c r="C221" s="91" t="s">
        <v>24</v>
      </c>
      <c r="D221" s="92">
        <v>2.3</v>
      </c>
      <c r="E221" s="86">
        <v>0</v>
      </c>
      <c r="F221" s="43">
        <v>0</v>
      </c>
      <c r="G221" s="44">
        <f t="shared" si="51"/>
        <v>2.3</v>
      </c>
      <c r="H221" s="31">
        <v>0</v>
      </c>
      <c r="I221" s="68">
        <f>1.05*6.3</f>
        <v>6.615</v>
      </c>
      <c r="J221" s="68">
        <f t="shared" si="50"/>
        <v>4.315</v>
      </c>
      <c r="K221" s="230"/>
      <c r="L221" s="192"/>
      <c r="M221" s="23"/>
      <c r="N221" s="222"/>
      <c r="O221" s="67" t="s">
        <v>93</v>
      </c>
      <c r="P221" s="94" t="s">
        <v>24</v>
      </c>
      <c r="Q221" s="66">
        <v>0.189</v>
      </c>
      <c r="R221" s="86">
        <f>Q221+Костромаэнерго!D221</f>
        <v>2.489</v>
      </c>
      <c r="S221" s="86">
        <v>0</v>
      </c>
      <c r="T221" s="43">
        <v>0</v>
      </c>
      <c r="U221" s="37">
        <f t="shared" si="52"/>
        <v>2.489</v>
      </c>
      <c r="V221" s="88">
        <v>0</v>
      </c>
      <c r="W221" s="68">
        <f>1.05*6.3</f>
        <v>6.615</v>
      </c>
      <c r="X221" s="89">
        <f t="shared" si="53"/>
        <v>4.126</v>
      </c>
      <c r="Y221" s="251"/>
      <c r="Z221" s="192"/>
    </row>
    <row r="222" spans="1:26" s="2" customFormat="1" ht="22.5">
      <c r="A222" s="220">
        <v>158</v>
      </c>
      <c r="B222" s="97" t="s">
        <v>219</v>
      </c>
      <c r="C222" s="91" t="s">
        <v>39</v>
      </c>
      <c r="D222" s="92">
        <v>1.77</v>
      </c>
      <c r="E222" s="98">
        <f>E224+E223</f>
        <v>0.75</v>
      </c>
      <c r="F222" s="43">
        <v>120</v>
      </c>
      <c r="G222" s="15">
        <f t="shared" si="51"/>
        <v>1.02</v>
      </c>
      <c r="H222" s="31">
        <v>0</v>
      </c>
      <c r="I222" s="68">
        <f>1.05*4</f>
        <v>4.2</v>
      </c>
      <c r="J222" s="68">
        <f t="shared" si="50"/>
        <v>3.18</v>
      </c>
      <c r="K222" s="229">
        <f>MIN(J222:J224)</f>
        <v>3.18</v>
      </c>
      <c r="L222" s="190" t="str">
        <f>IF(K222&lt;0,"closed","opened")</f>
        <v>opened</v>
      </c>
      <c r="M222" s="23"/>
      <c r="N222" s="220">
        <v>158</v>
      </c>
      <c r="O222" s="97" t="s">
        <v>219</v>
      </c>
      <c r="P222" s="94" t="s">
        <v>39</v>
      </c>
      <c r="Q222" s="66">
        <v>0.192</v>
      </c>
      <c r="R222" s="86">
        <f>Q222+Костромаэнерго!D222</f>
        <v>1.962</v>
      </c>
      <c r="S222" s="101">
        <f>S224+S223</f>
        <v>0.75</v>
      </c>
      <c r="T222" s="43">
        <v>120</v>
      </c>
      <c r="U222" s="37">
        <f t="shared" si="52"/>
        <v>1.212</v>
      </c>
      <c r="V222" s="88">
        <v>0</v>
      </c>
      <c r="W222" s="68">
        <f>1.05*4</f>
        <v>4.2</v>
      </c>
      <c r="X222" s="89">
        <f t="shared" si="53"/>
        <v>2.9880000000000004</v>
      </c>
      <c r="Y222" s="251">
        <f>MIN(X222:X224)</f>
        <v>2.9880000000000004</v>
      </c>
      <c r="Z222" s="190" t="str">
        <f>IF(Y222&lt;0,"closed","opened")</f>
        <v>opened</v>
      </c>
    </row>
    <row r="223" spans="1:26" s="2" customFormat="1" ht="12.75">
      <c r="A223" s="221"/>
      <c r="B223" s="67" t="s">
        <v>92</v>
      </c>
      <c r="C223" s="91" t="s">
        <v>39</v>
      </c>
      <c r="D223" s="92">
        <v>0.69</v>
      </c>
      <c r="E223" s="86">
        <v>0</v>
      </c>
      <c r="F223" s="43">
        <v>120</v>
      </c>
      <c r="G223" s="15">
        <f t="shared" si="51"/>
        <v>0.69</v>
      </c>
      <c r="H223" s="31">
        <v>0</v>
      </c>
      <c r="I223" s="68">
        <f>1.05*4</f>
        <v>4.2</v>
      </c>
      <c r="J223" s="15">
        <f>I223-D223</f>
        <v>3.5100000000000002</v>
      </c>
      <c r="K223" s="227"/>
      <c r="L223" s="191"/>
      <c r="M223" s="23"/>
      <c r="N223" s="221"/>
      <c r="O223" s="67" t="s">
        <v>92</v>
      </c>
      <c r="P223" s="94" t="s">
        <v>39</v>
      </c>
      <c r="Q223" s="95">
        <v>0</v>
      </c>
      <c r="R223" s="86">
        <f>Q223+Костромаэнерго!D223</f>
        <v>0.69</v>
      </c>
      <c r="S223" s="86">
        <v>0</v>
      </c>
      <c r="T223" s="43">
        <v>120</v>
      </c>
      <c r="U223" s="37">
        <f t="shared" si="52"/>
        <v>0.69</v>
      </c>
      <c r="V223" s="88">
        <v>0</v>
      </c>
      <c r="W223" s="68">
        <f>1.05*4</f>
        <v>4.2</v>
      </c>
      <c r="X223" s="89">
        <f t="shared" si="53"/>
        <v>3.5100000000000002</v>
      </c>
      <c r="Y223" s="251"/>
      <c r="Z223" s="191"/>
    </row>
    <row r="224" spans="1:26" s="2" customFormat="1" ht="12.75">
      <c r="A224" s="222"/>
      <c r="B224" s="67" t="s">
        <v>93</v>
      </c>
      <c r="C224" s="91" t="s">
        <v>39</v>
      </c>
      <c r="D224" s="92">
        <v>1.08</v>
      </c>
      <c r="E224" s="86">
        <v>0.75</v>
      </c>
      <c r="F224" s="43">
        <v>120</v>
      </c>
      <c r="G224" s="44">
        <f t="shared" si="51"/>
        <v>0.33000000000000007</v>
      </c>
      <c r="H224" s="31">
        <v>0</v>
      </c>
      <c r="I224" s="68">
        <f>1.05*4</f>
        <v>4.2</v>
      </c>
      <c r="J224" s="68">
        <f t="shared" si="50"/>
        <v>3.87</v>
      </c>
      <c r="K224" s="230"/>
      <c r="L224" s="192"/>
      <c r="M224" s="23"/>
      <c r="N224" s="222"/>
      <c r="O224" s="67" t="s">
        <v>93</v>
      </c>
      <c r="P224" s="94" t="s">
        <v>39</v>
      </c>
      <c r="Q224" s="66">
        <v>0.192</v>
      </c>
      <c r="R224" s="86">
        <f>Q224+Костромаэнерго!D224</f>
        <v>1.272</v>
      </c>
      <c r="S224" s="86">
        <v>0.75</v>
      </c>
      <c r="T224" s="43">
        <v>120</v>
      </c>
      <c r="U224" s="37">
        <f t="shared" si="52"/>
        <v>0.522</v>
      </c>
      <c r="V224" s="88">
        <v>0</v>
      </c>
      <c r="W224" s="68">
        <f>1.05*4</f>
        <v>4.2</v>
      </c>
      <c r="X224" s="89">
        <f t="shared" si="53"/>
        <v>3.678</v>
      </c>
      <c r="Y224" s="251"/>
      <c r="Z224" s="192"/>
    </row>
    <row r="225" spans="1:26" s="2" customFormat="1" ht="22.5">
      <c r="A225" s="52">
        <v>159</v>
      </c>
      <c r="B225" s="97" t="s">
        <v>220</v>
      </c>
      <c r="C225" s="91" t="s">
        <v>16</v>
      </c>
      <c r="D225" s="103">
        <v>0.25</v>
      </c>
      <c r="E225" s="86">
        <v>0.27</v>
      </c>
      <c r="F225" s="43">
        <v>120</v>
      </c>
      <c r="G225" s="50">
        <f t="shared" si="51"/>
        <v>-0.020000000000000018</v>
      </c>
      <c r="H225" s="31">
        <v>0</v>
      </c>
      <c r="I225" s="68">
        <f>1.05*1.6</f>
        <v>1.6800000000000002</v>
      </c>
      <c r="J225" s="68">
        <f t="shared" si="50"/>
        <v>1.7000000000000002</v>
      </c>
      <c r="K225" s="99">
        <f>J225</f>
        <v>1.7000000000000002</v>
      </c>
      <c r="L225" s="62" t="str">
        <f>IF(K225&lt;0,"closed","opened")</f>
        <v>opened</v>
      </c>
      <c r="M225" s="23"/>
      <c r="N225" s="52">
        <v>159</v>
      </c>
      <c r="O225" s="97" t="s">
        <v>220</v>
      </c>
      <c r="P225" s="94" t="s">
        <v>16</v>
      </c>
      <c r="Q225" s="103">
        <v>0.027</v>
      </c>
      <c r="R225" s="86">
        <f>Q225+Костромаэнерго!D225</f>
        <v>0.277</v>
      </c>
      <c r="S225" s="86">
        <v>0.27</v>
      </c>
      <c r="T225" s="43">
        <v>120</v>
      </c>
      <c r="U225" s="37">
        <f t="shared" si="52"/>
        <v>0.007000000000000006</v>
      </c>
      <c r="V225" s="88">
        <v>0</v>
      </c>
      <c r="W225" s="68">
        <f>1.05*1.6</f>
        <v>1.6800000000000002</v>
      </c>
      <c r="X225" s="89">
        <f t="shared" si="53"/>
        <v>1.673</v>
      </c>
      <c r="Y225" s="15">
        <f>X225</f>
        <v>1.673</v>
      </c>
      <c r="Z225" s="62" t="str">
        <f>IF(Y225&lt;0,"closed","opened")</f>
        <v>opened</v>
      </c>
    </row>
    <row r="226" spans="1:26" s="2" customFormat="1" ht="22.5">
      <c r="A226" s="220">
        <v>160</v>
      </c>
      <c r="B226" s="97" t="s">
        <v>221</v>
      </c>
      <c r="C226" s="91" t="s">
        <v>26</v>
      </c>
      <c r="D226" s="103">
        <v>19.02</v>
      </c>
      <c r="E226" s="98">
        <f>E228+E227</f>
        <v>2</v>
      </c>
      <c r="F226" s="43">
        <v>120</v>
      </c>
      <c r="G226" s="50">
        <f t="shared" si="51"/>
        <v>17.02</v>
      </c>
      <c r="H226" s="31">
        <v>0</v>
      </c>
      <c r="I226" s="68">
        <f>1.05*20</f>
        <v>21</v>
      </c>
      <c r="J226" s="68">
        <f t="shared" si="50"/>
        <v>3.9800000000000004</v>
      </c>
      <c r="K226" s="229">
        <f>MIN(J226:J228)</f>
        <v>3.9800000000000004</v>
      </c>
      <c r="L226" s="191" t="str">
        <f>IF(K226&lt;0,"closed","opened")</f>
        <v>opened</v>
      </c>
      <c r="M226" s="23"/>
      <c r="N226" s="220">
        <v>160</v>
      </c>
      <c r="O226" s="97" t="s">
        <v>221</v>
      </c>
      <c r="P226" s="94" t="s">
        <v>26</v>
      </c>
      <c r="Q226" s="66">
        <v>0.376</v>
      </c>
      <c r="R226" s="86">
        <f>Q226+Костромаэнерго!D226</f>
        <v>19.396</v>
      </c>
      <c r="S226" s="101">
        <f>S228+S227</f>
        <v>2</v>
      </c>
      <c r="T226" s="43">
        <v>120</v>
      </c>
      <c r="U226" s="37">
        <f t="shared" si="52"/>
        <v>17.396</v>
      </c>
      <c r="V226" s="88">
        <v>0</v>
      </c>
      <c r="W226" s="68">
        <f>1.05*20</f>
        <v>21</v>
      </c>
      <c r="X226" s="89">
        <f t="shared" si="53"/>
        <v>3.603999999999999</v>
      </c>
      <c r="Y226" s="251">
        <f>MIN(X226:X228)</f>
        <v>3.603999999999999</v>
      </c>
      <c r="Z226" s="191" t="str">
        <f>IF(Y226&lt;0,"closed","opened")</f>
        <v>opened</v>
      </c>
    </row>
    <row r="227" spans="1:26" s="2" customFormat="1" ht="12.75">
      <c r="A227" s="221"/>
      <c r="B227" s="67" t="s">
        <v>92</v>
      </c>
      <c r="C227" s="91" t="s">
        <v>26</v>
      </c>
      <c r="D227" s="92">
        <v>12.2</v>
      </c>
      <c r="E227" s="86">
        <v>0</v>
      </c>
      <c r="F227" s="43">
        <v>120</v>
      </c>
      <c r="G227" s="15">
        <f t="shared" si="51"/>
        <v>12.2</v>
      </c>
      <c r="H227" s="31">
        <v>0</v>
      </c>
      <c r="I227" s="68">
        <f>1.05*20</f>
        <v>21</v>
      </c>
      <c r="J227" s="68">
        <f>I227-D227</f>
        <v>8.8</v>
      </c>
      <c r="K227" s="227"/>
      <c r="L227" s="191"/>
      <c r="M227" s="23"/>
      <c r="N227" s="221"/>
      <c r="O227" s="67" t="s">
        <v>92</v>
      </c>
      <c r="P227" s="94" t="s">
        <v>26</v>
      </c>
      <c r="Q227" s="95">
        <v>0</v>
      </c>
      <c r="R227" s="86">
        <f>Q227+Костромаэнерго!D227</f>
        <v>12.2</v>
      </c>
      <c r="S227" s="86">
        <v>0</v>
      </c>
      <c r="T227" s="43">
        <v>120</v>
      </c>
      <c r="U227" s="37">
        <f t="shared" si="52"/>
        <v>12.2</v>
      </c>
      <c r="V227" s="88">
        <v>0</v>
      </c>
      <c r="W227" s="68">
        <f>1.05*20</f>
        <v>21</v>
      </c>
      <c r="X227" s="89">
        <f t="shared" si="53"/>
        <v>8.8</v>
      </c>
      <c r="Y227" s="251"/>
      <c r="Z227" s="191"/>
    </row>
    <row r="228" spans="1:26" s="2" customFormat="1" ht="12.75">
      <c r="A228" s="222"/>
      <c r="B228" s="67" t="s">
        <v>93</v>
      </c>
      <c r="C228" s="91" t="s">
        <v>26</v>
      </c>
      <c r="D228" s="92">
        <v>6.82</v>
      </c>
      <c r="E228" s="86">
        <v>2</v>
      </c>
      <c r="F228" s="43">
        <v>120</v>
      </c>
      <c r="G228" s="15">
        <f t="shared" si="51"/>
        <v>4.82</v>
      </c>
      <c r="H228" s="31">
        <v>0</v>
      </c>
      <c r="I228" s="68">
        <f>1.05*20</f>
        <v>21</v>
      </c>
      <c r="J228" s="68">
        <f t="shared" si="50"/>
        <v>16.18</v>
      </c>
      <c r="K228" s="230"/>
      <c r="L228" s="191"/>
      <c r="M228" s="23"/>
      <c r="N228" s="222"/>
      <c r="O228" s="67" t="s">
        <v>93</v>
      </c>
      <c r="P228" s="94" t="s">
        <v>26</v>
      </c>
      <c r="Q228" s="66">
        <v>0.376</v>
      </c>
      <c r="R228" s="86">
        <f>Q228+Костромаэнерго!D228</f>
        <v>7.196000000000001</v>
      </c>
      <c r="S228" s="86">
        <v>2</v>
      </c>
      <c r="T228" s="43">
        <v>120</v>
      </c>
      <c r="U228" s="37">
        <f t="shared" si="52"/>
        <v>5.196000000000001</v>
      </c>
      <c r="V228" s="88">
        <v>0</v>
      </c>
      <c r="W228" s="68">
        <f>1.05*20</f>
        <v>21</v>
      </c>
      <c r="X228" s="89">
        <f t="shared" si="53"/>
        <v>15.803999999999998</v>
      </c>
      <c r="Y228" s="251"/>
      <c r="Z228" s="191"/>
    </row>
    <row r="229" spans="1:26" s="2" customFormat="1" ht="22.5">
      <c r="A229" s="65">
        <v>161</v>
      </c>
      <c r="B229" s="97" t="s">
        <v>222</v>
      </c>
      <c r="C229" s="91" t="s">
        <v>1</v>
      </c>
      <c r="D229" s="103">
        <v>3.32</v>
      </c>
      <c r="E229" s="86">
        <v>2.5</v>
      </c>
      <c r="F229" s="43">
        <v>120</v>
      </c>
      <c r="G229" s="44">
        <f t="shared" si="51"/>
        <v>0.8199999999999998</v>
      </c>
      <c r="H229" s="31">
        <v>0</v>
      </c>
      <c r="I229" s="68">
        <f>1.05*25</f>
        <v>26.25</v>
      </c>
      <c r="J229" s="68">
        <f t="shared" si="50"/>
        <v>25.43</v>
      </c>
      <c r="K229" s="105">
        <f>J229</f>
        <v>25.43</v>
      </c>
      <c r="L229" s="46" t="str">
        <f>IF(K229&lt;0,"closed","opened")</f>
        <v>opened</v>
      </c>
      <c r="M229" s="23"/>
      <c r="N229" s="65">
        <v>161</v>
      </c>
      <c r="O229" s="97" t="s">
        <v>222</v>
      </c>
      <c r="P229" s="94" t="s">
        <v>1</v>
      </c>
      <c r="Q229" s="103">
        <v>0.079</v>
      </c>
      <c r="R229" s="86">
        <f>Q229+Костромаэнерго!D229</f>
        <v>3.399</v>
      </c>
      <c r="S229" s="86">
        <v>2.5</v>
      </c>
      <c r="T229" s="43">
        <v>120</v>
      </c>
      <c r="U229" s="37">
        <f t="shared" si="52"/>
        <v>0.899</v>
      </c>
      <c r="V229" s="88">
        <v>0</v>
      </c>
      <c r="W229" s="68">
        <f>1.05*25</f>
        <v>26.25</v>
      </c>
      <c r="X229" s="89">
        <f t="shared" si="53"/>
        <v>25.351</v>
      </c>
      <c r="Y229" s="15">
        <f>X229</f>
        <v>25.351</v>
      </c>
      <c r="Z229" s="46" t="str">
        <f>IF(Y229&lt;0,"closed","opened")</f>
        <v>opened</v>
      </c>
    </row>
    <row r="230" spans="1:26" s="2" customFormat="1" ht="22.5">
      <c r="A230" s="52">
        <v>162</v>
      </c>
      <c r="B230" s="97" t="s">
        <v>223</v>
      </c>
      <c r="C230" s="91" t="s">
        <v>40</v>
      </c>
      <c r="D230" s="103">
        <v>0.82</v>
      </c>
      <c r="E230" s="86">
        <v>0.57</v>
      </c>
      <c r="F230" s="43">
        <v>120</v>
      </c>
      <c r="G230" s="50">
        <f t="shared" si="51"/>
        <v>0.25</v>
      </c>
      <c r="H230" s="31">
        <v>0</v>
      </c>
      <c r="I230" s="68">
        <f>1.05*1</f>
        <v>1.05</v>
      </c>
      <c r="J230" s="68">
        <f t="shared" si="50"/>
        <v>0.8</v>
      </c>
      <c r="K230" s="105">
        <f>J230</f>
        <v>0.8</v>
      </c>
      <c r="L230" s="46" t="str">
        <f>IF(K230&lt;0,"closed","opened")</f>
        <v>opened</v>
      </c>
      <c r="M230" s="23"/>
      <c r="N230" s="52">
        <v>162</v>
      </c>
      <c r="O230" s="97" t="s">
        <v>223</v>
      </c>
      <c r="P230" s="94" t="s">
        <v>40</v>
      </c>
      <c r="Q230" s="103">
        <v>0.015</v>
      </c>
      <c r="R230" s="86">
        <f>Q230+Костромаэнерго!D230</f>
        <v>0.835</v>
      </c>
      <c r="S230" s="86">
        <v>0.57</v>
      </c>
      <c r="T230" s="43">
        <v>120</v>
      </c>
      <c r="U230" s="37">
        <f t="shared" si="52"/>
        <v>0.265</v>
      </c>
      <c r="V230" s="88">
        <v>0</v>
      </c>
      <c r="W230" s="68">
        <f>1.05*1</f>
        <v>1.05</v>
      </c>
      <c r="X230" s="89">
        <f t="shared" si="53"/>
        <v>0.785</v>
      </c>
      <c r="Y230" s="15">
        <f>X230</f>
        <v>0.785</v>
      </c>
      <c r="Z230" s="46" t="str">
        <f>IF(Y230&lt;0,"closed","opened")</f>
        <v>opened</v>
      </c>
    </row>
    <row r="231" spans="1:26" s="2" customFormat="1" ht="22.5">
      <c r="A231" s="52">
        <v>163</v>
      </c>
      <c r="B231" s="97" t="s">
        <v>224</v>
      </c>
      <c r="C231" s="91" t="s">
        <v>16</v>
      </c>
      <c r="D231" s="103">
        <v>0.78</v>
      </c>
      <c r="E231" s="86">
        <v>0</v>
      </c>
      <c r="F231" s="43">
        <v>0</v>
      </c>
      <c r="G231" s="50">
        <f t="shared" si="51"/>
        <v>0.78</v>
      </c>
      <c r="H231" s="31">
        <v>0</v>
      </c>
      <c r="I231" s="68">
        <f>1.05*1.6</f>
        <v>1.6800000000000002</v>
      </c>
      <c r="J231" s="68">
        <f t="shared" si="50"/>
        <v>0.9000000000000001</v>
      </c>
      <c r="K231" s="105">
        <f>J231</f>
        <v>0.9000000000000001</v>
      </c>
      <c r="L231" s="62" t="str">
        <f>IF(K231&lt;0,"closed","opened")</f>
        <v>opened</v>
      </c>
      <c r="M231" s="23"/>
      <c r="N231" s="52">
        <v>163</v>
      </c>
      <c r="O231" s="97" t="s">
        <v>224</v>
      </c>
      <c r="P231" s="94" t="s">
        <v>16</v>
      </c>
      <c r="Q231" s="103">
        <v>0.127</v>
      </c>
      <c r="R231" s="86">
        <f>Q231+Костромаэнерго!D231</f>
        <v>0.907</v>
      </c>
      <c r="S231" s="86">
        <v>0</v>
      </c>
      <c r="T231" s="43">
        <v>0</v>
      </c>
      <c r="U231" s="37">
        <f t="shared" si="52"/>
        <v>0.907</v>
      </c>
      <c r="V231" s="88">
        <v>0</v>
      </c>
      <c r="W231" s="68">
        <f>1.05*1.6</f>
        <v>1.6800000000000002</v>
      </c>
      <c r="X231" s="89">
        <f t="shared" si="53"/>
        <v>0.7730000000000001</v>
      </c>
      <c r="Y231" s="15">
        <f>X231</f>
        <v>0.7730000000000001</v>
      </c>
      <c r="Z231" s="62" t="str">
        <f>IF(Y231&lt;0,"closed","opened")</f>
        <v>opened</v>
      </c>
    </row>
    <row r="232" spans="1:26" s="1" customFormat="1" ht="22.5">
      <c r="A232" s="39">
        <v>164</v>
      </c>
      <c r="B232" s="97" t="s">
        <v>225</v>
      </c>
      <c r="C232" s="91" t="s">
        <v>12</v>
      </c>
      <c r="D232" s="103">
        <v>8.96</v>
      </c>
      <c r="E232" s="93">
        <v>3</v>
      </c>
      <c r="F232" s="43">
        <v>120</v>
      </c>
      <c r="G232" s="15">
        <f t="shared" si="51"/>
        <v>5.960000000000001</v>
      </c>
      <c r="H232" s="31">
        <v>0</v>
      </c>
      <c r="I232" s="68">
        <f>1.05*10</f>
        <v>10.5</v>
      </c>
      <c r="J232" s="68">
        <f t="shared" si="50"/>
        <v>4.539999999999999</v>
      </c>
      <c r="K232" s="105">
        <f>J232</f>
        <v>4.539999999999999</v>
      </c>
      <c r="L232" s="63" t="str">
        <f>IF(K232&lt;0,"closed","opened")</f>
        <v>opened</v>
      </c>
      <c r="M232" s="23"/>
      <c r="N232" s="52">
        <v>164</v>
      </c>
      <c r="O232" s="97" t="s">
        <v>225</v>
      </c>
      <c r="P232" s="94" t="s">
        <v>12</v>
      </c>
      <c r="Q232" s="103">
        <v>1.338</v>
      </c>
      <c r="R232" s="86">
        <f>Q232+Костромаэнерго!D232</f>
        <v>10.298000000000002</v>
      </c>
      <c r="S232" s="86">
        <v>3</v>
      </c>
      <c r="T232" s="43">
        <v>120</v>
      </c>
      <c r="U232" s="37">
        <f t="shared" si="52"/>
        <v>7.298000000000002</v>
      </c>
      <c r="V232" s="88">
        <v>0</v>
      </c>
      <c r="W232" s="68">
        <f>1.05*10</f>
        <v>10.5</v>
      </c>
      <c r="X232" s="89">
        <f t="shared" si="53"/>
        <v>3.201999999999998</v>
      </c>
      <c r="Y232" s="15">
        <f>X232</f>
        <v>3.201999999999998</v>
      </c>
      <c r="Z232" s="63" t="str">
        <f>IF(Y232&lt;0,"closed","opened")</f>
        <v>opened</v>
      </c>
    </row>
    <row r="233" spans="1:26" s="1" customFormat="1" ht="12.75">
      <c r="A233" s="173"/>
      <c r="B233" s="198" t="s">
        <v>226</v>
      </c>
      <c r="C233" s="138">
        <v>1705</v>
      </c>
      <c r="D233" s="139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401.1200000000007</v>
      </c>
      <c r="E233" s="139" t="s">
        <v>42</v>
      </c>
      <c r="F233" s="138"/>
      <c r="G233" s="139" t="s">
        <v>42</v>
      </c>
      <c r="H233" s="140"/>
      <c r="I233" s="139" t="s">
        <v>42</v>
      </c>
      <c r="J233" s="139" t="s">
        <v>42</v>
      </c>
      <c r="K233" s="139"/>
      <c r="L233" s="141"/>
      <c r="M233" s="23"/>
      <c r="N233" s="271"/>
      <c r="O233" s="198" t="s">
        <v>226</v>
      </c>
      <c r="P233" s="138">
        <v>1705</v>
      </c>
      <c r="Q233" s="139"/>
      <c r="R233" s="139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481.1449999999998</v>
      </c>
      <c r="S233" s="139" t="s">
        <v>42</v>
      </c>
      <c r="T233" s="139"/>
      <c r="U233" s="139" t="s">
        <v>42</v>
      </c>
      <c r="V233" s="139"/>
      <c r="W233" s="139" t="s">
        <v>42</v>
      </c>
      <c r="X233" s="139" t="s">
        <v>42</v>
      </c>
      <c r="Y233" s="142" t="s">
        <v>42</v>
      </c>
      <c r="Z233" s="143"/>
    </row>
    <row r="234" spans="1:26" s="1" customFormat="1" ht="12.75">
      <c r="A234" s="174"/>
      <c r="B234" s="199" t="s">
        <v>227</v>
      </c>
      <c r="C234" s="144"/>
      <c r="D234" s="145"/>
      <c r="E234" s="146"/>
      <c r="F234" s="144"/>
      <c r="G234" s="144"/>
      <c r="H234" s="146"/>
      <c r="I234" s="144"/>
      <c r="J234" s="144"/>
      <c r="K234" s="147">
        <f>SUMIF(K7:K71,"&lt;0")+SUMIF(K73:K232,"&lt;0")</f>
        <v>-6.234999999999998</v>
      </c>
      <c r="L234" s="148"/>
      <c r="M234" s="23"/>
      <c r="N234" s="271"/>
      <c r="O234" s="199" t="s">
        <v>227</v>
      </c>
      <c r="P234" s="149"/>
      <c r="Q234" s="149"/>
      <c r="R234" s="150"/>
      <c r="S234" s="149"/>
      <c r="T234" s="149"/>
      <c r="U234" s="149"/>
      <c r="V234" s="149"/>
      <c r="W234" s="68"/>
      <c r="X234" s="149"/>
      <c r="Y234" s="147">
        <f>SUMIF(Y6:Y71,"&lt;0")+SUMIF(Y73:Y232,"&lt;0")</f>
        <v>-16.3</v>
      </c>
      <c r="Z234" s="143"/>
    </row>
    <row r="235" spans="1:26" s="1" customFormat="1" ht="13.5" thickBot="1">
      <c r="A235" s="245"/>
      <c r="B235" s="200" t="s">
        <v>228</v>
      </c>
      <c r="C235" s="151"/>
      <c r="D235" s="152"/>
      <c r="E235" s="153"/>
      <c r="F235" s="151"/>
      <c r="G235" s="151"/>
      <c r="H235" s="153"/>
      <c r="I235" s="151"/>
      <c r="J235" s="151"/>
      <c r="K235" s="154">
        <f>SUMIF(K7:K71,"&gt;0")+SUMIF(K73:K232,"&gt;0")</f>
        <v>525.81</v>
      </c>
      <c r="L235" s="155"/>
      <c r="M235" s="23"/>
      <c r="N235" s="272"/>
      <c r="O235" s="200" t="s">
        <v>228</v>
      </c>
      <c r="P235" s="156"/>
      <c r="Q235" s="156"/>
      <c r="R235" s="157"/>
      <c r="S235" s="156"/>
      <c r="T235" s="156"/>
      <c r="U235" s="156"/>
      <c r="V235" s="156"/>
      <c r="W235" s="156"/>
      <c r="X235" s="156"/>
      <c r="Y235" s="158">
        <f>SUMIF(Y7:Y71,"&gt;0")+SUMIF(Y73:Y232,"&gt;0")</f>
        <v>463.23800000000006</v>
      </c>
      <c r="Z235" s="159"/>
    </row>
    <row r="236" spans="3:25" ht="6.75" customHeight="1">
      <c r="C236" s="160"/>
      <c r="D236" s="160"/>
      <c r="E236" s="160"/>
      <c r="H236" s="161"/>
      <c r="M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</row>
    <row r="237" spans="2:25" ht="15">
      <c r="B237" s="162"/>
      <c r="C237" s="270"/>
      <c r="D237" s="270"/>
      <c r="E237" s="270"/>
      <c r="F237" s="270"/>
      <c r="G237" s="270"/>
      <c r="H237" s="161"/>
      <c r="J237" s="269"/>
      <c r="K237" s="269"/>
      <c r="M237" s="161"/>
      <c r="P237" s="163"/>
      <c r="Q237" s="163"/>
      <c r="R237" s="163"/>
      <c r="S237" s="163"/>
      <c r="T237" s="163"/>
      <c r="U237" s="161"/>
      <c r="V237" s="161"/>
      <c r="W237" s="273"/>
      <c r="X237" s="273"/>
      <c r="Y237" s="161"/>
    </row>
    <row r="238" spans="2:25" ht="15">
      <c r="B238" s="164"/>
      <c r="C238" s="162"/>
      <c r="D238" s="163"/>
      <c r="E238" s="163"/>
      <c r="F238" s="163"/>
      <c r="G238" s="163"/>
      <c r="H238" s="161"/>
      <c r="I238" s="161"/>
      <c r="J238" s="161"/>
      <c r="L238" s="161"/>
      <c r="M238" s="161"/>
      <c r="N238" s="161"/>
      <c r="O238" s="161"/>
      <c r="P238" s="163"/>
      <c r="Q238" s="163"/>
      <c r="R238" s="163"/>
      <c r="S238" s="163"/>
      <c r="T238" s="163"/>
      <c r="U238" s="161"/>
      <c r="V238" s="161"/>
      <c r="W238" s="161"/>
      <c r="X238" s="161"/>
      <c r="Y238" s="161"/>
    </row>
    <row r="239" spans="2:25" ht="15">
      <c r="B239" s="165"/>
      <c r="C239" s="165"/>
      <c r="D239" s="166"/>
      <c r="E239" s="166"/>
      <c r="F239" s="166"/>
      <c r="G239" s="166"/>
      <c r="H239" s="161"/>
      <c r="I239" s="161"/>
      <c r="J239" s="163"/>
      <c r="K239" s="163"/>
      <c r="L239" s="161"/>
      <c r="M239" s="161"/>
      <c r="N239" s="161"/>
      <c r="O239" s="161"/>
      <c r="P239" s="166"/>
      <c r="Q239" s="166"/>
      <c r="R239" s="166"/>
      <c r="S239" s="166"/>
      <c r="T239" s="166"/>
      <c r="U239" s="161"/>
      <c r="V239" s="161"/>
      <c r="W239" s="163"/>
      <c r="X239" s="163"/>
      <c r="Y239" s="161"/>
    </row>
    <row r="240" spans="2:25" ht="15">
      <c r="B240" s="165"/>
      <c r="C240" s="165"/>
      <c r="D240" s="165"/>
      <c r="E240" s="165"/>
      <c r="F240" s="165"/>
      <c r="G240" s="165"/>
      <c r="H240" s="161"/>
      <c r="P240" s="166"/>
      <c r="Q240" s="166"/>
      <c r="R240" s="166"/>
      <c r="S240" s="166"/>
      <c r="T240" s="166"/>
      <c r="U240" s="161"/>
      <c r="V240" s="161"/>
      <c r="W240" s="161"/>
      <c r="X240" s="161"/>
      <c r="Y240" s="161"/>
    </row>
  </sheetData>
  <sheetProtection formatCells="0" formatColumns="0" formatRows="0" insertColumns="0" insertRows="0" insertHyperlinks="0" deleteColumns="0" deleteRows="0" pivotTables="0"/>
  <mergeCells count="217">
    <mergeCell ref="N215:N217"/>
    <mergeCell ref="Y215:Y217"/>
    <mergeCell ref="J237:K237"/>
    <mergeCell ref="C237:G237"/>
    <mergeCell ref="N233:N235"/>
    <mergeCell ref="N222:N224"/>
    <mergeCell ref="Y222:Y224"/>
    <mergeCell ref="N226:N228"/>
    <mergeCell ref="W237:X237"/>
    <mergeCell ref="K226:K228"/>
    <mergeCell ref="N219:N221"/>
    <mergeCell ref="Y219:Y221"/>
    <mergeCell ref="Y226:Y228"/>
    <mergeCell ref="Z226:Z228"/>
    <mergeCell ref="Z219:Z221"/>
    <mergeCell ref="Z222:Z224"/>
    <mergeCell ref="N209:N211"/>
    <mergeCell ref="Y183:Y185"/>
    <mergeCell ref="Z183:Z185"/>
    <mergeCell ref="N187:N189"/>
    <mergeCell ref="Y187:Y189"/>
    <mergeCell ref="Z187:Z189"/>
    <mergeCell ref="N192:N194"/>
    <mergeCell ref="N203:N205"/>
    <mergeCell ref="Y203:Y205"/>
    <mergeCell ref="Z203:Z205"/>
    <mergeCell ref="Y178:Y180"/>
    <mergeCell ref="Z178:Z180"/>
    <mergeCell ref="Z215:Z217"/>
    <mergeCell ref="Y209:Y211"/>
    <mergeCell ref="Z209:Z211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N178:N180"/>
    <mergeCell ref="N158:N160"/>
    <mergeCell ref="Y158:Y160"/>
    <mergeCell ref="Z158:Z160"/>
    <mergeCell ref="N161:N163"/>
    <mergeCell ref="Y161:Y163"/>
    <mergeCell ref="Z161:Z163"/>
    <mergeCell ref="N145:N147"/>
    <mergeCell ref="Y145:Y147"/>
    <mergeCell ref="Z145:Z147"/>
    <mergeCell ref="N149:N151"/>
    <mergeCell ref="Y149:Y151"/>
    <mergeCell ref="Z149:Z151"/>
    <mergeCell ref="N129:N131"/>
    <mergeCell ref="Y129:Y131"/>
    <mergeCell ref="Z129:Z131"/>
    <mergeCell ref="N142:N144"/>
    <mergeCell ref="Y142:Y144"/>
    <mergeCell ref="Z142:Z144"/>
    <mergeCell ref="N123:N125"/>
    <mergeCell ref="Y123:Y125"/>
    <mergeCell ref="Z123:Z125"/>
    <mergeCell ref="N126:N128"/>
    <mergeCell ref="Y126:Y128"/>
    <mergeCell ref="Z126:Z128"/>
    <mergeCell ref="N116:N118"/>
    <mergeCell ref="Y116:Y118"/>
    <mergeCell ref="Z116:Z118"/>
    <mergeCell ref="N120:N122"/>
    <mergeCell ref="Y120:Y122"/>
    <mergeCell ref="Z120:Z122"/>
    <mergeCell ref="Z105:Z107"/>
    <mergeCell ref="Z98:Z101"/>
    <mergeCell ref="N108:N110"/>
    <mergeCell ref="Y108:Y110"/>
    <mergeCell ref="Z108:Z110"/>
    <mergeCell ref="N98:N101"/>
    <mergeCell ref="Y98:Y101"/>
    <mergeCell ref="N105:N107"/>
    <mergeCell ref="Y105:Y107"/>
    <mergeCell ref="N76:N78"/>
    <mergeCell ref="Y76:Y78"/>
    <mergeCell ref="Z76:Z78"/>
    <mergeCell ref="N92:N94"/>
    <mergeCell ref="Y92:Y94"/>
    <mergeCell ref="Z92:Z94"/>
    <mergeCell ref="Y54:Y56"/>
    <mergeCell ref="Z2:Z4"/>
    <mergeCell ref="P3:P4"/>
    <mergeCell ref="Q3:Q4"/>
    <mergeCell ref="R3:R4"/>
    <mergeCell ref="S3:T3"/>
    <mergeCell ref="U3:U4"/>
    <mergeCell ref="Z54:Z56"/>
    <mergeCell ref="L203:L205"/>
    <mergeCell ref="N72:Z72"/>
    <mergeCell ref="N6:Z6"/>
    <mergeCell ref="N40:N42"/>
    <mergeCell ref="Y40:Y42"/>
    <mergeCell ref="Z40:Z42"/>
    <mergeCell ref="N73:N75"/>
    <mergeCell ref="Y73:Y75"/>
    <mergeCell ref="Z73:Z75"/>
    <mergeCell ref="N54:N56"/>
    <mergeCell ref="A209:A211"/>
    <mergeCell ref="L192:L194"/>
    <mergeCell ref="A203:A205"/>
    <mergeCell ref="A183:A185"/>
    <mergeCell ref="K183:K185"/>
    <mergeCell ref="L183:L185"/>
    <mergeCell ref="A187:A189"/>
    <mergeCell ref="K187:K189"/>
    <mergeCell ref="L187:L189"/>
    <mergeCell ref="K203:K205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33:A235"/>
    <mergeCell ref="A222:A224"/>
    <mergeCell ref="K222:K224"/>
    <mergeCell ref="L222:L224"/>
    <mergeCell ref="A226:A228"/>
    <mergeCell ref="L226:L228"/>
    <mergeCell ref="L174:L176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149:A151"/>
    <mergeCell ref="K149:K151"/>
    <mergeCell ref="L149:L151"/>
    <mergeCell ref="A158:A160"/>
    <mergeCell ref="K158:K160"/>
    <mergeCell ref="L158:L160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L142:L144"/>
    <mergeCell ref="A120:A122"/>
    <mergeCell ref="K120:K122"/>
    <mergeCell ref="K129:K131"/>
    <mergeCell ref="L129:L131"/>
    <mergeCell ref="A126:A128"/>
    <mergeCell ref="K126:K128"/>
    <mergeCell ref="L126:L128"/>
    <mergeCell ref="A129:A131"/>
    <mergeCell ref="L120:L122"/>
    <mergeCell ref="K105:K107"/>
    <mergeCell ref="L105:L107"/>
    <mergeCell ref="A108:A110"/>
    <mergeCell ref="K108:K110"/>
    <mergeCell ref="L108:L110"/>
    <mergeCell ref="A116:A118"/>
    <mergeCell ref="K116:K118"/>
    <mergeCell ref="L116:L118"/>
    <mergeCell ref="A92:A94"/>
    <mergeCell ref="K92:K94"/>
    <mergeCell ref="L92:L94"/>
    <mergeCell ref="A98:A101"/>
    <mergeCell ref="K98:K101"/>
    <mergeCell ref="L98:L101"/>
    <mergeCell ref="A105:A107"/>
    <mergeCell ref="A76:A78"/>
    <mergeCell ref="K76:K78"/>
    <mergeCell ref="L76:L78"/>
    <mergeCell ref="A72:L72"/>
    <mergeCell ref="A73:A75"/>
    <mergeCell ref="K73:K75"/>
    <mergeCell ref="L73:L75"/>
    <mergeCell ref="A54:A56"/>
    <mergeCell ref="K54:K56"/>
    <mergeCell ref="L54:L56"/>
    <mergeCell ref="A2:A4"/>
    <mergeCell ref="B2:B4"/>
    <mergeCell ref="C2:K2"/>
    <mergeCell ref="L2:L4"/>
    <mergeCell ref="C3:C4"/>
    <mergeCell ref="E3:F3"/>
    <mergeCell ref="A40:A42"/>
    <mergeCell ref="K40:K42"/>
    <mergeCell ref="L40:L42"/>
    <mergeCell ref="A6:L6"/>
    <mergeCell ref="J1:K1"/>
    <mergeCell ref="D3:D4"/>
    <mergeCell ref="I3:I4"/>
    <mergeCell ref="J3:J4"/>
    <mergeCell ref="K3:K4"/>
    <mergeCell ref="G3:G4"/>
    <mergeCell ref="H3:H4"/>
    <mergeCell ref="P1:S1"/>
    <mergeCell ref="W1:X1"/>
    <mergeCell ref="N2:N4"/>
    <mergeCell ref="O2:O4"/>
    <mergeCell ref="P2:Y2"/>
    <mergeCell ref="Y3:Y4"/>
    <mergeCell ref="X3:X4"/>
    <mergeCell ref="V3:V4"/>
    <mergeCell ref="W3:W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2010-03-05T08:17:29Z</cp:lastPrinted>
  <dcterms:created xsi:type="dcterms:W3CDTF">2008-10-03T08:18:33Z</dcterms:created>
  <dcterms:modified xsi:type="dcterms:W3CDTF">2001-12-31T22:34:02Z</dcterms:modified>
  <cp:category/>
  <cp:version/>
  <cp:contentType/>
  <cp:contentStatus/>
</cp:coreProperties>
</file>