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45" firstSheet="2" activeTab="2"/>
  </bookViews>
  <sheets>
    <sheet name="МРСК" sheetId="1" state="hidden" r:id="rId1"/>
    <sheet name="МРСК 2" sheetId="2" state="hidden" r:id="rId2"/>
    <sheet name="Итоговая" sheetId="3" r:id="rId3"/>
  </sheets>
  <definedNames>
    <definedName name="_xlnm.Print_Titles" localSheetId="0">'МРСК'!$4:$7</definedName>
    <definedName name="_xlnm.Print_Titles" localSheetId="1">'МРСК 2'!$7:$7</definedName>
    <definedName name="_xlnm.Print_Area" localSheetId="0">'МРСК'!$A$1:$N$262</definedName>
    <definedName name="_xlnm.Print_Area" localSheetId="1">'МРСК 2'!$A$1:$N$262</definedName>
  </definedNames>
  <calcPr fullCalcOnLoad="1"/>
</workbook>
</file>

<file path=xl/sharedStrings.xml><?xml version="1.0" encoding="utf-8"?>
<sst xmlns="http://schemas.openxmlformats.org/spreadsheetml/2006/main" count="1503" uniqueCount="499">
  <si>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</si>
  <si>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</si>
  <si>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</si>
  <si>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</si>
  <si>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</si>
  <si>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</si>
  <si>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</si>
  <si>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</si>
  <si>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</si>
  <si>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</si>
  <si>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</si>
  <si>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</si>
  <si>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Белгород-1</t>
  </si>
  <si>
    <t>Северная</t>
  </si>
  <si>
    <t>Южная</t>
  </si>
  <si>
    <t>Дубовое</t>
  </si>
  <si>
    <t>Западная</t>
  </si>
  <si>
    <t>Восточная</t>
  </si>
  <si>
    <t>Пищепром</t>
  </si>
  <si>
    <t>Авторемзавод</t>
  </si>
  <si>
    <t>Витаминный комбинат</t>
  </si>
  <si>
    <t>Черемошное</t>
  </si>
  <si>
    <t>Стрелецкая</t>
  </si>
  <si>
    <t>Шебекино</t>
  </si>
  <si>
    <t>Хим. завод</t>
  </si>
  <si>
    <t>Максимовка</t>
  </si>
  <si>
    <t>Томаровка</t>
  </si>
  <si>
    <t>Рудник</t>
  </si>
  <si>
    <t>Строитель</t>
  </si>
  <si>
    <t>Красная  Яруга</t>
  </si>
  <si>
    <t>Готня</t>
  </si>
  <si>
    <t>Ракитное</t>
  </si>
  <si>
    <t>Донец</t>
  </si>
  <si>
    <t>Борисовка</t>
  </si>
  <si>
    <t>Грайворон</t>
  </si>
  <si>
    <t>Ивня</t>
  </si>
  <si>
    <t>Александровка</t>
  </si>
  <si>
    <t>Голофеевка</t>
  </si>
  <si>
    <t>Короча</t>
  </si>
  <si>
    <t>Птицефабрика</t>
  </si>
  <si>
    <t>Казацкие  Бугры</t>
  </si>
  <si>
    <t>Чернянка</t>
  </si>
  <si>
    <t>Журавлики</t>
  </si>
  <si>
    <t>Шеино</t>
  </si>
  <si>
    <t>Н.Оскол</t>
  </si>
  <si>
    <t>Коньшино</t>
  </si>
  <si>
    <t>Ст.Оскол - 1</t>
  </si>
  <si>
    <t>Скородное</t>
  </si>
  <si>
    <t>Архангельское</t>
  </si>
  <si>
    <t>Д.Поляна</t>
  </si>
  <si>
    <t>Серебрянка</t>
  </si>
  <si>
    <t>Оросительная</t>
  </si>
  <si>
    <t>Алексеевка</t>
  </si>
  <si>
    <t>Вейделевка</t>
  </si>
  <si>
    <t>Волоконовка</t>
  </si>
  <si>
    <t>Айдар</t>
  </si>
  <si>
    <t>В.Покровка</t>
  </si>
  <si>
    <t>К.Гвардия</t>
  </si>
  <si>
    <t>Обуховская</t>
  </si>
  <si>
    <t>40+48</t>
  </si>
  <si>
    <t>40+40</t>
  </si>
  <si>
    <t>16+16</t>
  </si>
  <si>
    <t>32+32</t>
  </si>
  <si>
    <t>15+15</t>
  </si>
  <si>
    <t>10+10</t>
  </si>
  <si>
    <t>10+16</t>
  </si>
  <si>
    <t>16+10</t>
  </si>
  <si>
    <t>3,2+10</t>
  </si>
  <si>
    <t>20+25+25</t>
  </si>
  <si>
    <t>№ п/п</t>
  </si>
  <si>
    <t>2,5+2,5</t>
  </si>
  <si>
    <t>4+4</t>
  </si>
  <si>
    <t>4+5,6</t>
  </si>
  <si>
    <t>6,3+6,3</t>
  </si>
  <si>
    <t>4+2,5</t>
  </si>
  <si>
    <t>10+10+10</t>
  </si>
  <si>
    <t>2,5+4</t>
  </si>
  <si>
    <t>7,5+6,3</t>
  </si>
  <si>
    <t>6,3+4</t>
  </si>
  <si>
    <t>1,6+2,5</t>
  </si>
  <si>
    <t>2,5+1,6</t>
  </si>
  <si>
    <t>МВА</t>
  </si>
  <si>
    <t>Пушкарная</t>
  </si>
  <si>
    <t xml:space="preserve">Очистные </t>
  </si>
  <si>
    <t xml:space="preserve">Промышленная </t>
  </si>
  <si>
    <t xml:space="preserve">Центральная </t>
  </si>
  <si>
    <t>25+31,5</t>
  </si>
  <si>
    <t>4</t>
  </si>
  <si>
    <t>2,5</t>
  </si>
  <si>
    <t>6,3</t>
  </si>
  <si>
    <t>1,6</t>
  </si>
  <si>
    <t>40+25</t>
  </si>
  <si>
    <t>Sн. СН, МВА</t>
  </si>
  <si>
    <t>Sн. НН, МВА</t>
  </si>
  <si>
    <t xml:space="preserve">Суммарная полная мощность ЦП по результатам замеров максимума нагрузки Sмах </t>
  </si>
  <si>
    <t>Дефицит/профицит  ЦП, МВА</t>
  </si>
  <si>
    <t>ПС-110/35/10кВ Д.Поляна</t>
  </si>
  <si>
    <t>ПС-110/35/10кВ Коньшино</t>
  </si>
  <si>
    <t>ПС-110/35/10кВ Оросительная</t>
  </si>
  <si>
    <t>ПС-110/35/10кВ Ровеньки</t>
  </si>
  <si>
    <t>ПС-110/35/10кВ Серебрянка</t>
  </si>
  <si>
    <t>ПС-35/10кВ Афанасьевка</t>
  </si>
  <si>
    <t>ПС-35/10кВ Борисовка</t>
  </si>
  <si>
    <t>ПС-35/10кВ Борисы</t>
  </si>
  <si>
    <t>ПС-35/10кВ Гостищево</t>
  </si>
  <si>
    <t>ПС-35/10кВ Грузское</t>
  </si>
  <si>
    <t>ПС-35/10кВ Земснаряд</t>
  </si>
  <si>
    <t>ПС-35/10кВ Казачья  Лисица</t>
  </si>
  <si>
    <t>ПС-35/10кВ Камызино</t>
  </si>
  <si>
    <t>ПС-35/10кВ Колосково</t>
  </si>
  <si>
    <t>ПС-35/10кВ Крюково</t>
  </si>
  <si>
    <t>ПС-35/10кВ Кущино</t>
  </si>
  <si>
    <t>ПС-35/10кВ Лопухинка</t>
  </si>
  <si>
    <t>ПС-35/10кВ Малакеево</t>
  </si>
  <si>
    <t>ПС-35/10кВ Муром</t>
  </si>
  <si>
    <t>ПС-35/10кВ Николаевка</t>
  </si>
  <si>
    <t>ПС-35/10кВ Никольское</t>
  </si>
  <si>
    <t>ПС-35/10кВ Покровка</t>
  </si>
  <si>
    <t>ПС-35/10кВ Пятницкое</t>
  </si>
  <si>
    <t>ПС-35/10кВ Сахзавод Ивня</t>
  </si>
  <si>
    <t>ПС-35/10кВ Свистовка</t>
  </si>
  <si>
    <t>ПС-35/10кВ С-з " Уразовский"</t>
  </si>
  <si>
    <t>ПС-35/10кВ Харьковское</t>
  </si>
  <si>
    <t>ПС-35/10кВ Церковная</t>
  </si>
  <si>
    <t>ПС-110/6кВ Авторемзавод</t>
  </si>
  <si>
    <t>ПС-110/35/10кВ Айдар</t>
  </si>
  <si>
    <t>ПС-110/35/10кВ Александровка</t>
  </si>
  <si>
    <t>ПС-110/35/10кВ Алексеевка</t>
  </si>
  <si>
    <t>ПС-110/35/10кВ Архангельское</t>
  </si>
  <si>
    <t>ПС-110/6кВ Белгород-1</t>
  </si>
  <si>
    <t>ПС-110/35/10кВ Борисовка</t>
  </si>
  <si>
    <t>ПС-110/35/10кВ В.Покровка</t>
  </si>
  <si>
    <t>ПС-110/35/10кВ Вейделевка</t>
  </si>
  <si>
    <t>ПС-110/6кВ Витаминный комбинат</t>
  </si>
  <si>
    <t>ПС-110/35/10кВ Волоконовка</t>
  </si>
  <si>
    <t>ПС-110/35/6кВ Восточная</t>
  </si>
  <si>
    <t>ПС-110/35/10кВ Грайворон</t>
  </si>
  <si>
    <t>ПС-110/10/6кВ Голофеевка</t>
  </si>
  <si>
    <t>ПС-110/10кВ Готня</t>
  </si>
  <si>
    <t>ПС-110/6кВ Донец</t>
  </si>
  <si>
    <t>ПС-110/10кВ Дубовое</t>
  </si>
  <si>
    <t>ПС-110/35/6кВ Журавлики</t>
  </si>
  <si>
    <t>ПС-110/10кВ Западная</t>
  </si>
  <si>
    <t>ПС-110/35/10кВ Ивня</t>
  </si>
  <si>
    <t>ПС-110/35/10кВ К.Гвардия</t>
  </si>
  <si>
    <t>ПС-110/35/10кВ Короча</t>
  </si>
  <si>
    <t>ПС-110/10/6кВ Казацкие  Бугры</t>
  </si>
  <si>
    <t>ПС-110/35/10кВ Красная  Яруга</t>
  </si>
  <si>
    <t>ПС-110/35/10кВ Максимовка</t>
  </si>
  <si>
    <t>ПС-110/35/10кВ Н.Оскол</t>
  </si>
  <si>
    <t>ПС-110/10кВ Обуховская</t>
  </si>
  <si>
    <t xml:space="preserve">ПС-110/6кВ Очистные </t>
  </si>
  <si>
    <t xml:space="preserve">ПС-110/10кВ Промышленная </t>
  </si>
  <si>
    <t>ПС-110/10кВ Птицефабрика</t>
  </si>
  <si>
    <t>ПС-110/10кВ Пушкарная</t>
  </si>
  <si>
    <t>ПС-110/35/10кВ Ракитное</t>
  </si>
  <si>
    <t>ПС-110/35/6кВ Рудник</t>
  </si>
  <si>
    <t>ПС-110/10кВ Северная</t>
  </si>
  <si>
    <t>ПС-110/35/10кВ Скородное</t>
  </si>
  <si>
    <t>ПС-110/35/6кВ Ст.Оскол - 1</t>
  </si>
  <si>
    <t>ПС-110/35/10кВ Стрелецкая</t>
  </si>
  <si>
    <t>ПС-110/6кВ Строитель</t>
  </si>
  <si>
    <t>ПС-110/35/10кВ Томаровка</t>
  </si>
  <si>
    <t>ПС-110/6кВ Хим. завод</t>
  </si>
  <si>
    <t xml:space="preserve">ПС-110/10кВ Центральная </t>
  </si>
  <si>
    <t>ПС-110/35/10кВ Черемошное</t>
  </si>
  <si>
    <t>ПС-110/35/10кВ Чернянка</t>
  </si>
  <si>
    <t>ПС-110/35/6кВ Шебекино</t>
  </si>
  <si>
    <t>ПС-110/10кВ Шеино</t>
  </si>
  <si>
    <t>ПС-110/35/6кВ Южная</t>
  </si>
  <si>
    <t>ПС-35/10кВ Алейниково</t>
  </si>
  <si>
    <t>ПС-35/10кВ Алексеевка (як.)</t>
  </si>
  <si>
    <t>ПС-35/10кВ Алексеевка (кор.)</t>
  </si>
  <si>
    <t>ПС-35/10кВ Анновка</t>
  </si>
  <si>
    <t>ПС-35/10кВ Артельное</t>
  </si>
  <si>
    <t>ПС-35/10кВ Б.Дворы</t>
  </si>
  <si>
    <t>ПС-35/10кВ Б.Ивановка</t>
  </si>
  <si>
    <t>ПС-35/10кВ Б.Колодезь</t>
  </si>
  <si>
    <t>ПС-35/10кВ Б.Плес</t>
  </si>
  <si>
    <t>ПС-35/10кВ Б.Троица</t>
  </si>
  <si>
    <t>ПС-35/10кВ Беловское</t>
  </si>
  <si>
    <t>ПС-35/10кВ Белянка</t>
  </si>
  <si>
    <t>ПС-35/10кВ Бессоновка</t>
  </si>
  <si>
    <t>ПС-35/10кВ В.Лубянки</t>
  </si>
  <si>
    <t>ПС-35/10кВ В.Михайловка</t>
  </si>
  <si>
    <t>ПС-35/10кВ Варваровка</t>
  </si>
  <si>
    <t>ПС-35/10кВ Венгеровка</t>
  </si>
  <si>
    <t>ПС-35/10кВ Верхопенье</t>
  </si>
  <si>
    <t>ПС-35/10кВ Викторополь</t>
  </si>
  <si>
    <t>ПС-35/10кВ Вислая  Дубрава</t>
  </si>
  <si>
    <t>ПС-35/10кВ Владимировка</t>
  </si>
  <si>
    <t>ПС-35/10кВ Водохранилище</t>
  </si>
  <si>
    <t>ПС-35/10кВ Всесвятка</t>
  </si>
  <si>
    <t>ПС-35/6кВ Восточная</t>
  </si>
  <si>
    <t>ПС-35/10кВ Глинное</t>
  </si>
  <si>
    <t>ПС-35/10кВ Головчино</t>
  </si>
  <si>
    <t>ПС-35/10кВ Гора-Подол</t>
  </si>
  <si>
    <t>ПС-35/10кВ Городище</t>
  </si>
  <si>
    <t>ПС-35/10кВ Дмитриевка</t>
  </si>
  <si>
    <t>ПС-35/10кВ Дорогощь</t>
  </si>
  <si>
    <t>ПС-35/10кВ Драгунка</t>
  </si>
  <si>
    <t>ПС-35/10кВ Журавлевка</t>
  </si>
  <si>
    <t>ПС-35/6кВ Журавлики</t>
  </si>
  <si>
    <t>ПС-35/10кВ Завидовка</t>
  </si>
  <si>
    <t>ПС-35/6кВ Западная</t>
  </si>
  <si>
    <t>ПС-35/10кВ Зозули</t>
  </si>
  <si>
    <t>ПС-35/10кВ Ивица</t>
  </si>
  <si>
    <t>ПС-35/10кВ Иловка</t>
  </si>
  <si>
    <t>ПС-35/10кВ Истобное</t>
  </si>
  <si>
    <t>ПС-35/10кВ Казацкая</t>
  </si>
  <si>
    <t>ПС-35/10кВ Казинка</t>
  </si>
  <si>
    <t>ПС-35/10кВ Камышеватое</t>
  </si>
  <si>
    <t>ПС-35/10кВ Кировская</t>
  </si>
  <si>
    <t>ПС-35/10кВ Котово</t>
  </si>
  <si>
    <t>ПС-35/10кВ Кочетовка</t>
  </si>
  <si>
    <t>ПС-35/10кВ Красное</t>
  </si>
  <si>
    <t>ПС-35/10кВ Кретово</t>
  </si>
  <si>
    <t>ПС-35/10кВ Курасовка</t>
  </si>
  <si>
    <t>ПС-35/6кВ Лебеди</t>
  </si>
  <si>
    <t>ПС-35/6кВ Ледовая</t>
  </si>
  <si>
    <t>ПС-35/10кВ Ливенка</t>
  </si>
  <si>
    <t>ПС-35/10кВ Лубяное</t>
  </si>
  <si>
    <t>ПС-35/10кВ М.Пристань</t>
  </si>
  <si>
    <t>ПС-35/10кВ М.Троица</t>
  </si>
  <si>
    <t>ПС-35/10кВ Малиновка</t>
  </si>
  <si>
    <t>ПС-35/10кВ Мандрово</t>
  </si>
  <si>
    <t>ПС-35/10кВ Мухоудеровка</t>
  </si>
  <si>
    <t>ПС-35/10кВ Н.Александровка</t>
  </si>
  <si>
    <t>ПС-35/10кВ Прелестное</t>
  </si>
  <si>
    <t>ПС-35/10кВ Н.Деревня</t>
  </si>
  <si>
    <t>ПС-35/10кВ Н.Таволжанка</t>
  </si>
  <si>
    <t>ПС-35/10кВ Н.Уколово</t>
  </si>
  <si>
    <t>ПС-35/10кВ Н.Хуторное</t>
  </si>
  <si>
    <t>ПС-35/10кВ Неминущее</t>
  </si>
  <si>
    <t>ПС-35/10кВ Нечаевка</t>
  </si>
  <si>
    <t>ПС-35/10кВ Никитовка</t>
  </si>
  <si>
    <t>ПС-35/10кВ Новенькое</t>
  </si>
  <si>
    <t>ПС-35/10кВ Октябрская</t>
  </si>
  <si>
    <t>ПС-35/10кВ Орлик</t>
  </si>
  <si>
    <t>ПС-35/10кВ Подольхи</t>
  </si>
  <si>
    <t>ПС-35/10кВ Поповка</t>
  </si>
  <si>
    <t>ПС-35/6кВ Привокзальная</t>
  </si>
  <si>
    <t>ПС-35/10кВ Прилепы</t>
  </si>
  <si>
    <t>ПС-35/10кВ Сапрыкино</t>
  </si>
  <si>
    <t>ПС-35/10кВ Принцевка</t>
  </si>
  <si>
    <t>ПС-35/10кВ Радьковка</t>
  </si>
  <si>
    <t>ПС-35/10кВ Раздорное</t>
  </si>
  <si>
    <t>ПС-35/10кВ Репяховка</t>
  </si>
  <si>
    <t>ПС-35/10кВ Ржевка</t>
  </si>
  <si>
    <t>ПС-35/10кВ Ровеньки</t>
  </si>
  <si>
    <t>ПС-35/10кВ Роговатое</t>
  </si>
  <si>
    <t>ПС-35/6кВ Северная</t>
  </si>
  <si>
    <t>ПС-35/10кВ Сетище</t>
  </si>
  <si>
    <t>ПС-35/10кВ Слоновка</t>
  </si>
  <si>
    <t>ПС-35/6кВ Ст.Оскол -2</t>
  </si>
  <si>
    <t>ПС-35/10кВ Стариково</t>
  </si>
  <si>
    <t>ПС-35/10кВ Таврово</t>
  </si>
  <si>
    <t>ПС-35/10кВ Теребрино</t>
  </si>
  <si>
    <t>ПС-35/10кВ Уразово</t>
  </si>
  <si>
    <t>ПС-35/10кВ Уточка</t>
  </si>
  <si>
    <t>ПС-35/6кВ Федосеевка</t>
  </si>
  <si>
    <t>ПС-35/10кВ Фощеватво</t>
  </si>
  <si>
    <t>ПС-35/10кВ Холодное</t>
  </si>
  <si>
    <t>ПС-35/6кВ Чернянский  сах. завод</t>
  </si>
  <si>
    <t>ПС-35/10кВ Шаталовка</t>
  </si>
  <si>
    <t>ПС-35/10кВ Шаховка</t>
  </si>
  <si>
    <t>ПС-35/10кВ Шишино</t>
  </si>
  <si>
    <t>ПС-35/10кВ Яблоново</t>
  </si>
  <si>
    <t>ПС-35/10кВ Ярское</t>
  </si>
  <si>
    <t>Таблица 1</t>
  </si>
  <si>
    <t>ИТОГО:</t>
  </si>
  <si>
    <t>дефицит</t>
  </si>
  <si>
    <t>профицит</t>
  </si>
  <si>
    <t>16+8</t>
  </si>
  <si>
    <t>ПС-110/10/6кВ Южная</t>
  </si>
  <si>
    <t>Sн. CН, МВА</t>
  </si>
  <si>
    <t>Дополнительная мощность по выданным ТУ на ТП, МВА</t>
  </si>
  <si>
    <t>Ожидаемая нагрузка ЦП, МВА</t>
  </si>
  <si>
    <t>мин.</t>
  </si>
  <si>
    <t>Ожидаемый дефицит /профицит</t>
  </si>
  <si>
    <t>Таблица 2</t>
  </si>
  <si>
    <t>Ровеньки-110</t>
  </si>
  <si>
    <t>ПС-35/10кВ Харьковская</t>
  </si>
  <si>
    <t>4+6,3</t>
  </si>
  <si>
    <t>25+25+25</t>
  </si>
  <si>
    <t>16+16+16</t>
  </si>
  <si>
    <t>P</t>
  </si>
  <si>
    <t>Q</t>
  </si>
  <si>
    <t>ПС-110/35/10кВ Майская</t>
  </si>
  <si>
    <t>ПС-110/10/10кВ Майская</t>
  </si>
  <si>
    <t>ПС-110/10кВ Крапивенская</t>
  </si>
  <si>
    <t>ПС-35/0,4кВ Юбилейная</t>
  </si>
  <si>
    <t>1,6+1,6</t>
  </si>
  <si>
    <t>ПС-35/0,4кВ Рождественская</t>
  </si>
  <si>
    <t>Расчёт пропускной способности Центров питания филиала ОАО "МРСК Центра"- "Белгородэнерго" по итогам зимнего замера максимума нагрузки 2010г.</t>
  </si>
  <si>
    <t>Расчёт пропускной способности Центров питания филиала ОАО "МРСК Центра"- "Белгородэнерго" по итогам зимнего замера максимума нагрузки 2010 г.</t>
  </si>
  <si>
    <t>ПС-110/10/6кВ Пищепром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</si>
  <si>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</si>
  <si>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</si>
  <si>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</si>
  <si>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</si>
  <si>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</si>
  <si>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</si>
  <si>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MVA</t>
  </si>
  <si>
    <t>Min</t>
  </si>
  <si>
    <t>Installed power capacity of transformers Sinst. including their number, pcs/ MVA</t>
  </si>
  <si>
    <t>Note</t>
  </si>
  <si>
    <t>Current deficit</t>
  </si>
  <si>
    <t>No.</t>
  </si>
  <si>
    <t>Name of supply center, voltage class</t>
  </si>
  <si>
    <t>One-transformer substations</t>
  </si>
  <si>
    <t>Expected deficit/proficit</t>
  </si>
  <si>
    <t>Additional capacity according to provided technical specifications at TS, MVA</t>
  </si>
  <si>
    <t>Expected load of Supply Center, MVA</t>
  </si>
  <si>
    <t>SS-110/35/10kV D.Polyana</t>
  </si>
  <si>
    <t>S nom MV, МVА</t>
  </si>
  <si>
    <t>S nom LV, МVА</t>
  </si>
  <si>
    <t>SS-110/35/10kV Konshino</t>
  </si>
  <si>
    <t>SS-110/35/10kV Orositelnaya</t>
  </si>
  <si>
    <t>SS-110/35/10kV Rovenki</t>
  </si>
  <si>
    <t>SS-110/35/10kV Serebryanka</t>
  </si>
  <si>
    <t>S nom LV, MVА</t>
  </si>
  <si>
    <t>SS-35/10kV Afanasyevka</t>
  </si>
  <si>
    <t>SS-35/10kV Borisovka</t>
  </si>
  <si>
    <t>SS-35/10kV Borisy</t>
  </si>
  <si>
    <t>SS-35/10kV Gostishchevo</t>
  </si>
  <si>
    <t>SS-35/10kV Gruzskoe</t>
  </si>
  <si>
    <t>SS-35/10kV Zemsnaryad</t>
  </si>
  <si>
    <t>SS-35/10kV Kazachya Lisitsa</t>
  </si>
  <si>
    <t>SS-35/10kV Kamyzino</t>
  </si>
  <si>
    <t>SS-35/10kV Koloskovo</t>
  </si>
  <si>
    <t>SS-35/10jkV Kryukovo</t>
  </si>
  <si>
    <t>SS-35/10kV Kushchino</t>
  </si>
  <si>
    <t>SS-35/10kV Lopukhinka</t>
  </si>
  <si>
    <t>SS-35/10kV Malakeevo</t>
  </si>
  <si>
    <t>SS-35/10kV Murom</t>
  </si>
  <si>
    <t>SS-35/10kV Nikolaevka</t>
  </si>
  <si>
    <t>SS-35/10kV Nikolskoe</t>
  </si>
  <si>
    <t>SS-35/10kV Pokrovka</t>
  </si>
  <si>
    <t>SS-35/10kV Pyatnitskoe</t>
  </si>
  <si>
    <t>SS-35/10kV Sugar plant Ivnya</t>
  </si>
  <si>
    <t>SS-35/10kV Svistovka</t>
  </si>
  <si>
    <t>SS-35/10kV sovkhoz "Urazovsky"</t>
  </si>
  <si>
    <t>SS-35/10kV Kharkovskaya</t>
  </si>
  <si>
    <t>Two- and more transformer substations</t>
  </si>
  <si>
    <t>SS-110/6kV Automobile maintenance plant</t>
  </si>
  <si>
    <t>SS-110/35/10kV Aydar</t>
  </si>
  <si>
    <t>SS-110/35/10kV Alexandrovka</t>
  </si>
  <si>
    <t>SS-110/35/10kV Alexeevka</t>
  </si>
  <si>
    <t>SS-110/35/10kV Arkhangelskoe</t>
  </si>
  <si>
    <t>SS-110/6kV Belgorod-1</t>
  </si>
  <si>
    <t>SS-110/35/10kV Borisovka</t>
  </si>
  <si>
    <t>SS-110/35/10kV V.Pokrovka</t>
  </si>
  <si>
    <t>SS-110/35/10kV Veydelevka</t>
  </si>
  <si>
    <t>SS-110/6kV Vitamin plant</t>
  </si>
  <si>
    <t>SS-110/35/10kV Volokonovka</t>
  </si>
  <si>
    <t>SS-110/35/6kV Vostochnaya</t>
  </si>
  <si>
    <t>SS-110/10/6kV Golofeevka</t>
  </si>
  <si>
    <t>SS-110/10kV Gotnya</t>
  </si>
  <si>
    <t>SS-110/35/10kV Grayvoron</t>
  </si>
  <si>
    <t>SS-110/6kV Donets</t>
  </si>
  <si>
    <t>SS-110/10kV Dubovoe</t>
  </si>
  <si>
    <t>SS-110/35/6kV Zhuravliki</t>
  </si>
  <si>
    <t>SS-110/10kV Zapadnaya</t>
  </si>
  <si>
    <t>SS-110/35/10kV Ivnya</t>
  </si>
  <si>
    <t>SS-110/35/10kV K.Gvardiya</t>
  </si>
  <si>
    <t>SS-110/10/6kV Kazatskie Bugry</t>
  </si>
  <si>
    <t>SS-110/35/10kV Korocha</t>
  </si>
  <si>
    <t>SS-110/10kV Krapivenskaya</t>
  </si>
  <si>
    <t>SS-110/35/10kV Krasnaya Yaruga</t>
  </si>
  <si>
    <t>SS-110/10/10kV Mayskaya</t>
  </si>
  <si>
    <t>SS-110/35/10kV Maximovka</t>
  </si>
  <si>
    <t>SS-110/35/10kV N.Oskol</t>
  </si>
  <si>
    <t>SS-110/10kV Obukhovskaya</t>
  </si>
  <si>
    <t>SS-110/6kV Ochistnye</t>
  </si>
  <si>
    <t>SS-110/35/6kV Pishcheprom</t>
  </si>
  <si>
    <t>SS-110/10kV Promyshlennaya</t>
  </si>
  <si>
    <t>SS-110/10kV Poultry plant</t>
  </si>
  <si>
    <t>SS-110/10kV Pushkarnaya</t>
  </si>
  <si>
    <t>SS-110/35/10kV Rakitnoe</t>
  </si>
  <si>
    <t>SS-110/35/6kV Rudnik</t>
  </si>
  <si>
    <t>SS-110/10kV Severnaya</t>
  </si>
  <si>
    <t>SS-110/35/10kV Skorodnoe</t>
  </si>
  <si>
    <t>SS-110/35/6kV St.Oskol - 1</t>
  </si>
  <si>
    <t>SS-110/35/10kV Streletskaya</t>
  </si>
  <si>
    <t>SS-110/6kV Stroitel</t>
  </si>
  <si>
    <t>SS-110/35/10kV Tomarovka</t>
  </si>
  <si>
    <t>SS-110/6kV Chemical plant</t>
  </si>
  <si>
    <t>SS-110/10kV Tsentralnaya</t>
  </si>
  <si>
    <t>SS-110/35/10kV Cheremoshnoe</t>
  </si>
  <si>
    <t>SS-110/35/10kV Chernyanka</t>
  </si>
  <si>
    <t>SS-110/35/6kV Shebekino</t>
  </si>
  <si>
    <t>SS-110/10kV Sheino</t>
  </si>
  <si>
    <t>SS-110/10/6kV Yuzhnaya</t>
  </si>
  <si>
    <t>TOTAL:</t>
  </si>
  <si>
    <t>deficit</t>
  </si>
  <si>
    <t>proficit</t>
  </si>
  <si>
    <t>SS-35/10kV Aleynikovo</t>
  </si>
  <si>
    <t>SS-35/10kV Alexeevka (yak.)</t>
  </si>
  <si>
    <t>SS-35/10kV Alexeevka (kor.)</t>
  </si>
  <si>
    <t>SS-35/10kV Annovka</t>
  </si>
  <si>
    <t>SS-35/10kV Artelnoe</t>
  </si>
  <si>
    <t>SS-35/10kV B.Dvory</t>
  </si>
  <si>
    <t>SS-35/10kV B.Ivanovka</t>
  </si>
  <si>
    <t>SS-35/10kV B.Kolodez</t>
  </si>
  <si>
    <t>SS-35/10kV B.Ples</t>
  </si>
  <si>
    <t>SS-35/10kV B.Troitsa</t>
  </si>
  <si>
    <t>SS-35/10kV Belovskoe</t>
  </si>
  <si>
    <t>SS-35/10kV Belyanka</t>
  </si>
  <si>
    <t>SS-35/10kV Bessonovka</t>
  </si>
  <si>
    <t>SS-35/10kV B.Lubyanki</t>
  </si>
  <si>
    <t>SS-35/10kV V.Mikhailovka</t>
  </si>
  <si>
    <t>SS-35/10kV Varvarovka</t>
  </si>
  <si>
    <t>SS-35/10kV Vengerovka</t>
  </si>
  <si>
    <t>SS-35/10kV Verkhopenye</t>
  </si>
  <si>
    <t>SS-35/10kV Viktoropol</t>
  </si>
  <si>
    <t>SS-35/10kV Vislaya Dubrava</t>
  </si>
  <si>
    <t>SS-35/10kV Vladimirovka</t>
  </si>
  <si>
    <t>SS-35/10kV Water storage</t>
  </si>
  <si>
    <t>SS-35/6kV Vostochnaya</t>
  </si>
  <si>
    <t>SS-35/10kV Vsesvyatka</t>
  </si>
  <si>
    <t>SS-35/10kV Glinnoe</t>
  </si>
  <si>
    <t>SS-35/10kV Golovchino</t>
  </si>
  <si>
    <t>SS-35/10kV Gora-Podol</t>
  </si>
  <si>
    <t>SS-35/10kV Gorodishche</t>
  </si>
  <si>
    <t>SS-35/10kV Dmitrievka</t>
  </si>
  <si>
    <t>SS-35/10kV Dorogoshch</t>
  </si>
  <si>
    <t>SS-35/10kV Dragunka</t>
  </si>
  <si>
    <t>SS-35/10kV Zhuravlevka</t>
  </si>
  <si>
    <t>SS-35/6kV Zhuravliki</t>
  </si>
  <si>
    <t>SS-35/10kV Zavidovka</t>
  </si>
  <si>
    <t>SS-35/6kV Zapadnaya</t>
  </si>
  <si>
    <t>SS-35/10kV Zozuli</t>
  </si>
  <si>
    <t>SS-35/10kV Ivitsa</t>
  </si>
  <si>
    <t>SS-35/10kV Ilovka</t>
  </si>
  <si>
    <t>SS-35/10kV Istobnoe</t>
  </si>
  <si>
    <t>SS-35/10kV Kazatskaya</t>
  </si>
  <si>
    <t>SS-35/10kV Kazinka</t>
  </si>
  <si>
    <t>SS-35/10kV Kamyshevatoe</t>
  </si>
  <si>
    <t>SS-35/10kV Kirovskaya</t>
  </si>
  <si>
    <t>SS-35/10kV Kotovo</t>
  </si>
  <si>
    <t>SS-35/10kV Kochetovka</t>
  </si>
  <si>
    <t>SS-35/10kV Krasnoe</t>
  </si>
  <si>
    <t>SS-35/10kV Kretovo</t>
  </si>
  <si>
    <t>SS-35/10kV Kurasovka</t>
  </si>
  <si>
    <t>SS-35/6kV Lebedi</t>
  </si>
  <si>
    <t>SS-35/6kV Ledovaya</t>
  </si>
  <si>
    <t>SS-35/10kV Livenka</t>
  </si>
  <si>
    <t>SS-35/10kV Lubyanoe</t>
  </si>
  <si>
    <t>SS-35/10kV M.Pristan</t>
  </si>
  <si>
    <t>SS-35/10kV М.Troitsa</t>
  </si>
  <si>
    <t>SS-35/10kV Malinovka</t>
  </si>
  <si>
    <t>SS-35/10kV Mandrovo</t>
  </si>
  <si>
    <t>SS-35/10kV Mukhouderovka</t>
  </si>
  <si>
    <t>SS-35/10kV N.Alexandrovka</t>
  </si>
  <si>
    <t>SS-35/10kV N.Derevnya</t>
  </si>
  <si>
    <t>SS-35/10kV N.Tavolzhanka</t>
  </si>
  <si>
    <t>SS-35/10kV N.Ukolovo</t>
  </si>
  <si>
    <t>SS-35/10kV N.Khutornoe</t>
  </si>
  <si>
    <t>SS-35/10kV Neminushchee</t>
  </si>
  <si>
    <t>SS-35/10kV Nechaevka</t>
  </si>
  <si>
    <t>SS-35/10kV Nikitovka</t>
  </si>
  <si>
    <t>SS-35/10kV Novenkoe</t>
  </si>
  <si>
    <t>SS-35/10kV Oktyabrskaya</t>
  </si>
  <si>
    <t>SS-35/10kV Orlik</t>
  </si>
  <si>
    <t>SS-35/10kV Podolkhi</t>
  </si>
  <si>
    <t>SS-35/10kV Popovka</t>
  </si>
  <si>
    <t>SS-35/10kV Prelestnoe</t>
  </si>
  <si>
    <t>SS-35/6kV Privokzalnaya</t>
  </si>
  <si>
    <t>SS-35/10kV Prilepy</t>
  </si>
  <si>
    <t>SS-35/10kV Printsevka</t>
  </si>
  <si>
    <t>SS-35/10kV Radkovka</t>
  </si>
  <si>
    <t>SS-35/10kV Razdornoe</t>
  </si>
  <si>
    <t>SS-35/10kV Repyakhovka</t>
  </si>
  <si>
    <t>SS-35/10kV Rzhevka</t>
  </si>
  <si>
    <t>SS-35/10kV Rovenki</t>
  </si>
  <si>
    <t>SS-35/10kV Rogovatoe</t>
  </si>
  <si>
    <t xml:space="preserve">SS-35/0,4kV Rozhdestvenskaya </t>
  </si>
  <si>
    <t>SS-35/10kV Saprykino</t>
  </si>
  <si>
    <t>SS-35/6kV Severnaya</t>
  </si>
  <si>
    <t>SS-35/10kV Setishche</t>
  </si>
  <si>
    <t>SS-35/10kV Slonovka</t>
  </si>
  <si>
    <t>SS-35/6kV St.Oskol -2</t>
  </si>
  <si>
    <t>SS-35/10kV Starikovo</t>
  </si>
  <si>
    <t>SS-35/10kV Tavrovo</t>
  </si>
  <si>
    <t>SS-35/10kV Terebrino</t>
  </si>
  <si>
    <t>SS-35/10kV Urazovo</t>
  </si>
  <si>
    <t>SS-35/10kV Utochka</t>
  </si>
  <si>
    <t>SS-35/6kV Fedoseevka</t>
  </si>
  <si>
    <t>SS-35/10kV Foshchevatvo</t>
  </si>
  <si>
    <t>SS-35/10kV Kholodnoe</t>
  </si>
  <si>
    <t>SS-35/6kV Chernyansky sugar plant</t>
  </si>
  <si>
    <t>SS-35/10kV Tserkovnaya</t>
  </si>
  <si>
    <t>SS-35/10kV Shatalovka</t>
  </si>
  <si>
    <t>SS-35/10kV Shakhovka</t>
  </si>
  <si>
    <t>SS-35/10kV Shishino</t>
  </si>
  <si>
    <t>SS-35/0,4kV Yubileynaya</t>
  </si>
  <si>
    <t>SS-35/10kV Yablonovo</t>
  </si>
  <si>
    <t>SS-35/10kV Yarskoe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</si>
</sst>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Calibri"/>
      <family val="2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6"/>
      <color indexed="56"/>
      <name val="Times New Roman"/>
      <family val="1"/>
    </font>
    <font>
      <b/>
      <sz val="20"/>
      <color indexed="30"/>
      <name val="Times New Roman"/>
      <family val="1"/>
    </font>
    <font>
      <b/>
      <sz val="48"/>
      <color indexed="8"/>
      <name val="Times New Roman"/>
      <family val="1"/>
    </font>
    <font>
      <i/>
      <sz val="8"/>
      <name val="Calibri"/>
      <family val="2"/>
    </font>
    <font>
      <sz val="12"/>
      <name val="Times New Roman"/>
      <family val="1"/>
    </font>
    <font>
      <sz val="15"/>
      <name val="Calibri"/>
      <family val="2"/>
    </font>
    <font>
      <i/>
      <sz val="15"/>
      <color indexed="8"/>
      <name val="Times New Roman"/>
      <family val="1"/>
    </font>
    <font>
      <i/>
      <sz val="15"/>
      <color indexed="8"/>
      <name val="Calibri"/>
      <family val="2"/>
    </font>
    <font>
      <b/>
      <i/>
      <sz val="48"/>
      <color indexed="8"/>
      <name val="Times New Roman"/>
      <family val="1"/>
    </font>
    <font>
      <i/>
      <sz val="11"/>
      <color indexed="8"/>
      <name val="Calibri"/>
      <family val="2"/>
    </font>
    <font>
      <i/>
      <sz val="15"/>
      <name val="Times New Roman"/>
      <family val="1"/>
    </font>
    <font>
      <i/>
      <sz val="15"/>
      <name val="Calibri"/>
      <family val="2"/>
    </font>
    <font>
      <i/>
      <sz val="15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medium"/>
      <bottom style="medium"/>
    </border>
    <border>
      <left style="thin"/>
      <right style="thin"/>
      <top style="double"/>
      <bottom/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/>
    </border>
    <border>
      <left style="thin"/>
      <right style="thin"/>
      <top style="medium"/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3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64" fontId="8" fillId="0" borderId="3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165" fontId="8" fillId="0" borderId="36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left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0" fillId="0" borderId="37" xfId="0" applyNumberForma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165" fontId="12" fillId="0" borderId="0" xfId="0" applyNumberFormat="1" applyFont="1" applyFill="1" applyAlignment="1">
      <alignment/>
    </xf>
    <xf numFmtId="164" fontId="1" fillId="24" borderId="0" xfId="0" applyNumberFormat="1" applyFont="1" applyFill="1" applyAlignment="1">
      <alignment/>
    </xf>
    <xf numFmtId="0" fontId="3" fillId="24" borderId="13" xfId="0" applyFont="1" applyFill="1" applyBorder="1" applyAlignment="1">
      <alignment horizontal="center" vertical="top" wrapText="1"/>
    </xf>
    <xf numFmtId="0" fontId="0" fillId="24" borderId="37" xfId="0" applyFill="1" applyBorder="1" applyAlignment="1">
      <alignment vertical="center"/>
    </xf>
    <xf numFmtId="164" fontId="4" fillId="24" borderId="12" xfId="0" applyNumberFormat="1" applyFont="1" applyFill="1" applyBorder="1" applyAlignment="1">
      <alignment horizontal="center" vertical="center" wrapText="1"/>
    </xf>
    <xf numFmtId="164" fontId="3" fillId="24" borderId="17" xfId="0" applyNumberFormat="1" applyFont="1" applyFill="1" applyBorder="1" applyAlignment="1">
      <alignment horizontal="center" vertical="center"/>
    </xf>
    <xf numFmtId="164" fontId="8" fillId="24" borderId="36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right"/>
    </xf>
    <xf numFmtId="164" fontId="7" fillId="24" borderId="11" xfId="0" applyNumberFormat="1" applyFont="1" applyFill="1" applyBorder="1" applyAlignment="1">
      <alignment horizontal="right"/>
    </xf>
    <xf numFmtId="164" fontId="1" fillId="24" borderId="0" xfId="0" applyNumberFormat="1" applyFont="1" applyFill="1" applyAlignment="1">
      <alignment horizontal="left"/>
    </xf>
    <xf numFmtId="0" fontId="1" fillId="24" borderId="0" xfId="0" applyFont="1" applyFill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/>
    </xf>
    <xf numFmtId="164" fontId="7" fillId="24" borderId="11" xfId="0" applyNumberFormat="1" applyFont="1" applyFill="1" applyBorder="1" applyAlignment="1">
      <alignment horizontal="left"/>
    </xf>
    <xf numFmtId="0" fontId="1" fillId="24" borderId="0" xfId="0" applyFont="1" applyFill="1" applyAlignment="1">
      <alignment horizontal="left"/>
    </xf>
    <xf numFmtId="164" fontId="6" fillId="0" borderId="36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164" fontId="3" fillId="24" borderId="10" xfId="0" applyNumberFormat="1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/>
    </xf>
    <xf numFmtId="0" fontId="3" fillId="24" borderId="17" xfId="0" applyNumberFormat="1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24" borderId="39" xfId="0" applyFont="1" applyFill="1" applyBorder="1" applyAlignment="1">
      <alignment horizontal="center" vertical="top" wrapText="1"/>
    </xf>
    <xf numFmtId="164" fontId="3" fillId="24" borderId="27" xfId="0" applyNumberFormat="1" applyFont="1" applyFill="1" applyBorder="1" applyAlignment="1">
      <alignment horizontal="center" vertical="top" wrapText="1"/>
    </xf>
    <xf numFmtId="0" fontId="13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40" xfId="0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165" fontId="8" fillId="24" borderId="36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top" wrapText="1"/>
    </xf>
    <xf numFmtId="0" fontId="13" fillId="24" borderId="22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top" wrapText="1"/>
    </xf>
    <xf numFmtId="16" fontId="3" fillId="24" borderId="10" xfId="0" applyNumberFormat="1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left" vertical="center"/>
    </xf>
    <xf numFmtId="0" fontId="4" fillId="19" borderId="34" xfId="0" applyFont="1" applyFill="1" applyBorder="1" applyAlignment="1">
      <alignment horizontal="left" vertical="center"/>
    </xf>
    <xf numFmtId="0" fontId="4" fillId="19" borderId="17" xfId="0" applyFont="1" applyFill="1" applyBorder="1" applyAlignment="1">
      <alignment horizontal="left" vertical="center"/>
    </xf>
    <xf numFmtId="0" fontId="4" fillId="19" borderId="10" xfId="0" applyFont="1" applyFill="1" applyBorder="1" applyAlignment="1">
      <alignment horizontal="left" vertical="center"/>
    </xf>
    <xf numFmtId="0" fontId="4" fillId="19" borderId="16" xfId="0" applyFont="1" applyFill="1" applyBorder="1" applyAlignment="1">
      <alignment horizontal="left" vertical="center"/>
    </xf>
    <xf numFmtId="0" fontId="4" fillId="19" borderId="17" xfId="0" applyFont="1" applyFill="1" applyBorder="1" applyAlignment="1">
      <alignment horizontal="left" vertical="center" wrapText="1"/>
    </xf>
    <xf numFmtId="164" fontId="4" fillId="19" borderId="12" xfId="0" applyNumberFormat="1" applyFont="1" applyFill="1" applyBorder="1" applyAlignment="1">
      <alignment horizontal="center" vertical="center" wrapText="1"/>
    </xf>
    <xf numFmtId="164" fontId="3" fillId="19" borderId="10" xfId="0" applyNumberFormat="1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/>
    </xf>
    <xf numFmtId="1" fontId="3" fillId="25" borderId="10" xfId="0" applyNumberFormat="1" applyFont="1" applyFill="1" applyBorder="1" applyAlignment="1">
      <alignment horizontal="center" vertical="center"/>
    </xf>
    <xf numFmtId="2" fontId="3" fillId="25" borderId="17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left" vertical="center" wrapText="1"/>
    </xf>
    <xf numFmtId="0" fontId="4" fillId="19" borderId="33" xfId="0" applyFont="1" applyFill="1" applyBorder="1" applyAlignment="1">
      <alignment horizontal="center" vertical="center"/>
    </xf>
    <xf numFmtId="0" fontId="4" fillId="19" borderId="34" xfId="0" applyFont="1" applyFill="1" applyBorder="1" applyAlignment="1">
      <alignment horizontal="center" vertical="center"/>
    </xf>
    <xf numFmtId="164" fontId="4" fillId="19" borderId="17" xfId="0" applyNumberFormat="1" applyFont="1" applyFill="1" applyBorder="1" applyAlignment="1">
      <alignment horizontal="center" vertical="center"/>
    </xf>
    <xf numFmtId="2" fontId="4" fillId="19" borderId="34" xfId="0" applyNumberFormat="1" applyFont="1" applyFill="1" applyBorder="1" applyAlignment="1">
      <alignment horizontal="center" vertical="center" wrapText="1"/>
    </xf>
    <xf numFmtId="2" fontId="4" fillId="19" borderId="34" xfId="0" applyNumberFormat="1" applyFont="1" applyFill="1" applyBorder="1" applyAlignment="1">
      <alignment horizontal="center" vertical="center"/>
    </xf>
    <xf numFmtId="164" fontId="4" fillId="19" borderId="34" xfId="0" applyNumberFormat="1" applyFont="1" applyFill="1" applyBorder="1" applyAlignment="1">
      <alignment horizontal="center" vertical="center"/>
    </xf>
    <xf numFmtId="0" fontId="4" fillId="19" borderId="35" xfId="0" applyFont="1" applyFill="1" applyBorder="1" applyAlignment="1">
      <alignment horizontal="center" vertical="center"/>
    </xf>
    <xf numFmtId="0" fontId="15" fillId="19" borderId="0" xfId="0" applyFont="1" applyFill="1" applyAlignment="1">
      <alignment vertical="center"/>
    </xf>
    <xf numFmtId="0" fontId="3" fillId="19" borderId="16" xfId="0" applyFont="1" applyFill="1" applyBorder="1" applyAlignment="1">
      <alignment horizontal="center" vertical="center"/>
    </xf>
    <xf numFmtId="2" fontId="3" fillId="19" borderId="16" xfId="0" applyNumberFormat="1" applyFont="1" applyFill="1" applyBorder="1" applyAlignment="1">
      <alignment horizontal="center" vertical="center"/>
    </xf>
    <xf numFmtId="1" fontId="3" fillId="19" borderId="16" xfId="0" applyNumberFormat="1" applyFont="1" applyFill="1" applyBorder="1" applyAlignment="1">
      <alignment horizontal="center" vertical="center"/>
    </xf>
    <xf numFmtId="0" fontId="3" fillId="19" borderId="17" xfId="0" applyNumberFormat="1" applyFont="1" applyFill="1" applyBorder="1" applyAlignment="1">
      <alignment horizontal="center" vertical="center"/>
    </xf>
    <xf numFmtId="164" fontId="3" fillId="19" borderId="17" xfId="0" applyNumberFormat="1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/>
    </xf>
    <xf numFmtId="0" fontId="1" fillId="19" borderId="0" xfId="0" applyFont="1" applyFill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164" fontId="4" fillId="24" borderId="17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16" fillId="0" borderId="36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4" fillId="19" borderId="30" xfId="0" applyFont="1" applyFill="1" applyBorder="1" applyAlignment="1">
      <alignment horizontal="left" vertical="center"/>
    </xf>
    <xf numFmtId="0" fontId="4" fillId="19" borderId="11" xfId="0" applyFont="1" applyFill="1" applyBorder="1" applyAlignment="1">
      <alignment horizontal="left" vertical="center"/>
    </xf>
    <xf numFmtId="0" fontId="3" fillId="17" borderId="15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left" vertical="center"/>
    </xf>
    <xf numFmtId="0" fontId="4" fillId="17" borderId="10" xfId="0" applyFont="1" applyFill="1" applyBorder="1" applyAlignment="1">
      <alignment horizontal="center" vertical="center"/>
    </xf>
    <xf numFmtId="164" fontId="3" fillId="17" borderId="17" xfId="0" applyNumberFormat="1" applyFont="1" applyFill="1" applyBorder="1" applyAlignment="1">
      <alignment horizontal="center" vertical="center"/>
    </xf>
    <xf numFmtId="2" fontId="4" fillId="17" borderId="10" xfId="0" applyNumberFormat="1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/>
    </xf>
    <xf numFmtId="2" fontId="3" fillId="17" borderId="10" xfId="0" applyNumberFormat="1" applyFont="1" applyFill="1" applyBorder="1" applyAlignment="1">
      <alignment horizontal="center" vertical="center"/>
    </xf>
    <xf numFmtId="2" fontId="3" fillId="17" borderId="17" xfId="0" applyNumberFormat="1" applyFont="1" applyFill="1" applyBorder="1" applyAlignment="1">
      <alignment horizontal="center" vertical="center"/>
    </xf>
    <xf numFmtId="164" fontId="3" fillId="17" borderId="10" xfId="0" applyNumberFormat="1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 vertical="center"/>
    </xf>
    <xf numFmtId="0" fontId="1" fillId="17" borderId="0" xfId="0" applyFont="1" applyFill="1" applyAlignment="1">
      <alignment vertical="center"/>
    </xf>
    <xf numFmtId="0" fontId="3" fillId="17" borderId="29" xfId="0" applyFont="1" applyFill="1" applyBorder="1" applyAlignment="1">
      <alignment horizontal="center" vertical="center"/>
    </xf>
    <xf numFmtId="0" fontId="4" fillId="17" borderId="30" xfId="0" applyFont="1" applyFill="1" applyBorder="1" applyAlignment="1">
      <alignment horizontal="left" vertical="center"/>
    </xf>
    <xf numFmtId="0" fontId="4" fillId="17" borderId="30" xfId="0" applyFont="1" applyFill="1" applyBorder="1" applyAlignment="1">
      <alignment horizontal="center" vertical="center"/>
    </xf>
    <xf numFmtId="2" fontId="4" fillId="17" borderId="30" xfId="0" applyNumberFormat="1" applyFont="1" applyFill="1" applyBorder="1" applyAlignment="1">
      <alignment horizontal="center" vertical="center" wrapText="1"/>
    </xf>
    <xf numFmtId="0" fontId="3" fillId="17" borderId="30" xfId="0" applyFont="1" applyFill="1" applyBorder="1" applyAlignment="1">
      <alignment horizontal="center" vertical="center"/>
    </xf>
    <xf numFmtId="2" fontId="3" fillId="17" borderId="30" xfId="0" applyNumberFormat="1" applyFont="1" applyFill="1" applyBorder="1" applyAlignment="1">
      <alignment horizontal="center" vertical="center"/>
    </xf>
    <xf numFmtId="2" fontId="3" fillId="17" borderId="31" xfId="0" applyNumberFormat="1" applyFont="1" applyFill="1" applyBorder="1" applyAlignment="1">
      <alignment horizontal="center" vertical="center"/>
    </xf>
    <xf numFmtId="164" fontId="3" fillId="17" borderId="30" xfId="0" applyNumberFormat="1" applyFont="1" applyFill="1" applyBorder="1" applyAlignment="1">
      <alignment horizontal="center" vertical="center"/>
    </xf>
    <xf numFmtId="0" fontId="3" fillId="17" borderId="3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 vertical="top" wrapText="1"/>
    </xf>
    <xf numFmtId="0" fontId="17" fillId="0" borderId="40" xfId="0" applyFont="1" applyFill="1" applyBorder="1" applyAlignment="1">
      <alignment horizontal="center" vertical="top" wrapText="1"/>
    </xf>
    <xf numFmtId="2" fontId="17" fillId="0" borderId="13" xfId="0" applyNumberFormat="1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horizontal="center"/>
    </xf>
    <xf numFmtId="0" fontId="17" fillId="0" borderId="18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2" fontId="20" fillId="0" borderId="37" xfId="0" applyNumberFormat="1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2" fontId="21" fillId="0" borderId="30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2" fontId="17" fillId="0" borderId="30" xfId="0" applyNumberFormat="1" applyFont="1" applyFill="1" applyBorder="1" applyAlignment="1">
      <alignment horizontal="center" vertical="center"/>
    </xf>
    <xf numFmtId="2" fontId="17" fillId="0" borderId="31" xfId="0" applyNumberFormat="1" applyFont="1" applyFill="1" applyBorder="1" applyAlignment="1">
      <alignment horizontal="center" vertical="center"/>
    </xf>
    <xf numFmtId="164" fontId="17" fillId="0" borderId="30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2" fontId="21" fillId="0" borderId="30" xfId="0" applyNumberFormat="1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2" fontId="21" fillId="0" borderId="34" xfId="0" applyNumberFormat="1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/>
    </xf>
    <xf numFmtId="2" fontId="17" fillId="0" borderId="34" xfId="0" applyNumberFormat="1" applyFont="1" applyFill="1" applyBorder="1" applyAlignment="1">
      <alignment horizontal="center" vertical="center"/>
    </xf>
    <xf numFmtId="164" fontId="17" fillId="0" borderId="34" xfId="0" applyNumberFormat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2" fontId="21" fillId="0" borderId="34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2" fontId="21" fillId="0" borderId="1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2" fontId="17" fillId="0" borderId="28" xfId="0" applyNumberFormat="1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2" fontId="21" fillId="0" borderId="17" xfId="0" applyNumberFormat="1" applyFont="1" applyFill="1" applyBorder="1" applyAlignment="1">
      <alignment horizontal="center" vertical="center"/>
    </xf>
    <xf numFmtId="164" fontId="21" fillId="0" borderId="34" xfId="0" applyNumberFormat="1" applyFont="1" applyFill="1" applyBorder="1" applyAlignment="1">
      <alignment horizontal="center" vertical="center"/>
    </xf>
    <xf numFmtId="164" fontId="22" fillId="0" borderId="36" xfId="0" applyNumberFormat="1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64" fontId="18" fillId="0" borderId="36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16" fontId="17" fillId="0" borderId="10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2" fontId="17" fillId="0" borderId="36" xfId="0" applyNumberFormat="1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/>
    </xf>
    <xf numFmtId="2" fontId="17" fillId="0" borderId="16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/>
    </xf>
    <xf numFmtId="165" fontId="10" fillId="0" borderId="36" xfId="0" applyNumberFormat="1" applyFont="1" applyFill="1" applyBorder="1" applyAlignment="1">
      <alignment horizontal="center" vertical="center"/>
    </xf>
    <xf numFmtId="2" fontId="10" fillId="0" borderId="36" xfId="0" applyNumberFormat="1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right"/>
    </xf>
    <xf numFmtId="0" fontId="24" fillId="0" borderId="22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 vertical="center"/>
    </xf>
    <xf numFmtId="0" fontId="24" fillId="0" borderId="19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/>
    </xf>
    <xf numFmtId="164" fontId="24" fillId="0" borderId="19" xfId="0" applyNumberFormat="1" applyFont="1" applyFill="1" applyBorder="1" applyAlignment="1">
      <alignment/>
    </xf>
    <xf numFmtId="0" fontId="24" fillId="0" borderId="26" xfId="0" applyFont="1" applyFill="1" applyBorder="1" applyAlignment="1">
      <alignment/>
    </xf>
    <xf numFmtId="0" fontId="24" fillId="0" borderId="11" xfId="0" applyFont="1" applyFill="1" applyBorder="1" applyAlignment="1">
      <alignment horizontal="left"/>
    </xf>
    <xf numFmtId="2" fontId="24" fillId="0" borderId="11" xfId="0" applyNumberFormat="1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64" fontId="10" fillId="0" borderId="11" xfId="0" applyNumberFormat="1" applyFont="1" applyFill="1" applyBorder="1" applyAlignment="1">
      <alignment horizontal="right" vertical="center"/>
    </xf>
    <xf numFmtId="0" fontId="24" fillId="0" borderId="20" xfId="0" applyFont="1" applyFill="1" applyBorder="1" applyAlignment="1">
      <alignment/>
    </xf>
    <xf numFmtId="164" fontId="24" fillId="0" borderId="11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2" fontId="25" fillId="0" borderId="0" xfId="0" applyNumberFormat="1" applyFont="1" applyFill="1" applyAlignment="1">
      <alignment horizontal="left"/>
    </xf>
    <xf numFmtId="164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2" fontId="3" fillId="0" borderId="39" xfId="0" applyNumberFormat="1" applyFont="1" applyFill="1" applyBorder="1" applyAlignment="1">
      <alignment horizontal="center" vertical="top" wrapText="1"/>
    </xf>
    <xf numFmtId="2" fontId="3" fillId="0" borderId="27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4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26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3" fillId="0" borderId="47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vertical="top"/>
    </xf>
    <xf numFmtId="0" fontId="6" fillId="0" borderId="27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24" borderId="52" xfId="0" applyFont="1" applyFill="1" applyBorder="1" applyAlignment="1">
      <alignment horizontal="center" vertical="top" wrapText="1"/>
    </xf>
    <xf numFmtId="0" fontId="3" fillId="24" borderId="53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left"/>
    </xf>
    <xf numFmtId="164" fontId="17" fillId="0" borderId="55" xfId="0" applyNumberFormat="1" applyFont="1" applyFill="1" applyBorder="1" applyAlignment="1">
      <alignment horizontal="center" vertical="center"/>
    </xf>
    <xf numFmtId="164" fontId="17" fillId="0" borderId="36" xfId="0" applyNumberFormat="1" applyFont="1" applyFill="1" applyBorder="1" applyAlignment="1">
      <alignment horizontal="center" vertical="center"/>
    </xf>
    <xf numFmtId="164" fontId="17" fillId="0" borderId="31" xfId="0" applyNumberFormat="1" applyFont="1" applyFill="1" applyBorder="1" applyAlignment="1">
      <alignment horizontal="center" vertical="center"/>
    </xf>
    <xf numFmtId="164" fontId="17" fillId="0" borderId="34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164" fontId="17" fillId="0" borderId="60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S262"/>
  <sheetViews>
    <sheetView view="pageBreakPreview" zoomScale="85" zoomScaleNormal="70" zoomScaleSheetLayoutView="85" zoomScalePageLayoutView="0" workbookViewId="0" topLeftCell="A1">
      <pane ySplit="7" topLeftCell="BM95" activePane="bottomLeft" state="frozen"/>
      <selection pane="topLeft" activeCell="A1" sqref="A1"/>
      <selection pane="bottomLeft" activeCell="B115" sqref="B115"/>
    </sheetView>
  </sheetViews>
  <sheetFormatPr defaultColWidth="9.140625" defaultRowHeight="15"/>
  <cols>
    <col min="1" max="1" width="9.140625" style="1" customWidth="1"/>
    <col min="2" max="2" width="44.7109375" style="5" customWidth="1"/>
    <col min="3" max="5" width="23.140625" style="125" customWidth="1"/>
    <col min="6" max="6" width="22.00390625" style="116" customWidth="1"/>
    <col min="7" max="8" width="11.00390625" style="7" customWidth="1"/>
    <col min="9" max="9" width="16.421875" style="1" bestFit="1" customWidth="1"/>
    <col min="10" max="10" width="19.140625" style="1" customWidth="1"/>
    <col min="11" max="11" width="16.00390625" style="1" customWidth="1"/>
    <col min="12" max="13" width="14.00390625" style="1" customWidth="1"/>
    <col min="14" max="14" width="17.57421875" style="1" customWidth="1"/>
    <col min="15" max="15" width="9.140625" style="1" customWidth="1"/>
    <col min="16" max="16" width="12.57421875" style="1" customWidth="1"/>
    <col min="17" max="17" width="12.28125" style="1" customWidth="1"/>
    <col min="18" max="18" width="24.28125" style="1" customWidth="1"/>
    <col min="19" max="16384" width="9.140625" style="1" customWidth="1"/>
  </cols>
  <sheetData>
    <row r="2" spans="1:16" ht="20.25">
      <c r="A2" s="353" t="s">
        <v>294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4"/>
      <c r="M2" s="354"/>
      <c r="N2" s="354"/>
      <c r="P2" s="1">
        <v>1000</v>
      </c>
    </row>
    <row r="3" ht="31.5" customHeight="1" thickBot="1">
      <c r="N3" s="38" t="s">
        <v>269</v>
      </c>
    </row>
    <row r="4" spans="1:14" s="8" customFormat="1" ht="20.25" customHeight="1" thickBot="1">
      <c r="A4" s="363" t="s">
        <v>69</v>
      </c>
      <c r="B4" s="364" t="s">
        <v>0</v>
      </c>
      <c r="C4" s="162" t="s">
        <v>1</v>
      </c>
      <c r="D4" s="130"/>
      <c r="E4" s="130"/>
      <c r="F4" s="366"/>
      <c r="G4" s="366"/>
      <c r="H4" s="366"/>
      <c r="I4" s="366"/>
      <c r="J4" s="366"/>
      <c r="K4" s="366"/>
      <c r="L4" s="367"/>
      <c r="M4" s="368"/>
      <c r="N4" s="159" t="s">
        <v>2</v>
      </c>
    </row>
    <row r="5" spans="1:14" s="8" customFormat="1" ht="141" customHeight="1" thickBot="1">
      <c r="A5" s="361"/>
      <c r="B5" s="362"/>
      <c r="C5" s="356" t="s">
        <v>11</v>
      </c>
      <c r="D5" s="151" t="s">
        <v>286</v>
      </c>
      <c r="E5" s="163" t="s">
        <v>287</v>
      </c>
      <c r="F5" s="149" t="s">
        <v>94</v>
      </c>
      <c r="G5" s="358" t="s">
        <v>10</v>
      </c>
      <c r="H5" s="359"/>
      <c r="I5" s="361" t="s">
        <v>3</v>
      </c>
      <c r="J5" s="361" t="s">
        <v>7</v>
      </c>
      <c r="K5" s="362" t="s">
        <v>8</v>
      </c>
      <c r="L5" s="355" t="s">
        <v>95</v>
      </c>
      <c r="M5" s="351"/>
      <c r="N5" s="160"/>
    </row>
    <row r="6" spans="1:14" s="8" customFormat="1" ht="23.25" customHeight="1" thickBot="1">
      <c r="A6" s="361"/>
      <c r="B6" s="365"/>
      <c r="C6" s="357"/>
      <c r="D6" s="152"/>
      <c r="E6" s="164"/>
      <c r="F6" s="150" t="s">
        <v>81</v>
      </c>
      <c r="G6" s="48" t="s">
        <v>81</v>
      </c>
      <c r="H6" s="48" t="s">
        <v>9</v>
      </c>
      <c r="I6" s="361"/>
      <c r="J6" s="361"/>
      <c r="K6" s="362"/>
      <c r="L6" s="352"/>
      <c r="M6" s="158"/>
      <c r="N6" s="161"/>
    </row>
    <row r="7" spans="1:14" ht="20.25" thickBot="1">
      <c r="A7" s="106">
        <v>1</v>
      </c>
      <c r="B7" s="49">
        <v>2</v>
      </c>
      <c r="C7" s="153">
        <v>4</v>
      </c>
      <c r="D7" s="153"/>
      <c r="E7" s="153"/>
      <c r="F7" s="117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369">
        <v>11</v>
      </c>
      <c r="M7" s="369"/>
      <c r="N7" s="106">
        <v>12</v>
      </c>
    </row>
    <row r="8" spans="1:14" s="15" customFormat="1" ht="20.25" thickBot="1">
      <c r="A8" s="30" t="s">
        <v>5</v>
      </c>
      <c r="B8" s="107"/>
      <c r="C8" s="118"/>
      <c r="D8" s="118"/>
      <c r="E8" s="118"/>
      <c r="F8" s="118"/>
      <c r="G8" s="107"/>
      <c r="H8" s="107"/>
      <c r="I8" s="107"/>
      <c r="J8" s="107"/>
      <c r="K8" s="107"/>
      <c r="L8" s="107"/>
      <c r="M8" s="107"/>
      <c r="N8" s="108"/>
    </row>
    <row r="9" spans="1:17" s="15" customFormat="1" ht="20.25" thickBot="1">
      <c r="A9" s="11">
        <v>1</v>
      </c>
      <c r="B9" s="166" t="s">
        <v>96</v>
      </c>
      <c r="C9" s="126">
        <f>'МРСК 2'!C9</f>
        <v>6.3</v>
      </c>
      <c r="D9" s="126">
        <f>D10+D11</f>
        <v>262</v>
      </c>
      <c r="E9" s="126">
        <f>E10+E11</f>
        <v>185</v>
      </c>
      <c r="F9" s="119">
        <f>SQRT(D9*D9+E9*E9)/1000</f>
        <v>0.32073197533142844</v>
      </c>
      <c r="G9" s="35">
        <v>1.457</v>
      </c>
      <c r="H9" s="13">
        <v>45</v>
      </c>
      <c r="I9" s="14">
        <f>G9</f>
        <v>1.457</v>
      </c>
      <c r="J9" s="14">
        <v>0</v>
      </c>
      <c r="K9" s="14">
        <f>G9-J9</f>
        <v>1.457</v>
      </c>
      <c r="L9" s="104">
        <f aca="true" t="shared" si="0" ref="L9:L45">K9-F9</f>
        <v>1.1362680246685717</v>
      </c>
      <c r="M9" s="373">
        <f>MIN(L9:L11)</f>
        <v>0.20864676685113365</v>
      </c>
      <c r="N9" s="39"/>
      <c r="P9" s="4" t="s">
        <v>49</v>
      </c>
      <c r="Q9" s="109">
        <v>1.4534596657630372</v>
      </c>
    </row>
    <row r="10" spans="1:17" s="15" customFormat="1" ht="20.25" thickBot="1">
      <c r="A10" s="16"/>
      <c r="B10" s="169" t="s">
        <v>92</v>
      </c>
      <c r="C10" s="127">
        <f>'МРСК 2'!C10</f>
        <v>6.3</v>
      </c>
      <c r="D10" s="127">
        <v>6</v>
      </c>
      <c r="E10" s="127">
        <v>48</v>
      </c>
      <c r="F10" s="119">
        <f aca="true" t="shared" si="1" ref="F10:F69">SQRT(D10*D10+E10*E10)/1000</f>
        <v>0.048373546489791294</v>
      </c>
      <c r="G10" s="31">
        <v>0.958</v>
      </c>
      <c r="H10" s="45"/>
      <c r="I10" s="17">
        <f aca="true" t="shared" si="2" ref="I10:I45">G10</f>
        <v>0.958</v>
      </c>
      <c r="J10" s="17">
        <v>0</v>
      </c>
      <c r="K10" s="29">
        <f aca="true" t="shared" si="3" ref="K10:K45">G10-J10</f>
        <v>0.958</v>
      </c>
      <c r="L10" s="44">
        <f t="shared" si="0"/>
        <v>0.9096264535102087</v>
      </c>
      <c r="M10" s="371"/>
      <c r="N10" s="32"/>
      <c r="P10" s="2" t="s">
        <v>45</v>
      </c>
      <c r="Q10" s="109">
        <v>0.38327144427937754</v>
      </c>
    </row>
    <row r="11" spans="1:17" s="15" customFormat="1" ht="20.25" thickBot="1">
      <c r="A11" s="72"/>
      <c r="B11" s="201" t="s">
        <v>93</v>
      </c>
      <c r="C11" s="128">
        <f>'МРСК 2'!C11</f>
        <v>6.3</v>
      </c>
      <c r="D11" s="128">
        <v>256</v>
      </c>
      <c r="E11" s="128">
        <v>137</v>
      </c>
      <c r="F11" s="119">
        <f t="shared" si="1"/>
        <v>0.29035323314886646</v>
      </c>
      <c r="G11" s="76">
        <v>0.4990000000000001</v>
      </c>
      <c r="H11" s="77"/>
      <c r="I11" s="78">
        <f t="shared" si="2"/>
        <v>0.4990000000000001</v>
      </c>
      <c r="J11" s="78">
        <v>0</v>
      </c>
      <c r="K11" s="79">
        <f>G11-J11</f>
        <v>0.4990000000000001</v>
      </c>
      <c r="L11" s="75">
        <f>K11-F11</f>
        <v>0.20864676685113365</v>
      </c>
      <c r="M11" s="372"/>
      <c r="N11" s="80"/>
      <c r="P11" s="2" t="s">
        <v>51</v>
      </c>
      <c r="Q11" s="109">
        <v>11.606508217375284</v>
      </c>
    </row>
    <row r="12" spans="1:17" s="15" customFormat="1" ht="21" thickBot="1" thickTop="1">
      <c r="A12" s="81">
        <v>2</v>
      </c>
      <c r="B12" s="167" t="s">
        <v>97</v>
      </c>
      <c r="C12" s="129">
        <f>'МРСК 2'!C12</f>
        <v>6.3</v>
      </c>
      <c r="D12" s="129">
        <f>D13+D14</f>
        <v>349</v>
      </c>
      <c r="E12" s="129">
        <f>E13+E14</f>
        <v>215</v>
      </c>
      <c r="F12" s="119">
        <f>SQRT(D12*D12+E12*E12)/1000</f>
        <v>0.40990974616371345</v>
      </c>
      <c r="G12" s="84">
        <v>0.39</v>
      </c>
      <c r="H12" s="85">
        <v>20</v>
      </c>
      <c r="I12" s="86">
        <f t="shared" si="2"/>
        <v>0.39</v>
      </c>
      <c r="J12" s="86">
        <v>0</v>
      </c>
      <c r="K12" s="86">
        <f t="shared" si="3"/>
        <v>0.39</v>
      </c>
      <c r="L12" s="103">
        <f t="shared" si="0"/>
        <v>-0.019909746163713438</v>
      </c>
      <c r="M12" s="370">
        <f>MIN(L12:L14)</f>
        <v>-0.019909746163713438</v>
      </c>
      <c r="N12" s="87"/>
      <c r="P12" s="2" t="s">
        <v>18</v>
      </c>
      <c r="Q12" s="109">
        <v>6.430870081101001</v>
      </c>
    </row>
    <row r="13" spans="1:17" s="15" customFormat="1" ht="20.25" thickBot="1">
      <c r="A13" s="16"/>
      <c r="B13" s="169" t="s">
        <v>92</v>
      </c>
      <c r="C13" s="127">
        <f>'МРСК 2'!C13</f>
        <v>6.3</v>
      </c>
      <c r="D13" s="127">
        <v>0</v>
      </c>
      <c r="E13" s="127">
        <v>0</v>
      </c>
      <c r="F13" s="119">
        <f t="shared" si="1"/>
        <v>0</v>
      </c>
      <c r="G13" s="31">
        <v>0</v>
      </c>
      <c r="H13" s="45"/>
      <c r="I13" s="17">
        <f t="shared" si="2"/>
        <v>0</v>
      </c>
      <c r="J13" s="17">
        <v>0</v>
      </c>
      <c r="K13" s="29">
        <f t="shared" si="3"/>
        <v>0</v>
      </c>
      <c r="L13" s="44">
        <f t="shared" si="0"/>
        <v>0</v>
      </c>
      <c r="M13" s="371"/>
      <c r="N13" s="32"/>
      <c r="P13" s="2" t="s">
        <v>281</v>
      </c>
      <c r="Q13" s="109">
        <v>2.290230119442149</v>
      </c>
    </row>
    <row r="14" spans="1:17" s="15" customFormat="1" ht="20.25" thickBot="1">
      <c r="A14" s="72"/>
      <c r="B14" s="201" t="s">
        <v>93</v>
      </c>
      <c r="C14" s="128">
        <f>'МРСК 2'!C14</f>
        <v>6.3</v>
      </c>
      <c r="D14" s="128">
        <v>349</v>
      </c>
      <c r="E14" s="128">
        <v>215</v>
      </c>
      <c r="F14" s="119">
        <f t="shared" si="1"/>
        <v>0.40990974616371345</v>
      </c>
      <c r="G14" s="76">
        <v>0.39</v>
      </c>
      <c r="H14" s="77"/>
      <c r="I14" s="78">
        <f t="shared" si="2"/>
        <v>0.39</v>
      </c>
      <c r="J14" s="78">
        <v>0</v>
      </c>
      <c r="K14" s="79">
        <f t="shared" si="3"/>
        <v>0.39</v>
      </c>
      <c r="L14" s="75">
        <f t="shared" si="0"/>
        <v>-0.019909746163713438</v>
      </c>
      <c r="M14" s="372"/>
      <c r="N14" s="80"/>
      <c r="P14" s="2" t="s">
        <v>50</v>
      </c>
      <c r="Q14" s="109">
        <v>1.2338674969379815</v>
      </c>
    </row>
    <row r="15" spans="1:14" s="15" customFormat="1" ht="21" thickBot="1" thickTop="1">
      <c r="A15" s="81">
        <v>3</v>
      </c>
      <c r="B15" s="168" t="s">
        <v>98</v>
      </c>
      <c r="C15" s="154">
        <v>16</v>
      </c>
      <c r="D15" s="154">
        <f>D16+D17</f>
        <v>13836</v>
      </c>
      <c r="E15" s="154">
        <f>E16+E17</f>
        <v>4805</v>
      </c>
      <c r="F15" s="119">
        <f>SQRT(D15*D15+E15*E15)/1000</f>
        <v>14.646601005011368</v>
      </c>
      <c r="G15" s="37">
        <v>11.607</v>
      </c>
      <c r="H15" s="28">
        <v>120</v>
      </c>
      <c r="I15" s="29">
        <f t="shared" si="2"/>
        <v>11.607</v>
      </c>
      <c r="J15" s="29">
        <v>0</v>
      </c>
      <c r="K15" s="29">
        <f t="shared" si="3"/>
        <v>11.607</v>
      </c>
      <c r="L15" s="105">
        <f t="shared" si="0"/>
        <v>-3.0396010050113684</v>
      </c>
      <c r="M15" s="375">
        <f>MIN(L15:L17)</f>
        <v>-3.0396010050113684</v>
      </c>
      <c r="N15" s="42"/>
    </row>
    <row r="16" spans="1:14" s="15" customFormat="1" ht="20.25" thickBot="1">
      <c r="A16" s="16"/>
      <c r="B16" s="169" t="s">
        <v>92</v>
      </c>
      <c r="C16" s="127">
        <f>'МРСК 2'!C16</f>
        <v>16</v>
      </c>
      <c r="D16" s="127">
        <v>8659</v>
      </c>
      <c r="E16" s="127">
        <v>2940</v>
      </c>
      <c r="F16" s="119">
        <f t="shared" si="1"/>
        <v>9.144500041008255</v>
      </c>
      <c r="G16" s="31">
        <v>8.606</v>
      </c>
      <c r="H16" s="45"/>
      <c r="I16" s="17">
        <f t="shared" si="2"/>
        <v>8.606</v>
      </c>
      <c r="J16" s="17">
        <v>0</v>
      </c>
      <c r="K16" s="29">
        <f t="shared" si="3"/>
        <v>8.606</v>
      </c>
      <c r="L16" s="44">
        <f t="shared" si="0"/>
        <v>-0.5385000410082554</v>
      </c>
      <c r="M16" s="371"/>
      <c r="N16" s="32"/>
    </row>
    <row r="17" spans="1:14" s="15" customFormat="1" ht="20.25" thickBot="1">
      <c r="A17" s="72"/>
      <c r="B17" s="202" t="s">
        <v>93</v>
      </c>
      <c r="C17" s="155">
        <f>'МРСК 2'!C17</f>
        <v>16</v>
      </c>
      <c r="D17" s="155">
        <v>5177</v>
      </c>
      <c r="E17" s="155">
        <v>1865</v>
      </c>
      <c r="F17" s="119">
        <f t="shared" si="1"/>
        <v>5.502686071365511</v>
      </c>
      <c r="G17" s="70">
        <v>3.0009999999999994</v>
      </c>
      <c r="H17" s="19"/>
      <c r="I17" s="21">
        <f t="shared" si="2"/>
        <v>3.0009999999999994</v>
      </c>
      <c r="J17" s="21">
        <v>0</v>
      </c>
      <c r="K17" s="71">
        <f t="shared" si="3"/>
        <v>3.0009999999999994</v>
      </c>
      <c r="L17" s="20">
        <f t="shared" si="0"/>
        <v>-2.501686071365511</v>
      </c>
      <c r="M17" s="374"/>
      <c r="N17" s="33"/>
    </row>
    <row r="18" spans="1:14" s="15" customFormat="1" ht="21" thickBot="1" thickTop="1">
      <c r="A18" s="81">
        <v>4</v>
      </c>
      <c r="B18" s="166" t="s">
        <v>99</v>
      </c>
      <c r="C18" s="126">
        <f>'МРСК 2'!C18</f>
        <v>16</v>
      </c>
      <c r="D18" s="126">
        <f>D19+D20</f>
        <v>2189</v>
      </c>
      <c r="E18" s="126">
        <f>E19+E20</f>
        <v>988</v>
      </c>
      <c r="F18" s="119">
        <f t="shared" si="1"/>
        <v>2.4016379827109664</v>
      </c>
      <c r="G18" s="35">
        <v>3.44</v>
      </c>
      <c r="H18" s="13">
        <v>120</v>
      </c>
      <c r="I18" s="14">
        <f t="shared" si="2"/>
        <v>3.44</v>
      </c>
      <c r="J18" s="14">
        <v>0</v>
      </c>
      <c r="K18" s="14">
        <f t="shared" si="3"/>
        <v>3.44</v>
      </c>
      <c r="L18" s="104">
        <f t="shared" si="0"/>
        <v>1.0383620172890335</v>
      </c>
      <c r="M18" s="373">
        <f>MIN(L18:L20)</f>
        <v>1.0383620172890335</v>
      </c>
      <c r="N18" s="39"/>
    </row>
    <row r="19" spans="1:14" s="15" customFormat="1" ht="20.25" thickBot="1">
      <c r="A19" s="16"/>
      <c r="B19" s="169" t="s">
        <v>92</v>
      </c>
      <c r="C19" s="127">
        <f>'МРСК 2'!C19</f>
        <v>16</v>
      </c>
      <c r="D19" s="127">
        <v>2</v>
      </c>
      <c r="E19" s="127">
        <v>34</v>
      </c>
      <c r="F19" s="119">
        <f t="shared" si="1"/>
        <v>0.03405877273185281</v>
      </c>
      <c r="G19" s="31">
        <v>4</v>
      </c>
      <c r="H19" s="45"/>
      <c r="I19" s="17">
        <f t="shared" si="2"/>
        <v>4</v>
      </c>
      <c r="J19" s="17">
        <v>0</v>
      </c>
      <c r="K19" s="29">
        <f t="shared" si="3"/>
        <v>4</v>
      </c>
      <c r="L19" s="44">
        <f t="shared" si="0"/>
        <v>3.9659412272681474</v>
      </c>
      <c r="M19" s="371"/>
      <c r="N19" s="32"/>
    </row>
    <row r="20" spans="1:14" s="15" customFormat="1" ht="20.25" thickBot="1">
      <c r="A20" s="72"/>
      <c r="B20" s="202" t="s">
        <v>93</v>
      </c>
      <c r="C20" s="155">
        <f>'МРСК 2'!C20</f>
        <v>16</v>
      </c>
      <c r="D20" s="155">
        <v>2187</v>
      </c>
      <c r="E20" s="155">
        <v>954</v>
      </c>
      <c r="F20" s="119">
        <f t="shared" si="1"/>
        <v>2.3860186503881313</v>
      </c>
      <c r="G20" s="70">
        <v>3.44</v>
      </c>
      <c r="H20" s="19"/>
      <c r="I20" s="21">
        <f t="shared" si="2"/>
        <v>3.44</v>
      </c>
      <c r="J20" s="21">
        <v>0</v>
      </c>
      <c r="K20" s="71">
        <f t="shared" si="3"/>
        <v>3.44</v>
      </c>
      <c r="L20" s="20">
        <f t="shared" si="0"/>
        <v>1.0539813496118686</v>
      </c>
      <c r="M20" s="374"/>
      <c r="N20" s="33"/>
    </row>
    <row r="21" spans="1:14" s="15" customFormat="1" ht="21" thickBot="1" thickTop="1">
      <c r="A21" s="81">
        <v>5</v>
      </c>
      <c r="B21" s="167" t="s">
        <v>100</v>
      </c>
      <c r="C21" s="129">
        <f>'МРСК 2'!C21</f>
        <v>10</v>
      </c>
      <c r="D21" s="129">
        <f>D22+D23</f>
        <v>966</v>
      </c>
      <c r="E21" s="129">
        <f>E22+E23</f>
        <v>389</v>
      </c>
      <c r="F21" s="119">
        <f t="shared" si="1"/>
        <v>1.0413822545060003</v>
      </c>
      <c r="G21" s="84">
        <v>1.78</v>
      </c>
      <c r="H21" s="85">
        <v>45</v>
      </c>
      <c r="I21" s="86">
        <f t="shared" si="2"/>
        <v>1.78</v>
      </c>
      <c r="J21" s="86">
        <v>0</v>
      </c>
      <c r="K21" s="86">
        <f t="shared" si="3"/>
        <v>1.78</v>
      </c>
      <c r="L21" s="103">
        <f t="shared" si="0"/>
        <v>0.7386177454939997</v>
      </c>
      <c r="M21" s="370">
        <f>MIN(L21:L23)</f>
        <v>0</v>
      </c>
      <c r="N21" s="87"/>
    </row>
    <row r="22" spans="1:14" s="15" customFormat="1" ht="20.25" thickBot="1">
      <c r="A22" s="16"/>
      <c r="B22" s="169" t="s">
        <v>92</v>
      </c>
      <c r="C22" s="127">
        <f>'МРСК 2'!C22</f>
        <v>10</v>
      </c>
      <c r="D22" s="127">
        <v>0</v>
      </c>
      <c r="E22" s="127">
        <v>0</v>
      </c>
      <c r="F22" s="119">
        <f t="shared" si="1"/>
        <v>0</v>
      </c>
      <c r="G22" s="31">
        <v>0</v>
      </c>
      <c r="H22" s="45"/>
      <c r="I22" s="17">
        <f t="shared" si="2"/>
        <v>0</v>
      </c>
      <c r="J22" s="17">
        <v>0</v>
      </c>
      <c r="K22" s="29">
        <f t="shared" si="3"/>
        <v>0</v>
      </c>
      <c r="L22" s="44">
        <f t="shared" si="0"/>
        <v>0</v>
      </c>
      <c r="M22" s="371"/>
      <c r="N22" s="32"/>
    </row>
    <row r="23" spans="1:14" s="15" customFormat="1" ht="20.25" thickBot="1">
      <c r="A23" s="72"/>
      <c r="B23" s="201" t="s">
        <v>93</v>
      </c>
      <c r="C23" s="128">
        <f>'МРСК 2'!C23</f>
        <v>10</v>
      </c>
      <c r="D23" s="128">
        <v>966</v>
      </c>
      <c r="E23" s="128">
        <v>389</v>
      </c>
      <c r="F23" s="119">
        <f t="shared" si="1"/>
        <v>1.0413822545060003</v>
      </c>
      <c r="G23" s="76">
        <v>1.78</v>
      </c>
      <c r="H23" s="77"/>
      <c r="I23" s="78">
        <f t="shared" si="2"/>
        <v>1.78</v>
      </c>
      <c r="J23" s="78">
        <v>0</v>
      </c>
      <c r="K23" s="79">
        <f t="shared" si="3"/>
        <v>1.78</v>
      </c>
      <c r="L23" s="75">
        <f t="shared" si="0"/>
        <v>0.7386177454939997</v>
      </c>
      <c r="M23" s="372"/>
      <c r="N23" s="80"/>
    </row>
    <row r="24" spans="1:14" s="15" customFormat="1" ht="21" thickBot="1" thickTop="1">
      <c r="A24" s="16">
        <v>6</v>
      </c>
      <c r="B24" s="169" t="s">
        <v>101</v>
      </c>
      <c r="C24" s="133">
        <f>'МРСК 2'!C24</f>
        <v>1.6</v>
      </c>
      <c r="D24" s="133">
        <v>784</v>
      </c>
      <c r="E24" s="133">
        <v>288</v>
      </c>
      <c r="F24" s="119">
        <f t="shared" si="1"/>
        <v>0.8352245207128439</v>
      </c>
      <c r="G24" s="17">
        <v>0.6464</v>
      </c>
      <c r="H24" s="18">
        <v>45</v>
      </c>
      <c r="I24" s="17">
        <f t="shared" si="2"/>
        <v>0.6464</v>
      </c>
      <c r="J24" s="17">
        <v>0</v>
      </c>
      <c r="K24" s="29">
        <f t="shared" si="3"/>
        <v>0.6464</v>
      </c>
      <c r="L24" s="44">
        <f t="shared" si="0"/>
        <v>-0.18882452071284395</v>
      </c>
      <c r="M24" s="44">
        <f>L24</f>
        <v>-0.18882452071284395</v>
      </c>
      <c r="N24" s="32"/>
    </row>
    <row r="25" spans="1:14" s="15" customFormat="1" ht="20.25" thickBot="1">
      <c r="A25" s="16">
        <v>7</v>
      </c>
      <c r="B25" s="169" t="s">
        <v>102</v>
      </c>
      <c r="C25" s="133">
        <f>'МРСК 2'!C25</f>
        <v>1.6</v>
      </c>
      <c r="D25" s="133">
        <v>776</v>
      </c>
      <c r="E25" s="133">
        <v>224</v>
      </c>
      <c r="F25" s="119">
        <f t="shared" si="1"/>
        <v>0.8076831061746927</v>
      </c>
      <c r="G25" s="17">
        <v>0.6835</v>
      </c>
      <c r="H25" s="18">
        <v>45</v>
      </c>
      <c r="I25" s="17">
        <f t="shared" si="2"/>
        <v>0.6835</v>
      </c>
      <c r="J25" s="17">
        <v>0</v>
      </c>
      <c r="K25" s="29">
        <f t="shared" si="3"/>
        <v>0.6835</v>
      </c>
      <c r="L25" s="44">
        <f t="shared" si="0"/>
        <v>-0.12418310617469275</v>
      </c>
      <c r="M25" s="44">
        <f aca="true" t="shared" si="4" ref="M25:M45">L25</f>
        <v>-0.12418310617469275</v>
      </c>
      <c r="N25" s="32"/>
    </row>
    <row r="26" spans="1:14" s="15" customFormat="1" ht="20.25" thickBot="1">
      <c r="A26" s="16">
        <v>8</v>
      </c>
      <c r="B26" s="169" t="s">
        <v>103</v>
      </c>
      <c r="C26" s="133">
        <f>'МРСК 2'!C26</f>
        <v>1.6</v>
      </c>
      <c r="D26" s="133">
        <v>780</v>
      </c>
      <c r="E26" s="133">
        <v>360</v>
      </c>
      <c r="F26" s="119">
        <f t="shared" si="1"/>
        <v>0.8590692637965811</v>
      </c>
      <c r="G26" s="17">
        <v>0</v>
      </c>
      <c r="H26" s="18">
        <v>20</v>
      </c>
      <c r="I26" s="17">
        <f t="shared" si="2"/>
        <v>0</v>
      </c>
      <c r="J26" s="17">
        <v>0</v>
      </c>
      <c r="K26" s="29">
        <f t="shared" si="3"/>
        <v>0</v>
      </c>
      <c r="L26" s="44">
        <f t="shared" si="0"/>
        <v>-0.8590692637965811</v>
      </c>
      <c r="M26" s="44">
        <f t="shared" si="4"/>
        <v>-0.8590692637965811</v>
      </c>
      <c r="N26" s="32"/>
    </row>
    <row r="27" spans="1:14" s="15" customFormat="1" ht="20.25" thickBot="1">
      <c r="A27" s="16">
        <v>9</v>
      </c>
      <c r="B27" s="169" t="s">
        <v>104</v>
      </c>
      <c r="C27" s="133">
        <f>'МРСК 2'!C27</f>
        <v>4</v>
      </c>
      <c r="D27" s="133">
        <v>2984</v>
      </c>
      <c r="E27" s="133">
        <v>1184</v>
      </c>
      <c r="F27" s="119">
        <f t="shared" si="1"/>
        <v>3.210313380341552</v>
      </c>
      <c r="G27" s="17">
        <v>2.64</v>
      </c>
      <c r="H27" s="18">
        <v>80</v>
      </c>
      <c r="I27" s="17">
        <f t="shared" si="2"/>
        <v>2.64</v>
      </c>
      <c r="J27" s="17">
        <v>0</v>
      </c>
      <c r="K27" s="29">
        <f t="shared" si="3"/>
        <v>2.64</v>
      </c>
      <c r="L27" s="44">
        <f t="shared" si="0"/>
        <v>-0.5703133803415517</v>
      </c>
      <c r="M27" s="44">
        <f t="shared" si="4"/>
        <v>-0.5703133803415517</v>
      </c>
      <c r="N27" s="32"/>
    </row>
    <row r="28" spans="1:14" s="15" customFormat="1" ht="20.25" thickBot="1">
      <c r="A28" s="16">
        <v>10</v>
      </c>
      <c r="B28" s="169" t="s">
        <v>105</v>
      </c>
      <c r="C28" s="133">
        <f>'МРСК 2'!C28</f>
        <v>1.6</v>
      </c>
      <c r="D28" s="133">
        <v>684</v>
      </c>
      <c r="E28" s="133">
        <v>330</v>
      </c>
      <c r="F28" s="119">
        <f t="shared" si="1"/>
        <v>0.7594445338535264</v>
      </c>
      <c r="G28" s="17">
        <v>1.05</v>
      </c>
      <c r="H28" s="18">
        <v>80</v>
      </c>
      <c r="I28" s="17">
        <f t="shared" si="2"/>
        <v>1.05</v>
      </c>
      <c r="J28" s="17">
        <v>0</v>
      </c>
      <c r="K28" s="29">
        <f t="shared" si="3"/>
        <v>1.05</v>
      </c>
      <c r="L28" s="44">
        <f t="shared" si="0"/>
        <v>0.29055546614647365</v>
      </c>
      <c r="M28" s="44">
        <f t="shared" si="4"/>
        <v>0.29055546614647365</v>
      </c>
      <c r="N28" s="32"/>
    </row>
    <row r="29" spans="1:14" s="15" customFormat="1" ht="20.25" thickBot="1">
      <c r="A29" s="16">
        <v>11</v>
      </c>
      <c r="B29" s="169" t="s">
        <v>106</v>
      </c>
      <c r="C29" s="133">
        <v>1</v>
      </c>
      <c r="D29" s="133">
        <v>14</v>
      </c>
      <c r="E29" s="133">
        <v>19</v>
      </c>
      <c r="F29" s="119">
        <f t="shared" si="1"/>
        <v>0.023600847442411893</v>
      </c>
      <c r="G29" s="175">
        <v>0</v>
      </c>
      <c r="H29" s="176"/>
      <c r="I29" s="175">
        <f t="shared" si="2"/>
        <v>0</v>
      </c>
      <c r="J29" s="175">
        <v>0</v>
      </c>
      <c r="K29" s="177">
        <f t="shared" si="3"/>
        <v>0</v>
      </c>
      <c r="L29" s="178">
        <f t="shared" si="0"/>
        <v>-0.023600847442411893</v>
      </c>
      <c r="M29" s="173">
        <f t="shared" si="4"/>
        <v>-0.023600847442411893</v>
      </c>
      <c r="N29" s="174"/>
    </row>
    <row r="30" spans="1:14" s="15" customFormat="1" ht="20.25" thickBot="1">
      <c r="A30" s="16">
        <v>12</v>
      </c>
      <c r="B30" s="169" t="s">
        <v>107</v>
      </c>
      <c r="C30" s="133">
        <f>'МРСК 2'!C30</f>
        <v>2.5</v>
      </c>
      <c r="D30" s="133">
        <v>324</v>
      </c>
      <c r="E30" s="133">
        <v>132</v>
      </c>
      <c r="F30" s="119">
        <f t="shared" si="1"/>
        <v>0.34985711369071804</v>
      </c>
      <c r="G30" s="175">
        <v>0</v>
      </c>
      <c r="H30" s="176"/>
      <c r="I30" s="175">
        <f t="shared" si="2"/>
        <v>0</v>
      </c>
      <c r="J30" s="175">
        <v>0</v>
      </c>
      <c r="K30" s="177">
        <f t="shared" si="3"/>
        <v>0</v>
      </c>
      <c r="L30" s="178">
        <f t="shared" si="0"/>
        <v>-0.34985711369071804</v>
      </c>
      <c r="M30" s="44">
        <f t="shared" si="4"/>
        <v>-0.34985711369071804</v>
      </c>
      <c r="N30" s="32"/>
    </row>
    <row r="31" spans="1:14" s="15" customFormat="1" ht="20.25" thickBot="1">
      <c r="A31" s="16">
        <v>13</v>
      </c>
      <c r="B31" s="169" t="s">
        <v>108</v>
      </c>
      <c r="C31" s="133">
        <f>'МРСК 2'!C31</f>
        <v>2.5</v>
      </c>
      <c r="D31" s="133">
        <v>880</v>
      </c>
      <c r="E31" s="133">
        <v>376</v>
      </c>
      <c r="F31" s="119">
        <f t="shared" si="1"/>
        <v>0.95696185921906</v>
      </c>
      <c r="G31" s="17">
        <v>0.541</v>
      </c>
      <c r="H31" s="18">
        <v>45</v>
      </c>
      <c r="I31" s="17">
        <f t="shared" si="2"/>
        <v>0.541</v>
      </c>
      <c r="J31" s="17">
        <v>0</v>
      </c>
      <c r="K31" s="29">
        <f t="shared" si="3"/>
        <v>0.541</v>
      </c>
      <c r="L31" s="44">
        <f t="shared" si="0"/>
        <v>-0.4159618592190599</v>
      </c>
      <c r="M31" s="44">
        <f t="shared" si="4"/>
        <v>-0.4159618592190599</v>
      </c>
      <c r="N31" s="32"/>
    </row>
    <row r="32" spans="1:14" s="15" customFormat="1" ht="20.25" thickBot="1">
      <c r="A32" s="16">
        <v>14</v>
      </c>
      <c r="B32" s="169" t="s">
        <v>109</v>
      </c>
      <c r="C32" s="133">
        <f>'МРСК 2'!C32</f>
        <v>2.5</v>
      </c>
      <c r="D32" s="133">
        <v>1600</v>
      </c>
      <c r="E32" s="133">
        <v>512</v>
      </c>
      <c r="F32" s="119">
        <f t="shared" si="1"/>
        <v>1.679923807796056</v>
      </c>
      <c r="G32" s="17">
        <v>1.6626</v>
      </c>
      <c r="H32" s="18">
        <v>45</v>
      </c>
      <c r="I32" s="17">
        <f t="shared" si="2"/>
        <v>1.6626</v>
      </c>
      <c r="J32" s="17">
        <v>0</v>
      </c>
      <c r="K32" s="29">
        <f t="shared" si="3"/>
        <v>1.6626</v>
      </c>
      <c r="L32" s="44">
        <f t="shared" si="0"/>
        <v>-0.017323807796056023</v>
      </c>
      <c r="M32" s="44">
        <f t="shared" si="4"/>
        <v>-0.017323807796056023</v>
      </c>
      <c r="N32" s="32"/>
    </row>
    <row r="33" spans="1:14" s="15" customFormat="1" ht="20.25" thickBot="1">
      <c r="A33" s="16">
        <v>15</v>
      </c>
      <c r="B33" s="169" t="s">
        <v>110</v>
      </c>
      <c r="C33" s="133">
        <f>'МРСК 2'!C33</f>
        <v>2.5</v>
      </c>
      <c r="D33" s="133">
        <v>1560</v>
      </c>
      <c r="E33" s="133">
        <v>492</v>
      </c>
      <c r="F33" s="119">
        <f t="shared" si="1"/>
        <v>1.6357457015074195</v>
      </c>
      <c r="G33" s="17">
        <v>1.55</v>
      </c>
      <c r="H33" s="18">
        <v>45</v>
      </c>
      <c r="I33" s="17">
        <f t="shared" si="2"/>
        <v>1.55</v>
      </c>
      <c r="J33" s="17">
        <v>0</v>
      </c>
      <c r="K33" s="29">
        <f t="shared" si="3"/>
        <v>1.55</v>
      </c>
      <c r="L33" s="44">
        <f t="shared" si="0"/>
        <v>-0.08574570150741945</v>
      </c>
      <c r="M33" s="44">
        <f t="shared" si="4"/>
        <v>-0.08574570150741945</v>
      </c>
      <c r="N33" s="32"/>
    </row>
    <row r="34" spans="1:14" s="15" customFormat="1" ht="20.25" thickBot="1">
      <c r="A34" s="16">
        <v>16</v>
      </c>
      <c r="B34" s="169" t="s">
        <v>111</v>
      </c>
      <c r="C34" s="133">
        <f>'МРСК 2'!C34</f>
        <v>1.6</v>
      </c>
      <c r="D34" s="133">
        <v>336</v>
      </c>
      <c r="E34" s="133">
        <v>108</v>
      </c>
      <c r="F34" s="119">
        <f t="shared" si="1"/>
        <v>0.3529305880764658</v>
      </c>
      <c r="G34" s="17">
        <v>0.4101</v>
      </c>
      <c r="H34" s="18">
        <v>80</v>
      </c>
      <c r="I34" s="17">
        <f t="shared" si="2"/>
        <v>0.4101</v>
      </c>
      <c r="J34" s="17">
        <v>0</v>
      </c>
      <c r="K34" s="29">
        <f t="shared" si="3"/>
        <v>0.4101</v>
      </c>
      <c r="L34" s="44">
        <f t="shared" si="0"/>
        <v>0.0571694119235342</v>
      </c>
      <c r="M34" s="44">
        <f t="shared" si="4"/>
        <v>0.0571694119235342</v>
      </c>
      <c r="N34" s="32"/>
    </row>
    <row r="35" spans="1:14" s="15" customFormat="1" ht="20.25" thickBot="1">
      <c r="A35" s="16">
        <v>17</v>
      </c>
      <c r="B35" s="169" t="s">
        <v>112</v>
      </c>
      <c r="C35" s="133">
        <f>'МРСК 2'!C35</f>
        <v>2.5</v>
      </c>
      <c r="D35" s="133">
        <v>304</v>
      </c>
      <c r="E35" s="133">
        <v>144</v>
      </c>
      <c r="F35" s="119">
        <f t="shared" si="1"/>
        <v>0.3363807366660582</v>
      </c>
      <c r="G35" s="17">
        <v>0.407</v>
      </c>
      <c r="H35" s="18">
        <v>20</v>
      </c>
      <c r="I35" s="17">
        <f t="shared" si="2"/>
        <v>0.407</v>
      </c>
      <c r="J35" s="17">
        <v>0</v>
      </c>
      <c r="K35" s="29">
        <f t="shared" si="3"/>
        <v>0.407</v>
      </c>
      <c r="L35" s="44">
        <f t="shared" si="0"/>
        <v>0.07061926333394175</v>
      </c>
      <c r="M35" s="44">
        <f t="shared" si="4"/>
        <v>0.07061926333394175</v>
      </c>
      <c r="N35" s="32"/>
    </row>
    <row r="36" spans="1:14" s="15" customFormat="1" ht="20.25" thickBot="1">
      <c r="A36" s="16">
        <v>18</v>
      </c>
      <c r="B36" s="169" t="s">
        <v>113</v>
      </c>
      <c r="C36" s="133">
        <f>'МРСК 2'!C36</f>
        <v>2.5</v>
      </c>
      <c r="D36" s="133">
        <v>1164</v>
      </c>
      <c r="E36" s="133">
        <v>600</v>
      </c>
      <c r="F36" s="119">
        <f t="shared" si="1"/>
        <v>1.3095403773843708</v>
      </c>
      <c r="G36" s="17">
        <v>1.38</v>
      </c>
      <c r="H36" s="18">
        <v>120</v>
      </c>
      <c r="I36" s="17">
        <f t="shared" si="2"/>
        <v>1.38</v>
      </c>
      <c r="J36" s="17">
        <v>0</v>
      </c>
      <c r="K36" s="29">
        <f t="shared" si="3"/>
        <v>1.38</v>
      </c>
      <c r="L36" s="44">
        <f t="shared" si="0"/>
        <v>0.0704596226156291</v>
      </c>
      <c r="M36" s="44">
        <f t="shared" si="4"/>
        <v>0.0704596226156291</v>
      </c>
      <c r="N36" s="32"/>
    </row>
    <row r="37" spans="1:14" s="15" customFormat="1" ht="20.25" thickBot="1">
      <c r="A37" s="16">
        <v>19</v>
      </c>
      <c r="B37" s="169" t="s">
        <v>114</v>
      </c>
      <c r="C37" s="133">
        <f>'МРСК 2'!C37</f>
        <v>2.5</v>
      </c>
      <c r="D37" s="133">
        <v>920</v>
      </c>
      <c r="E37" s="133">
        <v>256</v>
      </c>
      <c r="F37" s="119">
        <f t="shared" si="1"/>
        <v>0.9549534020045166</v>
      </c>
      <c r="G37" s="17">
        <v>1.54</v>
      </c>
      <c r="H37" s="18">
        <v>45</v>
      </c>
      <c r="I37" s="17">
        <f t="shared" si="2"/>
        <v>1.54</v>
      </c>
      <c r="J37" s="17">
        <v>0</v>
      </c>
      <c r="K37" s="29">
        <f t="shared" si="3"/>
        <v>1.54</v>
      </c>
      <c r="L37" s="44">
        <f t="shared" si="0"/>
        <v>0.5850465979954834</v>
      </c>
      <c r="M37" s="44">
        <f t="shared" si="4"/>
        <v>0.5850465979954834</v>
      </c>
      <c r="N37" s="32"/>
    </row>
    <row r="38" spans="1:14" s="15" customFormat="1" ht="20.25" thickBot="1">
      <c r="A38" s="16">
        <v>20</v>
      </c>
      <c r="B38" s="169" t="s">
        <v>115</v>
      </c>
      <c r="C38" s="133">
        <f>'МРСК 2'!C38</f>
        <v>2.5</v>
      </c>
      <c r="D38" s="133">
        <v>656</v>
      </c>
      <c r="E38" s="133">
        <v>288</v>
      </c>
      <c r="F38" s="119">
        <f t="shared" si="1"/>
        <v>0.7164356216716196</v>
      </c>
      <c r="G38" s="17">
        <v>0.6647</v>
      </c>
      <c r="H38" s="18">
        <v>45</v>
      </c>
      <c r="I38" s="17">
        <f t="shared" si="2"/>
        <v>0.6647</v>
      </c>
      <c r="J38" s="17">
        <v>0</v>
      </c>
      <c r="K38" s="29">
        <f t="shared" si="3"/>
        <v>0.6647</v>
      </c>
      <c r="L38" s="44">
        <f t="shared" si="0"/>
        <v>-0.0517356216716196</v>
      </c>
      <c r="M38" s="44">
        <f t="shared" si="4"/>
        <v>-0.0517356216716196</v>
      </c>
      <c r="N38" s="32"/>
    </row>
    <row r="39" spans="1:14" s="15" customFormat="1" ht="20.25" thickBot="1">
      <c r="A39" s="16">
        <v>21</v>
      </c>
      <c r="B39" s="169" t="s">
        <v>116</v>
      </c>
      <c r="C39" s="133">
        <f>'МРСК 2'!C39</f>
        <v>4</v>
      </c>
      <c r="D39" s="133">
        <v>1536</v>
      </c>
      <c r="E39" s="133">
        <v>384</v>
      </c>
      <c r="F39" s="119">
        <f t="shared" si="1"/>
        <v>1.5832725602371815</v>
      </c>
      <c r="G39" s="17">
        <v>0.78</v>
      </c>
      <c r="H39" s="18">
        <v>120</v>
      </c>
      <c r="I39" s="17">
        <f t="shared" si="2"/>
        <v>0.78</v>
      </c>
      <c r="J39" s="17">
        <v>0</v>
      </c>
      <c r="K39" s="29">
        <f t="shared" si="3"/>
        <v>0.78</v>
      </c>
      <c r="L39" s="44">
        <f t="shared" si="0"/>
        <v>-0.8032725602371815</v>
      </c>
      <c r="M39" s="44">
        <f t="shared" si="4"/>
        <v>-0.8032725602371815</v>
      </c>
      <c r="N39" s="32"/>
    </row>
    <row r="40" spans="1:14" s="15" customFormat="1" ht="20.25" thickBot="1">
      <c r="A40" s="16">
        <v>22</v>
      </c>
      <c r="B40" s="169" t="s">
        <v>117</v>
      </c>
      <c r="C40" s="133">
        <v>2.5</v>
      </c>
      <c r="D40" s="133">
        <v>576</v>
      </c>
      <c r="E40" s="133">
        <v>276</v>
      </c>
      <c r="F40" s="119">
        <f t="shared" si="1"/>
        <v>0.6387112023442206</v>
      </c>
      <c r="G40" s="17">
        <v>0.722</v>
      </c>
      <c r="H40" s="18">
        <v>45</v>
      </c>
      <c r="I40" s="17">
        <f t="shared" si="2"/>
        <v>0.722</v>
      </c>
      <c r="J40" s="17">
        <v>0</v>
      </c>
      <c r="K40" s="29">
        <f t="shared" si="3"/>
        <v>0.722</v>
      </c>
      <c r="L40" s="44">
        <f t="shared" si="0"/>
        <v>0.08328879765577935</v>
      </c>
      <c r="M40" s="44">
        <f t="shared" si="4"/>
        <v>0.08328879765577935</v>
      </c>
      <c r="N40" s="32"/>
    </row>
    <row r="41" spans="1:14" s="15" customFormat="1" ht="20.25" thickBot="1">
      <c r="A41" s="16">
        <v>23</v>
      </c>
      <c r="B41" s="169" t="s">
        <v>118</v>
      </c>
      <c r="C41" s="133">
        <f>'МРСК 2'!C41</f>
        <v>4</v>
      </c>
      <c r="D41" s="133">
        <v>2305</v>
      </c>
      <c r="E41" s="133">
        <v>974</v>
      </c>
      <c r="F41" s="119">
        <f t="shared" si="1"/>
        <v>2.502339105716889</v>
      </c>
      <c r="G41" s="17">
        <v>1.84</v>
      </c>
      <c r="H41" s="18">
        <v>80</v>
      </c>
      <c r="I41" s="17">
        <f t="shared" si="2"/>
        <v>1.84</v>
      </c>
      <c r="J41" s="17">
        <v>0</v>
      </c>
      <c r="K41" s="29">
        <f t="shared" si="3"/>
        <v>1.84</v>
      </c>
      <c r="L41" s="44">
        <f t="shared" si="0"/>
        <v>-0.662339105716889</v>
      </c>
      <c r="M41" s="44">
        <f t="shared" si="4"/>
        <v>-0.662339105716889</v>
      </c>
      <c r="N41" s="32"/>
    </row>
    <row r="42" spans="1:14" s="15" customFormat="1" ht="20.25" thickBot="1">
      <c r="A42" s="16">
        <v>24</v>
      </c>
      <c r="B42" s="169" t="s">
        <v>119</v>
      </c>
      <c r="C42" s="133">
        <f>'МРСК 2'!C42</f>
        <v>2.5</v>
      </c>
      <c r="D42" s="133">
        <v>122</v>
      </c>
      <c r="E42" s="133">
        <v>72</v>
      </c>
      <c r="F42" s="119">
        <f t="shared" si="1"/>
        <v>0.14166156853571826</v>
      </c>
      <c r="G42" s="17">
        <v>1.676</v>
      </c>
      <c r="H42" s="18">
        <v>80</v>
      </c>
      <c r="I42" s="17">
        <f t="shared" si="2"/>
        <v>1.676</v>
      </c>
      <c r="J42" s="17">
        <v>0</v>
      </c>
      <c r="K42" s="29">
        <f t="shared" si="3"/>
        <v>1.676</v>
      </c>
      <c r="L42" s="44">
        <f t="shared" si="0"/>
        <v>1.5343384314642816</v>
      </c>
      <c r="M42" s="44">
        <f t="shared" si="4"/>
        <v>1.5343384314642816</v>
      </c>
      <c r="N42" s="32"/>
    </row>
    <row r="43" spans="1:14" s="15" customFormat="1" ht="20.25" thickBot="1">
      <c r="A43" s="16">
        <v>25</v>
      </c>
      <c r="B43" s="169" t="s">
        <v>120</v>
      </c>
      <c r="C43" s="133">
        <f>'МРСК 2'!C43</f>
        <v>2.5</v>
      </c>
      <c r="D43" s="133">
        <v>504</v>
      </c>
      <c r="E43" s="133">
        <v>224</v>
      </c>
      <c r="F43" s="119">
        <f t="shared" si="1"/>
        <v>0.5515360369005818</v>
      </c>
      <c r="G43" s="17">
        <v>0.6872</v>
      </c>
      <c r="H43" s="18">
        <v>45</v>
      </c>
      <c r="I43" s="17">
        <f t="shared" si="2"/>
        <v>0.6872</v>
      </c>
      <c r="J43" s="17">
        <v>0</v>
      </c>
      <c r="K43" s="29">
        <f t="shared" si="3"/>
        <v>0.6872</v>
      </c>
      <c r="L43" s="44">
        <f t="shared" si="0"/>
        <v>0.1356639630994182</v>
      </c>
      <c r="M43" s="44">
        <f t="shared" si="4"/>
        <v>0.1356639630994182</v>
      </c>
      <c r="N43" s="32"/>
    </row>
    <row r="44" spans="1:14" s="15" customFormat="1" ht="20.25" thickBot="1">
      <c r="A44" s="16">
        <v>26</v>
      </c>
      <c r="B44" s="169" t="s">
        <v>121</v>
      </c>
      <c r="C44" s="133">
        <f>'МРСК 2'!C44</f>
        <v>2.5</v>
      </c>
      <c r="D44" s="133">
        <v>572</v>
      </c>
      <c r="E44" s="133">
        <v>180</v>
      </c>
      <c r="F44" s="119">
        <f t="shared" si="1"/>
        <v>0.59965323312728</v>
      </c>
      <c r="G44" s="17">
        <v>0.7238</v>
      </c>
      <c r="H44" s="18">
        <v>120</v>
      </c>
      <c r="I44" s="17">
        <f t="shared" si="2"/>
        <v>0.7238</v>
      </c>
      <c r="J44" s="17">
        <v>0</v>
      </c>
      <c r="K44" s="29">
        <f t="shared" si="3"/>
        <v>0.7238</v>
      </c>
      <c r="L44" s="44">
        <f t="shared" si="0"/>
        <v>0.12414676687271997</v>
      </c>
      <c r="M44" s="44">
        <f t="shared" si="4"/>
        <v>0.12414676687271997</v>
      </c>
      <c r="N44" s="32"/>
    </row>
    <row r="45" spans="1:14" s="15" customFormat="1" ht="20.25" thickBot="1">
      <c r="A45" s="16">
        <v>27</v>
      </c>
      <c r="B45" s="169" t="s">
        <v>282</v>
      </c>
      <c r="C45" s="133">
        <f>'МРСК 2'!C45</f>
        <v>2.5</v>
      </c>
      <c r="D45" s="133">
        <v>552</v>
      </c>
      <c r="E45" s="133">
        <v>236</v>
      </c>
      <c r="F45" s="119">
        <f t="shared" si="1"/>
        <v>0.6003332407921453</v>
      </c>
      <c r="G45" s="17">
        <v>0.6797</v>
      </c>
      <c r="H45" s="18">
        <v>120</v>
      </c>
      <c r="I45" s="17">
        <f t="shared" si="2"/>
        <v>0.6797</v>
      </c>
      <c r="J45" s="17">
        <v>0</v>
      </c>
      <c r="K45" s="29">
        <f t="shared" si="3"/>
        <v>0.6797</v>
      </c>
      <c r="L45" s="44">
        <f t="shared" si="0"/>
        <v>0.07936675920785463</v>
      </c>
      <c r="M45" s="44">
        <f t="shared" si="4"/>
        <v>0.07936675920785463</v>
      </c>
      <c r="N45" s="32"/>
    </row>
    <row r="46" spans="1:14" s="15" customFormat="1" ht="20.25" thickBot="1">
      <c r="A46" s="30" t="s">
        <v>6</v>
      </c>
      <c r="B46" s="107"/>
      <c r="C46" s="118"/>
      <c r="D46" s="118"/>
      <c r="E46" s="118"/>
      <c r="F46" s="118"/>
      <c r="G46" s="107"/>
      <c r="H46" s="107"/>
      <c r="I46" s="107"/>
      <c r="J46" s="107"/>
      <c r="K46" s="107"/>
      <c r="L46" s="107"/>
      <c r="M46" s="107"/>
      <c r="N46" s="108"/>
    </row>
    <row r="47" spans="1:19" s="15" customFormat="1" ht="20.25" thickBot="1">
      <c r="A47" s="36">
        <v>28</v>
      </c>
      <c r="B47" s="171" t="s">
        <v>124</v>
      </c>
      <c r="C47" s="132" t="str">
        <f>'МРСК 2'!C47</f>
        <v>16+16</v>
      </c>
      <c r="D47" s="132">
        <v>11143</v>
      </c>
      <c r="E47" s="132">
        <v>5340</v>
      </c>
      <c r="F47" s="120">
        <f t="shared" si="1"/>
        <v>12.356457785304006</v>
      </c>
      <c r="G47" s="105">
        <v>3.561</v>
      </c>
      <c r="H47" s="41">
        <v>45</v>
      </c>
      <c r="I47" s="105">
        <f aca="true" t="shared" si="5" ref="I47:I112">F47-G47</f>
        <v>8.795457785304006</v>
      </c>
      <c r="J47" s="29">
        <v>0</v>
      </c>
      <c r="K47" s="43">
        <f>O47*P47</f>
        <v>16.8</v>
      </c>
      <c r="L47" s="105">
        <f>K47-J47-I47</f>
        <v>8.004542214695995</v>
      </c>
      <c r="M47" s="105">
        <f>L47</f>
        <v>8.004542214695995</v>
      </c>
      <c r="N47" s="42"/>
      <c r="O47" s="15">
        <v>1.05</v>
      </c>
      <c r="P47" s="28">
        <v>16</v>
      </c>
      <c r="R47" s="15" t="s">
        <v>19</v>
      </c>
      <c r="S47" s="15">
        <v>9.979203593590183</v>
      </c>
    </row>
    <row r="48" spans="1:19" s="15" customFormat="1" ht="20.25" thickTop="1">
      <c r="A48" s="81">
        <v>29</v>
      </c>
      <c r="B48" s="167" t="s">
        <v>125</v>
      </c>
      <c r="C48" s="129" t="str">
        <f>'МРСК 2'!C48</f>
        <v>16+10</v>
      </c>
      <c r="D48" s="129">
        <f>D49+D50</f>
        <v>8156</v>
      </c>
      <c r="E48" s="129">
        <f>E49+E50</f>
        <v>3395</v>
      </c>
      <c r="F48" s="120">
        <f t="shared" si="1"/>
        <v>8.834385151214542</v>
      </c>
      <c r="G48" s="84">
        <v>8.95</v>
      </c>
      <c r="H48" s="85">
        <v>120</v>
      </c>
      <c r="I48" s="86">
        <f t="shared" si="5"/>
        <v>-0.11561484878545691</v>
      </c>
      <c r="J48" s="86">
        <v>0</v>
      </c>
      <c r="K48" s="86">
        <f aca="true" t="shared" si="6" ref="K48:K104">O48*P48</f>
        <v>10.5</v>
      </c>
      <c r="L48" s="103">
        <f aca="true" t="shared" si="7" ref="L48:L104">K48-J48-I48</f>
        <v>10.615614848785457</v>
      </c>
      <c r="M48" s="370">
        <f>MIN(L48:L50)</f>
        <v>10.391611999901599</v>
      </c>
      <c r="N48" s="87"/>
      <c r="O48" s="15">
        <v>1.05</v>
      </c>
      <c r="P48" s="45">
        <v>10</v>
      </c>
      <c r="R48" s="15" t="s">
        <v>55</v>
      </c>
      <c r="S48" s="15">
        <v>8.44082047746484</v>
      </c>
    </row>
    <row r="49" spans="1:19" s="15" customFormat="1" ht="19.5">
      <c r="A49" s="16"/>
      <c r="B49" s="169" t="s">
        <v>92</v>
      </c>
      <c r="C49" s="127" t="str">
        <f>'МРСК 2'!C49</f>
        <v>16+10</v>
      </c>
      <c r="D49" s="127">
        <v>6832</v>
      </c>
      <c r="E49" s="127">
        <v>2839</v>
      </c>
      <c r="F49" s="120">
        <f t="shared" si="1"/>
        <v>7.3983880000984</v>
      </c>
      <c r="G49" s="31">
        <v>7.29</v>
      </c>
      <c r="H49" s="45"/>
      <c r="I49" s="17">
        <f t="shared" si="5"/>
        <v>0.1083880000984001</v>
      </c>
      <c r="J49" s="17">
        <v>0</v>
      </c>
      <c r="K49" s="29">
        <f t="shared" si="6"/>
        <v>10.5</v>
      </c>
      <c r="L49" s="44">
        <f t="shared" si="7"/>
        <v>10.391611999901599</v>
      </c>
      <c r="M49" s="371"/>
      <c r="N49" s="32"/>
      <c r="O49" s="15">
        <v>1.05</v>
      </c>
      <c r="P49" s="45">
        <v>10</v>
      </c>
      <c r="R49" s="15" t="s">
        <v>36</v>
      </c>
      <c r="S49" s="15">
        <v>12.533982580510479</v>
      </c>
    </row>
    <row r="50" spans="1:19" s="15" customFormat="1" ht="20.25" thickBot="1">
      <c r="A50" s="72"/>
      <c r="B50" s="201" t="s">
        <v>93</v>
      </c>
      <c r="C50" s="128" t="str">
        <f>'МРСК 2'!C50</f>
        <v>16+10</v>
      </c>
      <c r="D50" s="128">
        <v>1324</v>
      </c>
      <c r="E50" s="128">
        <v>556</v>
      </c>
      <c r="F50" s="120">
        <f t="shared" si="1"/>
        <v>1.4360055710198343</v>
      </c>
      <c r="G50" s="76">
        <v>1.6599999999999993</v>
      </c>
      <c r="H50" s="77"/>
      <c r="I50" s="78">
        <f t="shared" si="5"/>
        <v>-0.22399442898016497</v>
      </c>
      <c r="J50" s="78">
        <v>0</v>
      </c>
      <c r="K50" s="79">
        <f t="shared" si="6"/>
        <v>10.5</v>
      </c>
      <c r="L50" s="75">
        <f t="shared" si="7"/>
        <v>10.723994428980165</v>
      </c>
      <c r="M50" s="372"/>
      <c r="N50" s="80"/>
      <c r="O50" s="15">
        <v>1.05</v>
      </c>
      <c r="P50" s="45">
        <v>10</v>
      </c>
      <c r="R50" s="15" t="s">
        <v>52</v>
      </c>
      <c r="S50" s="15">
        <v>44.063198557802174</v>
      </c>
    </row>
    <row r="51" spans="1:19" s="15" customFormat="1" ht="20.25" thickTop="1">
      <c r="A51" s="81">
        <v>30</v>
      </c>
      <c r="B51" s="167" t="s">
        <v>126</v>
      </c>
      <c r="C51" s="129" t="str">
        <f>'МРСК 2'!C51</f>
        <v>25+25</v>
      </c>
      <c r="D51" s="129">
        <f>D52+D53</f>
        <v>7539</v>
      </c>
      <c r="E51" s="129">
        <f>E52+E53</f>
        <v>3956</v>
      </c>
      <c r="F51" s="120">
        <f t="shared" si="1"/>
        <v>8.513897873477225</v>
      </c>
      <c r="G51" s="84">
        <v>8.37</v>
      </c>
      <c r="H51" s="85">
        <v>80</v>
      </c>
      <c r="I51" s="86">
        <f t="shared" si="5"/>
        <v>0.1438978734772256</v>
      </c>
      <c r="J51" s="86">
        <v>0</v>
      </c>
      <c r="K51" s="86">
        <f t="shared" si="6"/>
        <v>26.25</v>
      </c>
      <c r="L51" s="103">
        <f t="shared" si="7"/>
        <v>26.106102126522774</v>
      </c>
      <c r="M51" s="370">
        <f>MIN(L51:L53)</f>
        <v>25.164854730217378</v>
      </c>
      <c r="N51" s="87"/>
      <c r="O51" s="15">
        <v>1.05</v>
      </c>
      <c r="P51" s="45">
        <v>25</v>
      </c>
      <c r="R51" s="15" t="s">
        <v>48</v>
      </c>
      <c r="S51" s="15">
        <v>9.383</v>
      </c>
    </row>
    <row r="52" spans="1:19" s="15" customFormat="1" ht="19.5">
      <c r="A52" s="16"/>
      <c r="B52" s="169" t="s">
        <v>92</v>
      </c>
      <c r="C52" s="127" t="str">
        <f>'МРСК 2'!C52</f>
        <v>25+25</v>
      </c>
      <c r="D52" s="127">
        <v>7157</v>
      </c>
      <c r="E52" s="127">
        <v>3056</v>
      </c>
      <c r="F52" s="120">
        <f t="shared" si="1"/>
        <v>7.78214526978262</v>
      </c>
      <c r="G52" s="31">
        <v>6.697</v>
      </c>
      <c r="H52" s="45"/>
      <c r="I52" s="17">
        <f t="shared" si="5"/>
        <v>1.08514526978262</v>
      </c>
      <c r="J52" s="17">
        <v>0</v>
      </c>
      <c r="K52" s="29">
        <f t="shared" si="6"/>
        <v>26.25</v>
      </c>
      <c r="L52" s="44">
        <f t="shared" si="7"/>
        <v>25.164854730217378</v>
      </c>
      <c r="M52" s="371"/>
      <c r="N52" s="32"/>
      <c r="O52" s="15">
        <v>1.05</v>
      </c>
      <c r="P52" s="45">
        <v>25</v>
      </c>
      <c r="R52" s="15" t="s">
        <v>12</v>
      </c>
      <c r="S52" s="15">
        <v>44.518100268490265</v>
      </c>
    </row>
    <row r="53" spans="1:19" s="15" customFormat="1" ht="20.25" thickBot="1">
      <c r="A53" s="72"/>
      <c r="B53" s="201" t="s">
        <v>93</v>
      </c>
      <c r="C53" s="128" t="str">
        <f>'МРСК 2'!C53</f>
        <v>25+25</v>
      </c>
      <c r="D53" s="127">
        <v>382</v>
      </c>
      <c r="E53" s="127">
        <v>900</v>
      </c>
      <c r="F53" s="120">
        <f t="shared" si="1"/>
        <v>0.9777136595138681</v>
      </c>
      <c r="G53" s="76">
        <v>1.6729999999999992</v>
      </c>
      <c r="H53" s="77"/>
      <c r="I53" s="78">
        <f t="shared" si="5"/>
        <v>-0.695286340486131</v>
      </c>
      <c r="J53" s="78">
        <v>0</v>
      </c>
      <c r="K53" s="79">
        <f t="shared" si="6"/>
        <v>26.25</v>
      </c>
      <c r="L53" s="75">
        <f t="shared" si="7"/>
        <v>26.94528634048613</v>
      </c>
      <c r="M53" s="372"/>
      <c r="N53" s="80"/>
      <c r="O53" s="15">
        <v>1.05</v>
      </c>
      <c r="P53" s="45">
        <v>25</v>
      </c>
      <c r="R53" s="15" t="s">
        <v>33</v>
      </c>
      <c r="S53" s="15">
        <v>14.414334094151528</v>
      </c>
    </row>
    <row r="54" spans="1:19" s="15" customFormat="1" ht="20.25" thickTop="1">
      <c r="A54" s="81">
        <v>31</v>
      </c>
      <c r="B54" s="167" t="s">
        <v>127</v>
      </c>
      <c r="C54" s="129" t="str">
        <f>'МРСК 2'!C54</f>
        <v>25+25+25</v>
      </c>
      <c r="D54" s="129">
        <f>D55+D56</f>
        <v>40243</v>
      </c>
      <c r="E54" s="129">
        <f>E55+E56</f>
        <v>18062</v>
      </c>
      <c r="F54" s="120">
        <f t="shared" si="1"/>
        <v>44.11048506874528</v>
      </c>
      <c r="G54" s="84">
        <f>'МРСК 2'!F54</f>
        <v>5.322</v>
      </c>
      <c r="H54" s="85">
        <v>120</v>
      </c>
      <c r="I54" s="86">
        <f t="shared" si="5"/>
        <v>38.788485068745274</v>
      </c>
      <c r="J54" s="86">
        <v>0</v>
      </c>
      <c r="K54" s="86">
        <f>O54*P54</f>
        <v>52.5</v>
      </c>
      <c r="L54" s="103">
        <f t="shared" si="7"/>
        <v>13.711514931254726</v>
      </c>
      <c r="M54" s="370">
        <f>MIN(L54:L56)</f>
        <v>13.711514931254726</v>
      </c>
      <c r="N54" s="87"/>
      <c r="O54" s="15">
        <v>1.05</v>
      </c>
      <c r="P54" s="45">
        <v>50</v>
      </c>
      <c r="R54" s="15" t="s">
        <v>56</v>
      </c>
      <c r="S54" s="15">
        <v>9.036</v>
      </c>
    </row>
    <row r="55" spans="1:19" s="15" customFormat="1" ht="19.5">
      <c r="A55" s="16"/>
      <c r="B55" s="169" t="s">
        <v>92</v>
      </c>
      <c r="C55" s="127" t="str">
        <f>'МРСК 2'!C55</f>
        <v>25+25+25</v>
      </c>
      <c r="D55" s="127">
        <v>17603</v>
      </c>
      <c r="E55" s="127">
        <v>7822</v>
      </c>
      <c r="F55" s="120">
        <f t="shared" si="1"/>
        <v>19.262639824281614</v>
      </c>
      <c r="G55" s="31">
        <f>'МРСК 2'!F55</f>
        <v>3.102</v>
      </c>
      <c r="H55" s="45"/>
      <c r="I55" s="17">
        <f t="shared" si="5"/>
        <v>16.160639824281613</v>
      </c>
      <c r="J55" s="17">
        <v>0</v>
      </c>
      <c r="K55" s="29">
        <f t="shared" si="6"/>
        <v>52.5</v>
      </c>
      <c r="L55" s="44">
        <f t="shared" si="7"/>
        <v>36.33936017571838</v>
      </c>
      <c r="M55" s="371"/>
      <c r="N55" s="32"/>
      <c r="O55" s="15">
        <v>1.05</v>
      </c>
      <c r="P55" s="45">
        <v>50</v>
      </c>
      <c r="R55" s="15" t="s">
        <v>53</v>
      </c>
      <c r="S55" s="15">
        <v>7.950296422106423</v>
      </c>
    </row>
    <row r="56" spans="1:19" s="15" customFormat="1" ht="20.25" thickBot="1">
      <c r="A56" s="72"/>
      <c r="B56" s="201" t="s">
        <v>93</v>
      </c>
      <c r="C56" s="128" t="str">
        <f>'МРСК 2'!C56</f>
        <v>25+25+25</v>
      </c>
      <c r="D56" s="128">
        <v>22640</v>
      </c>
      <c r="E56" s="128">
        <v>10240</v>
      </c>
      <c r="F56" s="120">
        <f t="shared" si="1"/>
        <v>24.848082420983715</v>
      </c>
      <c r="G56" s="76">
        <f>'МРСК 2'!F56</f>
        <v>2.22</v>
      </c>
      <c r="H56" s="77"/>
      <c r="I56" s="78">
        <f t="shared" si="5"/>
        <v>22.628082420983716</v>
      </c>
      <c r="J56" s="78">
        <v>0</v>
      </c>
      <c r="K56" s="79">
        <f t="shared" si="6"/>
        <v>52.5</v>
      </c>
      <c r="L56" s="75">
        <f t="shared" si="7"/>
        <v>29.871917579016284</v>
      </c>
      <c r="M56" s="372"/>
      <c r="N56" s="80"/>
      <c r="O56" s="15">
        <v>1.05</v>
      </c>
      <c r="P56" s="45">
        <v>50</v>
      </c>
      <c r="R56" s="15" t="s">
        <v>20</v>
      </c>
      <c r="S56" s="15">
        <v>11.78631810614024</v>
      </c>
    </row>
    <row r="57" spans="1:19" s="15" customFormat="1" ht="20.25" thickTop="1">
      <c r="A57" s="81">
        <v>32</v>
      </c>
      <c r="B57" s="167" t="s">
        <v>128</v>
      </c>
      <c r="C57" s="129" t="str">
        <f>'МРСК 2'!C57</f>
        <v>10+16</v>
      </c>
      <c r="D57" s="129">
        <f>D58+D59</f>
        <v>9058</v>
      </c>
      <c r="E57" s="129">
        <f>E58+E59</f>
        <v>3808</v>
      </c>
      <c r="F57" s="120">
        <f t="shared" si="1"/>
        <v>9.825895786135735</v>
      </c>
      <c r="G57" s="84">
        <v>8.87</v>
      </c>
      <c r="H57" s="85">
        <v>45</v>
      </c>
      <c r="I57" s="86">
        <f t="shared" si="5"/>
        <v>0.955895786135736</v>
      </c>
      <c r="J57" s="86">
        <v>0</v>
      </c>
      <c r="K57" s="86">
        <f t="shared" si="6"/>
        <v>10.5</v>
      </c>
      <c r="L57" s="103">
        <f t="shared" si="7"/>
        <v>9.544104213864264</v>
      </c>
      <c r="M57" s="370">
        <f>MIN(L57:L59)</f>
        <v>9.544104213864264</v>
      </c>
      <c r="N57" s="87"/>
      <c r="O57" s="15">
        <v>1.05</v>
      </c>
      <c r="P57" s="45">
        <v>10</v>
      </c>
      <c r="R57" s="15" t="s">
        <v>54</v>
      </c>
      <c r="S57" s="15">
        <v>15.90839524986797</v>
      </c>
    </row>
    <row r="58" spans="1:19" s="15" customFormat="1" ht="19.5">
      <c r="A58" s="16"/>
      <c r="B58" s="169" t="s">
        <v>92</v>
      </c>
      <c r="C58" s="127" t="str">
        <f>'МРСК 2'!C58</f>
        <v>10+16</v>
      </c>
      <c r="D58" s="127">
        <v>8537</v>
      </c>
      <c r="E58" s="127">
        <v>3612</v>
      </c>
      <c r="F58" s="120">
        <f t="shared" si="1"/>
        <v>9.269677070966388</v>
      </c>
      <c r="G58" s="31">
        <v>8.867</v>
      </c>
      <c r="H58" s="45"/>
      <c r="I58" s="17">
        <f t="shared" si="5"/>
        <v>0.40267707096638716</v>
      </c>
      <c r="J58" s="17">
        <v>0</v>
      </c>
      <c r="K58" s="29">
        <f t="shared" si="6"/>
        <v>10.5</v>
      </c>
      <c r="L58" s="44">
        <f t="shared" si="7"/>
        <v>10.097322929033613</v>
      </c>
      <c r="M58" s="371"/>
      <c r="N58" s="32"/>
      <c r="O58" s="15">
        <v>1.05</v>
      </c>
      <c r="P58" s="45">
        <v>10</v>
      </c>
      <c r="R58" s="15" t="s">
        <v>17</v>
      </c>
      <c r="S58" s="15">
        <v>41.987</v>
      </c>
    </row>
    <row r="59" spans="1:19" s="15" customFormat="1" ht="20.25" thickBot="1">
      <c r="A59" s="72"/>
      <c r="B59" s="201" t="s">
        <v>93</v>
      </c>
      <c r="C59" s="128" t="str">
        <f>'МРСК 2'!C59</f>
        <v>10+16</v>
      </c>
      <c r="D59" s="128">
        <v>521</v>
      </c>
      <c r="E59" s="128">
        <v>196</v>
      </c>
      <c r="F59" s="120">
        <f t="shared" si="1"/>
        <v>0.5566480036791653</v>
      </c>
      <c r="G59" s="76">
        <v>0</v>
      </c>
      <c r="H59" s="77"/>
      <c r="I59" s="78">
        <f t="shared" si="5"/>
        <v>0.5566480036791653</v>
      </c>
      <c r="J59" s="78">
        <v>0</v>
      </c>
      <c r="K59" s="79">
        <f t="shared" si="6"/>
        <v>10.5</v>
      </c>
      <c r="L59" s="75">
        <f t="shared" si="7"/>
        <v>9.943351996320835</v>
      </c>
      <c r="M59" s="372"/>
      <c r="N59" s="80"/>
      <c r="O59" s="15">
        <v>1.05</v>
      </c>
      <c r="P59" s="45">
        <v>10</v>
      </c>
      <c r="R59" s="15" t="s">
        <v>37</v>
      </c>
      <c r="S59" s="15">
        <v>1.8480653622383463</v>
      </c>
    </row>
    <row r="60" spans="1:19" s="15" customFormat="1" ht="21" thickBot="1" thickTop="1">
      <c r="A60" s="16">
        <v>33</v>
      </c>
      <c r="B60" s="169" t="s">
        <v>129</v>
      </c>
      <c r="C60" s="133" t="str">
        <f>'МРСК 2'!C60</f>
        <v>40+48</v>
      </c>
      <c r="D60" s="133">
        <v>38071</v>
      </c>
      <c r="E60" s="133">
        <v>13708</v>
      </c>
      <c r="F60" s="120">
        <f t="shared" si="1"/>
        <v>40.4636911934638</v>
      </c>
      <c r="G60" s="44">
        <v>0</v>
      </c>
      <c r="H60" s="18">
        <v>120</v>
      </c>
      <c r="I60" s="44">
        <f t="shared" si="5"/>
        <v>40.4636911934638</v>
      </c>
      <c r="J60" s="17">
        <v>0</v>
      </c>
      <c r="K60" s="43">
        <f t="shared" si="6"/>
        <v>42</v>
      </c>
      <c r="L60" s="105">
        <f t="shared" si="7"/>
        <v>1.5363088065361978</v>
      </c>
      <c r="M60" s="44">
        <f>MIN(L60:L60)</f>
        <v>1.5363088065361978</v>
      </c>
      <c r="N60" s="32"/>
      <c r="O60" s="15">
        <v>1.05</v>
      </c>
      <c r="P60" s="45">
        <v>40</v>
      </c>
      <c r="R60" s="15" t="s">
        <v>30</v>
      </c>
      <c r="S60" s="15">
        <v>8.998584412367896</v>
      </c>
    </row>
    <row r="61" spans="1:19" s="15" customFormat="1" ht="21" thickBot="1" thickTop="1">
      <c r="A61" s="81">
        <v>34</v>
      </c>
      <c r="B61" s="167" t="s">
        <v>130</v>
      </c>
      <c r="C61" s="129" t="str">
        <f>'МРСК 2'!C61</f>
        <v>16+16</v>
      </c>
      <c r="D61" s="129">
        <f>D62+D63</f>
        <v>11357</v>
      </c>
      <c r="E61" s="129">
        <f>E62+E63</f>
        <v>4974</v>
      </c>
      <c r="F61" s="120">
        <f t="shared" si="1"/>
        <v>12.398472688198334</v>
      </c>
      <c r="G61" s="84">
        <v>11.433</v>
      </c>
      <c r="H61" s="85">
        <v>120</v>
      </c>
      <c r="I61" s="86">
        <f t="shared" si="5"/>
        <v>0.965472688198334</v>
      </c>
      <c r="J61" s="86">
        <v>0</v>
      </c>
      <c r="K61" s="86">
        <f t="shared" si="6"/>
        <v>16.8</v>
      </c>
      <c r="L61" s="103">
        <f t="shared" si="7"/>
        <v>15.834527311801667</v>
      </c>
      <c r="M61" s="370">
        <f>MIN(L61:L63)</f>
        <v>5.489938486617062</v>
      </c>
      <c r="N61" s="87"/>
      <c r="O61" s="15">
        <v>1.05</v>
      </c>
      <c r="P61" s="45">
        <v>16</v>
      </c>
      <c r="R61" s="15" t="s">
        <v>34</v>
      </c>
      <c r="S61" s="15">
        <v>15.209366022511643</v>
      </c>
    </row>
    <row r="62" spans="1:19" s="15" customFormat="1" ht="21" thickBot="1" thickTop="1">
      <c r="A62" s="16"/>
      <c r="B62" s="169" t="s">
        <v>92</v>
      </c>
      <c r="C62" s="129" t="str">
        <f>'МРСК 2'!C62</f>
        <v>16+8</v>
      </c>
      <c r="D62" s="127">
        <v>5565</v>
      </c>
      <c r="E62" s="127">
        <v>2734</v>
      </c>
      <c r="F62" s="120">
        <f t="shared" si="1"/>
        <v>6.200321040075264</v>
      </c>
      <c r="G62" s="31">
        <v>8.133</v>
      </c>
      <c r="H62" s="45"/>
      <c r="I62" s="17">
        <f t="shared" si="5"/>
        <v>-1.9326789599247354</v>
      </c>
      <c r="J62" s="17">
        <v>0</v>
      </c>
      <c r="K62" s="29">
        <f t="shared" si="6"/>
        <v>8.4</v>
      </c>
      <c r="L62" s="44">
        <f t="shared" si="7"/>
        <v>10.332678959924735</v>
      </c>
      <c r="M62" s="371"/>
      <c r="N62" s="32"/>
      <c r="O62" s="15">
        <v>1.05</v>
      </c>
      <c r="P62" s="45">
        <v>8</v>
      </c>
      <c r="R62" s="15" t="s">
        <v>32</v>
      </c>
      <c r="S62" s="15">
        <v>26.040419796563164</v>
      </c>
    </row>
    <row r="63" spans="1:19" s="15" customFormat="1" ht="21" thickBot="1" thickTop="1">
      <c r="A63" s="72"/>
      <c r="B63" s="201" t="s">
        <v>93</v>
      </c>
      <c r="C63" s="129" t="str">
        <f>'МРСК 2'!C63</f>
        <v>16+8</v>
      </c>
      <c r="D63" s="128">
        <v>5792</v>
      </c>
      <c r="E63" s="128">
        <v>2240</v>
      </c>
      <c r="F63" s="120">
        <f t="shared" si="1"/>
        <v>6.210061513382938</v>
      </c>
      <c r="G63" s="76">
        <v>3.3</v>
      </c>
      <c r="H63" s="77"/>
      <c r="I63" s="78">
        <f t="shared" si="5"/>
        <v>2.9100615133829386</v>
      </c>
      <c r="J63" s="78">
        <v>0</v>
      </c>
      <c r="K63" s="79">
        <f t="shared" si="6"/>
        <v>8.4</v>
      </c>
      <c r="L63" s="75">
        <f t="shared" si="7"/>
        <v>5.489938486617062</v>
      </c>
      <c r="M63" s="372"/>
      <c r="N63" s="80"/>
      <c r="O63" s="15">
        <v>1.05</v>
      </c>
      <c r="P63" s="45">
        <v>8</v>
      </c>
      <c r="R63" s="15" t="s">
        <v>15</v>
      </c>
      <c r="S63" s="15">
        <v>22.959716189809143</v>
      </c>
    </row>
    <row r="64" spans="1:19" s="15" customFormat="1" ht="20.25" thickTop="1">
      <c r="A64" s="81">
        <v>35</v>
      </c>
      <c r="B64" s="167" t="s">
        <v>131</v>
      </c>
      <c r="C64" s="129" t="str">
        <f>'МРСК 2'!C64</f>
        <v>10+10</v>
      </c>
      <c r="D64" s="129">
        <f>D65+D66</f>
        <v>9454</v>
      </c>
      <c r="E64" s="129">
        <f>E65+E66</f>
        <v>3886</v>
      </c>
      <c r="F64" s="120">
        <f t="shared" si="1"/>
        <v>10.221502433595562</v>
      </c>
      <c r="G64" s="84">
        <v>11.5</v>
      </c>
      <c r="H64" s="85">
        <v>120</v>
      </c>
      <c r="I64" s="86">
        <f t="shared" si="5"/>
        <v>-1.2784975664044378</v>
      </c>
      <c r="J64" s="86">
        <v>0</v>
      </c>
      <c r="K64" s="86">
        <f t="shared" si="6"/>
        <v>10.5</v>
      </c>
      <c r="L64" s="103">
        <f t="shared" si="7"/>
        <v>11.778497566404438</v>
      </c>
      <c r="M64" s="370">
        <f>MIN(L64:L66)</f>
        <v>9.223725654212519</v>
      </c>
      <c r="N64" s="87"/>
      <c r="O64" s="15">
        <v>1.05</v>
      </c>
      <c r="P64" s="45">
        <v>10</v>
      </c>
      <c r="R64" s="15" t="s">
        <v>42</v>
      </c>
      <c r="S64" s="15">
        <v>13.166174882516371</v>
      </c>
    </row>
    <row r="65" spans="1:19" s="15" customFormat="1" ht="19.5">
      <c r="A65" s="16"/>
      <c r="B65" s="169" t="s">
        <v>92</v>
      </c>
      <c r="C65" s="127" t="str">
        <f>'МРСК 2'!C65</f>
        <v>10+10</v>
      </c>
      <c r="D65" s="205">
        <v>8360</v>
      </c>
      <c r="E65" s="205">
        <v>3534</v>
      </c>
      <c r="F65" s="120">
        <f t="shared" si="1"/>
        <v>9.076274345787482</v>
      </c>
      <c r="G65" s="31">
        <v>7.8</v>
      </c>
      <c r="H65" s="45"/>
      <c r="I65" s="17">
        <f t="shared" si="5"/>
        <v>1.2762743457874821</v>
      </c>
      <c r="J65" s="17">
        <v>0</v>
      </c>
      <c r="K65" s="29">
        <f t="shared" si="6"/>
        <v>10.5</v>
      </c>
      <c r="L65" s="44">
        <f t="shared" si="7"/>
        <v>9.223725654212519</v>
      </c>
      <c r="M65" s="371"/>
      <c r="N65" s="32"/>
      <c r="O65" s="15">
        <v>1.05</v>
      </c>
      <c r="P65" s="45">
        <v>10</v>
      </c>
      <c r="R65" s="15" t="s">
        <v>16</v>
      </c>
      <c r="S65" s="15">
        <v>16.94752752346333</v>
      </c>
    </row>
    <row r="66" spans="1:19" s="15" customFormat="1" ht="20.25" thickBot="1">
      <c r="A66" s="72"/>
      <c r="B66" s="201" t="s">
        <v>93</v>
      </c>
      <c r="C66" s="128" t="str">
        <f>'МРСК 2'!C66</f>
        <v>10+10</v>
      </c>
      <c r="D66" s="128">
        <v>1094</v>
      </c>
      <c r="E66" s="128">
        <v>352</v>
      </c>
      <c r="F66" s="120">
        <f t="shared" si="1"/>
        <v>1.1492345278488634</v>
      </c>
      <c r="G66" s="76">
        <v>3.7</v>
      </c>
      <c r="H66" s="77"/>
      <c r="I66" s="78">
        <f t="shared" si="5"/>
        <v>-2.550765472151137</v>
      </c>
      <c r="J66" s="78">
        <v>0</v>
      </c>
      <c r="K66" s="79">
        <f t="shared" si="6"/>
        <v>10.5</v>
      </c>
      <c r="L66" s="75">
        <f t="shared" si="7"/>
        <v>13.050765472151138</v>
      </c>
      <c r="M66" s="372"/>
      <c r="N66" s="80"/>
      <c r="O66" s="15">
        <v>1.05</v>
      </c>
      <c r="P66" s="45">
        <v>10</v>
      </c>
      <c r="R66" s="15" t="s">
        <v>35</v>
      </c>
      <c r="S66" s="15">
        <v>6.017952388470796</v>
      </c>
    </row>
    <row r="67" spans="1:16" s="15" customFormat="1" ht="20.25" thickTop="1">
      <c r="A67" s="81">
        <v>36</v>
      </c>
      <c r="B67" s="167" t="s">
        <v>132</v>
      </c>
      <c r="C67" s="129" t="str">
        <f>'МРСК 2'!C67</f>
        <v>10+10</v>
      </c>
      <c r="D67" s="129">
        <f>D68+D69</f>
        <v>8214</v>
      </c>
      <c r="E67" s="129">
        <f>E68+E69</f>
        <v>3266</v>
      </c>
      <c r="F67" s="120">
        <f t="shared" si="1"/>
        <v>8.839488220479735</v>
      </c>
      <c r="G67" s="84">
        <v>8.83</v>
      </c>
      <c r="H67" s="85">
        <v>120</v>
      </c>
      <c r="I67" s="86">
        <f t="shared" si="5"/>
        <v>0.009488220479735077</v>
      </c>
      <c r="J67" s="86">
        <v>0</v>
      </c>
      <c r="K67" s="86">
        <f t="shared" si="6"/>
        <v>10.5</v>
      </c>
      <c r="L67" s="103">
        <f t="shared" si="7"/>
        <v>10.490511779520265</v>
      </c>
      <c r="M67" s="370">
        <f>MIN(L67:L69)</f>
        <v>9.674953452109488</v>
      </c>
      <c r="N67" s="87"/>
      <c r="O67" s="15">
        <v>1.05</v>
      </c>
      <c r="P67" s="45">
        <v>10</v>
      </c>
    </row>
    <row r="68" spans="1:16" s="15" customFormat="1" ht="19.5">
      <c r="A68" s="16"/>
      <c r="B68" s="169" t="s">
        <v>92</v>
      </c>
      <c r="C68" s="127" t="str">
        <f>'МРСК 2'!C68</f>
        <v>10+10</v>
      </c>
      <c r="D68" s="127">
        <v>4429</v>
      </c>
      <c r="E68" s="127">
        <v>1798</v>
      </c>
      <c r="F68" s="120">
        <f t="shared" si="1"/>
        <v>4.780046547890512</v>
      </c>
      <c r="G68" s="31">
        <v>3.955</v>
      </c>
      <c r="H68" s="45"/>
      <c r="I68" s="17">
        <f t="shared" si="5"/>
        <v>0.825046547890512</v>
      </c>
      <c r="J68" s="17">
        <v>0</v>
      </c>
      <c r="K68" s="29">
        <f t="shared" si="6"/>
        <v>10.5</v>
      </c>
      <c r="L68" s="44">
        <f t="shared" si="7"/>
        <v>9.674953452109488</v>
      </c>
      <c r="M68" s="371"/>
      <c r="N68" s="32"/>
      <c r="O68" s="15">
        <v>1.05</v>
      </c>
      <c r="P68" s="45">
        <v>10</v>
      </c>
    </row>
    <row r="69" spans="1:16" s="15" customFormat="1" ht="20.25" thickBot="1">
      <c r="A69" s="72"/>
      <c r="B69" s="201" t="s">
        <v>93</v>
      </c>
      <c r="C69" s="128" t="str">
        <f>'МРСК 2'!C69</f>
        <v>10+10</v>
      </c>
      <c r="D69" s="128">
        <v>3785</v>
      </c>
      <c r="E69" s="128">
        <v>1468</v>
      </c>
      <c r="F69" s="120">
        <f t="shared" si="1"/>
        <v>4.059710457655817</v>
      </c>
      <c r="G69" s="76">
        <v>4.875</v>
      </c>
      <c r="H69" s="77"/>
      <c r="I69" s="78">
        <f t="shared" si="5"/>
        <v>-0.8152895423441828</v>
      </c>
      <c r="J69" s="78">
        <v>0</v>
      </c>
      <c r="K69" s="79">
        <f t="shared" si="6"/>
        <v>10.5</v>
      </c>
      <c r="L69" s="75">
        <f t="shared" si="7"/>
        <v>11.315289542344182</v>
      </c>
      <c r="M69" s="372"/>
      <c r="N69" s="80"/>
      <c r="O69" s="15">
        <v>1.05</v>
      </c>
      <c r="P69" s="45">
        <v>10</v>
      </c>
    </row>
    <row r="70" spans="1:16" s="15" customFormat="1" ht="21" thickBot="1" thickTop="1">
      <c r="A70" s="16">
        <v>37</v>
      </c>
      <c r="B70" s="169" t="s">
        <v>133</v>
      </c>
      <c r="C70" s="133" t="str">
        <f>'МРСК 2'!C70</f>
        <v>25+25</v>
      </c>
      <c r="D70" s="133">
        <v>14250</v>
      </c>
      <c r="E70" s="133">
        <v>6848</v>
      </c>
      <c r="F70" s="120">
        <f aca="true" t="shared" si="8" ref="F70:F138">SQRT(D70*D70+E70*E70)/1000</f>
        <v>15.810047564760835</v>
      </c>
      <c r="G70" s="44">
        <v>1.46</v>
      </c>
      <c r="H70" s="18">
        <v>45</v>
      </c>
      <c r="I70" s="44">
        <f t="shared" si="5"/>
        <v>14.350047564760835</v>
      </c>
      <c r="J70" s="17">
        <v>0</v>
      </c>
      <c r="K70" s="43">
        <f t="shared" si="6"/>
        <v>26.25</v>
      </c>
      <c r="L70" s="105">
        <f t="shared" si="7"/>
        <v>11.899952435239165</v>
      </c>
      <c r="M70" s="44">
        <f>MIN(L70:L70)</f>
        <v>11.899952435239165</v>
      </c>
      <c r="N70" s="32"/>
      <c r="O70" s="15">
        <v>1.05</v>
      </c>
      <c r="P70" s="45">
        <v>25</v>
      </c>
    </row>
    <row r="71" spans="1:16" s="15" customFormat="1" ht="20.25" thickTop="1">
      <c r="A71" s="81">
        <v>38</v>
      </c>
      <c r="B71" s="167" t="s">
        <v>134</v>
      </c>
      <c r="C71" s="129" t="str">
        <f>'МРСК 2'!C71</f>
        <v>25+25</v>
      </c>
      <c r="D71" s="129">
        <f>D72+D73</f>
        <v>17621</v>
      </c>
      <c r="E71" s="129">
        <f>E72+E73</f>
        <v>8868</v>
      </c>
      <c r="F71" s="120">
        <f t="shared" si="8"/>
        <v>19.726658738874153</v>
      </c>
      <c r="G71" s="84">
        <v>10.651</v>
      </c>
      <c r="H71" s="85">
        <v>120</v>
      </c>
      <c r="I71" s="86">
        <f t="shared" si="5"/>
        <v>9.075658738874154</v>
      </c>
      <c r="J71" s="86">
        <v>0</v>
      </c>
      <c r="K71" s="86">
        <f t="shared" si="6"/>
        <v>26.25</v>
      </c>
      <c r="L71" s="103">
        <f t="shared" si="7"/>
        <v>17.174341261125846</v>
      </c>
      <c r="M71" s="370">
        <f>MIN(L71:L73)</f>
        <v>17.174341261125846</v>
      </c>
      <c r="N71" s="87"/>
      <c r="O71" s="15">
        <v>1.05</v>
      </c>
      <c r="P71" s="45">
        <v>25</v>
      </c>
    </row>
    <row r="72" spans="1:16" s="15" customFormat="1" ht="19.5">
      <c r="A72" s="16"/>
      <c r="B72" s="169" t="s">
        <v>92</v>
      </c>
      <c r="C72" s="127" t="str">
        <f>'МРСК 2'!C72</f>
        <v>25+25</v>
      </c>
      <c r="D72" s="127">
        <v>9620</v>
      </c>
      <c r="E72" s="127">
        <v>4914</v>
      </c>
      <c r="F72" s="120">
        <f t="shared" si="8"/>
        <v>10.802397696807871</v>
      </c>
      <c r="G72" s="31">
        <v>8.576</v>
      </c>
      <c r="H72" s="45"/>
      <c r="I72" s="17">
        <f t="shared" si="5"/>
        <v>2.2263976968078705</v>
      </c>
      <c r="J72" s="17">
        <v>0</v>
      </c>
      <c r="K72" s="29">
        <f t="shared" si="6"/>
        <v>26.25</v>
      </c>
      <c r="L72" s="44">
        <f t="shared" si="7"/>
        <v>24.023602303192128</v>
      </c>
      <c r="M72" s="371"/>
      <c r="N72" s="32"/>
      <c r="O72" s="15">
        <v>1.05</v>
      </c>
      <c r="P72" s="45">
        <v>25</v>
      </c>
    </row>
    <row r="73" spans="1:16" s="15" customFormat="1" ht="20.25" thickBot="1">
      <c r="A73" s="72"/>
      <c r="B73" s="201" t="s">
        <v>93</v>
      </c>
      <c r="C73" s="128" t="str">
        <f>'МРСК 2'!C73</f>
        <v>25+25</v>
      </c>
      <c r="D73" s="128">
        <v>8001</v>
      </c>
      <c r="E73" s="128">
        <v>3954</v>
      </c>
      <c r="F73" s="120">
        <f t="shared" si="8"/>
        <v>8.924691423236997</v>
      </c>
      <c r="G73" s="76">
        <v>2.075</v>
      </c>
      <c r="H73" s="77"/>
      <c r="I73" s="78">
        <f t="shared" si="5"/>
        <v>6.8496914232369965</v>
      </c>
      <c r="J73" s="78">
        <v>0</v>
      </c>
      <c r="K73" s="79">
        <f t="shared" si="6"/>
        <v>26.25</v>
      </c>
      <c r="L73" s="75">
        <f t="shared" si="7"/>
        <v>19.400308576763003</v>
      </c>
      <c r="M73" s="372"/>
      <c r="N73" s="80"/>
      <c r="O73" s="15">
        <v>1.05</v>
      </c>
      <c r="P73" s="45">
        <v>25</v>
      </c>
    </row>
    <row r="74" spans="1:16" s="15" customFormat="1" ht="20.25" thickTop="1">
      <c r="A74" s="81">
        <v>39</v>
      </c>
      <c r="B74" s="167" t="s">
        <v>135</v>
      </c>
      <c r="C74" s="129" t="str">
        <f>'МРСК 2'!C74</f>
        <v>25+25</v>
      </c>
      <c r="D74" s="129">
        <f>D75+D76</f>
        <v>36574</v>
      </c>
      <c r="E74" s="129">
        <f>E75+E76</f>
        <v>16648</v>
      </c>
      <c r="F74" s="120">
        <f t="shared" si="8"/>
        <v>40.18474063621663</v>
      </c>
      <c r="G74" s="84"/>
      <c r="H74" s="85">
        <v>120</v>
      </c>
      <c r="I74" s="86">
        <f t="shared" si="5"/>
        <v>40.18474063621663</v>
      </c>
      <c r="J74" s="86">
        <v>0</v>
      </c>
      <c r="K74" s="86">
        <f t="shared" si="6"/>
        <v>26.25</v>
      </c>
      <c r="L74" s="103">
        <f t="shared" si="7"/>
        <v>-13.934740636216631</v>
      </c>
      <c r="M74" s="370">
        <f>MIN(L74:L76)</f>
        <v>-13.934740636216631</v>
      </c>
      <c r="N74" s="87"/>
      <c r="O74" s="15">
        <v>1.05</v>
      </c>
      <c r="P74" s="45">
        <v>25</v>
      </c>
    </row>
    <row r="75" spans="1:16" s="213" customFormat="1" ht="19.5">
      <c r="A75" s="203"/>
      <c r="B75" s="204" t="s">
        <v>92</v>
      </c>
      <c r="C75" s="205" t="str">
        <f>'МРСК 2'!C75</f>
        <v>25+25</v>
      </c>
      <c r="D75" s="205">
        <v>15809</v>
      </c>
      <c r="E75" s="205">
        <v>5210</v>
      </c>
      <c r="F75" s="206">
        <f t="shared" si="8"/>
        <v>16.645377166048235</v>
      </c>
      <c r="G75" s="207"/>
      <c r="H75" s="208"/>
      <c r="I75" s="209">
        <f t="shared" si="5"/>
        <v>16.645377166048235</v>
      </c>
      <c r="J75" s="209">
        <v>0</v>
      </c>
      <c r="K75" s="210">
        <f t="shared" si="6"/>
        <v>26.25</v>
      </c>
      <c r="L75" s="211">
        <f t="shared" si="7"/>
        <v>9.604622833951765</v>
      </c>
      <c r="M75" s="371"/>
      <c r="N75" s="212"/>
      <c r="O75" s="213">
        <v>1.05</v>
      </c>
      <c r="P75" s="208">
        <v>25</v>
      </c>
    </row>
    <row r="76" spans="1:16" s="15" customFormat="1" ht="20.25" thickBot="1">
      <c r="A76" s="72"/>
      <c r="B76" s="201" t="s">
        <v>93</v>
      </c>
      <c r="C76" s="128" t="str">
        <f>'МРСК 2'!C76</f>
        <v>25+25</v>
      </c>
      <c r="D76" s="128">
        <v>20765</v>
      </c>
      <c r="E76" s="128">
        <v>11438</v>
      </c>
      <c r="F76" s="120">
        <f t="shared" si="8"/>
        <v>23.706814821903006</v>
      </c>
      <c r="G76" s="76"/>
      <c r="H76" s="77"/>
      <c r="I76" s="78">
        <f t="shared" si="5"/>
        <v>23.706814821903006</v>
      </c>
      <c r="J76" s="78">
        <v>0</v>
      </c>
      <c r="K76" s="79">
        <f t="shared" si="6"/>
        <v>26.25</v>
      </c>
      <c r="L76" s="75">
        <f t="shared" si="7"/>
        <v>2.5431851780969943</v>
      </c>
      <c r="M76" s="372"/>
      <c r="N76" s="80"/>
      <c r="O76" s="15">
        <v>1.05</v>
      </c>
      <c r="P76" s="45">
        <v>25</v>
      </c>
    </row>
    <row r="77" spans="1:16" s="15" customFormat="1" ht="20.25" thickTop="1">
      <c r="A77" s="81">
        <v>40</v>
      </c>
      <c r="B77" s="167" t="s">
        <v>137</v>
      </c>
      <c r="C77" s="129" t="str">
        <f>'МРСК 2'!C77</f>
        <v>16+16</v>
      </c>
      <c r="D77" s="129">
        <f>D78+D79</f>
        <v>2038</v>
      </c>
      <c r="E77" s="129">
        <f>E78+E79</f>
        <v>882</v>
      </c>
      <c r="F77" s="120">
        <f t="shared" si="8"/>
        <v>2.220668367856849</v>
      </c>
      <c r="G77" s="84">
        <v>0</v>
      </c>
      <c r="H77" s="85"/>
      <c r="I77" s="86">
        <f t="shared" si="5"/>
        <v>2.220668367856849</v>
      </c>
      <c r="J77" s="86">
        <v>0</v>
      </c>
      <c r="K77" s="86">
        <f t="shared" si="6"/>
        <v>26.25</v>
      </c>
      <c r="L77" s="103">
        <f t="shared" si="7"/>
        <v>24.02933163214315</v>
      </c>
      <c r="M77" s="370">
        <f>MIN(L77:L79)</f>
        <v>10.904331632143151</v>
      </c>
      <c r="N77" s="87"/>
      <c r="O77" s="15">
        <v>1.05</v>
      </c>
      <c r="P77" s="45">
        <v>25</v>
      </c>
    </row>
    <row r="78" spans="1:16" s="15" customFormat="1" ht="19.5">
      <c r="A78" s="16"/>
      <c r="B78" s="169" t="s">
        <v>92</v>
      </c>
      <c r="C78" s="127" t="str">
        <f>'МРСК 2'!C78</f>
        <v>16+16</v>
      </c>
      <c r="D78" s="127">
        <v>0</v>
      </c>
      <c r="E78" s="127">
        <v>0</v>
      </c>
      <c r="F78" s="120">
        <f t="shared" si="8"/>
        <v>0</v>
      </c>
      <c r="G78" s="31">
        <v>0</v>
      </c>
      <c r="H78" s="45"/>
      <c r="I78" s="17">
        <f t="shared" si="5"/>
        <v>0</v>
      </c>
      <c r="J78" s="17">
        <v>0</v>
      </c>
      <c r="K78" s="29">
        <f t="shared" si="6"/>
        <v>13.125</v>
      </c>
      <c r="L78" s="44">
        <f t="shared" si="7"/>
        <v>13.125</v>
      </c>
      <c r="M78" s="371"/>
      <c r="N78" s="32"/>
      <c r="O78" s="15">
        <v>1.05</v>
      </c>
      <c r="P78" s="45">
        <v>12.5</v>
      </c>
    </row>
    <row r="79" spans="1:16" s="15" customFormat="1" ht="20.25" thickBot="1">
      <c r="A79" s="72"/>
      <c r="B79" s="201" t="s">
        <v>93</v>
      </c>
      <c r="C79" s="128" t="str">
        <f>'МРСК 2'!C79</f>
        <v>16+16</v>
      </c>
      <c r="D79" s="128">
        <v>2038</v>
      </c>
      <c r="E79" s="128">
        <v>882</v>
      </c>
      <c r="F79" s="120">
        <f t="shared" si="8"/>
        <v>2.220668367856849</v>
      </c>
      <c r="G79" s="76">
        <v>0</v>
      </c>
      <c r="H79" s="77"/>
      <c r="I79" s="78">
        <f t="shared" si="5"/>
        <v>2.220668367856849</v>
      </c>
      <c r="J79" s="78">
        <v>0</v>
      </c>
      <c r="K79" s="79">
        <f t="shared" si="6"/>
        <v>13.125</v>
      </c>
      <c r="L79" s="75">
        <f t="shared" si="7"/>
        <v>10.904331632143151</v>
      </c>
      <c r="M79" s="372"/>
      <c r="N79" s="80"/>
      <c r="O79" s="15">
        <v>1.05</v>
      </c>
      <c r="P79" s="45">
        <v>12.5</v>
      </c>
    </row>
    <row r="80" spans="1:16" s="15" customFormat="1" ht="21" thickBot="1" thickTop="1">
      <c r="A80" s="16">
        <v>41</v>
      </c>
      <c r="B80" s="169" t="s">
        <v>138</v>
      </c>
      <c r="C80" s="133" t="str">
        <f>'МРСК 2'!C80</f>
        <v>16+16</v>
      </c>
      <c r="D80" s="133">
        <v>8429</v>
      </c>
      <c r="E80" s="133">
        <v>4606</v>
      </c>
      <c r="F80" s="120">
        <f t="shared" si="8"/>
        <v>9.605377504294143</v>
      </c>
      <c r="G80" s="44">
        <v>6.43</v>
      </c>
      <c r="H80" s="18">
        <v>120</v>
      </c>
      <c r="I80" s="44">
        <f t="shared" si="5"/>
        <v>3.1753775042941434</v>
      </c>
      <c r="J80" s="17">
        <v>0</v>
      </c>
      <c r="K80" s="43">
        <f t="shared" si="6"/>
        <v>16.8</v>
      </c>
      <c r="L80" s="105">
        <f t="shared" si="7"/>
        <v>13.624622495705857</v>
      </c>
      <c r="M80" s="44">
        <f>L80</f>
        <v>13.624622495705857</v>
      </c>
      <c r="N80" s="32"/>
      <c r="O80" s="15">
        <v>1.05</v>
      </c>
      <c r="P80" s="45">
        <v>16</v>
      </c>
    </row>
    <row r="81" spans="1:16" s="15" customFormat="1" ht="20.25" thickTop="1">
      <c r="A81" s="81">
        <v>42</v>
      </c>
      <c r="B81" s="167" t="s">
        <v>136</v>
      </c>
      <c r="C81" s="129" t="str">
        <f>'МРСК 2'!C81</f>
        <v>16+16</v>
      </c>
      <c r="D81" s="129">
        <f>D82+D83</f>
        <v>15102</v>
      </c>
      <c r="E81" s="129">
        <f>E82+E83</f>
        <v>14219</v>
      </c>
      <c r="F81" s="120">
        <f t="shared" si="8"/>
        <v>20.742477311063887</v>
      </c>
      <c r="G81" s="84">
        <v>13.953</v>
      </c>
      <c r="H81" s="85">
        <v>80</v>
      </c>
      <c r="I81" s="86">
        <f t="shared" si="5"/>
        <v>6.789477311063887</v>
      </c>
      <c r="J81" s="86">
        <v>0</v>
      </c>
      <c r="K81" s="86">
        <f t="shared" si="6"/>
        <v>16.8</v>
      </c>
      <c r="L81" s="103">
        <f t="shared" si="7"/>
        <v>10.010522688936113</v>
      </c>
      <c r="M81" s="370">
        <f>MIN(L81:L83)</f>
        <v>6.994424089135485</v>
      </c>
      <c r="N81" s="87"/>
      <c r="O81" s="15">
        <v>1.05</v>
      </c>
      <c r="P81" s="45">
        <v>16</v>
      </c>
    </row>
    <row r="82" spans="1:16" s="15" customFormat="1" ht="19.5">
      <c r="A82" s="16"/>
      <c r="B82" s="169" t="s">
        <v>92</v>
      </c>
      <c r="C82" s="127" t="str">
        <f>'МРСК 2'!C82</f>
        <v>16+16</v>
      </c>
      <c r="D82" s="127">
        <v>7808</v>
      </c>
      <c r="E82" s="127">
        <v>3633</v>
      </c>
      <c r="F82" s="120">
        <f t="shared" si="8"/>
        <v>8.61182634520692</v>
      </c>
      <c r="G82" s="31">
        <v>10.903</v>
      </c>
      <c r="H82" s="45"/>
      <c r="I82" s="17">
        <f t="shared" si="5"/>
        <v>-2.2911736547930808</v>
      </c>
      <c r="J82" s="17">
        <v>0</v>
      </c>
      <c r="K82" s="29">
        <f t="shared" si="6"/>
        <v>16.8</v>
      </c>
      <c r="L82" s="44">
        <f t="shared" si="7"/>
        <v>19.09117365479308</v>
      </c>
      <c r="M82" s="371"/>
      <c r="N82" s="32"/>
      <c r="O82" s="15">
        <v>1.05</v>
      </c>
      <c r="P82" s="45">
        <v>16</v>
      </c>
    </row>
    <row r="83" spans="1:19" s="15" customFormat="1" ht="20.25" thickBot="1">
      <c r="A83" s="72"/>
      <c r="B83" s="201" t="s">
        <v>93</v>
      </c>
      <c r="C83" s="128" t="str">
        <f>'МРСК 2'!C83</f>
        <v>16+16</v>
      </c>
      <c r="D83" s="128">
        <v>7294</v>
      </c>
      <c r="E83" s="128">
        <v>10586</v>
      </c>
      <c r="F83" s="120">
        <f t="shared" si="8"/>
        <v>12.855575910864514</v>
      </c>
      <c r="G83" s="76">
        <v>3.05</v>
      </c>
      <c r="H83" s="77"/>
      <c r="I83" s="78">
        <f t="shared" si="5"/>
        <v>9.805575910864516</v>
      </c>
      <c r="J83" s="78">
        <v>0</v>
      </c>
      <c r="K83" s="79">
        <f t="shared" si="6"/>
        <v>16.8</v>
      </c>
      <c r="L83" s="75">
        <f t="shared" si="7"/>
        <v>6.994424089135485</v>
      </c>
      <c r="M83" s="372"/>
      <c r="N83" s="80"/>
      <c r="O83" s="15">
        <v>1.05</v>
      </c>
      <c r="P83" s="45">
        <v>16</v>
      </c>
      <c r="R83" s="15" t="s">
        <v>57</v>
      </c>
      <c r="S83" s="15">
        <v>11.386617340682111</v>
      </c>
    </row>
    <row r="84" spans="1:19" s="15" customFormat="1" ht="20.25" thickTop="1">
      <c r="A84" s="16">
        <v>43</v>
      </c>
      <c r="B84" s="169" t="s">
        <v>139</v>
      </c>
      <c r="C84" s="133" t="str">
        <f>'МРСК 2'!C84</f>
        <v>40+40</v>
      </c>
      <c r="D84" s="133">
        <v>24528</v>
      </c>
      <c r="E84" s="133">
        <v>8016</v>
      </c>
      <c r="F84" s="120">
        <f t="shared" si="8"/>
        <v>25.804632142311196</v>
      </c>
      <c r="G84" s="44">
        <v>6.73</v>
      </c>
      <c r="H84" s="18">
        <v>120</v>
      </c>
      <c r="I84" s="44">
        <f t="shared" si="5"/>
        <v>19.074632142311195</v>
      </c>
      <c r="J84" s="17">
        <v>0</v>
      </c>
      <c r="K84" s="43">
        <f t="shared" si="6"/>
        <v>42</v>
      </c>
      <c r="L84" s="105">
        <f t="shared" si="7"/>
        <v>22.925367857688805</v>
      </c>
      <c r="M84" s="44">
        <f>MIN(L84:L84)</f>
        <v>22.925367857688805</v>
      </c>
      <c r="N84" s="32"/>
      <c r="O84" s="15">
        <v>1.05</v>
      </c>
      <c r="P84" s="45">
        <v>40</v>
      </c>
      <c r="R84" s="15" t="s">
        <v>40</v>
      </c>
      <c r="S84" s="15">
        <v>11.69773457401763</v>
      </c>
    </row>
    <row r="85" spans="1:19" s="15" customFormat="1" ht="20.25" thickBot="1">
      <c r="A85" s="16">
        <v>44</v>
      </c>
      <c r="B85" s="179" t="s">
        <v>140</v>
      </c>
      <c r="C85" s="133" t="str">
        <f>'МРСК 2'!C85</f>
        <v>40+40</v>
      </c>
      <c r="D85" s="133">
        <v>22234</v>
      </c>
      <c r="E85" s="133">
        <v>5735</v>
      </c>
      <c r="F85" s="120">
        <f t="shared" si="8"/>
        <v>22.961728615241494</v>
      </c>
      <c r="G85" s="44">
        <v>11.23</v>
      </c>
      <c r="H85" s="18">
        <v>120</v>
      </c>
      <c r="I85" s="44">
        <f t="shared" si="5"/>
        <v>11.731728615241494</v>
      </c>
      <c r="J85" s="17">
        <v>0</v>
      </c>
      <c r="K85" s="43">
        <f t="shared" si="6"/>
        <v>42</v>
      </c>
      <c r="L85" s="105">
        <f t="shared" si="7"/>
        <v>30.268271384758506</v>
      </c>
      <c r="M85" s="44">
        <f>MIN(L85:L85)</f>
        <v>30.268271384758506</v>
      </c>
      <c r="N85" s="32"/>
      <c r="O85" s="15">
        <v>1.05</v>
      </c>
      <c r="P85" s="45">
        <v>40</v>
      </c>
      <c r="R85" s="15" t="s">
        <v>38</v>
      </c>
      <c r="S85" s="15">
        <v>18.494572181849524</v>
      </c>
    </row>
    <row r="86" spans="1:19" s="15" customFormat="1" ht="20.25" thickTop="1">
      <c r="A86" s="81">
        <v>45</v>
      </c>
      <c r="B86" s="167" t="s">
        <v>141</v>
      </c>
      <c r="C86" s="129" t="str">
        <f>'МРСК 2'!C86</f>
        <v>40+25</v>
      </c>
      <c r="D86" s="129">
        <f>D87+D88</f>
        <v>20132</v>
      </c>
      <c r="E86" s="129">
        <f>E87+E88</f>
        <v>7256</v>
      </c>
      <c r="F86" s="120">
        <f t="shared" si="8"/>
        <v>21.39969532493395</v>
      </c>
      <c r="G86" s="84">
        <v>12.4</v>
      </c>
      <c r="H86" s="85">
        <v>120</v>
      </c>
      <c r="I86" s="86">
        <f t="shared" si="5"/>
        <v>8.99969532493395</v>
      </c>
      <c r="J86" s="86">
        <v>0</v>
      </c>
      <c r="K86" s="86">
        <f t="shared" si="6"/>
        <v>42</v>
      </c>
      <c r="L86" s="103">
        <f t="shared" si="7"/>
        <v>33.00030467506605</v>
      </c>
      <c r="M86" s="370">
        <f>MIN(L86:L88)</f>
        <v>32.260962733351775</v>
      </c>
      <c r="N86" s="87"/>
      <c r="O86" s="15">
        <v>1.05</v>
      </c>
      <c r="P86" s="45">
        <v>40</v>
      </c>
      <c r="R86" s="15" t="s">
        <v>29</v>
      </c>
      <c r="S86" s="15">
        <v>10.827653027044985</v>
      </c>
    </row>
    <row r="87" spans="1:19" s="15" customFormat="1" ht="19.5">
      <c r="A87" s="16"/>
      <c r="B87" s="169" t="s">
        <v>92</v>
      </c>
      <c r="C87" s="127" t="str">
        <f>'МРСК 2'!C87</f>
        <v>40+25</v>
      </c>
      <c r="D87" s="127">
        <v>14761</v>
      </c>
      <c r="E87" s="127">
        <v>6085</v>
      </c>
      <c r="F87" s="120">
        <f t="shared" si="8"/>
        <v>15.966037266648227</v>
      </c>
      <c r="G87" s="31">
        <v>6.227</v>
      </c>
      <c r="H87" s="45"/>
      <c r="I87" s="17">
        <f t="shared" si="5"/>
        <v>9.739037266648227</v>
      </c>
      <c r="J87" s="17">
        <v>0</v>
      </c>
      <c r="K87" s="29">
        <f t="shared" si="6"/>
        <v>42</v>
      </c>
      <c r="L87" s="44">
        <f t="shared" si="7"/>
        <v>32.260962733351775</v>
      </c>
      <c r="M87" s="371"/>
      <c r="N87" s="32"/>
      <c r="O87" s="15">
        <v>1.05</v>
      </c>
      <c r="P87" s="45">
        <v>40</v>
      </c>
      <c r="R87" s="15" t="s">
        <v>25</v>
      </c>
      <c r="S87" s="15">
        <v>10.735904046770756</v>
      </c>
    </row>
    <row r="88" spans="1:19" s="15" customFormat="1" ht="20.25" thickBot="1">
      <c r="A88" s="72"/>
      <c r="B88" s="201" t="s">
        <v>93</v>
      </c>
      <c r="C88" s="128" t="str">
        <f>'МРСК 2'!C88</f>
        <v>40+25</v>
      </c>
      <c r="D88" s="128">
        <v>5371</v>
      </c>
      <c r="E88" s="128">
        <v>1171</v>
      </c>
      <c r="F88" s="120">
        <f t="shared" si="8"/>
        <v>5.497170363014048</v>
      </c>
      <c r="G88" s="76">
        <v>6.173</v>
      </c>
      <c r="H88" s="77"/>
      <c r="I88" s="78">
        <f t="shared" si="5"/>
        <v>-0.6758296369859522</v>
      </c>
      <c r="J88" s="78">
        <v>0</v>
      </c>
      <c r="K88" s="79">
        <f t="shared" si="6"/>
        <v>42</v>
      </c>
      <c r="L88" s="75">
        <f t="shared" si="7"/>
        <v>42.67582963698595</v>
      </c>
      <c r="M88" s="372"/>
      <c r="N88" s="80"/>
      <c r="O88" s="15">
        <v>1.05</v>
      </c>
      <c r="P88" s="45">
        <v>40</v>
      </c>
      <c r="R88" s="15" t="s">
        <v>44</v>
      </c>
      <c r="S88" s="15">
        <v>19.808273593115338</v>
      </c>
    </row>
    <row r="89" spans="1:16" s="15" customFormat="1" ht="21" thickBot="1" thickTop="1">
      <c r="A89" s="16">
        <v>46</v>
      </c>
      <c r="B89" s="179" t="s">
        <v>142</v>
      </c>
      <c r="C89" s="133" t="str">
        <f>'МРСК 2'!C89</f>
        <v>16+16</v>
      </c>
      <c r="D89" s="133">
        <v>15750</v>
      </c>
      <c r="E89" s="133">
        <v>4520</v>
      </c>
      <c r="F89" s="120">
        <f t="shared" si="8"/>
        <v>16.385752957981516</v>
      </c>
      <c r="G89" s="44">
        <v>1.249</v>
      </c>
      <c r="H89" s="18">
        <v>80</v>
      </c>
      <c r="I89" s="44">
        <f t="shared" si="5"/>
        <v>15.136752957981516</v>
      </c>
      <c r="J89" s="17">
        <v>0</v>
      </c>
      <c r="K89" s="43">
        <f t="shared" si="6"/>
        <v>16.8</v>
      </c>
      <c r="L89" s="105">
        <f t="shared" si="7"/>
        <v>1.6632470420184848</v>
      </c>
      <c r="M89" s="44">
        <f>L89</f>
        <v>1.6632470420184848</v>
      </c>
      <c r="N89" s="32"/>
      <c r="O89" s="15">
        <v>1.05</v>
      </c>
      <c r="P89" s="45">
        <v>16</v>
      </c>
    </row>
    <row r="90" spans="1:16" s="15" customFormat="1" ht="20.25" thickTop="1">
      <c r="A90" s="81">
        <v>47</v>
      </c>
      <c r="B90" s="167" t="s">
        <v>143</v>
      </c>
      <c r="C90" s="129" t="str">
        <f>'МРСК 2'!C90</f>
        <v>10+10</v>
      </c>
      <c r="D90" s="129">
        <f>D91+D92</f>
        <v>11674</v>
      </c>
      <c r="E90" s="129">
        <f>E91+E92</f>
        <v>4784</v>
      </c>
      <c r="F90" s="120">
        <f t="shared" si="8"/>
        <v>12.616217024132075</v>
      </c>
      <c r="G90" s="84">
        <v>6.16</v>
      </c>
      <c r="H90" s="85">
        <v>80</v>
      </c>
      <c r="I90" s="86">
        <f t="shared" si="5"/>
        <v>6.456217024132075</v>
      </c>
      <c r="J90" s="86">
        <v>0</v>
      </c>
      <c r="K90" s="86">
        <f t="shared" si="6"/>
        <v>10.5</v>
      </c>
      <c r="L90" s="103">
        <f t="shared" si="7"/>
        <v>4.043782975867925</v>
      </c>
      <c r="M90" s="370">
        <f>MIN(L90:L92)</f>
        <v>3.8937446311776664</v>
      </c>
      <c r="N90" s="87"/>
      <c r="O90" s="15">
        <v>1.05</v>
      </c>
      <c r="P90" s="45">
        <v>10</v>
      </c>
    </row>
    <row r="91" spans="1:16" s="15" customFormat="1" ht="19.5">
      <c r="A91" s="16"/>
      <c r="B91" s="169" t="s">
        <v>92</v>
      </c>
      <c r="C91" s="127" t="str">
        <f>'МРСК 2'!C91</f>
        <v>10+10</v>
      </c>
      <c r="D91" s="127">
        <v>8312</v>
      </c>
      <c r="E91" s="127">
        <v>3402</v>
      </c>
      <c r="F91" s="120">
        <f t="shared" si="8"/>
        <v>8.981255368822334</v>
      </c>
      <c r="G91" s="31">
        <v>2.375</v>
      </c>
      <c r="H91" s="45"/>
      <c r="I91" s="17">
        <f t="shared" si="5"/>
        <v>6.6062553688223336</v>
      </c>
      <c r="J91" s="17">
        <v>0</v>
      </c>
      <c r="K91" s="29">
        <f t="shared" si="6"/>
        <v>10.5</v>
      </c>
      <c r="L91" s="44">
        <f t="shared" si="7"/>
        <v>3.8937446311776664</v>
      </c>
      <c r="M91" s="371"/>
      <c r="N91" s="32"/>
      <c r="O91" s="15">
        <v>1.05</v>
      </c>
      <c r="P91" s="45">
        <v>10</v>
      </c>
    </row>
    <row r="92" spans="1:16" s="15" customFormat="1" ht="20.25" thickBot="1">
      <c r="A92" s="72"/>
      <c r="B92" s="201" t="s">
        <v>93</v>
      </c>
      <c r="C92" s="128" t="str">
        <f>'МРСК 2'!C92</f>
        <v>10+10</v>
      </c>
      <c r="D92" s="128">
        <v>3362</v>
      </c>
      <c r="E92" s="128">
        <v>1382</v>
      </c>
      <c r="F92" s="120">
        <f t="shared" si="8"/>
        <v>3.6349646490715695</v>
      </c>
      <c r="G92" s="76">
        <v>3.785</v>
      </c>
      <c r="H92" s="77"/>
      <c r="I92" s="78">
        <f t="shared" si="5"/>
        <v>-0.15003535092843068</v>
      </c>
      <c r="J92" s="78">
        <v>0</v>
      </c>
      <c r="K92" s="79">
        <f t="shared" si="6"/>
        <v>10.5</v>
      </c>
      <c r="L92" s="75">
        <f t="shared" si="7"/>
        <v>10.65003535092843</v>
      </c>
      <c r="M92" s="372"/>
      <c r="N92" s="80"/>
      <c r="O92" s="15">
        <v>1.05</v>
      </c>
      <c r="P92" s="45">
        <v>10</v>
      </c>
    </row>
    <row r="93" spans="1:16" s="15" customFormat="1" ht="20.25" thickTop="1">
      <c r="A93" s="81">
        <v>48</v>
      </c>
      <c r="B93" s="167" t="s">
        <v>144</v>
      </c>
      <c r="C93" s="129" t="str">
        <f>'МРСК 2'!C93</f>
        <v>16+16</v>
      </c>
      <c r="D93" s="129">
        <f>D94+D95</f>
        <v>13335</v>
      </c>
      <c r="E93" s="129">
        <f>E94+E95</f>
        <v>6036</v>
      </c>
      <c r="F93" s="120">
        <f t="shared" si="8"/>
        <v>14.637469760856895</v>
      </c>
      <c r="G93" s="84">
        <v>7.7116</v>
      </c>
      <c r="H93" s="85">
        <v>120</v>
      </c>
      <c r="I93" s="86">
        <f t="shared" si="5"/>
        <v>6.925869760856895</v>
      </c>
      <c r="J93" s="86">
        <v>0</v>
      </c>
      <c r="K93" s="86">
        <f t="shared" si="6"/>
        <v>16.8</v>
      </c>
      <c r="L93" s="103">
        <f t="shared" si="7"/>
        <v>9.874130239143106</v>
      </c>
      <c r="M93" s="370">
        <f>MIN(L93:L95)</f>
        <v>9.874130239143106</v>
      </c>
      <c r="N93" s="87"/>
      <c r="O93" s="15">
        <v>1.05</v>
      </c>
      <c r="P93" s="45">
        <v>16</v>
      </c>
    </row>
    <row r="94" spans="1:16" s="15" customFormat="1" ht="19.5">
      <c r="A94" s="16"/>
      <c r="B94" s="169" t="s">
        <v>92</v>
      </c>
      <c r="C94" s="127" t="str">
        <f>'МРСК 2'!C94</f>
        <v>16+16</v>
      </c>
      <c r="D94" s="127">
        <v>6823</v>
      </c>
      <c r="E94" s="127">
        <v>3368</v>
      </c>
      <c r="F94" s="120">
        <f t="shared" si="8"/>
        <v>7.608991588903224</v>
      </c>
      <c r="G94" s="31">
        <v>4.854</v>
      </c>
      <c r="H94" s="45"/>
      <c r="I94" s="17">
        <f t="shared" si="5"/>
        <v>2.7549915889032235</v>
      </c>
      <c r="J94" s="17">
        <v>0</v>
      </c>
      <c r="K94" s="29">
        <f t="shared" si="6"/>
        <v>16.8</v>
      </c>
      <c r="L94" s="44">
        <f t="shared" si="7"/>
        <v>14.045008411096777</v>
      </c>
      <c r="M94" s="371"/>
      <c r="N94" s="32"/>
      <c r="O94" s="15">
        <v>1.05</v>
      </c>
      <c r="P94" s="45">
        <v>16</v>
      </c>
    </row>
    <row r="95" spans="1:16" s="15" customFormat="1" ht="20.25" thickBot="1">
      <c r="A95" s="72"/>
      <c r="B95" s="201" t="s">
        <v>93</v>
      </c>
      <c r="C95" s="128" t="str">
        <f>'МРСК 2'!C95</f>
        <v>16+16</v>
      </c>
      <c r="D95" s="128">
        <v>6512</v>
      </c>
      <c r="E95" s="128">
        <v>2668</v>
      </c>
      <c r="F95" s="120">
        <f t="shared" si="8"/>
        <v>7.037355185010914</v>
      </c>
      <c r="G95" s="76">
        <v>2.8575999999999997</v>
      </c>
      <c r="H95" s="77"/>
      <c r="I95" s="78">
        <f t="shared" si="5"/>
        <v>4.179755185010914</v>
      </c>
      <c r="J95" s="78">
        <v>0</v>
      </c>
      <c r="K95" s="79">
        <f t="shared" si="6"/>
        <v>16.8</v>
      </c>
      <c r="L95" s="75">
        <f t="shared" si="7"/>
        <v>12.620244814989086</v>
      </c>
      <c r="M95" s="372"/>
      <c r="N95" s="80"/>
      <c r="O95" s="15">
        <v>1.05</v>
      </c>
      <c r="P95" s="45">
        <v>16</v>
      </c>
    </row>
    <row r="96" spans="1:16" s="15" customFormat="1" ht="20.25" thickTop="1">
      <c r="A96" s="81">
        <v>49</v>
      </c>
      <c r="B96" s="167" t="s">
        <v>146</v>
      </c>
      <c r="C96" s="129" t="str">
        <f>'МРСК 2'!C96</f>
        <v>25+25</v>
      </c>
      <c r="D96" s="129">
        <f>D97+D98</f>
        <v>11009</v>
      </c>
      <c r="E96" s="129">
        <f>E97+E98</f>
        <v>4506</v>
      </c>
      <c r="F96" s="120">
        <f t="shared" si="8"/>
        <v>11.895466237184653</v>
      </c>
      <c r="G96" s="84">
        <v>9.65</v>
      </c>
      <c r="H96" s="85">
        <v>80</v>
      </c>
      <c r="I96" s="86">
        <f t="shared" si="5"/>
        <v>2.2454662371846528</v>
      </c>
      <c r="J96" s="86">
        <v>0</v>
      </c>
      <c r="K96" s="86">
        <f t="shared" si="6"/>
        <v>26.25</v>
      </c>
      <c r="L96" s="103">
        <f t="shared" si="7"/>
        <v>24.00453376281535</v>
      </c>
      <c r="M96" s="370">
        <f>MIN(L96:L98)</f>
        <v>20.00675847204607</v>
      </c>
      <c r="N96" s="87"/>
      <c r="O96" s="15">
        <v>1.05</v>
      </c>
      <c r="P96" s="45">
        <v>25</v>
      </c>
    </row>
    <row r="97" spans="1:16" s="15" customFormat="1" ht="19.5">
      <c r="A97" s="16"/>
      <c r="B97" s="169" t="s">
        <v>92</v>
      </c>
      <c r="C97" s="127" t="str">
        <f>'МРСК 2'!C97</f>
        <v>25+25</v>
      </c>
      <c r="D97" s="127">
        <v>1548</v>
      </c>
      <c r="E97" s="127">
        <v>580</v>
      </c>
      <c r="F97" s="120">
        <f t="shared" si="8"/>
        <v>1.6530892292916315</v>
      </c>
      <c r="G97" s="31">
        <v>1.384</v>
      </c>
      <c r="H97" s="45"/>
      <c r="I97" s="17">
        <f t="shared" si="5"/>
        <v>0.2690892292916316</v>
      </c>
      <c r="J97" s="17">
        <v>0</v>
      </c>
      <c r="K97" s="29">
        <f t="shared" si="6"/>
        <v>26.25</v>
      </c>
      <c r="L97" s="44">
        <f t="shared" si="7"/>
        <v>25.98091077070837</v>
      </c>
      <c r="M97" s="371"/>
      <c r="N97" s="32"/>
      <c r="O97" s="15">
        <v>1.05</v>
      </c>
      <c r="P97" s="45">
        <v>25</v>
      </c>
    </row>
    <row r="98" spans="1:16" s="15" customFormat="1" ht="20.25" thickBot="1">
      <c r="A98" s="72"/>
      <c r="B98" s="201" t="s">
        <v>93</v>
      </c>
      <c r="C98" s="128" t="str">
        <f>'МРСК 2'!C98</f>
        <v>25+25</v>
      </c>
      <c r="D98" s="128">
        <v>9461</v>
      </c>
      <c r="E98" s="128">
        <v>3926</v>
      </c>
      <c r="F98" s="120">
        <f t="shared" si="8"/>
        <v>10.24324152795393</v>
      </c>
      <c r="G98" s="76">
        <v>4</v>
      </c>
      <c r="H98" s="77"/>
      <c r="I98" s="78">
        <f t="shared" si="5"/>
        <v>6.243241527953931</v>
      </c>
      <c r="J98" s="78">
        <v>0</v>
      </c>
      <c r="K98" s="79">
        <f t="shared" si="6"/>
        <v>26.25</v>
      </c>
      <c r="L98" s="75">
        <f t="shared" si="7"/>
        <v>20.00675847204607</v>
      </c>
      <c r="M98" s="372"/>
      <c r="N98" s="80"/>
      <c r="O98" s="15">
        <v>1.05</v>
      </c>
      <c r="P98" s="45">
        <v>25</v>
      </c>
    </row>
    <row r="99" spans="1:16" s="15" customFormat="1" ht="20.25" thickTop="1">
      <c r="A99" s="81">
        <v>50</v>
      </c>
      <c r="B99" s="167" t="s">
        <v>145</v>
      </c>
      <c r="C99" s="129" t="str">
        <f>'МРСК 2'!C99</f>
        <v>16+16+16</v>
      </c>
      <c r="D99" s="129">
        <f>D100+D101</f>
        <v>19319</v>
      </c>
      <c r="E99" s="129">
        <f>E100+E101</f>
        <v>8126</v>
      </c>
      <c r="F99" s="120">
        <f t="shared" si="8"/>
        <v>20.958426396082317</v>
      </c>
      <c r="G99" s="84">
        <v>2.019</v>
      </c>
      <c r="H99" s="85">
        <v>20</v>
      </c>
      <c r="I99" s="86">
        <f t="shared" si="5"/>
        <v>18.939426396082318</v>
      </c>
      <c r="J99" s="86">
        <v>0</v>
      </c>
      <c r="K99" s="86">
        <f t="shared" si="6"/>
        <v>33.6</v>
      </c>
      <c r="L99" s="103">
        <f t="shared" si="7"/>
        <v>14.660573603917683</v>
      </c>
      <c r="M99" s="370">
        <f>MIN(L99:L101)</f>
        <v>14.660573603917683</v>
      </c>
      <c r="N99" s="87"/>
      <c r="O99" s="15">
        <v>1.05</v>
      </c>
      <c r="P99" s="45">
        <v>32</v>
      </c>
    </row>
    <row r="100" spans="1:16" s="15" customFormat="1" ht="19.5">
      <c r="A100" s="16"/>
      <c r="B100" s="169" t="s">
        <v>92</v>
      </c>
      <c r="C100" s="127" t="str">
        <f>'МРСК 2'!C100</f>
        <v>16+16+16</v>
      </c>
      <c r="D100" s="127">
        <v>7145</v>
      </c>
      <c r="E100" s="127">
        <v>2668</v>
      </c>
      <c r="F100" s="120">
        <f t="shared" si="8"/>
        <v>7.626876752642592</v>
      </c>
      <c r="G100" s="31">
        <v>1.719</v>
      </c>
      <c r="H100" s="45"/>
      <c r="I100" s="17">
        <f t="shared" si="5"/>
        <v>5.907876752642592</v>
      </c>
      <c r="J100" s="17">
        <v>0</v>
      </c>
      <c r="K100" s="29">
        <f t="shared" si="6"/>
        <v>33.6</v>
      </c>
      <c r="L100" s="44">
        <f t="shared" si="7"/>
        <v>27.692123247357408</v>
      </c>
      <c r="M100" s="371"/>
      <c r="N100" s="32"/>
      <c r="O100" s="15">
        <v>1.05</v>
      </c>
      <c r="P100" s="45">
        <v>32</v>
      </c>
    </row>
    <row r="101" spans="1:16" s="15" customFormat="1" ht="20.25" thickBot="1">
      <c r="A101" s="72"/>
      <c r="B101" s="201" t="s">
        <v>93</v>
      </c>
      <c r="C101" s="128" t="str">
        <f>'МРСК 2'!C101</f>
        <v>16+16+16</v>
      </c>
      <c r="D101" s="128">
        <v>12174</v>
      </c>
      <c r="E101" s="128">
        <v>5458</v>
      </c>
      <c r="F101" s="120">
        <f t="shared" si="8"/>
        <v>13.341515656026491</v>
      </c>
      <c r="G101" s="76">
        <v>0.3</v>
      </c>
      <c r="H101" s="77"/>
      <c r="I101" s="78">
        <f t="shared" si="5"/>
        <v>13.04151565602649</v>
      </c>
      <c r="J101" s="78">
        <v>0</v>
      </c>
      <c r="K101" s="79">
        <f t="shared" si="6"/>
        <v>33.6</v>
      </c>
      <c r="L101" s="75">
        <f t="shared" si="7"/>
        <v>20.55848434397351</v>
      </c>
      <c r="M101" s="372"/>
      <c r="N101" s="80"/>
      <c r="O101" s="15">
        <v>1.05</v>
      </c>
      <c r="P101" s="45">
        <v>32</v>
      </c>
    </row>
    <row r="102" spans="1:16" s="146" customFormat="1" ht="21" thickBot="1" thickTop="1">
      <c r="A102" s="81">
        <v>51</v>
      </c>
      <c r="B102" s="179" t="s">
        <v>290</v>
      </c>
      <c r="C102" s="133" t="s">
        <v>61</v>
      </c>
      <c r="D102" s="133">
        <v>823</v>
      </c>
      <c r="E102" s="133">
        <v>139</v>
      </c>
      <c r="F102" s="120">
        <f>SQRT(D102*D102+E102*E102)/1000</f>
        <v>0.8346556176052492</v>
      </c>
      <c r="G102" s="141">
        <v>0</v>
      </c>
      <c r="H102" s="142">
        <v>0</v>
      </c>
      <c r="I102" s="141">
        <f>F102-G102</f>
        <v>0.8346556176052492</v>
      </c>
      <c r="J102" s="143">
        <v>0</v>
      </c>
      <c r="K102" s="144">
        <f>O102*P102</f>
        <v>16.8</v>
      </c>
      <c r="L102" s="120">
        <f>K102-J102-I102</f>
        <v>15.965344382394752</v>
      </c>
      <c r="M102" s="141">
        <f>L102</f>
        <v>15.965344382394752</v>
      </c>
      <c r="N102" s="145"/>
      <c r="O102" s="146">
        <v>1.05</v>
      </c>
      <c r="P102" s="133">
        <v>16</v>
      </c>
    </row>
    <row r="103" spans="1:16" s="15" customFormat="1" ht="20.25" thickTop="1">
      <c r="A103" s="16">
        <v>52</v>
      </c>
      <c r="B103" s="167" t="s">
        <v>147</v>
      </c>
      <c r="C103" s="129" t="str">
        <f>'МРСК 2'!C102</f>
        <v>10+10</v>
      </c>
      <c r="D103" s="129">
        <f>D104+D105</f>
        <v>9465</v>
      </c>
      <c r="E103" s="129">
        <f>E104+E105</f>
        <v>4131</v>
      </c>
      <c r="F103" s="120">
        <f t="shared" si="8"/>
        <v>10.327215791296316</v>
      </c>
      <c r="G103" s="84">
        <v>9.158000000000001</v>
      </c>
      <c r="H103" s="85">
        <v>120</v>
      </c>
      <c r="I103" s="86">
        <f t="shared" si="5"/>
        <v>1.169215791296315</v>
      </c>
      <c r="J103" s="86">
        <v>0</v>
      </c>
      <c r="K103" s="86">
        <f t="shared" si="6"/>
        <v>10.5</v>
      </c>
      <c r="L103" s="103">
        <f t="shared" si="7"/>
        <v>9.330784208703685</v>
      </c>
      <c r="M103" s="370">
        <f>MIN(L103:L105)</f>
        <v>9.330784208703685</v>
      </c>
      <c r="N103" s="87"/>
      <c r="O103" s="15">
        <v>1.05</v>
      </c>
      <c r="P103" s="45">
        <v>10</v>
      </c>
    </row>
    <row r="104" spans="1:16" s="15" customFormat="1" ht="20.25" thickBot="1">
      <c r="A104" s="72"/>
      <c r="B104" s="169" t="s">
        <v>92</v>
      </c>
      <c r="C104" s="127" t="str">
        <f>'МРСК 2'!C103</f>
        <v>10+10</v>
      </c>
      <c r="D104" s="127">
        <v>4111</v>
      </c>
      <c r="E104" s="127">
        <v>1829</v>
      </c>
      <c r="F104" s="120">
        <f t="shared" si="8"/>
        <v>4.499506861868309</v>
      </c>
      <c r="G104" s="31">
        <v>3.52</v>
      </c>
      <c r="H104" s="45"/>
      <c r="I104" s="17">
        <f t="shared" si="5"/>
        <v>0.9795068618683094</v>
      </c>
      <c r="J104" s="17">
        <v>0</v>
      </c>
      <c r="K104" s="29">
        <f t="shared" si="6"/>
        <v>10.5</v>
      </c>
      <c r="L104" s="44">
        <f t="shared" si="7"/>
        <v>9.520493138131691</v>
      </c>
      <c r="M104" s="371"/>
      <c r="N104" s="32"/>
      <c r="O104" s="15">
        <v>1.05</v>
      </c>
      <c r="P104" s="45">
        <v>10</v>
      </c>
    </row>
    <row r="105" spans="1:16" s="15" customFormat="1" ht="21" thickBot="1" thickTop="1">
      <c r="A105" s="16"/>
      <c r="B105" s="201" t="s">
        <v>93</v>
      </c>
      <c r="C105" s="128" t="str">
        <f>'МРСК 2'!C104</f>
        <v>10+10</v>
      </c>
      <c r="D105" s="128">
        <v>5354</v>
      </c>
      <c r="E105" s="128">
        <v>2302</v>
      </c>
      <c r="F105" s="120">
        <f t="shared" si="8"/>
        <v>5.827908715825943</v>
      </c>
      <c r="G105" s="76">
        <v>5.638000000000001</v>
      </c>
      <c r="H105" s="77"/>
      <c r="I105" s="78">
        <f t="shared" si="5"/>
        <v>0.1899087158259425</v>
      </c>
      <c r="J105" s="78">
        <v>0</v>
      </c>
      <c r="K105" s="79">
        <f aca="true" t="shared" si="9" ref="K105:K160">O105*P105</f>
        <v>10.5</v>
      </c>
      <c r="L105" s="75">
        <f aca="true" t="shared" si="10" ref="L105:L160">K105-J105-I105</f>
        <v>10.310091284174057</v>
      </c>
      <c r="M105" s="372"/>
      <c r="N105" s="80"/>
      <c r="O105" s="15">
        <v>1.05</v>
      </c>
      <c r="P105" s="45">
        <v>10</v>
      </c>
    </row>
    <row r="106" spans="1:16" s="200" customFormat="1" ht="21" thickBot="1" thickTop="1">
      <c r="A106" s="195">
        <v>53</v>
      </c>
      <c r="B106" s="167" t="s">
        <v>289</v>
      </c>
      <c r="C106" s="129" t="str">
        <f>'МРСК 2'!C106</f>
        <v>40+40</v>
      </c>
      <c r="D106" s="129">
        <v>6141</v>
      </c>
      <c r="E106" s="129">
        <v>1360</v>
      </c>
      <c r="F106" s="196">
        <f>SQRT(D106*D106+E106*E106)/1000</f>
        <v>6.289791808955206</v>
      </c>
      <c r="G106" s="84"/>
      <c r="H106" s="83"/>
      <c r="I106" s="101">
        <f>F106-G106</f>
        <v>6.289791808955206</v>
      </c>
      <c r="J106" s="101">
        <v>0</v>
      </c>
      <c r="K106" s="101">
        <f>O106*P106</f>
        <v>42</v>
      </c>
      <c r="L106" s="197">
        <f>K106-J106-I106</f>
        <v>35.71020819104479</v>
      </c>
      <c r="M106" s="198">
        <f>L106</f>
        <v>35.71020819104479</v>
      </c>
      <c r="N106" s="199"/>
      <c r="O106" s="200">
        <v>1.05</v>
      </c>
      <c r="P106" s="10">
        <v>40</v>
      </c>
    </row>
    <row r="107" spans="1:16" s="15" customFormat="1" ht="20.25" thickTop="1">
      <c r="A107" s="81">
        <v>54</v>
      </c>
      <c r="B107" s="167" t="s">
        <v>148</v>
      </c>
      <c r="C107" s="129" t="str">
        <f>'МРСК 2'!C107</f>
        <v>16+16</v>
      </c>
      <c r="D107" s="129">
        <f>D108+D109</f>
        <v>8770</v>
      </c>
      <c r="E107" s="129">
        <f>E108+E109</f>
        <v>4874</v>
      </c>
      <c r="F107" s="120">
        <f t="shared" si="8"/>
        <v>10.03338307850348</v>
      </c>
      <c r="G107" s="84">
        <v>11.48</v>
      </c>
      <c r="H107" s="85">
        <v>45</v>
      </c>
      <c r="I107" s="86">
        <f t="shared" si="5"/>
        <v>-1.4466169214965205</v>
      </c>
      <c r="J107" s="86">
        <v>0</v>
      </c>
      <c r="K107" s="86">
        <f t="shared" si="9"/>
        <v>16.8</v>
      </c>
      <c r="L107" s="103">
        <f t="shared" si="10"/>
        <v>18.24661692149652</v>
      </c>
      <c r="M107" s="370">
        <f>MIN(L107:L109)</f>
        <v>17.282642160222647</v>
      </c>
      <c r="N107" s="87"/>
      <c r="O107" s="15">
        <v>1.05</v>
      </c>
      <c r="P107" s="45">
        <v>16</v>
      </c>
    </row>
    <row r="108" spans="1:16" s="15" customFormat="1" ht="19.5">
      <c r="A108" s="16"/>
      <c r="B108" s="169" t="s">
        <v>92</v>
      </c>
      <c r="C108" s="127" t="str">
        <f>'МРСК 2'!C108</f>
        <v>16+16</v>
      </c>
      <c r="D108" s="127">
        <v>7336</v>
      </c>
      <c r="E108" s="127">
        <v>4290</v>
      </c>
      <c r="F108" s="120">
        <f t="shared" si="8"/>
        <v>8.498293711092833</v>
      </c>
      <c r="G108" s="31">
        <v>9.449</v>
      </c>
      <c r="H108" s="45"/>
      <c r="I108" s="17">
        <f t="shared" si="5"/>
        <v>-0.9507062889071669</v>
      </c>
      <c r="J108" s="17">
        <v>0</v>
      </c>
      <c r="K108" s="29">
        <f t="shared" si="9"/>
        <v>16.8</v>
      </c>
      <c r="L108" s="44">
        <f t="shared" si="10"/>
        <v>17.750706288907168</v>
      </c>
      <c r="M108" s="371"/>
      <c r="N108" s="32"/>
      <c r="O108" s="15">
        <v>1.05</v>
      </c>
      <c r="P108" s="45">
        <v>16</v>
      </c>
    </row>
    <row r="109" spans="1:16" s="15" customFormat="1" ht="20.25" thickBot="1">
      <c r="A109" s="72"/>
      <c r="B109" s="201" t="s">
        <v>93</v>
      </c>
      <c r="C109" s="128" t="str">
        <f>'МРСК 2'!C109</f>
        <v>16+16</v>
      </c>
      <c r="D109" s="128">
        <v>1434</v>
      </c>
      <c r="E109" s="128">
        <v>584</v>
      </c>
      <c r="F109" s="120">
        <f t="shared" si="8"/>
        <v>1.5483578397773559</v>
      </c>
      <c r="G109" s="76">
        <v>2.0310000000000006</v>
      </c>
      <c r="H109" s="77"/>
      <c r="I109" s="78">
        <f t="shared" si="5"/>
        <v>-0.4826421602226447</v>
      </c>
      <c r="J109" s="78">
        <v>0</v>
      </c>
      <c r="K109" s="79">
        <f t="shared" si="9"/>
        <v>16.8</v>
      </c>
      <c r="L109" s="75">
        <f t="shared" si="10"/>
        <v>17.282642160222647</v>
      </c>
      <c r="M109" s="372"/>
      <c r="N109" s="80"/>
      <c r="O109" s="15">
        <v>1.05</v>
      </c>
      <c r="P109" s="45">
        <v>16</v>
      </c>
    </row>
    <row r="110" spans="1:16" s="15" customFormat="1" ht="20.25" thickTop="1">
      <c r="A110" s="81">
        <v>55</v>
      </c>
      <c r="B110" s="167" t="s">
        <v>149</v>
      </c>
      <c r="C110" s="129" t="str">
        <f>'МРСК 2'!C110</f>
        <v>25+31,5</v>
      </c>
      <c r="D110" s="129">
        <f>D111+D112</f>
        <v>17666</v>
      </c>
      <c r="E110" s="129">
        <f>E111+E112</f>
        <v>7970</v>
      </c>
      <c r="F110" s="120">
        <f t="shared" si="8"/>
        <v>19.38062062989728</v>
      </c>
      <c r="G110" s="84">
        <v>9.119</v>
      </c>
      <c r="H110" s="85">
        <v>80</v>
      </c>
      <c r="I110" s="86">
        <f t="shared" si="5"/>
        <v>10.26162062989728</v>
      </c>
      <c r="J110" s="86">
        <v>0</v>
      </c>
      <c r="K110" s="86">
        <f t="shared" si="9"/>
        <v>26.25</v>
      </c>
      <c r="L110" s="103">
        <f t="shared" si="10"/>
        <v>15.98837937010272</v>
      </c>
      <c r="M110" s="370">
        <f>MIN(L110:L112)</f>
        <v>15.223676212133114</v>
      </c>
      <c r="N110" s="87"/>
      <c r="O110" s="15">
        <v>1.05</v>
      </c>
      <c r="P110" s="45">
        <v>25</v>
      </c>
    </row>
    <row r="111" spans="1:19" s="15" customFormat="1" ht="19.5">
      <c r="A111" s="16"/>
      <c r="B111" s="169" t="s">
        <v>92</v>
      </c>
      <c r="C111" s="127" t="str">
        <f>'МРСК 2'!C111</f>
        <v>25+31,5</v>
      </c>
      <c r="D111" s="127">
        <v>6226</v>
      </c>
      <c r="E111" s="127">
        <v>3410</v>
      </c>
      <c r="F111" s="120">
        <f t="shared" si="8"/>
        <v>7.0986742424202</v>
      </c>
      <c r="G111" s="31">
        <v>7.83</v>
      </c>
      <c r="H111" s="45"/>
      <c r="I111" s="17">
        <f t="shared" si="5"/>
        <v>-0.7313257575797998</v>
      </c>
      <c r="J111" s="17">
        <v>0</v>
      </c>
      <c r="K111" s="29">
        <f t="shared" si="9"/>
        <v>26.25</v>
      </c>
      <c r="L111" s="44">
        <f t="shared" si="10"/>
        <v>26.9813257575798</v>
      </c>
      <c r="M111" s="371"/>
      <c r="N111" s="32"/>
      <c r="O111" s="15">
        <v>1.05</v>
      </c>
      <c r="P111" s="45">
        <v>25</v>
      </c>
      <c r="R111" s="15" t="s">
        <v>58</v>
      </c>
      <c r="S111" s="15">
        <v>2.351</v>
      </c>
    </row>
    <row r="112" spans="1:19" s="15" customFormat="1" ht="20.25" thickBot="1">
      <c r="A112" s="72"/>
      <c r="B112" s="201" t="s">
        <v>93</v>
      </c>
      <c r="C112" s="128" t="str">
        <f>'МРСК 2'!C112</f>
        <v>25+31,5</v>
      </c>
      <c r="D112" s="128">
        <v>11440</v>
      </c>
      <c r="E112" s="128">
        <v>4560</v>
      </c>
      <c r="F112" s="120">
        <f t="shared" si="8"/>
        <v>12.315323787866886</v>
      </c>
      <c r="G112" s="76">
        <v>1.2889999999999997</v>
      </c>
      <c r="H112" s="77"/>
      <c r="I112" s="78">
        <f t="shared" si="5"/>
        <v>11.026323787866886</v>
      </c>
      <c r="J112" s="78">
        <v>0</v>
      </c>
      <c r="K112" s="79">
        <f t="shared" si="9"/>
        <v>26.25</v>
      </c>
      <c r="L112" s="75">
        <f t="shared" si="10"/>
        <v>15.223676212133114</v>
      </c>
      <c r="M112" s="372"/>
      <c r="N112" s="80"/>
      <c r="O112" s="15">
        <v>1.05</v>
      </c>
      <c r="P112" s="45">
        <v>25</v>
      </c>
      <c r="R112" s="15" t="s">
        <v>83</v>
      </c>
      <c r="S112" s="15">
        <v>6.5595053091557975</v>
      </c>
    </row>
    <row r="113" spans="1:19" s="15" customFormat="1" ht="20.25" thickTop="1">
      <c r="A113" s="16">
        <v>56</v>
      </c>
      <c r="B113" s="179" t="s">
        <v>150</v>
      </c>
      <c r="C113" s="133" t="str">
        <f>'МРСК 2'!C113</f>
        <v>25+25</v>
      </c>
      <c r="D113" s="133">
        <v>2178</v>
      </c>
      <c r="E113" s="133">
        <v>699</v>
      </c>
      <c r="F113" s="120">
        <f t="shared" si="8"/>
        <v>2.2874188510196376</v>
      </c>
      <c r="G113" s="44">
        <v>0</v>
      </c>
      <c r="H113" s="18"/>
      <c r="I113" s="44">
        <f aca="true" t="shared" si="11" ref="I113:I179">F113-G113</f>
        <v>2.2874188510196376</v>
      </c>
      <c r="J113" s="17">
        <v>0</v>
      </c>
      <c r="K113" s="43">
        <f t="shared" si="9"/>
        <v>26.25</v>
      </c>
      <c r="L113" s="105">
        <f t="shared" si="10"/>
        <v>23.962581148980362</v>
      </c>
      <c r="M113" s="44">
        <f>MIN(L113:L113)</f>
        <v>23.962581148980362</v>
      </c>
      <c r="N113" s="32"/>
      <c r="O113" s="15">
        <v>1.05</v>
      </c>
      <c r="P113" s="45">
        <v>25</v>
      </c>
      <c r="R113" s="15" t="s">
        <v>84</v>
      </c>
      <c r="S113" s="15">
        <v>14.983036757795924</v>
      </c>
    </row>
    <row r="114" spans="1:19" s="15" customFormat="1" ht="20.25" thickBot="1">
      <c r="A114" s="16">
        <v>57</v>
      </c>
      <c r="B114" s="169" t="s">
        <v>151</v>
      </c>
      <c r="C114" s="133" t="str">
        <f>'МРСК 2'!C114</f>
        <v>16+16</v>
      </c>
      <c r="D114" s="133">
        <v>4625</v>
      </c>
      <c r="E114" s="133">
        <v>2214</v>
      </c>
      <c r="F114" s="120">
        <f t="shared" si="8"/>
        <v>5.12761357748417</v>
      </c>
      <c r="G114" s="44">
        <v>0</v>
      </c>
      <c r="H114" s="18"/>
      <c r="I114" s="44">
        <f t="shared" si="11"/>
        <v>5.12761357748417</v>
      </c>
      <c r="J114" s="17">
        <v>0</v>
      </c>
      <c r="K114" s="43">
        <f t="shared" si="9"/>
        <v>16.8</v>
      </c>
      <c r="L114" s="105">
        <f t="shared" si="10"/>
        <v>11.672386422515832</v>
      </c>
      <c r="M114" s="44">
        <f>L114</f>
        <v>11.672386422515832</v>
      </c>
      <c r="N114" s="32"/>
      <c r="O114" s="15">
        <v>1.05</v>
      </c>
      <c r="P114" s="45">
        <v>16</v>
      </c>
      <c r="R114" s="15" t="s">
        <v>39</v>
      </c>
      <c r="S114" s="15">
        <v>10.559</v>
      </c>
    </row>
    <row r="115" spans="1:16" s="187" customFormat="1" ht="21" thickBot="1" thickTop="1">
      <c r="A115" s="180">
        <v>58</v>
      </c>
      <c r="B115" s="167" t="s">
        <v>296</v>
      </c>
      <c r="C115" s="181" t="str">
        <f>'МРСК 2'!C115</f>
        <v>25+25</v>
      </c>
      <c r="D115" s="181">
        <f>D116+D117</f>
        <v>0</v>
      </c>
      <c r="E115" s="181">
        <f>E116+E117</f>
        <v>0</v>
      </c>
      <c r="F115" s="182">
        <f>SQRT(D115*D115+E115*E115)/1000</f>
        <v>0</v>
      </c>
      <c r="G115" s="183">
        <v>6.679</v>
      </c>
      <c r="H115" s="181">
        <v>120</v>
      </c>
      <c r="I115" s="184">
        <f>G115</f>
        <v>6.679</v>
      </c>
      <c r="J115" s="184">
        <v>0</v>
      </c>
      <c r="K115" s="184">
        <f t="shared" si="9"/>
        <v>26.25</v>
      </c>
      <c r="L115" s="185">
        <f>K115-F115</f>
        <v>26.25</v>
      </c>
      <c r="M115" s="370">
        <f>MIN(L115:L117)</f>
        <v>26.25</v>
      </c>
      <c r="N115" s="186"/>
      <c r="O115" s="187">
        <v>1.05</v>
      </c>
      <c r="P115" s="187">
        <v>25</v>
      </c>
    </row>
    <row r="116" spans="1:16" s="213" customFormat="1" ht="21" thickBot="1" thickTop="1">
      <c r="A116" s="203"/>
      <c r="B116" s="204" t="s">
        <v>92</v>
      </c>
      <c r="C116" s="181" t="str">
        <f>'МРСК 2'!C116</f>
        <v>25+25</v>
      </c>
      <c r="D116" s="205">
        <v>0</v>
      </c>
      <c r="E116" s="205">
        <v>0</v>
      </c>
      <c r="F116" s="206">
        <f>SQRT(D116*D116+E116*E116)/1000</f>
        <v>0</v>
      </c>
      <c r="G116" s="207">
        <v>2.022</v>
      </c>
      <c r="H116" s="208"/>
      <c r="I116" s="209">
        <f>G116</f>
        <v>2.022</v>
      </c>
      <c r="J116" s="209">
        <v>0</v>
      </c>
      <c r="K116" s="210">
        <f t="shared" si="9"/>
        <v>26.25</v>
      </c>
      <c r="L116" s="211">
        <f>K116-F116</f>
        <v>26.25</v>
      </c>
      <c r="M116" s="371"/>
      <c r="N116" s="212"/>
      <c r="O116" s="213">
        <v>1.05</v>
      </c>
      <c r="P116" s="213">
        <v>25</v>
      </c>
    </row>
    <row r="117" spans="1:16" s="213" customFormat="1" ht="21" thickBot="1" thickTop="1">
      <c r="A117" s="214"/>
      <c r="B117" s="215" t="s">
        <v>93</v>
      </c>
      <c r="C117" s="181" t="str">
        <f>'МРСК 2'!C117</f>
        <v>25+25</v>
      </c>
      <c r="D117" s="216">
        <v>0</v>
      </c>
      <c r="E117" s="216">
        <v>0</v>
      </c>
      <c r="F117" s="206">
        <f>SQRT(D117*D117+E117*E117)/1000</f>
        <v>0</v>
      </c>
      <c r="G117" s="217">
        <v>4.657</v>
      </c>
      <c r="H117" s="218"/>
      <c r="I117" s="219">
        <f>G117</f>
        <v>4.657</v>
      </c>
      <c r="J117" s="219">
        <v>0</v>
      </c>
      <c r="K117" s="220">
        <f t="shared" si="9"/>
        <v>26.25</v>
      </c>
      <c r="L117" s="221">
        <f>K117-F117</f>
        <v>26.25</v>
      </c>
      <c r="M117" s="372"/>
      <c r="N117" s="222"/>
      <c r="O117" s="213">
        <v>1.05</v>
      </c>
      <c r="P117" s="213">
        <v>25</v>
      </c>
    </row>
    <row r="118" spans="1:19" s="15" customFormat="1" ht="20.25" thickTop="1">
      <c r="A118" s="16">
        <v>59</v>
      </c>
      <c r="B118" s="179" t="s">
        <v>152</v>
      </c>
      <c r="C118" s="133" t="str">
        <f>'МРСК 2'!C118</f>
        <v>25+25</v>
      </c>
      <c r="D118" s="133">
        <v>16234</v>
      </c>
      <c r="E118" s="133">
        <v>8957</v>
      </c>
      <c r="F118" s="120">
        <f t="shared" si="8"/>
        <v>18.541051884938998</v>
      </c>
      <c r="G118" s="44">
        <v>0</v>
      </c>
      <c r="H118" s="18"/>
      <c r="I118" s="44">
        <f t="shared" si="11"/>
        <v>18.541051884938998</v>
      </c>
      <c r="J118" s="17">
        <v>0</v>
      </c>
      <c r="K118" s="43">
        <f t="shared" si="9"/>
        <v>26.25</v>
      </c>
      <c r="L118" s="105">
        <f t="shared" si="10"/>
        <v>7.708948115061002</v>
      </c>
      <c r="M118" s="44">
        <f>MIN(L118:L118)</f>
        <v>7.708948115061002</v>
      </c>
      <c r="N118" s="32"/>
      <c r="O118" s="15">
        <v>1.05</v>
      </c>
      <c r="P118" s="45">
        <v>25</v>
      </c>
      <c r="R118" s="15" t="s">
        <v>82</v>
      </c>
      <c r="S118" s="15">
        <v>27.73495314211234</v>
      </c>
    </row>
    <row r="119" spans="1:19" s="15" customFormat="1" ht="19.5">
      <c r="A119" s="16">
        <v>60</v>
      </c>
      <c r="B119" s="169" t="s">
        <v>153</v>
      </c>
      <c r="C119" s="133" t="str">
        <f>'МРСК 2'!C119</f>
        <v>16+16</v>
      </c>
      <c r="D119" s="133">
        <v>12347</v>
      </c>
      <c r="E119" s="133">
        <v>7576</v>
      </c>
      <c r="F119" s="120">
        <f t="shared" si="8"/>
        <v>14.485999620323065</v>
      </c>
      <c r="G119" s="44">
        <v>1.296</v>
      </c>
      <c r="H119" s="18">
        <v>80</v>
      </c>
      <c r="I119" s="44">
        <f t="shared" si="11"/>
        <v>13.189999620323066</v>
      </c>
      <c r="J119" s="17">
        <v>0</v>
      </c>
      <c r="K119" s="43">
        <f t="shared" si="9"/>
        <v>16.8</v>
      </c>
      <c r="L119" s="105">
        <f t="shared" si="10"/>
        <v>3.6100003796769347</v>
      </c>
      <c r="M119" s="44">
        <f>L119</f>
        <v>3.6100003796769347</v>
      </c>
      <c r="N119" s="32"/>
      <c r="O119" s="15">
        <v>1.05</v>
      </c>
      <c r="P119" s="45">
        <v>16</v>
      </c>
      <c r="R119" s="15" t="s">
        <v>31</v>
      </c>
      <c r="S119" s="15">
        <v>9.201842692069963</v>
      </c>
    </row>
    <row r="120" spans="1:19" s="15" customFormat="1" ht="20.25" thickBot="1">
      <c r="A120" s="16">
        <v>61</v>
      </c>
      <c r="B120" s="179" t="s">
        <v>154</v>
      </c>
      <c r="C120" s="133" t="str">
        <f>'МРСК 2'!C120</f>
        <v>40+40</v>
      </c>
      <c r="D120" s="133">
        <v>30306</v>
      </c>
      <c r="E120" s="133">
        <v>8850</v>
      </c>
      <c r="F120" s="120">
        <f t="shared" si="8"/>
        <v>31.57176168667184</v>
      </c>
      <c r="G120" s="44">
        <v>0</v>
      </c>
      <c r="H120" s="45">
        <v>60</v>
      </c>
      <c r="I120" s="44">
        <f t="shared" si="11"/>
        <v>31.57176168667184</v>
      </c>
      <c r="J120" s="17">
        <v>0</v>
      </c>
      <c r="K120" s="43">
        <f t="shared" si="9"/>
        <v>42</v>
      </c>
      <c r="L120" s="105">
        <f t="shared" si="10"/>
        <v>10.428238313328158</v>
      </c>
      <c r="M120" s="44">
        <f>MIN(L120:L120)</f>
        <v>10.428238313328158</v>
      </c>
      <c r="N120" s="32"/>
      <c r="O120" s="15">
        <v>1.05</v>
      </c>
      <c r="P120" s="45">
        <v>40</v>
      </c>
      <c r="R120" s="15" t="s">
        <v>27</v>
      </c>
      <c r="S120" s="15">
        <v>14.117019537004445</v>
      </c>
    </row>
    <row r="121" spans="1:19" s="15" customFormat="1" ht="21" thickBot="1" thickTop="1">
      <c r="A121" s="16">
        <v>62</v>
      </c>
      <c r="B121" s="167" t="s">
        <v>155</v>
      </c>
      <c r="C121" s="129" t="str">
        <f>'МРСК 2'!C121</f>
        <v>10+10</v>
      </c>
      <c r="D121" s="129">
        <f>D122+D123</f>
        <v>11816</v>
      </c>
      <c r="E121" s="129">
        <f>E122+E123</f>
        <v>6776</v>
      </c>
      <c r="F121" s="120">
        <f t="shared" si="8"/>
        <v>13.621014352829969</v>
      </c>
      <c r="G121" s="84">
        <v>8.98</v>
      </c>
      <c r="H121" s="85">
        <v>120</v>
      </c>
      <c r="I121" s="86">
        <f t="shared" si="11"/>
        <v>4.641014352829968</v>
      </c>
      <c r="J121" s="86">
        <v>0</v>
      </c>
      <c r="K121" s="86">
        <f t="shared" si="9"/>
        <v>10.5</v>
      </c>
      <c r="L121" s="103">
        <f t="shared" si="10"/>
        <v>5.858985647170032</v>
      </c>
      <c r="M121" s="370">
        <f>MIN(L121:L123)</f>
        <v>5.858985647170032</v>
      </c>
      <c r="N121" s="87"/>
      <c r="O121" s="15">
        <v>1.05</v>
      </c>
      <c r="P121" s="45">
        <v>10</v>
      </c>
      <c r="R121" s="15" t="s">
        <v>13</v>
      </c>
      <c r="S121" s="15">
        <v>11.161573662885944</v>
      </c>
    </row>
    <row r="122" spans="1:19" s="15" customFormat="1" ht="20.25" thickTop="1">
      <c r="A122" s="16"/>
      <c r="B122" s="169" t="s">
        <v>92</v>
      </c>
      <c r="C122" s="127" t="str">
        <f>'МРСК 2'!C122</f>
        <v>10+10</v>
      </c>
      <c r="D122" s="129">
        <v>8826</v>
      </c>
      <c r="E122" s="129">
        <v>5366</v>
      </c>
      <c r="F122" s="120">
        <f t="shared" si="8"/>
        <v>10.329193192113312</v>
      </c>
      <c r="G122" s="31">
        <v>6.407</v>
      </c>
      <c r="H122" s="45"/>
      <c r="I122" s="17">
        <f t="shared" si="11"/>
        <v>3.922193192113312</v>
      </c>
      <c r="J122" s="17">
        <v>0</v>
      </c>
      <c r="K122" s="29">
        <f t="shared" si="9"/>
        <v>10.5</v>
      </c>
      <c r="L122" s="44">
        <f t="shared" si="10"/>
        <v>6.577806807886688</v>
      </c>
      <c r="M122" s="371"/>
      <c r="N122" s="32"/>
      <c r="O122" s="15">
        <v>1.05</v>
      </c>
      <c r="P122" s="45">
        <v>10</v>
      </c>
      <c r="R122" s="15" t="s">
        <v>47</v>
      </c>
      <c r="S122" s="15">
        <v>11.522408808381842</v>
      </c>
    </row>
    <row r="123" spans="1:19" s="15" customFormat="1" ht="20.25" thickBot="1">
      <c r="A123" s="72"/>
      <c r="B123" s="201" t="s">
        <v>93</v>
      </c>
      <c r="C123" s="128" t="str">
        <f>'МРСК 2'!C123</f>
        <v>10+10</v>
      </c>
      <c r="D123" s="128">
        <v>2990</v>
      </c>
      <c r="E123" s="128">
        <v>1410</v>
      </c>
      <c r="F123" s="120">
        <f t="shared" si="8"/>
        <v>3.3057828119826627</v>
      </c>
      <c r="G123" s="76">
        <v>2.5730000000000004</v>
      </c>
      <c r="H123" s="77"/>
      <c r="I123" s="78">
        <f t="shared" si="11"/>
        <v>0.7327828119826623</v>
      </c>
      <c r="J123" s="78">
        <v>0</v>
      </c>
      <c r="K123" s="79">
        <f t="shared" si="9"/>
        <v>10.5</v>
      </c>
      <c r="L123" s="75">
        <f t="shared" si="10"/>
        <v>9.767217188017337</v>
      </c>
      <c r="M123" s="372"/>
      <c r="N123" s="80"/>
      <c r="O123" s="15">
        <v>1.05</v>
      </c>
      <c r="P123" s="45">
        <v>10</v>
      </c>
      <c r="R123" s="15" t="s">
        <v>46</v>
      </c>
      <c r="S123" s="15">
        <v>28.877151980706003</v>
      </c>
    </row>
    <row r="124" spans="1:19" s="15" customFormat="1" ht="20.25" thickTop="1">
      <c r="A124" s="81">
        <v>63</v>
      </c>
      <c r="B124" s="167" t="s">
        <v>156</v>
      </c>
      <c r="C124" s="129" t="str">
        <f>'МРСК 2'!C124</f>
        <v>25+25</v>
      </c>
      <c r="D124" s="129">
        <f>D125+D126</f>
        <v>17350</v>
      </c>
      <c r="E124" s="129">
        <f>E125+E126</f>
        <v>10404</v>
      </c>
      <c r="F124" s="120">
        <f t="shared" si="8"/>
        <v>20.23031675481133</v>
      </c>
      <c r="G124" s="84">
        <v>10.46</v>
      </c>
      <c r="H124" s="85">
        <v>45</v>
      </c>
      <c r="I124" s="86">
        <f t="shared" si="11"/>
        <v>9.77031675481133</v>
      </c>
      <c r="J124" s="86">
        <v>0</v>
      </c>
      <c r="K124" s="86">
        <f t="shared" si="9"/>
        <v>26.25</v>
      </c>
      <c r="L124" s="103">
        <f t="shared" si="10"/>
        <v>16.47968324518867</v>
      </c>
      <c r="M124" s="370">
        <f>MIN(L124:L126)</f>
        <v>16.47968324518867</v>
      </c>
      <c r="N124" s="87"/>
      <c r="O124" s="15">
        <v>1.05</v>
      </c>
      <c r="P124" s="45">
        <v>25</v>
      </c>
      <c r="R124" s="15" t="s">
        <v>22</v>
      </c>
      <c r="S124" s="15">
        <v>4.224314714864322</v>
      </c>
    </row>
    <row r="125" spans="1:19" s="15" customFormat="1" ht="19.5">
      <c r="A125" s="16"/>
      <c r="B125" s="169" t="s">
        <v>92</v>
      </c>
      <c r="C125" s="127" t="str">
        <f>'МРСК 2'!C125</f>
        <v>25+25</v>
      </c>
      <c r="D125" s="127">
        <v>10731</v>
      </c>
      <c r="E125" s="127">
        <v>5534</v>
      </c>
      <c r="F125" s="120">
        <f t="shared" si="8"/>
        <v>12.073918874996634</v>
      </c>
      <c r="G125" s="31">
        <v>10.46</v>
      </c>
      <c r="H125" s="45"/>
      <c r="I125" s="17">
        <f t="shared" si="11"/>
        <v>1.6139188749966333</v>
      </c>
      <c r="J125" s="17">
        <v>0</v>
      </c>
      <c r="K125" s="29">
        <f t="shared" si="9"/>
        <v>26.25</v>
      </c>
      <c r="L125" s="44">
        <f t="shared" si="10"/>
        <v>24.636081125003365</v>
      </c>
      <c r="M125" s="371"/>
      <c r="N125" s="32"/>
      <c r="O125" s="15">
        <v>1.05</v>
      </c>
      <c r="P125" s="45">
        <v>25</v>
      </c>
      <c r="R125" s="15" t="s">
        <v>28</v>
      </c>
      <c r="S125" s="15">
        <v>13.298</v>
      </c>
    </row>
    <row r="126" spans="1:19" s="15" customFormat="1" ht="20.25" thickBot="1">
      <c r="A126" s="72"/>
      <c r="B126" s="201" t="s">
        <v>93</v>
      </c>
      <c r="C126" s="128" t="str">
        <f>'МРСК 2'!C126</f>
        <v>25+25</v>
      </c>
      <c r="D126" s="128">
        <v>6619</v>
      </c>
      <c r="E126" s="128">
        <v>4870</v>
      </c>
      <c r="F126" s="120">
        <f t="shared" si="8"/>
        <v>8.217545923206028</v>
      </c>
      <c r="G126" s="76">
        <v>0</v>
      </c>
      <c r="H126" s="77"/>
      <c r="I126" s="78">
        <f t="shared" si="11"/>
        <v>8.217545923206028</v>
      </c>
      <c r="J126" s="78">
        <v>0</v>
      </c>
      <c r="K126" s="79">
        <f t="shared" si="9"/>
        <v>26.25</v>
      </c>
      <c r="L126" s="75">
        <f t="shared" si="10"/>
        <v>18.03245407679397</v>
      </c>
      <c r="M126" s="372"/>
      <c r="N126" s="80"/>
      <c r="O126" s="15">
        <v>1.05</v>
      </c>
      <c r="P126" s="45">
        <v>25</v>
      </c>
      <c r="R126" s="15" t="s">
        <v>26</v>
      </c>
      <c r="S126" s="15">
        <v>12.552173753676804</v>
      </c>
    </row>
    <row r="127" spans="1:19" s="15" customFormat="1" ht="18.75" customHeight="1" thickBot="1" thickTop="1">
      <c r="A127" s="16">
        <v>64</v>
      </c>
      <c r="B127" s="169" t="s">
        <v>157</v>
      </c>
      <c r="C127" s="133" t="str">
        <f>'МРСК 2'!C127</f>
        <v>40+40</v>
      </c>
      <c r="D127" s="133">
        <v>11204</v>
      </c>
      <c r="E127" s="133">
        <v>3168</v>
      </c>
      <c r="F127" s="120">
        <f t="shared" si="8"/>
        <v>11.643274453520368</v>
      </c>
      <c r="G127" s="44">
        <v>3.312</v>
      </c>
      <c r="H127" s="18">
        <v>45</v>
      </c>
      <c r="I127" s="44">
        <f t="shared" si="11"/>
        <v>8.331274453520368</v>
      </c>
      <c r="J127" s="17">
        <v>0</v>
      </c>
      <c r="K127" s="43">
        <f t="shared" si="9"/>
        <v>42</v>
      </c>
      <c r="L127" s="105">
        <f t="shared" si="10"/>
        <v>33.668725546479635</v>
      </c>
      <c r="M127" s="44">
        <f>MIN(L127:L127)</f>
        <v>33.668725546479635</v>
      </c>
      <c r="N127" s="32"/>
      <c r="O127" s="15">
        <v>1.05</v>
      </c>
      <c r="P127" s="45">
        <v>40</v>
      </c>
      <c r="R127" s="15" t="s">
        <v>24</v>
      </c>
      <c r="S127" s="15">
        <v>10.016194608210998</v>
      </c>
    </row>
    <row r="128" spans="1:19" s="15" customFormat="1" ht="20.25" thickTop="1">
      <c r="A128" s="81">
        <v>65</v>
      </c>
      <c r="B128" s="167" t="s">
        <v>158</v>
      </c>
      <c r="C128" s="129" t="str">
        <f>'МРСК 2'!C128</f>
        <v>16+16</v>
      </c>
      <c r="D128" s="129">
        <f>D129+D130</f>
        <v>13755</v>
      </c>
      <c r="E128" s="129">
        <f>E129+E130</f>
        <v>5418</v>
      </c>
      <c r="F128" s="120">
        <f t="shared" si="8"/>
        <v>14.78359729565169</v>
      </c>
      <c r="G128" s="84">
        <v>10.36</v>
      </c>
      <c r="H128" s="85">
        <v>120</v>
      </c>
      <c r="I128" s="86">
        <f t="shared" si="11"/>
        <v>4.423597295651691</v>
      </c>
      <c r="J128" s="86">
        <v>0</v>
      </c>
      <c r="K128" s="86">
        <f t="shared" si="9"/>
        <v>16.8</v>
      </c>
      <c r="L128" s="103">
        <f t="shared" si="10"/>
        <v>12.37640270434831</v>
      </c>
      <c r="M128" s="370">
        <f>MIN(L128:L130)</f>
        <v>12.37640270434831</v>
      </c>
      <c r="N128" s="87"/>
      <c r="O128" s="15">
        <v>1.05</v>
      </c>
      <c r="P128" s="45">
        <v>16</v>
      </c>
      <c r="R128" s="15" t="s">
        <v>85</v>
      </c>
      <c r="S128" s="15">
        <v>22.886265234221632</v>
      </c>
    </row>
    <row r="129" spans="1:19" s="15" customFormat="1" ht="19.5">
      <c r="A129" s="16"/>
      <c r="B129" s="169" t="s">
        <v>92</v>
      </c>
      <c r="C129" s="127" t="str">
        <f>'МРСК 2'!C129</f>
        <v>16+16</v>
      </c>
      <c r="D129" s="127">
        <v>9853</v>
      </c>
      <c r="E129" s="127">
        <v>3809</v>
      </c>
      <c r="F129" s="120">
        <f t="shared" si="8"/>
        <v>10.563621064767515</v>
      </c>
      <c r="G129" s="31">
        <v>7.562</v>
      </c>
      <c r="H129" s="45"/>
      <c r="I129" s="17">
        <f t="shared" si="11"/>
        <v>3.001621064767515</v>
      </c>
      <c r="J129" s="17">
        <v>0</v>
      </c>
      <c r="K129" s="29">
        <f t="shared" si="9"/>
        <v>16.8</v>
      </c>
      <c r="L129" s="44">
        <f t="shared" si="10"/>
        <v>13.798378935232485</v>
      </c>
      <c r="M129" s="371"/>
      <c r="N129" s="32"/>
      <c r="O129" s="15">
        <v>1.05</v>
      </c>
      <c r="P129" s="45">
        <v>16</v>
      </c>
      <c r="R129" s="15" t="s">
        <v>21</v>
      </c>
      <c r="S129" s="15">
        <v>23.714299658425027</v>
      </c>
    </row>
    <row r="130" spans="1:19" s="15" customFormat="1" ht="20.25" thickBot="1">
      <c r="A130" s="72"/>
      <c r="B130" s="201" t="s">
        <v>93</v>
      </c>
      <c r="C130" s="128" t="str">
        <f>'МРСК 2'!C130</f>
        <v>16+16</v>
      </c>
      <c r="D130" s="128">
        <v>3902</v>
      </c>
      <c r="E130" s="128">
        <v>1609</v>
      </c>
      <c r="F130" s="120">
        <f t="shared" si="8"/>
        <v>4.220720909986823</v>
      </c>
      <c r="G130" s="76">
        <v>2.797999999999999</v>
      </c>
      <c r="H130" s="77"/>
      <c r="I130" s="78">
        <f t="shared" si="11"/>
        <v>1.4227209099868237</v>
      </c>
      <c r="J130" s="78">
        <v>0</v>
      </c>
      <c r="K130" s="79">
        <f t="shared" si="9"/>
        <v>16.8</v>
      </c>
      <c r="L130" s="75">
        <f t="shared" si="10"/>
        <v>15.377279090013177</v>
      </c>
      <c r="M130" s="372"/>
      <c r="N130" s="80"/>
      <c r="O130" s="15">
        <v>1.05</v>
      </c>
      <c r="P130" s="45">
        <v>16</v>
      </c>
      <c r="R130" s="15" t="s">
        <v>41</v>
      </c>
      <c r="S130" s="15">
        <v>14.760462379458414</v>
      </c>
    </row>
    <row r="131" spans="1:19" s="15" customFormat="1" ht="20.25" thickTop="1">
      <c r="A131" s="81">
        <v>66</v>
      </c>
      <c r="B131" s="167" t="s">
        <v>159</v>
      </c>
      <c r="C131" s="129" t="str">
        <f>'МРСК 2'!C131</f>
        <v>20+25+25</v>
      </c>
      <c r="D131" s="129">
        <f>D132+D133</f>
        <v>30931</v>
      </c>
      <c r="E131" s="129">
        <f>E132+E133</f>
        <v>16493</v>
      </c>
      <c r="F131" s="120">
        <f t="shared" si="8"/>
        <v>35.053470726876675</v>
      </c>
      <c r="G131" s="84">
        <v>0</v>
      </c>
      <c r="H131" s="85"/>
      <c r="I131" s="86">
        <f t="shared" si="11"/>
        <v>35.053470726876675</v>
      </c>
      <c r="J131" s="86">
        <v>0</v>
      </c>
      <c r="K131" s="86">
        <f t="shared" si="9"/>
        <v>47.25</v>
      </c>
      <c r="L131" s="103">
        <f t="shared" si="10"/>
        <v>12.196529273123325</v>
      </c>
      <c r="M131" s="370">
        <f>MIN(L131:L133)</f>
        <v>12.196529273123325</v>
      </c>
      <c r="N131" s="87"/>
      <c r="O131" s="15">
        <v>1.05</v>
      </c>
      <c r="P131" s="45">
        <v>45</v>
      </c>
      <c r="R131" s="15" t="s">
        <v>23</v>
      </c>
      <c r="S131" s="15">
        <v>25.54293657745718</v>
      </c>
    </row>
    <row r="132" spans="1:19" s="15" customFormat="1" ht="19.5">
      <c r="A132" s="16"/>
      <c r="B132" s="169" t="s">
        <v>92</v>
      </c>
      <c r="C132" s="127" t="str">
        <f>'МРСК 2'!C132</f>
        <v>20+25+25</v>
      </c>
      <c r="D132" s="127">
        <v>9757</v>
      </c>
      <c r="E132" s="127">
        <v>6686</v>
      </c>
      <c r="F132" s="120">
        <f t="shared" si="8"/>
        <v>11.828002578626705</v>
      </c>
      <c r="G132" s="31">
        <v>0</v>
      </c>
      <c r="H132" s="45"/>
      <c r="I132" s="17">
        <f t="shared" si="11"/>
        <v>11.828002578626705</v>
      </c>
      <c r="J132" s="17">
        <v>0</v>
      </c>
      <c r="K132" s="29">
        <f t="shared" si="9"/>
        <v>47.25</v>
      </c>
      <c r="L132" s="44">
        <f t="shared" si="10"/>
        <v>35.42199742137329</v>
      </c>
      <c r="M132" s="371"/>
      <c r="N132" s="32"/>
      <c r="O132" s="15">
        <v>1.05</v>
      </c>
      <c r="P132" s="45">
        <v>45</v>
      </c>
      <c r="R132" s="15" t="s">
        <v>43</v>
      </c>
      <c r="S132" s="15">
        <v>2.4086377815496682</v>
      </c>
    </row>
    <row r="133" spans="1:19" s="15" customFormat="1" ht="20.25" thickBot="1">
      <c r="A133" s="72"/>
      <c r="B133" s="201" t="s">
        <v>93</v>
      </c>
      <c r="C133" s="128" t="str">
        <f>'МРСК 2'!C133</f>
        <v>20+25+25</v>
      </c>
      <c r="D133" s="128">
        <v>21174</v>
      </c>
      <c r="E133" s="128">
        <v>9807</v>
      </c>
      <c r="F133" s="120">
        <f t="shared" si="8"/>
        <v>23.334856438384186</v>
      </c>
      <c r="G133" s="76">
        <v>0</v>
      </c>
      <c r="H133" s="77"/>
      <c r="I133" s="78">
        <f t="shared" si="11"/>
        <v>23.334856438384186</v>
      </c>
      <c r="J133" s="78">
        <v>0</v>
      </c>
      <c r="K133" s="79">
        <f t="shared" si="9"/>
        <v>47.25</v>
      </c>
      <c r="L133" s="75">
        <f t="shared" si="10"/>
        <v>23.915143561615814</v>
      </c>
      <c r="M133" s="372"/>
      <c r="N133" s="80"/>
      <c r="O133" s="15">
        <v>1.05</v>
      </c>
      <c r="P133" s="45">
        <v>45</v>
      </c>
      <c r="R133" s="15" t="s">
        <v>14</v>
      </c>
      <c r="S133" s="15">
        <v>43.09093611728332</v>
      </c>
    </row>
    <row r="134" spans="1:16" s="15" customFormat="1" ht="20.25" thickTop="1">
      <c r="A134" s="81">
        <v>67</v>
      </c>
      <c r="B134" s="167" t="s">
        <v>160</v>
      </c>
      <c r="C134" s="129" t="str">
        <f>'МРСК 2'!C134</f>
        <v>16+16</v>
      </c>
      <c r="D134" s="129">
        <f>D135+D136</f>
        <v>4735</v>
      </c>
      <c r="E134" s="129">
        <f>E135+E136</f>
        <v>1291</v>
      </c>
      <c r="F134" s="120">
        <f t="shared" si="8"/>
        <v>4.907841276977078</v>
      </c>
      <c r="G134" s="84">
        <v>2.23</v>
      </c>
      <c r="H134" s="85">
        <v>80</v>
      </c>
      <c r="I134" s="86">
        <f t="shared" si="11"/>
        <v>2.677841276977078</v>
      </c>
      <c r="J134" s="86">
        <v>0</v>
      </c>
      <c r="K134" s="86">
        <f t="shared" si="9"/>
        <v>16.8</v>
      </c>
      <c r="L134" s="103">
        <f t="shared" si="10"/>
        <v>14.122158723022922</v>
      </c>
      <c r="M134" s="370">
        <f>MIN(L134:L136)</f>
        <v>5.681195598935032</v>
      </c>
      <c r="N134" s="87"/>
      <c r="O134" s="15">
        <v>1.05</v>
      </c>
      <c r="P134" s="45">
        <v>16</v>
      </c>
    </row>
    <row r="135" spans="1:16" s="15" customFormat="1" ht="19.5">
      <c r="A135" s="16"/>
      <c r="B135" s="169" t="s">
        <v>92</v>
      </c>
      <c r="C135" s="127" t="str">
        <f>'МРСК 2'!C135</f>
        <v>16+8</v>
      </c>
      <c r="D135" s="127">
        <v>-14</v>
      </c>
      <c r="E135" s="127">
        <v>-101</v>
      </c>
      <c r="F135" s="120">
        <f t="shared" si="8"/>
        <v>0.10196568050084302</v>
      </c>
      <c r="G135" s="31">
        <v>0</v>
      </c>
      <c r="H135" s="45"/>
      <c r="I135" s="17">
        <f t="shared" si="11"/>
        <v>0.10196568050084302</v>
      </c>
      <c r="J135" s="17">
        <v>0</v>
      </c>
      <c r="K135" s="29">
        <f t="shared" si="9"/>
        <v>8.4</v>
      </c>
      <c r="L135" s="44">
        <f t="shared" si="10"/>
        <v>8.298034319499157</v>
      </c>
      <c r="M135" s="371"/>
      <c r="N135" s="32"/>
      <c r="O135" s="15">
        <v>1.05</v>
      </c>
      <c r="P135" s="45">
        <v>8</v>
      </c>
    </row>
    <row r="136" spans="1:16" s="15" customFormat="1" ht="20.25" thickBot="1">
      <c r="A136" s="72"/>
      <c r="B136" s="201" t="s">
        <v>93</v>
      </c>
      <c r="C136" s="128" t="str">
        <f>'МРСК 2'!C136</f>
        <v>16+8</v>
      </c>
      <c r="D136" s="128">
        <v>4749</v>
      </c>
      <c r="E136" s="128">
        <v>1392</v>
      </c>
      <c r="F136" s="120">
        <f t="shared" si="8"/>
        <v>4.948804401064968</v>
      </c>
      <c r="G136" s="76">
        <v>2.23</v>
      </c>
      <c r="H136" s="77"/>
      <c r="I136" s="78">
        <f t="shared" si="11"/>
        <v>2.718804401064968</v>
      </c>
      <c r="J136" s="78">
        <v>0</v>
      </c>
      <c r="K136" s="79">
        <f t="shared" si="9"/>
        <v>8.4</v>
      </c>
      <c r="L136" s="75">
        <f t="shared" si="10"/>
        <v>5.681195598935032</v>
      </c>
      <c r="M136" s="372"/>
      <c r="N136" s="80"/>
      <c r="O136" s="15">
        <v>1.05</v>
      </c>
      <c r="P136" s="45">
        <v>8</v>
      </c>
    </row>
    <row r="137" spans="1:16" s="15" customFormat="1" ht="21" thickBot="1" thickTop="1">
      <c r="A137" s="16">
        <v>68</v>
      </c>
      <c r="B137" s="169" t="s">
        <v>161</v>
      </c>
      <c r="C137" s="133" t="str">
        <f>'МРСК 2'!C137</f>
        <v>15+15</v>
      </c>
      <c r="D137" s="133">
        <v>12862</v>
      </c>
      <c r="E137" s="133">
        <v>4982</v>
      </c>
      <c r="F137" s="120">
        <f t="shared" si="8"/>
        <v>13.793163814005835</v>
      </c>
      <c r="G137" s="44">
        <v>0</v>
      </c>
      <c r="H137" s="18"/>
      <c r="I137" s="44">
        <f t="shared" si="11"/>
        <v>13.793163814005835</v>
      </c>
      <c r="J137" s="17">
        <v>0</v>
      </c>
      <c r="K137" s="43">
        <f t="shared" si="9"/>
        <v>15.75</v>
      </c>
      <c r="L137" s="105">
        <f t="shared" si="10"/>
        <v>1.956836185994165</v>
      </c>
      <c r="M137" s="44">
        <f>L137</f>
        <v>1.956836185994165</v>
      </c>
      <c r="N137" s="32"/>
      <c r="O137" s="15">
        <v>1.05</v>
      </c>
      <c r="P137" s="45">
        <v>15</v>
      </c>
    </row>
    <row r="138" spans="1:16" s="15" customFormat="1" ht="20.25" thickTop="1">
      <c r="A138" s="81">
        <v>69</v>
      </c>
      <c r="B138" s="167" t="s">
        <v>162</v>
      </c>
      <c r="C138" s="129" t="str">
        <f>'МРСК 2'!C138</f>
        <v>16+16</v>
      </c>
      <c r="D138" s="129">
        <f>D139+D140</f>
        <v>9989</v>
      </c>
      <c r="E138" s="129">
        <f>E139+E140</f>
        <v>4296</v>
      </c>
      <c r="F138" s="120">
        <f t="shared" si="8"/>
        <v>10.873625752250259</v>
      </c>
      <c r="G138" s="84">
        <v>3.46</v>
      </c>
      <c r="H138" s="85">
        <v>45</v>
      </c>
      <c r="I138" s="86">
        <f t="shared" si="11"/>
        <v>7.413625752250259</v>
      </c>
      <c r="J138" s="86">
        <v>0</v>
      </c>
      <c r="K138" s="86">
        <f t="shared" si="9"/>
        <v>16.8</v>
      </c>
      <c r="L138" s="103">
        <f t="shared" si="10"/>
        <v>9.386374247749742</v>
      </c>
      <c r="M138" s="370">
        <f>MIN(L138:L140)</f>
        <v>8.929285419988858</v>
      </c>
      <c r="N138" s="87"/>
      <c r="O138" s="15">
        <v>1.05</v>
      </c>
      <c r="P138" s="45">
        <v>16</v>
      </c>
    </row>
    <row r="139" spans="1:16" s="15" customFormat="1" ht="19.5">
      <c r="A139" s="16"/>
      <c r="B139" s="169" t="s">
        <v>92</v>
      </c>
      <c r="C139" s="127" t="str">
        <f>'МРСК 2'!C139</f>
        <v>16+16</v>
      </c>
      <c r="D139" s="127">
        <v>2817</v>
      </c>
      <c r="E139" s="127">
        <v>1054</v>
      </c>
      <c r="F139" s="120">
        <f aca="true" t="shared" si="12" ref="F139:F202">SQRT(D139*D139+E139*E139)/1000</f>
        <v>3.007724222730535</v>
      </c>
      <c r="G139" s="31">
        <v>3.46</v>
      </c>
      <c r="H139" s="45"/>
      <c r="I139" s="17">
        <f t="shared" si="11"/>
        <v>-0.452275777269465</v>
      </c>
      <c r="J139" s="17">
        <v>0</v>
      </c>
      <c r="K139" s="29">
        <f t="shared" si="9"/>
        <v>16.8</v>
      </c>
      <c r="L139" s="44">
        <f t="shared" si="10"/>
        <v>17.252275777269467</v>
      </c>
      <c r="M139" s="371"/>
      <c r="N139" s="32"/>
      <c r="O139" s="15">
        <v>1.05</v>
      </c>
      <c r="P139" s="45">
        <v>16</v>
      </c>
    </row>
    <row r="140" spans="1:16" s="15" customFormat="1" ht="20.25" thickBot="1">
      <c r="A140" s="72"/>
      <c r="B140" s="201" t="s">
        <v>93</v>
      </c>
      <c r="C140" s="128" t="str">
        <f>'МРСК 2'!C140</f>
        <v>16+16</v>
      </c>
      <c r="D140" s="128">
        <v>7172</v>
      </c>
      <c r="E140" s="128">
        <v>3242</v>
      </c>
      <c r="F140" s="120">
        <f t="shared" si="12"/>
        <v>7.8707145800111435</v>
      </c>
      <c r="G140" s="76">
        <v>0</v>
      </c>
      <c r="H140" s="77"/>
      <c r="I140" s="78">
        <f t="shared" si="11"/>
        <v>7.8707145800111435</v>
      </c>
      <c r="J140" s="78">
        <v>0</v>
      </c>
      <c r="K140" s="79">
        <f t="shared" si="9"/>
        <v>16.8</v>
      </c>
      <c r="L140" s="75">
        <f t="shared" si="10"/>
        <v>8.929285419988858</v>
      </c>
      <c r="M140" s="372"/>
      <c r="N140" s="80"/>
      <c r="O140" s="15">
        <v>1.05</v>
      </c>
      <c r="P140" s="45">
        <v>16</v>
      </c>
    </row>
    <row r="141" spans="1:16" s="15" customFormat="1" ht="20.25" thickTop="1">
      <c r="A141" s="16">
        <v>70</v>
      </c>
      <c r="B141" s="169" t="s">
        <v>163</v>
      </c>
      <c r="C141" s="133" t="str">
        <f>'МРСК 2'!C141</f>
        <v>32+32</v>
      </c>
      <c r="D141" s="133">
        <v>10973</v>
      </c>
      <c r="E141" s="133">
        <v>4879</v>
      </c>
      <c r="F141" s="120">
        <f t="shared" si="12"/>
        <v>12.008803853839897</v>
      </c>
      <c r="G141" s="44">
        <v>5.56</v>
      </c>
      <c r="H141" s="18">
        <v>45</v>
      </c>
      <c r="I141" s="44">
        <f t="shared" si="11"/>
        <v>6.448803853839897</v>
      </c>
      <c r="J141" s="17">
        <v>0</v>
      </c>
      <c r="K141" s="43">
        <f t="shared" si="9"/>
        <v>33.6</v>
      </c>
      <c r="L141" s="105">
        <f t="shared" si="10"/>
        <v>27.151196146160103</v>
      </c>
      <c r="M141" s="44">
        <f>MIN(L141:L141)</f>
        <v>27.151196146160103</v>
      </c>
      <c r="N141" s="32"/>
      <c r="O141" s="15">
        <v>1.05</v>
      </c>
      <c r="P141" s="45">
        <v>32</v>
      </c>
    </row>
    <row r="142" spans="1:16" s="15" customFormat="1" ht="20.25" thickBot="1">
      <c r="A142" s="16">
        <v>71</v>
      </c>
      <c r="B142" s="179" t="s">
        <v>164</v>
      </c>
      <c r="C142" s="133" t="str">
        <f>'МРСК 2'!C142</f>
        <v>40+40</v>
      </c>
      <c r="D142" s="133">
        <v>27342</v>
      </c>
      <c r="E142" s="133">
        <v>4998</v>
      </c>
      <c r="F142" s="120">
        <f t="shared" si="12"/>
        <v>27.795052941126052</v>
      </c>
      <c r="G142" s="44">
        <v>0</v>
      </c>
      <c r="H142" s="18"/>
      <c r="I142" s="44">
        <f t="shared" si="11"/>
        <v>27.795052941126052</v>
      </c>
      <c r="J142" s="17">
        <v>0</v>
      </c>
      <c r="K142" s="43">
        <f t="shared" si="9"/>
        <v>42</v>
      </c>
      <c r="L142" s="105">
        <f t="shared" si="10"/>
        <v>14.204947058873948</v>
      </c>
      <c r="M142" s="44">
        <f>MIN(L142:L142)</f>
        <v>14.204947058873948</v>
      </c>
      <c r="N142" s="32"/>
      <c r="O142" s="15">
        <v>1.05</v>
      </c>
      <c r="P142" s="45">
        <v>40</v>
      </c>
    </row>
    <row r="143" spans="1:16" s="15" customFormat="1" ht="20.25" thickTop="1">
      <c r="A143" s="81">
        <v>72</v>
      </c>
      <c r="B143" s="167" t="s">
        <v>165</v>
      </c>
      <c r="C143" s="129" t="str">
        <f>'МРСК 2'!C143</f>
        <v>25+25</v>
      </c>
      <c r="D143" s="129">
        <f>D144+D145</f>
        <v>19256</v>
      </c>
      <c r="E143" s="129">
        <f>E144+E145</f>
        <v>7574</v>
      </c>
      <c r="F143" s="120">
        <f t="shared" si="12"/>
        <v>20.69200357626105</v>
      </c>
      <c r="G143" s="84">
        <v>20.54</v>
      </c>
      <c r="H143" s="85">
        <v>80</v>
      </c>
      <c r="I143" s="86">
        <f t="shared" si="11"/>
        <v>0.15200357626105188</v>
      </c>
      <c r="J143" s="86">
        <v>0</v>
      </c>
      <c r="K143" s="86">
        <f t="shared" si="9"/>
        <v>26.25</v>
      </c>
      <c r="L143" s="103">
        <f t="shared" si="10"/>
        <v>26.097996423738948</v>
      </c>
      <c r="M143" s="370">
        <f>MIN(L143:L145)</f>
        <v>24.681081901436535</v>
      </c>
      <c r="N143" s="87"/>
      <c r="O143" s="15">
        <v>1.05</v>
      </c>
      <c r="P143" s="45">
        <v>25</v>
      </c>
    </row>
    <row r="144" spans="1:16" s="15" customFormat="1" ht="19.5">
      <c r="A144" s="16"/>
      <c r="B144" s="169" t="s">
        <v>92</v>
      </c>
      <c r="C144" s="127" t="str">
        <f>'МРСК 2'!C144</f>
        <v>25+25</v>
      </c>
      <c r="D144" s="127">
        <v>17936</v>
      </c>
      <c r="E144" s="127">
        <v>6726</v>
      </c>
      <c r="F144" s="120">
        <f t="shared" si="12"/>
        <v>19.155656397001906</v>
      </c>
      <c r="G144" s="31">
        <v>19.676</v>
      </c>
      <c r="H144" s="45"/>
      <c r="I144" s="17">
        <f t="shared" si="11"/>
        <v>-0.5203436029980928</v>
      </c>
      <c r="J144" s="17">
        <v>0</v>
      </c>
      <c r="K144" s="29">
        <f t="shared" si="9"/>
        <v>26.25</v>
      </c>
      <c r="L144" s="44">
        <f t="shared" si="10"/>
        <v>26.770343602998093</v>
      </c>
      <c r="M144" s="371"/>
      <c r="N144" s="32"/>
      <c r="O144" s="15">
        <v>1.05</v>
      </c>
      <c r="P144" s="45">
        <v>25</v>
      </c>
    </row>
    <row r="145" spans="1:16" s="15" customFormat="1" ht="20.25" thickBot="1">
      <c r="A145" s="72"/>
      <c r="B145" s="201" t="s">
        <v>93</v>
      </c>
      <c r="C145" s="128" t="str">
        <f>'МРСК 2'!C145</f>
        <v>25+25</v>
      </c>
      <c r="D145" s="128">
        <v>1320</v>
      </c>
      <c r="E145" s="128">
        <v>848</v>
      </c>
      <c r="F145" s="120">
        <f t="shared" si="12"/>
        <v>1.5689180985634654</v>
      </c>
      <c r="G145" s="76">
        <v>0</v>
      </c>
      <c r="H145" s="77"/>
      <c r="I145" s="78">
        <f t="shared" si="11"/>
        <v>1.5689180985634654</v>
      </c>
      <c r="J145" s="78">
        <v>0</v>
      </c>
      <c r="K145" s="79">
        <f t="shared" si="9"/>
        <v>26.25</v>
      </c>
      <c r="L145" s="75">
        <f t="shared" si="10"/>
        <v>24.681081901436535</v>
      </c>
      <c r="M145" s="372"/>
      <c r="N145" s="80"/>
      <c r="O145" s="15">
        <v>1.05</v>
      </c>
      <c r="P145" s="45">
        <v>25</v>
      </c>
    </row>
    <row r="146" spans="1:16" s="15" customFormat="1" ht="20.25" thickTop="1">
      <c r="A146" s="81">
        <v>73</v>
      </c>
      <c r="B146" s="167" t="s">
        <v>166</v>
      </c>
      <c r="C146" s="129" t="str">
        <f>'МРСК 2'!C146</f>
        <v>16+16</v>
      </c>
      <c r="D146" s="129">
        <f>D147+D148</f>
        <v>15254</v>
      </c>
      <c r="E146" s="129">
        <f>E147+E148</f>
        <v>6791</v>
      </c>
      <c r="F146" s="120">
        <f t="shared" si="12"/>
        <v>16.697370960723127</v>
      </c>
      <c r="G146" s="84">
        <v>5.969</v>
      </c>
      <c r="H146" s="85">
        <v>120</v>
      </c>
      <c r="I146" s="86">
        <f t="shared" si="11"/>
        <v>10.728370960723126</v>
      </c>
      <c r="J146" s="86">
        <v>0</v>
      </c>
      <c r="K146" s="86">
        <f t="shared" si="9"/>
        <v>16.8</v>
      </c>
      <c r="L146" s="103">
        <f t="shared" si="10"/>
        <v>6.071629039276875</v>
      </c>
      <c r="M146" s="370">
        <f>MIN(L146:L148)</f>
        <v>6.071629039276875</v>
      </c>
      <c r="N146" s="87"/>
      <c r="O146" s="15">
        <v>1.05</v>
      </c>
      <c r="P146" s="45">
        <v>16</v>
      </c>
    </row>
    <row r="147" spans="1:16" s="15" customFormat="1" ht="19.5">
      <c r="A147" s="16"/>
      <c r="B147" s="169" t="s">
        <v>92</v>
      </c>
      <c r="C147" s="127" t="str">
        <f>'МРСК 2'!C147</f>
        <v>16+16</v>
      </c>
      <c r="D147" s="127">
        <v>7509</v>
      </c>
      <c r="E147" s="127">
        <v>3847</v>
      </c>
      <c r="F147" s="120">
        <f t="shared" si="12"/>
        <v>8.43709013819338</v>
      </c>
      <c r="G147" s="31">
        <v>5.969</v>
      </c>
      <c r="H147" s="45"/>
      <c r="I147" s="17">
        <f t="shared" si="11"/>
        <v>2.4680901381933795</v>
      </c>
      <c r="J147" s="17">
        <v>0</v>
      </c>
      <c r="K147" s="29">
        <f t="shared" si="9"/>
        <v>16.8</v>
      </c>
      <c r="L147" s="44">
        <f t="shared" si="10"/>
        <v>14.331909861806622</v>
      </c>
      <c r="M147" s="371"/>
      <c r="N147" s="32"/>
      <c r="O147" s="15">
        <v>1.05</v>
      </c>
      <c r="P147" s="45">
        <v>16</v>
      </c>
    </row>
    <row r="148" spans="1:16" s="15" customFormat="1" ht="20.25" thickBot="1">
      <c r="A148" s="72"/>
      <c r="B148" s="201" t="s">
        <v>93</v>
      </c>
      <c r="C148" s="128" t="str">
        <f>'МРСК 2'!C148</f>
        <v>16+16</v>
      </c>
      <c r="D148" s="128">
        <v>7745</v>
      </c>
      <c r="E148" s="128">
        <v>2944</v>
      </c>
      <c r="F148" s="120">
        <f t="shared" si="12"/>
        <v>8.285659961644576</v>
      </c>
      <c r="G148" s="76">
        <v>0</v>
      </c>
      <c r="H148" s="77"/>
      <c r="I148" s="78">
        <f t="shared" si="11"/>
        <v>8.285659961644576</v>
      </c>
      <c r="J148" s="78">
        <v>0</v>
      </c>
      <c r="K148" s="79">
        <f t="shared" si="9"/>
        <v>16.8</v>
      </c>
      <c r="L148" s="75">
        <f t="shared" si="10"/>
        <v>8.514340038355424</v>
      </c>
      <c r="M148" s="372"/>
      <c r="N148" s="80"/>
      <c r="O148" s="15">
        <v>1.05</v>
      </c>
      <c r="P148" s="45">
        <v>16</v>
      </c>
    </row>
    <row r="149" spans="1:16" s="15" customFormat="1" ht="20.25" thickTop="1">
      <c r="A149" s="81">
        <v>74</v>
      </c>
      <c r="B149" s="167" t="s">
        <v>167</v>
      </c>
      <c r="C149" s="129" t="str">
        <f>'МРСК 2'!C149</f>
        <v>40+40</v>
      </c>
      <c r="D149" s="129">
        <f>D150+D151</f>
        <v>26611</v>
      </c>
      <c r="E149" s="129">
        <f>E150+E151</f>
        <v>13133</v>
      </c>
      <c r="F149" s="120">
        <f t="shared" si="12"/>
        <v>29.675259223804602</v>
      </c>
      <c r="G149" s="84">
        <v>16.65</v>
      </c>
      <c r="H149" s="85">
        <v>120</v>
      </c>
      <c r="I149" s="86">
        <f t="shared" si="11"/>
        <v>13.025259223804603</v>
      </c>
      <c r="J149" s="86">
        <v>0</v>
      </c>
      <c r="K149" s="86">
        <f t="shared" si="9"/>
        <v>42</v>
      </c>
      <c r="L149" s="103">
        <f t="shared" si="10"/>
        <v>28.974740776195397</v>
      </c>
      <c r="M149" s="370">
        <f>MIN(L149:L151)</f>
        <v>28.974740776195397</v>
      </c>
      <c r="N149" s="87"/>
      <c r="O149" s="15">
        <v>1.05</v>
      </c>
      <c r="P149" s="45">
        <v>40</v>
      </c>
    </row>
    <row r="150" spans="1:16" s="15" customFormat="1" ht="19.5">
      <c r="A150" s="16"/>
      <c r="B150" s="169" t="s">
        <v>92</v>
      </c>
      <c r="C150" s="127" t="str">
        <f>'МРСК 2'!C150</f>
        <v>40+40</v>
      </c>
      <c r="D150" s="127">
        <v>15078</v>
      </c>
      <c r="E150" s="127">
        <v>8022</v>
      </c>
      <c r="F150" s="120">
        <f t="shared" si="12"/>
        <v>17.079185226467917</v>
      </c>
      <c r="G150" s="31">
        <v>11.682</v>
      </c>
      <c r="H150" s="45"/>
      <c r="I150" s="17">
        <f t="shared" si="11"/>
        <v>5.397185226467917</v>
      </c>
      <c r="J150" s="17">
        <v>0</v>
      </c>
      <c r="K150" s="29">
        <f t="shared" si="9"/>
        <v>42</v>
      </c>
      <c r="L150" s="44">
        <f t="shared" si="10"/>
        <v>36.60281477353208</v>
      </c>
      <c r="M150" s="371"/>
      <c r="N150" s="32"/>
      <c r="O150" s="15">
        <v>1.05</v>
      </c>
      <c r="P150" s="45">
        <v>40</v>
      </c>
    </row>
    <row r="151" spans="1:16" s="15" customFormat="1" ht="20.25" thickBot="1">
      <c r="A151" s="72"/>
      <c r="B151" s="201" t="s">
        <v>93</v>
      </c>
      <c r="C151" s="128" t="str">
        <f>'МРСК 2'!C151</f>
        <v>40+40</v>
      </c>
      <c r="D151" s="128">
        <v>11533</v>
      </c>
      <c r="E151" s="128">
        <v>5111</v>
      </c>
      <c r="F151" s="120">
        <f t="shared" si="12"/>
        <v>12.614769518306707</v>
      </c>
      <c r="G151" s="76">
        <v>4.967999999999998</v>
      </c>
      <c r="H151" s="77"/>
      <c r="I151" s="78">
        <f t="shared" si="11"/>
        <v>7.646769518306709</v>
      </c>
      <c r="J151" s="78">
        <v>0</v>
      </c>
      <c r="K151" s="79">
        <f t="shared" si="9"/>
        <v>42</v>
      </c>
      <c r="L151" s="75">
        <f t="shared" si="10"/>
        <v>34.35323048169329</v>
      </c>
      <c r="M151" s="372"/>
      <c r="N151" s="80"/>
      <c r="O151" s="15">
        <v>1.05</v>
      </c>
      <c r="P151" s="45">
        <v>40</v>
      </c>
    </row>
    <row r="152" spans="1:16" s="15" customFormat="1" ht="21" thickBot="1" thickTop="1">
      <c r="A152" s="16">
        <v>75</v>
      </c>
      <c r="B152" s="179" t="s">
        <v>168</v>
      </c>
      <c r="C152" s="133" t="str">
        <f>'МРСК 2'!C152</f>
        <v>3,2+10</v>
      </c>
      <c r="D152" s="133">
        <v>3265</v>
      </c>
      <c r="E152" s="133">
        <v>1144</v>
      </c>
      <c r="F152" s="120">
        <f t="shared" si="12"/>
        <v>3.459618620599675</v>
      </c>
      <c r="G152" s="44">
        <v>0</v>
      </c>
      <c r="H152" s="18"/>
      <c r="I152" s="44">
        <f t="shared" si="11"/>
        <v>3.459618620599675</v>
      </c>
      <c r="J152" s="17">
        <v>0</v>
      </c>
      <c r="K152" s="43">
        <f t="shared" si="9"/>
        <v>3.3600000000000003</v>
      </c>
      <c r="L152" s="105">
        <f t="shared" si="10"/>
        <v>-0.09961862059967475</v>
      </c>
      <c r="M152" s="44">
        <f>L152</f>
        <v>-0.09961862059967475</v>
      </c>
      <c r="N152" s="32"/>
      <c r="O152" s="15">
        <v>1.05</v>
      </c>
      <c r="P152" s="45">
        <v>3.2</v>
      </c>
    </row>
    <row r="153" spans="1:16" s="15" customFormat="1" ht="20.25" thickTop="1">
      <c r="A153" s="81">
        <v>76</v>
      </c>
      <c r="B153" s="167" t="s">
        <v>274</v>
      </c>
      <c r="C153" s="129" t="str">
        <f>'МРСК 2'!C153</f>
        <v>40+40</v>
      </c>
      <c r="D153" s="129">
        <f>D154+D155</f>
        <v>38807</v>
      </c>
      <c r="E153" s="129">
        <f>E154+E155</f>
        <v>11568</v>
      </c>
      <c r="F153" s="120">
        <f t="shared" si="12"/>
        <v>40.49446718997547</v>
      </c>
      <c r="G153" s="84">
        <v>12.94</v>
      </c>
      <c r="H153" s="85">
        <v>120</v>
      </c>
      <c r="I153" s="86">
        <f t="shared" si="11"/>
        <v>27.55446718997547</v>
      </c>
      <c r="J153" s="86">
        <v>0</v>
      </c>
      <c r="K153" s="86">
        <f t="shared" si="9"/>
        <v>42</v>
      </c>
      <c r="L153" s="103">
        <f t="shared" si="10"/>
        <v>14.445532810024531</v>
      </c>
      <c r="M153" s="370">
        <f>MIN(L153:L155)</f>
        <v>14.445532810024531</v>
      </c>
      <c r="N153" s="87"/>
      <c r="O153" s="15">
        <v>1.05</v>
      </c>
      <c r="P153" s="45">
        <v>40</v>
      </c>
    </row>
    <row r="154" spans="1:16" s="15" customFormat="1" ht="19.5">
      <c r="A154" s="16"/>
      <c r="B154" s="169" t="s">
        <v>275</v>
      </c>
      <c r="C154" s="127" t="str">
        <f>'МРСК 2'!C154</f>
        <v>40+40</v>
      </c>
      <c r="D154" s="127">
        <v>6846</v>
      </c>
      <c r="E154" s="127">
        <v>1506</v>
      </c>
      <c r="F154" s="120">
        <f t="shared" si="12"/>
        <v>7.009689864751508</v>
      </c>
      <c r="G154" s="31">
        <v>3.42</v>
      </c>
      <c r="H154" s="45"/>
      <c r="I154" s="17">
        <f t="shared" si="11"/>
        <v>3.5896898647515076</v>
      </c>
      <c r="J154" s="17">
        <v>0</v>
      </c>
      <c r="K154" s="29">
        <f t="shared" si="9"/>
        <v>42</v>
      </c>
      <c r="L154" s="44">
        <f t="shared" si="10"/>
        <v>38.410310135248494</v>
      </c>
      <c r="M154" s="371"/>
      <c r="N154" s="32"/>
      <c r="O154" s="15">
        <v>1.05</v>
      </c>
      <c r="P154" s="45">
        <v>40</v>
      </c>
    </row>
    <row r="155" spans="1:16" s="15" customFormat="1" ht="20.25" thickBot="1">
      <c r="A155" s="72"/>
      <c r="B155" s="201" t="s">
        <v>93</v>
      </c>
      <c r="C155" s="128" t="str">
        <f>'МРСК 2'!C155</f>
        <v>40+40</v>
      </c>
      <c r="D155" s="128">
        <v>31961</v>
      </c>
      <c r="E155" s="128">
        <v>10062</v>
      </c>
      <c r="F155" s="120">
        <f t="shared" si="12"/>
        <v>33.50745238003033</v>
      </c>
      <c r="G155" s="76">
        <v>9.52</v>
      </c>
      <c r="H155" s="77"/>
      <c r="I155" s="78">
        <f t="shared" si="11"/>
        <v>23.98745238003033</v>
      </c>
      <c r="J155" s="78">
        <v>0</v>
      </c>
      <c r="K155" s="79">
        <f t="shared" si="9"/>
        <v>42</v>
      </c>
      <c r="L155" s="75">
        <f t="shared" si="10"/>
        <v>18.01254761996967</v>
      </c>
      <c r="M155" s="372"/>
      <c r="N155" s="80"/>
      <c r="O155" s="15">
        <v>1.05</v>
      </c>
      <c r="P155" s="45">
        <v>40</v>
      </c>
    </row>
    <row r="156" spans="1:16" s="15" customFormat="1" ht="20.25" thickTop="1">
      <c r="A156" s="16">
        <v>77</v>
      </c>
      <c r="B156" s="179" t="s">
        <v>170</v>
      </c>
      <c r="C156" s="133" t="str">
        <f>'МРСК 2'!C156</f>
        <v>2,5+2,5</v>
      </c>
      <c r="D156" s="133">
        <v>704</v>
      </c>
      <c r="E156" s="133">
        <v>264</v>
      </c>
      <c r="F156" s="120">
        <f t="shared" si="12"/>
        <v>0.7518723295879428</v>
      </c>
      <c r="G156" s="44">
        <v>0.4326661530556787</v>
      </c>
      <c r="H156" s="18">
        <v>120</v>
      </c>
      <c r="I156" s="44">
        <f t="shared" si="11"/>
        <v>0.31920617653226413</v>
      </c>
      <c r="J156" s="17">
        <v>0</v>
      </c>
      <c r="K156" s="43">
        <f t="shared" si="9"/>
        <v>2.625</v>
      </c>
      <c r="L156" s="105">
        <f t="shared" si="10"/>
        <v>2.3057938234677358</v>
      </c>
      <c r="M156" s="44">
        <f>L156</f>
        <v>2.3057938234677358</v>
      </c>
      <c r="N156" s="32"/>
      <c r="O156" s="15">
        <v>1.05</v>
      </c>
      <c r="P156" s="45">
        <v>2.5</v>
      </c>
    </row>
    <row r="157" spans="1:16" s="15" customFormat="1" ht="19.5">
      <c r="A157" s="16">
        <v>78</v>
      </c>
      <c r="B157" s="169" t="s">
        <v>171</v>
      </c>
      <c r="C157" s="133" t="str">
        <f>'МРСК 2'!C157</f>
        <v>2,5+2,5</v>
      </c>
      <c r="D157" s="133">
        <v>872</v>
      </c>
      <c r="E157" s="133">
        <v>280</v>
      </c>
      <c r="F157" s="120">
        <f t="shared" si="12"/>
        <v>0.9158515163496755</v>
      </c>
      <c r="G157" s="44">
        <v>0.46639018642623853</v>
      </c>
      <c r="H157" s="18">
        <v>120</v>
      </c>
      <c r="I157" s="44">
        <f t="shared" si="11"/>
        <v>0.449461329923437</v>
      </c>
      <c r="J157" s="17">
        <v>0</v>
      </c>
      <c r="K157" s="43">
        <f t="shared" si="9"/>
        <v>2.625</v>
      </c>
      <c r="L157" s="105">
        <f t="shared" si="10"/>
        <v>2.175538670076563</v>
      </c>
      <c r="M157" s="44">
        <f aca="true" t="shared" si="13" ref="M157:M220">L157</f>
        <v>2.175538670076563</v>
      </c>
      <c r="N157" s="32"/>
      <c r="O157" s="15">
        <v>1.05</v>
      </c>
      <c r="P157" s="45">
        <v>2.5</v>
      </c>
    </row>
    <row r="158" spans="1:16" s="15" customFormat="1" ht="19.5">
      <c r="A158" s="16">
        <v>79</v>
      </c>
      <c r="B158" s="179" t="s">
        <v>172</v>
      </c>
      <c r="C158" s="133" t="str">
        <f>'МРСК 2'!C158</f>
        <v>4+4</v>
      </c>
      <c r="D158" s="133">
        <v>2352</v>
      </c>
      <c r="E158" s="133">
        <v>1056</v>
      </c>
      <c r="F158" s="120">
        <f t="shared" si="12"/>
        <v>2.5781854083831908</v>
      </c>
      <c r="G158" s="44">
        <v>0</v>
      </c>
      <c r="H158" s="18"/>
      <c r="I158" s="44">
        <f t="shared" si="11"/>
        <v>2.5781854083831908</v>
      </c>
      <c r="J158" s="17">
        <v>0</v>
      </c>
      <c r="K158" s="43">
        <f t="shared" si="9"/>
        <v>4.2</v>
      </c>
      <c r="L158" s="105">
        <f t="shared" si="10"/>
        <v>1.6218145916168094</v>
      </c>
      <c r="M158" s="44">
        <f t="shared" si="13"/>
        <v>1.6218145916168094</v>
      </c>
      <c r="N158" s="32"/>
      <c r="O158" s="15">
        <v>1.05</v>
      </c>
      <c r="P158" s="45">
        <v>4</v>
      </c>
    </row>
    <row r="159" spans="1:16" s="15" customFormat="1" ht="19.5">
      <c r="A159" s="16">
        <v>80</v>
      </c>
      <c r="B159" s="169" t="s">
        <v>173</v>
      </c>
      <c r="C159" s="133" t="str">
        <f>'МРСК 2'!C159</f>
        <v>2,5+2,5</v>
      </c>
      <c r="D159" s="133">
        <v>876</v>
      </c>
      <c r="E159" s="133">
        <v>354</v>
      </c>
      <c r="F159" s="120">
        <f t="shared" si="12"/>
        <v>0.9448237930958344</v>
      </c>
      <c r="G159" s="44">
        <v>0.4465178692384436</v>
      </c>
      <c r="H159" s="18">
        <v>80</v>
      </c>
      <c r="I159" s="44">
        <f t="shared" si="11"/>
        <v>0.4983059238573908</v>
      </c>
      <c r="J159" s="17">
        <v>0</v>
      </c>
      <c r="K159" s="43">
        <f t="shared" si="9"/>
        <v>2.625</v>
      </c>
      <c r="L159" s="105">
        <f t="shared" si="10"/>
        <v>2.126694076142609</v>
      </c>
      <c r="M159" s="44">
        <f t="shared" si="13"/>
        <v>2.126694076142609</v>
      </c>
      <c r="N159" s="32"/>
      <c r="O159" s="15">
        <v>1.05</v>
      </c>
      <c r="P159" s="45">
        <v>2.5</v>
      </c>
    </row>
    <row r="160" spans="1:16" s="15" customFormat="1" ht="19.5">
      <c r="A160" s="16">
        <v>81</v>
      </c>
      <c r="B160" s="179" t="s">
        <v>174</v>
      </c>
      <c r="C160" s="133" t="str">
        <f>'МРСК 2'!C160</f>
        <v>6,3+6,3</v>
      </c>
      <c r="D160" s="133">
        <v>3664</v>
      </c>
      <c r="E160" s="133">
        <v>2840</v>
      </c>
      <c r="F160" s="120">
        <f t="shared" si="12"/>
        <v>4.635784291789255</v>
      </c>
      <c r="G160" s="44">
        <v>0.55</v>
      </c>
      <c r="H160" s="18">
        <v>45</v>
      </c>
      <c r="I160" s="44">
        <f t="shared" si="11"/>
        <v>4.085784291789255</v>
      </c>
      <c r="J160" s="17">
        <v>0</v>
      </c>
      <c r="K160" s="43">
        <f t="shared" si="9"/>
        <v>6.615</v>
      </c>
      <c r="L160" s="105">
        <f t="shared" si="10"/>
        <v>2.529215708210745</v>
      </c>
      <c r="M160" s="44">
        <f t="shared" si="13"/>
        <v>2.529215708210745</v>
      </c>
      <c r="N160" s="32"/>
      <c r="O160" s="15">
        <v>1.05</v>
      </c>
      <c r="P160" s="45">
        <v>6.3</v>
      </c>
    </row>
    <row r="161" spans="1:16" s="15" customFormat="1" ht="19.5">
      <c r="A161" s="16">
        <v>82</v>
      </c>
      <c r="B161" s="169" t="s">
        <v>175</v>
      </c>
      <c r="C161" s="133" t="str">
        <f>'МРСК 2'!C161</f>
        <v>4+4</v>
      </c>
      <c r="D161" s="133">
        <v>2304</v>
      </c>
      <c r="E161" s="133">
        <v>928</v>
      </c>
      <c r="F161" s="120">
        <f t="shared" si="12"/>
        <v>2.4838679514016038</v>
      </c>
      <c r="G161" s="44">
        <v>1.191</v>
      </c>
      <c r="H161" s="18">
        <v>120</v>
      </c>
      <c r="I161" s="44">
        <f t="shared" si="11"/>
        <v>1.2928679514016037</v>
      </c>
      <c r="J161" s="17">
        <v>0</v>
      </c>
      <c r="K161" s="43">
        <f aca="true" t="shared" si="14" ref="K161:K224">O161*P161</f>
        <v>4.2</v>
      </c>
      <c r="L161" s="105">
        <f aca="true" t="shared" si="15" ref="L161:L224">K161-J161-I161</f>
        <v>2.9071320485983962</v>
      </c>
      <c r="M161" s="44">
        <f t="shared" si="13"/>
        <v>2.9071320485983962</v>
      </c>
      <c r="N161" s="32"/>
      <c r="O161" s="15">
        <v>1.05</v>
      </c>
      <c r="P161" s="45">
        <v>4</v>
      </c>
    </row>
    <row r="162" spans="1:16" s="15" customFormat="1" ht="19.5">
      <c r="A162" s="16">
        <v>83</v>
      </c>
      <c r="B162" s="179" t="s">
        <v>176</v>
      </c>
      <c r="C162" s="133" t="str">
        <f>'МРСК 2'!C162</f>
        <v>4+4</v>
      </c>
      <c r="D162" s="133">
        <v>640</v>
      </c>
      <c r="E162" s="133">
        <v>272</v>
      </c>
      <c r="F162" s="120">
        <f t="shared" si="12"/>
        <v>0.6954020419872233</v>
      </c>
      <c r="G162" s="44">
        <v>0.6248809275468652</v>
      </c>
      <c r="H162" s="18">
        <v>80</v>
      </c>
      <c r="I162" s="44">
        <f t="shared" si="11"/>
        <v>0.07052111444035813</v>
      </c>
      <c r="J162" s="17">
        <v>0</v>
      </c>
      <c r="K162" s="43">
        <f t="shared" si="14"/>
        <v>4.2</v>
      </c>
      <c r="L162" s="105">
        <f t="shared" si="15"/>
        <v>4.129478885559642</v>
      </c>
      <c r="M162" s="44">
        <f t="shared" si="13"/>
        <v>4.129478885559642</v>
      </c>
      <c r="N162" s="32"/>
      <c r="O162" s="15">
        <v>1.05</v>
      </c>
      <c r="P162" s="45">
        <v>4</v>
      </c>
    </row>
    <row r="163" spans="1:16" s="15" customFormat="1" ht="19.5">
      <c r="A163" s="16">
        <v>84</v>
      </c>
      <c r="B163" s="169" t="s">
        <v>177</v>
      </c>
      <c r="C163" s="133" t="str">
        <f>'МРСК 2'!C163</f>
        <v>2,5+2,5</v>
      </c>
      <c r="D163" s="133">
        <v>744</v>
      </c>
      <c r="E163" s="133">
        <v>306</v>
      </c>
      <c r="F163" s="120">
        <f t="shared" si="12"/>
        <v>0.8044700118711697</v>
      </c>
      <c r="G163" s="44">
        <v>0.447794595769087</v>
      </c>
      <c r="H163" s="18">
        <v>45</v>
      </c>
      <c r="I163" s="44">
        <f t="shared" si="11"/>
        <v>0.35667541610208275</v>
      </c>
      <c r="J163" s="17">
        <v>0</v>
      </c>
      <c r="K163" s="43">
        <f t="shared" si="14"/>
        <v>2.625</v>
      </c>
      <c r="L163" s="105">
        <f t="shared" si="15"/>
        <v>2.2683245838979174</v>
      </c>
      <c r="M163" s="44">
        <f t="shared" si="13"/>
        <v>2.2683245838979174</v>
      </c>
      <c r="N163" s="32"/>
      <c r="O163" s="15">
        <v>1.05</v>
      </c>
      <c r="P163" s="45">
        <v>2.5</v>
      </c>
    </row>
    <row r="164" spans="1:16" s="15" customFormat="1" ht="19.5">
      <c r="A164" s="16">
        <v>85</v>
      </c>
      <c r="B164" s="179" t="s">
        <v>178</v>
      </c>
      <c r="C164" s="133" t="str">
        <f>'МРСК 2'!C164</f>
        <v>2,5+2,5</v>
      </c>
      <c r="D164" s="133">
        <v>720</v>
      </c>
      <c r="E164" s="133">
        <v>336</v>
      </c>
      <c r="F164" s="120">
        <f t="shared" si="12"/>
        <v>0.7945413771478487</v>
      </c>
      <c r="G164" s="44">
        <v>0.606</v>
      </c>
      <c r="H164" s="18">
        <v>45</v>
      </c>
      <c r="I164" s="44">
        <f t="shared" si="11"/>
        <v>0.1885413771478487</v>
      </c>
      <c r="J164" s="17">
        <v>0</v>
      </c>
      <c r="K164" s="43">
        <f t="shared" si="14"/>
        <v>2.625</v>
      </c>
      <c r="L164" s="105">
        <f t="shared" si="15"/>
        <v>2.436458622852151</v>
      </c>
      <c r="M164" s="44">
        <f t="shared" si="13"/>
        <v>2.436458622852151</v>
      </c>
      <c r="N164" s="32"/>
      <c r="O164" s="15">
        <v>1.05</v>
      </c>
      <c r="P164" s="45">
        <v>2.5</v>
      </c>
    </row>
    <row r="165" spans="1:16" s="15" customFormat="1" ht="19.5">
      <c r="A165" s="16">
        <v>86</v>
      </c>
      <c r="B165" s="169" t="s">
        <v>179</v>
      </c>
      <c r="C165" s="133" t="str">
        <f>'МРСК 2'!C165</f>
        <v>6,3+6,3</v>
      </c>
      <c r="D165" s="133">
        <v>2960</v>
      </c>
      <c r="E165" s="133">
        <v>1312</v>
      </c>
      <c r="F165" s="120">
        <f t="shared" si="12"/>
        <v>3.2377374816374473</v>
      </c>
      <c r="G165" s="44">
        <v>2.83</v>
      </c>
      <c r="H165" s="18">
        <v>45</v>
      </c>
      <c r="I165" s="44">
        <f t="shared" si="11"/>
        <v>0.4077374816374473</v>
      </c>
      <c r="J165" s="17">
        <v>0</v>
      </c>
      <c r="K165" s="43">
        <f t="shared" si="14"/>
        <v>6.615</v>
      </c>
      <c r="L165" s="105">
        <f t="shared" si="15"/>
        <v>6.207262518362553</v>
      </c>
      <c r="M165" s="44">
        <f t="shared" si="13"/>
        <v>6.207262518362553</v>
      </c>
      <c r="N165" s="32"/>
      <c r="O165" s="15">
        <v>1.05</v>
      </c>
      <c r="P165" s="45">
        <v>6.3</v>
      </c>
    </row>
    <row r="166" spans="1:16" s="15" customFormat="1" ht="19.5">
      <c r="A166" s="16">
        <v>87</v>
      </c>
      <c r="B166" s="179" t="s">
        <v>180</v>
      </c>
      <c r="C166" s="133" t="str">
        <f>'МРСК 2'!C166</f>
        <v>4+4</v>
      </c>
      <c r="D166" s="133">
        <v>3544</v>
      </c>
      <c r="E166" s="133">
        <v>1432</v>
      </c>
      <c r="F166" s="120">
        <f t="shared" si="12"/>
        <v>3.822376224287714</v>
      </c>
      <c r="G166" s="44">
        <v>1.21</v>
      </c>
      <c r="H166" s="18">
        <v>80</v>
      </c>
      <c r="I166" s="44">
        <f t="shared" si="11"/>
        <v>2.612376224287714</v>
      </c>
      <c r="J166" s="17">
        <v>0</v>
      </c>
      <c r="K166" s="43">
        <f t="shared" si="14"/>
        <v>4.2</v>
      </c>
      <c r="L166" s="105">
        <f t="shared" si="15"/>
        <v>1.5876237757122862</v>
      </c>
      <c r="M166" s="44">
        <f t="shared" si="13"/>
        <v>1.5876237757122862</v>
      </c>
      <c r="N166" s="32"/>
      <c r="O166" s="15">
        <v>1.05</v>
      </c>
      <c r="P166" s="45">
        <v>4</v>
      </c>
    </row>
    <row r="167" spans="1:16" s="15" customFormat="1" ht="19.5">
      <c r="A167" s="16">
        <v>88</v>
      </c>
      <c r="B167" s="169" t="s">
        <v>181</v>
      </c>
      <c r="C167" s="133" t="str">
        <f>'МРСК 2'!C167</f>
        <v>2,5+4</v>
      </c>
      <c r="D167" s="133">
        <v>1824</v>
      </c>
      <c r="E167" s="133">
        <v>720</v>
      </c>
      <c r="F167" s="120">
        <f t="shared" si="12"/>
        <v>1.9609630287182878</v>
      </c>
      <c r="G167" s="44">
        <v>1.3213999028416417</v>
      </c>
      <c r="H167" s="18">
        <v>45</v>
      </c>
      <c r="I167" s="44">
        <f t="shared" si="11"/>
        <v>0.6395631258766461</v>
      </c>
      <c r="J167" s="17">
        <v>0</v>
      </c>
      <c r="K167" s="43">
        <f t="shared" si="14"/>
        <v>2.625</v>
      </c>
      <c r="L167" s="105">
        <f t="shared" si="15"/>
        <v>1.985436874123354</v>
      </c>
      <c r="M167" s="44">
        <f t="shared" si="13"/>
        <v>1.985436874123354</v>
      </c>
      <c r="N167" s="32"/>
      <c r="O167" s="15">
        <v>1.05</v>
      </c>
      <c r="P167" s="45">
        <v>2.5</v>
      </c>
    </row>
    <row r="168" spans="1:16" s="15" customFormat="1" ht="19.5">
      <c r="A168" s="16">
        <v>89</v>
      </c>
      <c r="B168" s="179" t="s">
        <v>182</v>
      </c>
      <c r="C168" s="133" t="str">
        <f>'МРСК 2'!C168</f>
        <v>6,3+6,3</v>
      </c>
      <c r="D168" s="133">
        <v>6336</v>
      </c>
      <c r="E168" s="133">
        <v>2568</v>
      </c>
      <c r="F168" s="120">
        <f t="shared" si="12"/>
        <v>6.836630749133669</v>
      </c>
      <c r="G168" s="44">
        <v>0.918</v>
      </c>
      <c r="H168" s="18">
        <v>120</v>
      </c>
      <c r="I168" s="44">
        <f t="shared" si="11"/>
        <v>5.918630749133669</v>
      </c>
      <c r="J168" s="17">
        <v>0</v>
      </c>
      <c r="K168" s="43">
        <f t="shared" si="14"/>
        <v>6.615</v>
      </c>
      <c r="L168" s="105">
        <f t="shared" si="15"/>
        <v>0.6963692508663311</v>
      </c>
      <c r="M168" s="44">
        <f t="shared" si="13"/>
        <v>0.6963692508663311</v>
      </c>
      <c r="N168" s="32"/>
      <c r="O168" s="15">
        <v>1.05</v>
      </c>
      <c r="P168" s="45">
        <v>6.3</v>
      </c>
    </row>
    <row r="169" spans="1:16" s="15" customFormat="1" ht="19.5">
      <c r="A169" s="16">
        <v>90</v>
      </c>
      <c r="B169" s="169" t="s">
        <v>183</v>
      </c>
      <c r="C169" s="133" t="str">
        <f>'МРСК 2'!C169</f>
        <v>2,5+1,6</v>
      </c>
      <c r="D169" s="133">
        <v>1008</v>
      </c>
      <c r="E169" s="133">
        <v>336</v>
      </c>
      <c r="F169" s="120">
        <f t="shared" si="12"/>
        <v>1.0625252938165755</v>
      </c>
      <c r="G169" s="44">
        <v>0.522</v>
      </c>
      <c r="H169" s="18">
        <v>45</v>
      </c>
      <c r="I169" s="44">
        <f t="shared" si="11"/>
        <v>0.5405252938165754</v>
      </c>
      <c r="J169" s="17">
        <v>0</v>
      </c>
      <c r="K169" s="43">
        <f t="shared" si="14"/>
        <v>1.6800000000000002</v>
      </c>
      <c r="L169" s="105">
        <f t="shared" si="15"/>
        <v>1.1394747061834247</v>
      </c>
      <c r="M169" s="44">
        <f t="shared" si="13"/>
        <v>1.1394747061834247</v>
      </c>
      <c r="N169" s="32"/>
      <c r="O169" s="15">
        <v>1.05</v>
      </c>
      <c r="P169" s="45">
        <v>1.6</v>
      </c>
    </row>
    <row r="170" spans="1:16" s="15" customFormat="1" ht="19.5">
      <c r="A170" s="16">
        <v>91</v>
      </c>
      <c r="B170" s="179" t="s">
        <v>184</v>
      </c>
      <c r="C170" s="133" t="str">
        <f>'МРСК 2'!C170</f>
        <v>4+4</v>
      </c>
      <c r="D170" s="133">
        <v>1968</v>
      </c>
      <c r="E170" s="133">
        <v>816</v>
      </c>
      <c r="F170" s="120">
        <f t="shared" si="12"/>
        <v>2.130464738032526</v>
      </c>
      <c r="G170" s="44">
        <v>1.45</v>
      </c>
      <c r="H170" s="18">
        <v>80</v>
      </c>
      <c r="I170" s="44">
        <f t="shared" si="11"/>
        <v>0.6804647380325262</v>
      </c>
      <c r="J170" s="17">
        <v>0</v>
      </c>
      <c r="K170" s="43">
        <f t="shared" si="14"/>
        <v>4.2</v>
      </c>
      <c r="L170" s="105">
        <f t="shared" si="15"/>
        <v>3.519535261967474</v>
      </c>
      <c r="M170" s="44">
        <f t="shared" si="13"/>
        <v>3.519535261967474</v>
      </c>
      <c r="N170" s="32"/>
      <c r="O170" s="15">
        <v>1.05</v>
      </c>
      <c r="P170" s="45">
        <v>4</v>
      </c>
    </row>
    <row r="171" spans="1:16" s="15" customFormat="1" ht="19.5">
      <c r="A171" s="16">
        <v>92</v>
      </c>
      <c r="B171" s="169" t="s">
        <v>185</v>
      </c>
      <c r="C171" s="133" t="str">
        <f>'МРСК 2'!C171</f>
        <v>2,5+2,5</v>
      </c>
      <c r="D171" s="133">
        <v>1648</v>
      </c>
      <c r="E171" s="133">
        <v>696</v>
      </c>
      <c r="F171" s="120">
        <f t="shared" si="12"/>
        <v>1.7889438224829755</v>
      </c>
      <c r="G171" s="44">
        <v>1.0795494616358337</v>
      </c>
      <c r="H171" s="18">
        <v>120</v>
      </c>
      <c r="I171" s="44">
        <f t="shared" si="11"/>
        <v>0.7093943608471418</v>
      </c>
      <c r="J171" s="17">
        <v>0</v>
      </c>
      <c r="K171" s="43">
        <f t="shared" si="14"/>
        <v>2.625</v>
      </c>
      <c r="L171" s="105">
        <f t="shared" si="15"/>
        <v>1.9156056391528582</v>
      </c>
      <c r="M171" s="44">
        <f t="shared" si="13"/>
        <v>1.9156056391528582</v>
      </c>
      <c r="N171" s="32"/>
      <c r="O171" s="15">
        <v>1.05</v>
      </c>
      <c r="P171" s="45">
        <v>2.5</v>
      </c>
    </row>
    <row r="172" spans="1:16" s="15" customFormat="1" ht="19.5">
      <c r="A172" s="16">
        <v>93</v>
      </c>
      <c r="B172" s="179" t="s">
        <v>186</v>
      </c>
      <c r="C172" s="133" t="str">
        <f>'МРСК 2'!C172</f>
        <v>2,5+2,5</v>
      </c>
      <c r="D172" s="133">
        <v>1164</v>
      </c>
      <c r="E172" s="133">
        <v>348</v>
      </c>
      <c r="F172" s="120">
        <f t="shared" si="12"/>
        <v>1.214907403878995</v>
      </c>
      <c r="G172" s="44">
        <v>0.4</v>
      </c>
      <c r="H172" s="18">
        <v>120</v>
      </c>
      <c r="I172" s="44">
        <f t="shared" si="11"/>
        <v>0.8149074038789951</v>
      </c>
      <c r="J172" s="17">
        <v>0</v>
      </c>
      <c r="K172" s="43">
        <f t="shared" si="14"/>
        <v>2.625</v>
      </c>
      <c r="L172" s="105">
        <f t="shared" si="15"/>
        <v>1.810092596121005</v>
      </c>
      <c r="M172" s="44">
        <f t="shared" si="13"/>
        <v>1.810092596121005</v>
      </c>
      <c r="N172" s="32"/>
      <c r="O172" s="15">
        <v>1.05</v>
      </c>
      <c r="P172" s="45">
        <v>2.5</v>
      </c>
    </row>
    <row r="173" spans="1:16" s="15" customFormat="1" ht="19.5">
      <c r="A173" s="16">
        <v>94</v>
      </c>
      <c r="B173" s="169" t="s">
        <v>187</v>
      </c>
      <c r="C173" s="133" t="str">
        <f>'МРСК 2'!C173</f>
        <v>2,5+4</v>
      </c>
      <c r="D173" s="133">
        <v>1448</v>
      </c>
      <c r="E173" s="133">
        <v>616</v>
      </c>
      <c r="F173" s="120">
        <f t="shared" si="12"/>
        <v>1.5735819012685677</v>
      </c>
      <c r="G173" s="44">
        <v>1.0176542711224374</v>
      </c>
      <c r="H173" s="18">
        <v>45</v>
      </c>
      <c r="I173" s="44">
        <f t="shared" si="11"/>
        <v>0.5559276301461302</v>
      </c>
      <c r="J173" s="17">
        <v>0</v>
      </c>
      <c r="K173" s="43">
        <f t="shared" si="14"/>
        <v>2.625</v>
      </c>
      <c r="L173" s="105">
        <f t="shared" si="15"/>
        <v>2.0690723698538696</v>
      </c>
      <c r="M173" s="44">
        <f t="shared" si="13"/>
        <v>2.0690723698538696</v>
      </c>
      <c r="N173" s="32"/>
      <c r="O173" s="15">
        <v>1.05</v>
      </c>
      <c r="P173" s="45">
        <v>2.5</v>
      </c>
    </row>
    <row r="174" spans="1:16" s="15" customFormat="1" ht="19.5">
      <c r="A174" s="16">
        <v>95</v>
      </c>
      <c r="B174" s="179" t="s">
        <v>188</v>
      </c>
      <c r="C174" s="133" t="str">
        <f>'МРСК 2'!C174</f>
        <v>2,5+4</v>
      </c>
      <c r="D174" s="133">
        <v>1344</v>
      </c>
      <c r="E174" s="133">
        <v>508</v>
      </c>
      <c r="F174" s="120">
        <f t="shared" si="12"/>
        <v>1.4368020044529448</v>
      </c>
      <c r="G174" s="44">
        <v>0.9553554312401222</v>
      </c>
      <c r="H174" s="18">
        <v>120</v>
      </c>
      <c r="I174" s="44">
        <f t="shared" si="11"/>
        <v>0.4814465732128226</v>
      </c>
      <c r="J174" s="17">
        <v>0</v>
      </c>
      <c r="K174" s="43">
        <f t="shared" si="14"/>
        <v>2.625</v>
      </c>
      <c r="L174" s="105">
        <f t="shared" si="15"/>
        <v>2.1435534267871774</v>
      </c>
      <c r="M174" s="44">
        <f t="shared" si="13"/>
        <v>2.1435534267871774</v>
      </c>
      <c r="N174" s="32"/>
      <c r="O174" s="15">
        <v>1.05</v>
      </c>
      <c r="P174" s="45">
        <v>2.5</v>
      </c>
    </row>
    <row r="175" spans="1:16" s="15" customFormat="1" ht="19.5">
      <c r="A175" s="16">
        <v>96</v>
      </c>
      <c r="B175" s="169" t="s">
        <v>189</v>
      </c>
      <c r="C175" s="133" t="str">
        <f>'МРСК 2'!C175</f>
        <v>4+4</v>
      </c>
      <c r="D175" s="133">
        <v>1956</v>
      </c>
      <c r="E175" s="133">
        <v>624</v>
      </c>
      <c r="F175" s="120">
        <f t="shared" si="12"/>
        <v>2.053122499998478</v>
      </c>
      <c r="G175" s="44">
        <v>0.616</v>
      </c>
      <c r="H175" s="18">
        <v>80</v>
      </c>
      <c r="I175" s="44">
        <f t="shared" si="11"/>
        <v>1.4371224999984777</v>
      </c>
      <c r="J175" s="17">
        <v>0</v>
      </c>
      <c r="K175" s="43">
        <f t="shared" si="14"/>
        <v>4.2</v>
      </c>
      <c r="L175" s="105">
        <f t="shared" si="15"/>
        <v>2.7628775000015224</v>
      </c>
      <c r="M175" s="44">
        <f t="shared" si="13"/>
        <v>2.7628775000015224</v>
      </c>
      <c r="N175" s="32"/>
      <c r="O175" s="15">
        <v>1.05</v>
      </c>
      <c r="P175" s="45">
        <v>4</v>
      </c>
    </row>
    <row r="176" spans="1:16" s="15" customFormat="1" ht="19.5">
      <c r="A176" s="16">
        <v>97</v>
      </c>
      <c r="B176" s="179" t="s">
        <v>190</v>
      </c>
      <c r="C176" s="133" t="str">
        <f>'МРСК 2'!C176</f>
        <v>4+4</v>
      </c>
      <c r="D176" s="133">
        <v>679</v>
      </c>
      <c r="E176" s="133">
        <v>430</v>
      </c>
      <c r="F176" s="120">
        <f t="shared" si="12"/>
        <v>0.8037045477039433</v>
      </c>
      <c r="G176" s="44">
        <v>0</v>
      </c>
      <c r="H176" s="18"/>
      <c r="I176" s="44">
        <f t="shared" si="11"/>
        <v>0.8037045477039433</v>
      </c>
      <c r="J176" s="17">
        <v>0</v>
      </c>
      <c r="K176" s="43">
        <f t="shared" si="14"/>
        <v>4.2</v>
      </c>
      <c r="L176" s="105">
        <f t="shared" si="15"/>
        <v>3.396295452296057</v>
      </c>
      <c r="M176" s="44">
        <f t="shared" si="13"/>
        <v>3.396295452296057</v>
      </c>
      <c r="N176" s="32"/>
      <c r="O176" s="15">
        <v>1.05</v>
      </c>
      <c r="P176" s="45">
        <v>4</v>
      </c>
    </row>
    <row r="177" spans="1:16" s="15" customFormat="1" ht="19.5">
      <c r="A177" s="16">
        <v>98</v>
      </c>
      <c r="B177" s="169" t="s">
        <v>191</v>
      </c>
      <c r="C177" s="133" t="str">
        <f>'МРСК 2'!C177</f>
        <v>4+6,3</v>
      </c>
      <c r="D177" s="133">
        <v>2040</v>
      </c>
      <c r="E177" s="133">
        <v>588</v>
      </c>
      <c r="F177" s="120">
        <f t="shared" si="12"/>
        <v>2.123050635288758</v>
      </c>
      <c r="G177" s="44">
        <v>0.305</v>
      </c>
      <c r="H177" s="18">
        <v>45</v>
      </c>
      <c r="I177" s="44">
        <f t="shared" si="11"/>
        <v>1.8180506352887582</v>
      </c>
      <c r="J177" s="17">
        <v>0</v>
      </c>
      <c r="K177" s="43">
        <f t="shared" si="14"/>
        <v>4.2</v>
      </c>
      <c r="L177" s="105">
        <f t="shared" si="15"/>
        <v>2.381949364711242</v>
      </c>
      <c r="M177" s="44">
        <f t="shared" si="13"/>
        <v>2.381949364711242</v>
      </c>
      <c r="N177" s="32"/>
      <c r="O177" s="15">
        <v>1.05</v>
      </c>
      <c r="P177" s="45">
        <v>4</v>
      </c>
    </row>
    <row r="178" spans="1:16" s="15" customFormat="1" ht="19.5">
      <c r="A178" s="16">
        <v>99</v>
      </c>
      <c r="B178" s="179" t="s">
        <v>193</v>
      </c>
      <c r="C178" s="133" t="str">
        <f>'МРСК 2'!C178</f>
        <v>6,3+6,3</v>
      </c>
      <c r="D178" s="133">
        <v>3586</v>
      </c>
      <c r="E178" s="133">
        <v>1282</v>
      </c>
      <c r="F178" s="120">
        <f t="shared" si="12"/>
        <v>3.8082699484148965</v>
      </c>
      <c r="G178" s="44">
        <v>1.43</v>
      </c>
      <c r="H178" s="18">
        <v>120</v>
      </c>
      <c r="I178" s="44">
        <f t="shared" si="11"/>
        <v>2.3782699484148964</v>
      </c>
      <c r="J178" s="17">
        <v>0</v>
      </c>
      <c r="K178" s="43">
        <f t="shared" si="14"/>
        <v>6.615</v>
      </c>
      <c r="L178" s="105">
        <f t="shared" si="15"/>
        <v>4.236730051585104</v>
      </c>
      <c r="M178" s="44">
        <f t="shared" si="13"/>
        <v>4.236730051585104</v>
      </c>
      <c r="N178" s="32"/>
      <c r="O178" s="15">
        <v>1.05</v>
      </c>
      <c r="P178" s="45">
        <v>6.3</v>
      </c>
    </row>
    <row r="179" spans="1:16" s="15" customFormat="1" ht="19.5">
      <c r="A179" s="16">
        <v>100</v>
      </c>
      <c r="B179" s="169" t="s">
        <v>192</v>
      </c>
      <c r="C179" s="133" t="str">
        <f>'МРСК 2'!C179</f>
        <v>2,5+2,5</v>
      </c>
      <c r="D179" s="133">
        <v>1578</v>
      </c>
      <c r="E179" s="133">
        <v>618</v>
      </c>
      <c r="F179" s="120">
        <f t="shared" si="12"/>
        <v>1.6946999734466277</v>
      </c>
      <c r="G179" s="44">
        <v>0.995132152028061</v>
      </c>
      <c r="H179" s="18">
        <v>120</v>
      </c>
      <c r="I179" s="44">
        <f t="shared" si="11"/>
        <v>0.6995678214185667</v>
      </c>
      <c r="J179" s="17">
        <v>0</v>
      </c>
      <c r="K179" s="43">
        <f t="shared" si="14"/>
        <v>2.625</v>
      </c>
      <c r="L179" s="105">
        <f t="shared" si="15"/>
        <v>1.9254321785814335</v>
      </c>
      <c r="M179" s="44">
        <f t="shared" si="13"/>
        <v>1.9254321785814335</v>
      </c>
      <c r="N179" s="32"/>
      <c r="O179" s="15">
        <v>1.05</v>
      </c>
      <c r="P179" s="45">
        <v>2.5</v>
      </c>
    </row>
    <row r="180" spans="1:16" s="15" customFormat="1" ht="19.5">
      <c r="A180" s="16">
        <v>101</v>
      </c>
      <c r="B180" s="179" t="s">
        <v>194</v>
      </c>
      <c r="C180" s="133" t="str">
        <f>'МРСК 2'!C180</f>
        <v>6,3+6,3</v>
      </c>
      <c r="D180" s="133">
        <v>2816</v>
      </c>
      <c r="E180" s="133">
        <v>1664</v>
      </c>
      <c r="F180" s="120">
        <f t="shared" si="12"/>
        <v>3.2708946788302433</v>
      </c>
      <c r="G180" s="44">
        <v>1.4036067580251326</v>
      </c>
      <c r="H180" s="18">
        <v>80</v>
      </c>
      <c r="I180" s="44">
        <f aca="true" t="shared" si="16" ref="I180:I244">F180-G180</f>
        <v>1.8672879208051107</v>
      </c>
      <c r="J180" s="17">
        <v>0</v>
      </c>
      <c r="K180" s="43">
        <f t="shared" si="14"/>
        <v>6.615</v>
      </c>
      <c r="L180" s="105">
        <f t="shared" si="15"/>
        <v>4.74771207919489</v>
      </c>
      <c r="M180" s="44">
        <f t="shared" si="13"/>
        <v>4.74771207919489</v>
      </c>
      <c r="N180" s="32"/>
      <c r="O180" s="15">
        <v>1.05</v>
      </c>
      <c r="P180" s="45">
        <v>6.3</v>
      </c>
    </row>
    <row r="181" spans="1:16" s="15" customFormat="1" ht="19.5">
      <c r="A181" s="16">
        <v>102</v>
      </c>
      <c r="B181" s="169" t="s">
        <v>195</v>
      </c>
      <c r="C181" s="133" t="str">
        <f>'МРСК 2'!C181</f>
        <v>2,5+2,5</v>
      </c>
      <c r="D181" s="133">
        <v>2592</v>
      </c>
      <c r="E181" s="133">
        <v>960</v>
      </c>
      <c r="F181" s="120">
        <f t="shared" si="12"/>
        <v>2.7640665693864896</v>
      </c>
      <c r="G181" s="44">
        <v>0.617</v>
      </c>
      <c r="H181" s="18">
        <v>45</v>
      </c>
      <c r="I181" s="44">
        <f t="shared" si="16"/>
        <v>2.1470665693864897</v>
      </c>
      <c r="J181" s="17">
        <v>0</v>
      </c>
      <c r="K181" s="43">
        <f t="shared" si="14"/>
        <v>2.625</v>
      </c>
      <c r="L181" s="105">
        <f t="shared" si="15"/>
        <v>0.47793343061351035</v>
      </c>
      <c r="M181" s="44">
        <f t="shared" si="13"/>
        <v>0.47793343061351035</v>
      </c>
      <c r="N181" s="32"/>
      <c r="O181" s="15">
        <v>1.05</v>
      </c>
      <c r="P181" s="45">
        <v>2.5</v>
      </c>
    </row>
    <row r="182" spans="1:16" s="15" customFormat="1" ht="19.5">
      <c r="A182" s="16">
        <v>103</v>
      </c>
      <c r="B182" s="179" t="s">
        <v>196</v>
      </c>
      <c r="C182" s="133" t="str">
        <f>'МРСК 2'!C182</f>
        <v>2,5+4</v>
      </c>
      <c r="D182" s="133">
        <v>1464</v>
      </c>
      <c r="E182" s="133">
        <v>596</v>
      </c>
      <c r="F182" s="120">
        <f t="shared" si="12"/>
        <v>1.5806682131301306</v>
      </c>
      <c r="G182" s="44">
        <v>0.9084995371305657</v>
      </c>
      <c r="H182" s="18">
        <v>45</v>
      </c>
      <c r="I182" s="44">
        <f t="shared" si="16"/>
        <v>0.6721686759995649</v>
      </c>
      <c r="J182" s="17">
        <v>0</v>
      </c>
      <c r="K182" s="43">
        <f t="shared" si="14"/>
        <v>2.625</v>
      </c>
      <c r="L182" s="105">
        <f t="shared" si="15"/>
        <v>1.9528313240004351</v>
      </c>
      <c r="M182" s="44">
        <f t="shared" si="13"/>
        <v>1.9528313240004351</v>
      </c>
      <c r="N182" s="32"/>
      <c r="O182" s="15">
        <v>1.05</v>
      </c>
      <c r="P182" s="45">
        <v>2.5</v>
      </c>
    </row>
    <row r="183" spans="1:16" s="15" customFormat="1" ht="19.5">
      <c r="A183" s="16">
        <v>104</v>
      </c>
      <c r="B183" s="169" t="s">
        <v>197</v>
      </c>
      <c r="C183" s="133" t="str">
        <f>'МРСК 2'!C183</f>
        <v>4+4</v>
      </c>
      <c r="D183" s="133">
        <v>2816</v>
      </c>
      <c r="E183" s="133">
        <v>1440</v>
      </c>
      <c r="F183" s="120">
        <f t="shared" si="12"/>
        <v>3.162824054543661</v>
      </c>
      <c r="G183" s="44">
        <v>0</v>
      </c>
      <c r="H183" s="18"/>
      <c r="I183" s="44">
        <f t="shared" si="16"/>
        <v>3.162824054543661</v>
      </c>
      <c r="J183" s="17">
        <v>0</v>
      </c>
      <c r="K183" s="43">
        <f t="shared" si="14"/>
        <v>4.2</v>
      </c>
      <c r="L183" s="105">
        <f t="shared" si="15"/>
        <v>1.0371759454563394</v>
      </c>
      <c r="M183" s="44">
        <f t="shared" si="13"/>
        <v>1.0371759454563394</v>
      </c>
      <c r="N183" s="32"/>
      <c r="O183" s="15">
        <v>1.05</v>
      </c>
      <c r="P183" s="45">
        <v>4</v>
      </c>
    </row>
    <row r="184" spans="1:16" s="15" customFormat="1" ht="19.5">
      <c r="A184" s="16">
        <v>105</v>
      </c>
      <c r="B184" s="179" t="s">
        <v>198</v>
      </c>
      <c r="C184" s="133" t="str">
        <f>'МРСК 2'!C184</f>
        <v>4+4</v>
      </c>
      <c r="D184" s="133">
        <v>1164</v>
      </c>
      <c r="E184" s="133">
        <v>552</v>
      </c>
      <c r="F184" s="120">
        <f t="shared" si="12"/>
        <v>1.2882546332150333</v>
      </c>
      <c r="G184" s="44">
        <v>0.7823699242213712</v>
      </c>
      <c r="H184" s="18">
        <v>80</v>
      </c>
      <c r="I184" s="44">
        <f t="shared" si="16"/>
        <v>0.5058847089936621</v>
      </c>
      <c r="J184" s="17">
        <v>0</v>
      </c>
      <c r="K184" s="43">
        <f t="shared" si="14"/>
        <v>4.2</v>
      </c>
      <c r="L184" s="105">
        <f t="shared" si="15"/>
        <v>3.694115291006338</v>
      </c>
      <c r="M184" s="44">
        <f t="shared" si="13"/>
        <v>3.694115291006338</v>
      </c>
      <c r="N184" s="32"/>
      <c r="O184" s="15">
        <v>1.05</v>
      </c>
      <c r="P184" s="45">
        <v>4</v>
      </c>
    </row>
    <row r="185" spans="1:16" s="15" customFormat="1" ht="19.5">
      <c r="A185" s="16">
        <v>106</v>
      </c>
      <c r="B185" s="169" t="s">
        <v>199</v>
      </c>
      <c r="C185" s="133" t="str">
        <f>'МРСК 2'!C185</f>
        <v>4+4</v>
      </c>
      <c r="D185" s="133">
        <v>2384</v>
      </c>
      <c r="E185" s="133">
        <v>952</v>
      </c>
      <c r="F185" s="120">
        <f t="shared" si="12"/>
        <v>2.5670527848098486</v>
      </c>
      <c r="G185" s="44">
        <v>1.054</v>
      </c>
      <c r="H185" s="18">
        <v>45</v>
      </c>
      <c r="I185" s="44">
        <f t="shared" si="16"/>
        <v>1.5130527848098485</v>
      </c>
      <c r="J185" s="17">
        <v>0</v>
      </c>
      <c r="K185" s="43">
        <f t="shared" si="14"/>
        <v>4.2</v>
      </c>
      <c r="L185" s="105">
        <f t="shared" si="15"/>
        <v>2.686947215190152</v>
      </c>
      <c r="M185" s="44">
        <f t="shared" si="13"/>
        <v>2.686947215190152</v>
      </c>
      <c r="N185" s="32"/>
      <c r="O185" s="15">
        <v>1.05</v>
      </c>
      <c r="P185" s="45">
        <v>4</v>
      </c>
    </row>
    <row r="186" spans="1:16" s="15" customFormat="1" ht="19.5">
      <c r="A186" s="16">
        <v>107</v>
      </c>
      <c r="B186" s="179" t="s">
        <v>200</v>
      </c>
      <c r="C186" s="133" t="str">
        <f>'МРСК 2'!C186</f>
        <v>2,5+2,5</v>
      </c>
      <c r="D186" s="133">
        <v>800</v>
      </c>
      <c r="E186" s="133">
        <v>312</v>
      </c>
      <c r="F186" s="120">
        <f t="shared" si="12"/>
        <v>0.8586873703508163</v>
      </c>
      <c r="G186" s="44">
        <v>0.6299911422760434</v>
      </c>
      <c r="H186" s="18">
        <v>80</v>
      </c>
      <c r="I186" s="44">
        <f t="shared" si="16"/>
        <v>0.22869622807477297</v>
      </c>
      <c r="J186" s="17">
        <v>0</v>
      </c>
      <c r="K186" s="43">
        <f t="shared" si="14"/>
        <v>2.625</v>
      </c>
      <c r="L186" s="105">
        <f t="shared" si="15"/>
        <v>2.396303771925227</v>
      </c>
      <c r="M186" s="44">
        <f t="shared" si="13"/>
        <v>2.396303771925227</v>
      </c>
      <c r="N186" s="32"/>
      <c r="O186" s="15">
        <v>1.05</v>
      </c>
      <c r="P186" s="45">
        <v>2.5</v>
      </c>
    </row>
    <row r="187" spans="1:16" s="15" customFormat="1" ht="19.5">
      <c r="A187" s="16">
        <v>108</v>
      </c>
      <c r="B187" s="169" t="s">
        <v>201</v>
      </c>
      <c r="C187" s="133" t="str">
        <f>'МРСК 2'!C187</f>
        <v>2,5+4</v>
      </c>
      <c r="D187" s="133">
        <v>1552</v>
      </c>
      <c r="E187" s="133">
        <v>392</v>
      </c>
      <c r="F187" s="120">
        <f t="shared" si="12"/>
        <v>1.6007398289540995</v>
      </c>
      <c r="G187" s="44">
        <v>0.274</v>
      </c>
      <c r="H187" s="18">
        <v>80</v>
      </c>
      <c r="I187" s="44">
        <f t="shared" si="16"/>
        <v>1.3267398289540995</v>
      </c>
      <c r="J187" s="17">
        <v>0</v>
      </c>
      <c r="K187" s="43">
        <f t="shared" si="14"/>
        <v>2.625</v>
      </c>
      <c r="L187" s="105">
        <f t="shared" si="15"/>
        <v>1.2982601710459005</v>
      </c>
      <c r="M187" s="44">
        <f t="shared" si="13"/>
        <v>1.2982601710459005</v>
      </c>
      <c r="N187" s="32"/>
      <c r="O187" s="15">
        <v>1.05</v>
      </c>
      <c r="P187" s="45">
        <v>2.5</v>
      </c>
    </row>
    <row r="188" spans="1:16" s="15" customFormat="1" ht="19.5">
      <c r="A188" s="16">
        <v>109</v>
      </c>
      <c r="B188" s="179" t="s">
        <v>202</v>
      </c>
      <c r="C188" s="133" t="str">
        <f>'МРСК 2'!C188</f>
        <v>10+10</v>
      </c>
      <c r="D188" s="133">
        <v>7248</v>
      </c>
      <c r="E188" s="133">
        <v>2448</v>
      </c>
      <c r="F188" s="120">
        <f t="shared" si="12"/>
        <v>7.650242349102413</v>
      </c>
      <c r="G188" s="44">
        <v>4.051</v>
      </c>
      <c r="H188" s="18">
        <v>120</v>
      </c>
      <c r="I188" s="44">
        <f t="shared" si="16"/>
        <v>3.599242349102413</v>
      </c>
      <c r="J188" s="17">
        <v>0</v>
      </c>
      <c r="K188" s="43">
        <f t="shared" si="14"/>
        <v>10.5</v>
      </c>
      <c r="L188" s="105">
        <f t="shared" si="15"/>
        <v>6.900757650897587</v>
      </c>
      <c r="M188" s="44">
        <f t="shared" si="13"/>
        <v>6.900757650897587</v>
      </c>
      <c r="N188" s="32"/>
      <c r="O188" s="15">
        <v>1.05</v>
      </c>
      <c r="P188" s="45">
        <v>10</v>
      </c>
    </row>
    <row r="189" spans="1:16" s="15" customFormat="1" ht="19.5">
      <c r="A189" s="16">
        <v>110</v>
      </c>
      <c r="B189" s="169" t="s">
        <v>203</v>
      </c>
      <c r="C189" s="133" t="str">
        <f>'МРСК 2'!C189</f>
        <v>2,5+2,5</v>
      </c>
      <c r="D189" s="133">
        <v>876</v>
      </c>
      <c r="E189" s="133">
        <v>492</v>
      </c>
      <c r="F189" s="120">
        <f t="shared" si="12"/>
        <v>1.004708913068855</v>
      </c>
      <c r="G189" s="44">
        <v>0.42</v>
      </c>
      <c r="H189" s="18">
        <v>80</v>
      </c>
      <c r="I189" s="44">
        <f t="shared" si="16"/>
        <v>0.584708913068855</v>
      </c>
      <c r="J189" s="17">
        <v>0</v>
      </c>
      <c r="K189" s="43">
        <f t="shared" si="14"/>
        <v>2.625</v>
      </c>
      <c r="L189" s="105">
        <f t="shared" si="15"/>
        <v>2.040291086931145</v>
      </c>
      <c r="M189" s="44">
        <f t="shared" si="13"/>
        <v>2.040291086931145</v>
      </c>
      <c r="N189" s="32"/>
      <c r="O189" s="15">
        <v>1.05</v>
      </c>
      <c r="P189" s="45">
        <v>2.5</v>
      </c>
    </row>
    <row r="190" spans="1:16" s="15" customFormat="1" ht="19.5">
      <c r="A190" s="16">
        <v>111</v>
      </c>
      <c r="B190" s="179" t="s">
        <v>204</v>
      </c>
      <c r="C190" s="133" t="str">
        <f>'МРСК 2'!C190</f>
        <v>10+10+10</v>
      </c>
      <c r="D190" s="133">
        <v>6216</v>
      </c>
      <c r="E190" s="133">
        <v>3216</v>
      </c>
      <c r="F190" s="120">
        <f t="shared" si="12"/>
        <v>6.998665015558324</v>
      </c>
      <c r="G190" s="44">
        <v>1.707</v>
      </c>
      <c r="H190" s="18">
        <v>120</v>
      </c>
      <c r="I190" s="44">
        <f t="shared" si="16"/>
        <v>5.2916650155583245</v>
      </c>
      <c r="J190" s="17">
        <v>0</v>
      </c>
      <c r="K190" s="43">
        <f t="shared" si="14"/>
        <v>21</v>
      </c>
      <c r="L190" s="105">
        <f t="shared" si="15"/>
        <v>15.708334984441676</v>
      </c>
      <c r="M190" s="44">
        <f t="shared" si="13"/>
        <v>15.708334984441676</v>
      </c>
      <c r="N190" s="32"/>
      <c r="O190" s="15">
        <v>1.05</v>
      </c>
      <c r="P190" s="45">
        <v>20</v>
      </c>
    </row>
    <row r="191" spans="1:16" s="15" customFormat="1" ht="19.5">
      <c r="A191" s="16">
        <v>112</v>
      </c>
      <c r="B191" s="169" t="s">
        <v>205</v>
      </c>
      <c r="C191" s="133" t="str">
        <f>'МРСК 2'!C191</f>
        <v>6,3+6,3</v>
      </c>
      <c r="D191" s="133">
        <v>5808</v>
      </c>
      <c r="E191" s="133">
        <v>2528</v>
      </c>
      <c r="F191" s="120">
        <f t="shared" si="12"/>
        <v>6.3343230103934545</v>
      </c>
      <c r="G191" s="44">
        <v>3.88</v>
      </c>
      <c r="H191" s="18">
        <v>80</v>
      </c>
      <c r="I191" s="44">
        <f t="shared" si="16"/>
        <v>2.4543230103934546</v>
      </c>
      <c r="J191" s="17">
        <v>0</v>
      </c>
      <c r="K191" s="43">
        <f t="shared" si="14"/>
        <v>6.615</v>
      </c>
      <c r="L191" s="105">
        <f t="shared" si="15"/>
        <v>4.160676989606546</v>
      </c>
      <c r="M191" s="44">
        <f t="shared" si="13"/>
        <v>4.160676989606546</v>
      </c>
      <c r="N191" s="32"/>
      <c r="O191" s="15">
        <v>1.05</v>
      </c>
      <c r="P191" s="45">
        <v>6.3</v>
      </c>
    </row>
    <row r="192" spans="1:16" s="15" customFormat="1" ht="19.5">
      <c r="A192" s="16">
        <v>113</v>
      </c>
      <c r="B192" s="179" t="s">
        <v>206</v>
      </c>
      <c r="C192" s="133" t="str">
        <f>'МРСК 2'!C192</f>
        <v>2,5+2,5</v>
      </c>
      <c r="D192" s="133">
        <v>1056</v>
      </c>
      <c r="E192" s="133">
        <v>376</v>
      </c>
      <c r="F192" s="120">
        <f t="shared" si="12"/>
        <v>1.1209424606107132</v>
      </c>
      <c r="G192" s="44">
        <v>0.5860328625822191</v>
      </c>
      <c r="H192" s="18">
        <v>80</v>
      </c>
      <c r="I192" s="44">
        <f t="shared" si="16"/>
        <v>0.5349095980284941</v>
      </c>
      <c r="J192" s="17">
        <v>0</v>
      </c>
      <c r="K192" s="43">
        <f t="shared" si="14"/>
        <v>2.625</v>
      </c>
      <c r="L192" s="105">
        <f t="shared" si="15"/>
        <v>2.090090401971506</v>
      </c>
      <c r="M192" s="44">
        <f t="shared" si="13"/>
        <v>2.090090401971506</v>
      </c>
      <c r="N192" s="32"/>
      <c r="O192" s="15">
        <v>1.05</v>
      </c>
      <c r="P192" s="45">
        <v>2.5</v>
      </c>
    </row>
    <row r="193" spans="1:16" s="15" customFormat="1" ht="19.5">
      <c r="A193" s="16">
        <v>114</v>
      </c>
      <c r="B193" s="169" t="s">
        <v>207</v>
      </c>
      <c r="C193" s="133" t="str">
        <f>'МРСК 2'!C193</f>
        <v>4+4</v>
      </c>
      <c r="D193" s="133">
        <v>2264</v>
      </c>
      <c r="E193" s="133">
        <v>848</v>
      </c>
      <c r="F193" s="120">
        <f t="shared" si="12"/>
        <v>2.417602117801852</v>
      </c>
      <c r="G193" s="44">
        <v>2.056</v>
      </c>
      <c r="H193" s="18">
        <v>45</v>
      </c>
      <c r="I193" s="44">
        <f t="shared" si="16"/>
        <v>0.3616021178018518</v>
      </c>
      <c r="J193" s="17">
        <v>0</v>
      </c>
      <c r="K193" s="43">
        <f t="shared" si="14"/>
        <v>4.2</v>
      </c>
      <c r="L193" s="105">
        <f t="shared" si="15"/>
        <v>3.8383978821981484</v>
      </c>
      <c r="M193" s="44">
        <f t="shared" si="13"/>
        <v>3.8383978821981484</v>
      </c>
      <c r="N193" s="32"/>
      <c r="O193" s="15">
        <v>1.05</v>
      </c>
      <c r="P193" s="45">
        <v>4</v>
      </c>
    </row>
    <row r="194" spans="1:16" s="15" customFormat="1" ht="19.5">
      <c r="A194" s="16">
        <v>115</v>
      </c>
      <c r="B194" s="179" t="s">
        <v>208</v>
      </c>
      <c r="C194" s="133" t="str">
        <f>'МРСК 2'!C194</f>
        <v>4+2,5</v>
      </c>
      <c r="D194" s="133">
        <v>1128</v>
      </c>
      <c r="E194" s="133">
        <v>592</v>
      </c>
      <c r="F194" s="120">
        <f t="shared" si="12"/>
        <v>1.2739105149106824</v>
      </c>
      <c r="G194" s="44">
        <v>0.939351515379801</v>
      </c>
      <c r="H194" s="18">
        <v>120</v>
      </c>
      <c r="I194" s="44">
        <f t="shared" si="16"/>
        <v>0.3345589995308814</v>
      </c>
      <c r="J194" s="17">
        <v>0</v>
      </c>
      <c r="K194" s="43">
        <f t="shared" si="14"/>
        <v>2.625</v>
      </c>
      <c r="L194" s="105">
        <f t="shared" si="15"/>
        <v>2.2904410004691185</v>
      </c>
      <c r="M194" s="44">
        <f t="shared" si="13"/>
        <v>2.2904410004691185</v>
      </c>
      <c r="N194" s="32"/>
      <c r="O194" s="15">
        <v>1.05</v>
      </c>
      <c r="P194" s="45">
        <v>2.5</v>
      </c>
    </row>
    <row r="195" spans="1:16" s="15" customFormat="1" ht="19.5">
      <c r="A195" s="16">
        <v>116</v>
      </c>
      <c r="B195" s="169" t="s">
        <v>209</v>
      </c>
      <c r="C195" s="133" t="str">
        <f>'МРСК 2'!C195</f>
        <v>2,5+4</v>
      </c>
      <c r="D195" s="133">
        <v>1293</v>
      </c>
      <c r="E195" s="133">
        <v>458</v>
      </c>
      <c r="F195" s="120">
        <f t="shared" si="12"/>
        <v>1.3717189945466237</v>
      </c>
      <c r="G195" s="44">
        <v>0.8714116873317177</v>
      </c>
      <c r="H195" s="18">
        <v>45</v>
      </c>
      <c r="I195" s="44">
        <f t="shared" si="16"/>
        <v>0.500307307214906</v>
      </c>
      <c r="J195" s="17">
        <v>0</v>
      </c>
      <c r="K195" s="43">
        <f t="shared" si="14"/>
        <v>2.625</v>
      </c>
      <c r="L195" s="105">
        <f t="shared" si="15"/>
        <v>2.1246926927850938</v>
      </c>
      <c r="M195" s="44">
        <f t="shared" si="13"/>
        <v>2.1246926927850938</v>
      </c>
      <c r="N195" s="32"/>
      <c r="O195" s="15">
        <v>1.05</v>
      </c>
      <c r="P195" s="45">
        <v>2.5</v>
      </c>
    </row>
    <row r="196" spans="1:16" s="15" customFormat="1" ht="19.5">
      <c r="A196" s="16">
        <v>117</v>
      </c>
      <c r="B196" s="179" t="s">
        <v>210</v>
      </c>
      <c r="C196" s="133" t="str">
        <f>'МРСК 2'!C196</f>
        <v>4+4</v>
      </c>
      <c r="D196" s="133">
        <v>2784</v>
      </c>
      <c r="E196" s="133">
        <v>924</v>
      </c>
      <c r="F196" s="120">
        <f t="shared" si="12"/>
        <v>2.9333312121204456</v>
      </c>
      <c r="G196" s="44">
        <v>0.736</v>
      </c>
      <c r="H196" s="18">
        <v>120</v>
      </c>
      <c r="I196" s="44">
        <f t="shared" si="16"/>
        <v>2.197331212120446</v>
      </c>
      <c r="J196" s="17">
        <v>0</v>
      </c>
      <c r="K196" s="43">
        <f t="shared" si="14"/>
        <v>4.2</v>
      </c>
      <c r="L196" s="105">
        <f t="shared" si="15"/>
        <v>2.0026687878795544</v>
      </c>
      <c r="M196" s="44">
        <f t="shared" si="13"/>
        <v>2.0026687878795544</v>
      </c>
      <c r="N196" s="32"/>
      <c r="O196" s="15">
        <v>1.05</v>
      </c>
      <c r="P196" s="45">
        <v>4</v>
      </c>
    </row>
    <row r="197" spans="1:16" s="15" customFormat="1" ht="19.5">
      <c r="A197" s="16">
        <v>118</v>
      </c>
      <c r="B197" s="169" t="s">
        <v>211</v>
      </c>
      <c r="C197" s="133" t="str">
        <f>'МРСК 2'!C197</f>
        <v>2,5+2,5</v>
      </c>
      <c r="D197" s="133">
        <v>972</v>
      </c>
      <c r="E197" s="133">
        <v>328</v>
      </c>
      <c r="F197" s="120">
        <f t="shared" si="12"/>
        <v>1.0258498915533403</v>
      </c>
      <c r="G197" s="44">
        <v>0.712</v>
      </c>
      <c r="H197" s="18">
        <v>120</v>
      </c>
      <c r="I197" s="44">
        <f t="shared" si="16"/>
        <v>0.3138498915533403</v>
      </c>
      <c r="J197" s="17">
        <v>0</v>
      </c>
      <c r="K197" s="43">
        <f t="shared" si="14"/>
        <v>2.625</v>
      </c>
      <c r="L197" s="105">
        <f t="shared" si="15"/>
        <v>2.3111501084466597</v>
      </c>
      <c r="M197" s="44">
        <f t="shared" si="13"/>
        <v>2.3111501084466597</v>
      </c>
      <c r="N197" s="32"/>
      <c r="O197" s="15">
        <v>1.05</v>
      </c>
      <c r="P197" s="45">
        <v>2.5</v>
      </c>
    </row>
    <row r="198" spans="1:16" s="15" customFormat="1" ht="19.5">
      <c r="A198" s="16">
        <v>119</v>
      </c>
      <c r="B198" s="179" t="s">
        <v>212</v>
      </c>
      <c r="C198" s="133" t="str">
        <f>'МРСК 2'!C198</f>
        <v>6,3+6,3</v>
      </c>
      <c r="D198" s="133">
        <v>3000</v>
      </c>
      <c r="E198" s="133">
        <v>1284</v>
      </c>
      <c r="F198" s="120">
        <f t="shared" si="12"/>
        <v>3.263227849844384</v>
      </c>
      <c r="G198" s="44">
        <v>0.7035</v>
      </c>
      <c r="H198" s="18">
        <v>120</v>
      </c>
      <c r="I198" s="44">
        <f t="shared" si="16"/>
        <v>2.559727849844384</v>
      </c>
      <c r="J198" s="17">
        <v>0</v>
      </c>
      <c r="K198" s="43">
        <f t="shared" si="14"/>
        <v>6.615</v>
      </c>
      <c r="L198" s="105">
        <f t="shared" si="15"/>
        <v>4.055272150155616</v>
      </c>
      <c r="M198" s="44">
        <f t="shared" si="13"/>
        <v>4.055272150155616</v>
      </c>
      <c r="N198" s="32"/>
      <c r="O198" s="15">
        <v>1.05</v>
      </c>
      <c r="P198" s="45">
        <v>6.3</v>
      </c>
    </row>
    <row r="199" spans="1:16" s="15" customFormat="1" ht="19.5">
      <c r="A199" s="16">
        <v>120</v>
      </c>
      <c r="B199" s="169" t="s">
        <v>213</v>
      </c>
      <c r="C199" s="133" t="str">
        <f>'МРСК 2'!C199</f>
        <v>2,5+2,5</v>
      </c>
      <c r="D199" s="133">
        <v>2384</v>
      </c>
      <c r="E199" s="133">
        <v>752</v>
      </c>
      <c r="F199" s="120">
        <f t="shared" si="12"/>
        <v>2.4997919913464797</v>
      </c>
      <c r="G199" s="44">
        <v>1.6480094565606436</v>
      </c>
      <c r="H199" s="18">
        <v>20</v>
      </c>
      <c r="I199" s="44">
        <f t="shared" si="16"/>
        <v>0.8517825347858361</v>
      </c>
      <c r="J199" s="17">
        <v>0</v>
      </c>
      <c r="K199" s="43">
        <f t="shared" si="14"/>
        <v>2.625</v>
      </c>
      <c r="L199" s="105">
        <f t="shared" si="15"/>
        <v>1.773217465214164</v>
      </c>
      <c r="M199" s="44">
        <f t="shared" si="13"/>
        <v>1.773217465214164</v>
      </c>
      <c r="N199" s="32"/>
      <c r="O199" s="15">
        <v>1.05</v>
      </c>
      <c r="P199" s="45">
        <v>2.5</v>
      </c>
    </row>
    <row r="200" spans="1:16" s="15" customFormat="1" ht="19.5">
      <c r="A200" s="16">
        <v>121</v>
      </c>
      <c r="B200" s="179" t="s">
        <v>214</v>
      </c>
      <c r="C200" s="133" t="str">
        <f>'МРСК 2'!C200</f>
        <v>2,5+4</v>
      </c>
      <c r="D200" s="133">
        <v>684</v>
      </c>
      <c r="E200" s="133">
        <v>240</v>
      </c>
      <c r="F200" s="120">
        <f t="shared" si="12"/>
        <v>0.7248834389058698</v>
      </c>
      <c r="G200" s="44">
        <v>0.6285950453618376</v>
      </c>
      <c r="H200" s="18">
        <v>45</v>
      </c>
      <c r="I200" s="44">
        <f t="shared" si="16"/>
        <v>0.09628839354403218</v>
      </c>
      <c r="J200" s="17">
        <v>0</v>
      </c>
      <c r="K200" s="43">
        <f t="shared" si="14"/>
        <v>2.625</v>
      </c>
      <c r="L200" s="105">
        <f t="shared" si="15"/>
        <v>2.5287116064559676</v>
      </c>
      <c r="M200" s="44">
        <f t="shared" si="13"/>
        <v>2.5287116064559676</v>
      </c>
      <c r="N200" s="32"/>
      <c r="O200" s="15">
        <v>1.05</v>
      </c>
      <c r="P200" s="45">
        <v>2.5</v>
      </c>
    </row>
    <row r="201" spans="1:16" s="15" customFormat="1" ht="19.5">
      <c r="A201" s="16">
        <v>122</v>
      </c>
      <c r="B201" s="169" t="s">
        <v>215</v>
      </c>
      <c r="C201" s="133" t="str">
        <f>'МРСК 2'!C201</f>
        <v>4+2,5</v>
      </c>
      <c r="D201" s="133">
        <v>1040</v>
      </c>
      <c r="E201" s="133">
        <v>416</v>
      </c>
      <c r="F201" s="120">
        <f t="shared" si="12"/>
        <v>1.120114279883977</v>
      </c>
      <c r="G201" s="44">
        <v>1.1395214781841227</v>
      </c>
      <c r="H201" s="18">
        <v>80</v>
      </c>
      <c r="I201" s="44">
        <f t="shared" si="16"/>
        <v>-0.01940719830014581</v>
      </c>
      <c r="J201" s="17">
        <v>0</v>
      </c>
      <c r="K201" s="43">
        <f t="shared" si="14"/>
        <v>2.625</v>
      </c>
      <c r="L201" s="105">
        <f t="shared" si="15"/>
        <v>2.644407198300146</v>
      </c>
      <c r="M201" s="44">
        <f t="shared" si="13"/>
        <v>2.644407198300146</v>
      </c>
      <c r="N201" s="32"/>
      <c r="O201" s="15">
        <v>1.05</v>
      </c>
      <c r="P201" s="45">
        <v>2.5</v>
      </c>
    </row>
    <row r="202" spans="1:16" s="15" customFormat="1" ht="19.5">
      <c r="A202" s="16">
        <v>123</v>
      </c>
      <c r="B202" s="179" t="s">
        <v>216</v>
      </c>
      <c r="C202" s="133" t="str">
        <f>'МРСК 2'!C202</f>
        <v>4+2,5</v>
      </c>
      <c r="D202" s="133">
        <v>1116</v>
      </c>
      <c r="E202" s="133">
        <v>468</v>
      </c>
      <c r="F202" s="120">
        <f t="shared" si="12"/>
        <v>1.210157014605956</v>
      </c>
      <c r="G202" s="44">
        <v>0.6781782133174243</v>
      </c>
      <c r="H202" s="18">
        <v>120</v>
      </c>
      <c r="I202" s="44">
        <f t="shared" si="16"/>
        <v>0.5319788012885316</v>
      </c>
      <c r="J202" s="17">
        <v>0</v>
      </c>
      <c r="K202" s="43">
        <f t="shared" si="14"/>
        <v>2.625</v>
      </c>
      <c r="L202" s="105">
        <f t="shared" si="15"/>
        <v>2.0930211987114684</v>
      </c>
      <c r="M202" s="44">
        <f t="shared" si="13"/>
        <v>2.0930211987114684</v>
      </c>
      <c r="N202" s="32"/>
      <c r="O202" s="15">
        <v>1.05</v>
      </c>
      <c r="P202" s="45">
        <v>2.5</v>
      </c>
    </row>
    <row r="203" spans="1:16" s="15" customFormat="1" ht="19.5">
      <c r="A203" s="16">
        <v>124</v>
      </c>
      <c r="B203" s="169" t="s">
        <v>217</v>
      </c>
      <c r="C203" s="133" t="str">
        <f>'МРСК 2'!C203</f>
        <v>4+4</v>
      </c>
      <c r="D203" s="133">
        <v>2768</v>
      </c>
      <c r="E203" s="133">
        <v>1408</v>
      </c>
      <c r="F203" s="120">
        <f aca="true" t="shared" si="17" ref="F203:F257">SQRT(D203*D203+E203*E203)/1000</f>
        <v>3.1055253983826954</v>
      </c>
      <c r="G203" s="44">
        <v>1.7970144010193758</v>
      </c>
      <c r="H203" s="18">
        <v>80</v>
      </c>
      <c r="I203" s="44">
        <f t="shared" si="16"/>
        <v>1.3085109973633196</v>
      </c>
      <c r="J203" s="17">
        <v>0</v>
      </c>
      <c r="K203" s="43">
        <f t="shared" si="14"/>
        <v>4.2</v>
      </c>
      <c r="L203" s="105">
        <f t="shared" si="15"/>
        <v>2.8914890026366806</v>
      </c>
      <c r="M203" s="44">
        <f t="shared" si="13"/>
        <v>2.8914890026366806</v>
      </c>
      <c r="N203" s="32"/>
      <c r="O203" s="15">
        <v>1.05</v>
      </c>
      <c r="P203" s="45">
        <v>4</v>
      </c>
    </row>
    <row r="204" spans="1:16" s="15" customFormat="1" ht="19.5">
      <c r="A204" s="16">
        <v>125</v>
      </c>
      <c r="B204" s="179" t="s">
        <v>218</v>
      </c>
      <c r="C204" s="133" t="str">
        <f>'МРСК 2'!C204</f>
        <v>4+5,6</v>
      </c>
      <c r="D204" s="133">
        <v>3801</v>
      </c>
      <c r="E204" s="133">
        <v>1252</v>
      </c>
      <c r="F204" s="120">
        <f t="shared" si="17"/>
        <v>4.0018876795832234</v>
      </c>
      <c r="G204" s="44">
        <v>0.581</v>
      </c>
      <c r="H204" s="18">
        <v>120</v>
      </c>
      <c r="I204" s="44">
        <f t="shared" si="16"/>
        <v>3.4208876795832235</v>
      </c>
      <c r="J204" s="17">
        <v>0</v>
      </c>
      <c r="K204" s="43">
        <f t="shared" si="14"/>
        <v>4.2</v>
      </c>
      <c r="L204" s="105">
        <f t="shared" si="15"/>
        <v>0.7791123204167767</v>
      </c>
      <c r="M204" s="44">
        <f t="shared" si="13"/>
        <v>0.7791123204167767</v>
      </c>
      <c r="N204" s="32"/>
      <c r="O204" s="15">
        <v>1.05</v>
      </c>
      <c r="P204" s="45">
        <v>4</v>
      </c>
    </row>
    <row r="205" spans="1:16" s="15" customFormat="1" ht="19.5">
      <c r="A205" s="16">
        <v>126</v>
      </c>
      <c r="B205" s="169" t="s">
        <v>219</v>
      </c>
      <c r="C205" s="133" t="str">
        <f>'МРСК 2'!C205</f>
        <v>4+4</v>
      </c>
      <c r="D205" s="133">
        <v>2520</v>
      </c>
      <c r="E205" s="133">
        <v>1239</v>
      </c>
      <c r="F205" s="120">
        <f t="shared" si="17"/>
        <v>2.8081169847426226</v>
      </c>
      <c r="G205" s="44">
        <v>1.321</v>
      </c>
      <c r="H205" s="18">
        <v>80</v>
      </c>
      <c r="I205" s="44">
        <f t="shared" si="16"/>
        <v>1.4871169847426227</v>
      </c>
      <c r="J205" s="17">
        <v>0</v>
      </c>
      <c r="K205" s="43">
        <f t="shared" si="14"/>
        <v>4.2</v>
      </c>
      <c r="L205" s="105">
        <f t="shared" si="15"/>
        <v>2.7128830152573773</v>
      </c>
      <c r="M205" s="44">
        <f t="shared" si="13"/>
        <v>2.7128830152573773</v>
      </c>
      <c r="N205" s="32"/>
      <c r="O205" s="15">
        <v>1.05</v>
      </c>
      <c r="P205" s="45">
        <v>4</v>
      </c>
    </row>
    <row r="206" spans="1:16" s="15" customFormat="1" ht="19.5">
      <c r="A206" s="16">
        <v>127</v>
      </c>
      <c r="B206" s="179" t="s">
        <v>220</v>
      </c>
      <c r="C206" s="133" t="str">
        <f>'МРСК 2'!C206</f>
        <v>4+4</v>
      </c>
      <c r="D206" s="133">
        <v>3528</v>
      </c>
      <c r="E206" s="133">
        <v>1776</v>
      </c>
      <c r="F206" s="120">
        <f t="shared" si="17"/>
        <v>3.949805058480735</v>
      </c>
      <c r="G206" s="44">
        <v>1.541</v>
      </c>
      <c r="H206" s="18">
        <v>120</v>
      </c>
      <c r="I206" s="44">
        <f t="shared" si="16"/>
        <v>2.408805058480735</v>
      </c>
      <c r="J206" s="17">
        <v>0</v>
      </c>
      <c r="K206" s="43">
        <f t="shared" si="14"/>
        <v>4.2</v>
      </c>
      <c r="L206" s="105">
        <f t="shared" si="15"/>
        <v>1.7911949415192652</v>
      </c>
      <c r="M206" s="44">
        <f t="shared" si="13"/>
        <v>1.7911949415192652</v>
      </c>
      <c r="N206" s="32"/>
      <c r="O206" s="15">
        <v>1.05</v>
      </c>
      <c r="P206" s="45">
        <v>4</v>
      </c>
    </row>
    <row r="207" spans="1:16" s="15" customFormat="1" ht="19.5">
      <c r="A207" s="16">
        <v>128</v>
      </c>
      <c r="B207" s="169" t="s">
        <v>221</v>
      </c>
      <c r="C207" s="133" t="str">
        <f>'МРСК 2'!C207</f>
        <v>2,5+2,5</v>
      </c>
      <c r="D207" s="133">
        <v>768</v>
      </c>
      <c r="E207" s="133">
        <v>324</v>
      </c>
      <c r="F207" s="120">
        <f t="shared" si="17"/>
        <v>0.8335466393669883</v>
      </c>
      <c r="G207" s="44">
        <v>0.6667165227139484</v>
      </c>
      <c r="H207" s="18">
        <v>80</v>
      </c>
      <c r="I207" s="44">
        <f t="shared" si="16"/>
        <v>0.16683011665303982</v>
      </c>
      <c r="J207" s="17">
        <v>0</v>
      </c>
      <c r="K207" s="43">
        <f t="shared" si="14"/>
        <v>2.625</v>
      </c>
      <c r="L207" s="105">
        <f t="shared" si="15"/>
        <v>2.4581698833469603</v>
      </c>
      <c r="M207" s="44">
        <f t="shared" si="13"/>
        <v>2.4581698833469603</v>
      </c>
      <c r="N207" s="32"/>
      <c r="O207" s="15">
        <v>1.05</v>
      </c>
      <c r="P207" s="45">
        <v>2.5</v>
      </c>
    </row>
    <row r="208" spans="1:16" s="15" customFormat="1" ht="19.5">
      <c r="A208" s="16">
        <v>129</v>
      </c>
      <c r="B208" s="179" t="s">
        <v>222</v>
      </c>
      <c r="C208" s="133" t="str">
        <f>'МРСК 2'!C208</f>
        <v>6,3+6,3</v>
      </c>
      <c r="D208" s="133">
        <v>6768</v>
      </c>
      <c r="E208" s="133">
        <v>3336</v>
      </c>
      <c r="F208" s="120">
        <f t="shared" si="17"/>
        <v>7.545509923126469</v>
      </c>
      <c r="G208" s="44">
        <v>1.81</v>
      </c>
      <c r="H208" s="18">
        <v>45</v>
      </c>
      <c r="I208" s="44">
        <f t="shared" si="16"/>
        <v>5.735509923126468</v>
      </c>
      <c r="J208" s="17">
        <v>0</v>
      </c>
      <c r="K208" s="43">
        <f t="shared" si="14"/>
        <v>6.615</v>
      </c>
      <c r="L208" s="105">
        <f t="shared" si="15"/>
        <v>0.8794900768735321</v>
      </c>
      <c r="M208" s="44">
        <f t="shared" si="13"/>
        <v>0.8794900768735321</v>
      </c>
      <c r="N208" s="32"/>
      <c r="O208" s="15">
        <v>1.05</v>
      </c>
      <c r="P208" s="45">
        <v>6.3</v>
      </c>
    </row>
    <row r="209" spans="1:16" s="15" customFormat="1" ht="19.5">
      <c r="A209" s="16">
        <v>130</v>
      </c>
      <c r="B209" s="169" t="s">
        <v>223</v>
      </c>
      <c r="C209" s="133" t="str">
        <f>'МРСК 2'!C209</f>
        <v>2,5+2,5</v>
      </c>
      <c r="D209" s="133">
        <v>792</v>
      </c>
      <c r="E209" s="133">
        <v>336</v>
      </c>
      <c r="F209" s="120">
        <f t="shared" si="17"/>
        <v>0.8603255197888762</v>
      </c>
      <c r="G209" s="44">
        <v>0.6071607971904307</v>
      </c>
      <c r="H209" s="18">
        <v>80</v>
      </c>
      <c r="I209" s="44">
        <f t="shared" si="16"/>
        <v>0.25316472259844547</v>
      </c>
      <c r="J209" s="17">
        <v>0</v>
      </c>
      <c r="K209" s="43">
        <f t="shared" si="14"/>
        <v>2.625</v>
      </c>
      <c r="L209" s="105">
        <f t="shared" si="15"/>
        <v>2.3718352774015545</v>
      </c>
      <c r="M209" s="44">
        <f t="shared" si="13"/>
        <v>2.3718352774015545</v>
      </c>
      <c r="N209" s="32"/>
      <c r="O209" s="15">
        <v>1.05</v>
      </c>
      <c r="P209" s="45">
        <v>2.5</v>
      </c>
    </row>
    <row r="210" spans="1:16" s="15" customFormat="1" ht="19.5">
      <c r="A210" s="16">
        <v>131</v>
      </c>
      <c r="B210" s="169" t="s">
        <v>224</v>
      </c>
      <c r="C210" s="133" t="str">
        <f>'МРСК 2'!C210</f>
        <v>10+10</v>
      </c>
      <c r="D210" s="133">
        <v>6400</v>
      </c>
      <c r="E210" s="133">
        <v>3728</v>
      </c>
      <c r="F210" s="120">
        <f t="shared" si="17"/>
        <v>7.406617581595529</v>
      </c>
      <c r="G210" s="44">
        <v>1.357</v>
      </c>
      <c r="H210" s="18">
        <v>120</v>
      </c>
      <c r="I210" s="44">
        <f t="shared" si="16"/>
        <v>6.049617581595529</v>
      </c>
      <c r="J210" s="17">
        <v>0</v>
      </c>
      <c r="K210" s="43">
        <f t="shared" si="14"/>
        <v>10.5</v>
      </c>
      <c r="L210" s="105">
        <f t="shared" si="15"/>
        <v>4.450382418404471</v>
      </c>
      <c r="M210" s="44">
        <f t="shared" si="13"/>
        <v>4.450382418404471</v>
      </c>
      <c r="N210" s="32"/>
      <c r="O210" s="15">
        <v>1.05</v>
      </c>
      <c r="P210" s="45">
        <v>10</v>
      </c>
    </row>
    <row r="211" spans="1:16" s="15" customFormat="1" ht="19.5">
      <c r="A211" s="16">
        <v>132</v>
      </c>
      <c r="B211" s="169" t="s">
        <v>225</v>
      </c>
      <c r="C211" s="133" t="str">
        <f>'МРСК 2'!C211</f>
        <v>2,5+2,5</v>
      </c>
      <c r="D211" s="133">
        <v>1152</v>
      </c>
      <c r="E211" s="133">
        <v>288</v>
      </c>
      <c r="F211" s="120">
        <f t="shared" si="17"/>
        <v>1.1874544201778863</v>
      </c>
      <c r="G211" s="44">
        <v>0.6556492964992795</v>
      </c>
      <c r="H211" s="18">
        <v>80</v>
      </c>
      <c r="I211" s="44">
        <f t="shared" si="16"/>
        <v>0.5318051236786068</v>
      </c>
      <c r="J211" s="17">
        <v>0</v>
      </c>
      <c r="K211" s="43">
        <f t="shared" si="14"/>
        <v>2.625</v>
      </c>
      <c r="L211" s="105">
        <f t="shared" si="15"/>
        <v>2.0931948763213932</v>
      </c>
      <c r="M211" s="44">
        <f t="shared" si="13"/>
        <v>2.0931948763213932</v>
      </c>
      <c r="N211" s="32"/>
      <c r="O211" s="15">
        <v>1.05</v>
      </c>
      <c r="P211" s="45">
        <v>2.5</v>
      </c>
    </row>
    <row r="212" spans="1:16" s="15" customFormat="1" ht="19.5">
      <c r="A212" s="16">
        <v>133</v>
      </c>
      <c r="B212" s="169" t="s">
        <v>226</v>
      </c>
      <c r="C212" s="133" t="str">
        <f>'МРСК 2'!C212</f>
        <v>2,5+2,5</v>
      </c>
      <c r="D212" s="133">
        <v>1236</v>
      </c>
      <c r="E212" s="133">
        <v>462</v>
      </c>
      <c r="F212" s="120">
        <f t="shared" si="17"/>
        <v>1.3195226409577063</v>
      </c>
      <c r="G212" s="44">
        <v>0.643</v>
      </c>
      <c r="H212" s="18">
        <v>80</v>
      </c>
      <c r="I212" s="44">
        <f t="shared" si="16"/>
        <v>0.6765226409577063</v>
      </c>
      <c r="J212" s="17">
        <v>0</v>
      </c>
      <c r="K212" s="43">
        <f t="shared" si="14"/>
        <v>2.625</v>
      </c>
      <c r="L212" s="105">
        <f t="shared" si="15"/>
        <v>1.9484773590422937</v>
      </c>
      <c r="M212" s="44">
        <f t="shared" si="13"/>
        <v>1.9484773590422937</v>
      </c>
      <c r="N212" s="32"/>
      <c r="O212" s="15">
        <v>1.05</v>
      </c>
      <c r="P212" s="45">
        <v>2.5</v>
      </c>
    </row>
    <row r="213" spans="1:16" s="15" customFormat="1" ht="19.5">
      <c r="A213" s="16">
        <v>134</v>
      </c>
      <c r="B213" s="169" t="s">
        <v>227</v>
      </c>
      <c r="C213" s="133" t="str">
        <f>'МРСК 2'!C213</f>
        <v>2,5+2,5</v>
      </c>
      <c r="D213" s="133">
        <v>1176</v>
      </c>
      <c r="E213" s="133">
        <v>492</v>
      </c>
      <c r="F213" s="120">
        <f t="shared" si="17"/>
        <v>1.274770567592459</v>
      </c>
      <c r="G213" s="44">
        <v>0.5931509082855728</v>
      </c>
      <c r="H213" s="18">
        <v>120</v>
      </c>
      <c r="I213" s="44">
        <f t="shared" si="16"/>
        <v>0.6816196593068862</v>
      </c>
      <c r="J213" s="17">
        <v>0</v>
      </c>
      <c r="K213" s="43">
        <f t="shared" si="14"/>
        <v>2.625</v>
      </c>
      <c r="L213" s="105">
        <f t="shared" si="15"/>
        <v>1.9433803406931138</v>
      </c>
      <c r="M213" s="44">
        <f t="shared" si="13"/>
        <v>1.9433803406931138</v>
      </c>
      <c r="N213" s="32"/>
      <c r="O213" s="15">
        <v>1.05</v>
      </c>
      <c r="P213" s="45">
        <v>2.5</v>
      </c>
    </row>
    <row r="214" spans="1:16" s="15" customFormat="1" ht="19.5">
      <c r="A214" s="16">
        <v>135</v>
      </c>
      <c r="B214" s="169" t="s">
        <v>229</v>
      </c>
      <c r="C214" s="165" t="str">
        <f>'МРСК 2'!C214</f>
        <v>6,3+6,3</v>
      </c>
      <c r="D214" s="133">
        <v>608</v>
      </c>
      <c r="E214" s="133">
        <v>288</v>
      </c>
      <c r="F214" s="120">
        <f t="shared" si="17"/>
        <v>0.6727614733321164</v>
      </c>
      <c r="G214" s="44">
        <v>2.78</v>
      </c>
      <c r="H214" s="18">
        <v>120</v>
      </c>
      <c r="I214" s="44">
        <f t="shared" si="16"/>
        <v>-2.1072385266678832</v>
      </c>
      <c r="J214" s="17">
        <v>0</v>
      </c>
      <c r="K214" s="43">
        <f t="shared" si="14"/>
        <v>6.615</v>
      </c>
      <c r="L214" s="105">
        <f t="shared" si="15"/>
        <v>8.722238526667883</v>
      </c>
      <c r="M214" s="44">
        <f t="shared" si="13"/>
        <v>8.722238526667883</v>
      </c>
      <c r="N214" s="32"/>
      <c r="O214" s="15">
        <v>1.05</v>
      </c>
      <c r="P214" s="23" t="s">
        <v>89</v>
      </c>
    </row>
    <row r="215" spans="1:16" s="15" customFormat="1" ht="19.5">
      <c r="A215" s="16">
        <v>136</v>
      </c>
      <c r="B215" s="169" t="s">
        <v>230</v>
      </c>
      <c r="C215" s="133" t="str">
        <f>'МРСК 2'!C215</f>
        <v>6,3+6,3</v>
      </c>
      <c r="D215" s="133">
        <v>3312</v>
      </c>
      <c r="E215" s="133">
        <v>1248</v>
      </c>
      <c r="F215" s="120">
        <f t="shared" si="17"/>
        <v>3.539328749918549</v>
      </c>
      <c r="G215" s="44">
        <v>0.842</v>
      </c>
      <c r="H215" s="18">
        <v>45</v>
      </c>
      <c r="I215" s="44">
        <f t="shared" si="16"/>
        <v>2.6973287499185488</v>
      </c>
      <c r="J215" s="17">
        <v>0</v>
      </c>
      <c r="K215" s="43">
        <f t="shared" si="14"/>
        <v>6.615</v>
      </c>
      <c r="L215" s="105">
        <f t="shared" si="15"/>
        <v>3.9176712500814515</v>
      </c>
      <c r="M215" s="44">
        <f t="shared" si="13"/>
        <v>3.9176712500814515</v>
      </c>
      <c r="N215" s="32"/>
      <c r="O215" s="15">
        <v>1.05</v>
      </c>
      <c r="P215" s="23">
        <v>6.3</v>
      </c>
    </row>
    <row r="216" spans="1:16" s="15" customFormat="1" ht="19.5">
      <c r="A216" s="16">
        <v>137</v>
      </c>
      <c r="B216" s="169" t="s">
        <v>231</v>
      </c>
      <c r="C216" s="133" t="str">
        <f>'МРСК 2'!C216</f>
        <v>4+2,5</v>
      </c>
      <c r="D216" s="133">
        <v>1436</v>
      </c>
      <c r="E216" s="133">
        <v>580</v>
      </c>
      <c r="F216" s="120">
        <f t="shared" si="17"/>
        <v>1.5487078484982246</v>
      </c>
      <c r="G216" s="44">
        <v>0.57</v>
      </c>
      <c r="H216" s="18">
        <v>80</v>
      </c>
      <c r="I216" s="44">
        <f t="shared" si="16"/>
        <v>0.9787078484982247</v>
      </c>
      <c r="J216" s="17">
        <v>0</v>
      </c>
      <c r="K216" s="43">
        <f t="shared" si="14"/>
        <v>2.625</v>
      </c>
      <c r="L216" s="105">
        <f t="shared" si="15"/>
        <v>1.6462921515017754</v>
      </c>
      <c r="M216" s="44">
        <f t="shared" si="13"/>
        <v>1.6462921515017754</v>
      </c>
      <c r="N216" s="32"/>
      <c r="O216" s="15">
        <v>1.05</v>
      </c>
      <c r="P216" s="23">
        <v>2.5</v>
      </c>
    </row>
    <row r="217" spans="1:16" s="15" customFormat="1" ht="19.5">
      <c r="A217" s="16">
        <v>138</v>
      </c>
      <c r="B217" s="169" t="s">
        <v>232</v>
      </c>
      <c r="C217" s="133" t="str">
        <f>'МРСК 2'!C217</f>
        <v>2,5+4</v>
      </c>
      <c r="D217" s="133">
        <v>279</v>
      </c>
      <c r="E217" s="133">
        <v>99</v>
      </c>
      <c r="F217" s="120">
        <f t="shared" si="17"/>
        <v>0.2960439156611735</v>
      </c>
      <c r="G217" s="44">
        <v>0.19</v>
      </c>
      <c r="H217" s="18">
        <v>80</v>
      </c>
      <c r="I217" s="44">
        <f t="shared" si="16"/>
        <v>0.1060439156611735</v>
      </c>
      <c r="J217" s="17">
        <v>0</v>
      </c>
      <c r="K217" s="43">
        <f t="shared" si="14"/>
        <v>2.625</v>
      </c>
      <c r="L217" s="105">
        <f t="shared" si="15"/>
        <v>2.5189560843388263</v>
      </c>
      <c r="M217" s="44">
        <f t="shared" si="13"/>
        <v>2.5189560843388263</v>
      </c>
      <c r="N217" s="32"/>
      <c r="O217" s="15">
        <v>1.05</v>
      </c>
      <c r="P217" s="23">
        <v>2.5</v>
      </c>
    </row>
    <row r="218" spans="1:16" s="15" customFormat="1" ht="19.5">
      <c r="A218" s="16">
        <v>139</v>
      </c>
      <c r="B218" s="169" t="s">
        <v>233</v>
      </c>
      <c r="C218" s="133" t="str">
        <f>'МРСК 2'!C218</f>
        <v>2,5+2,5</v>
      </c>
      <c r="D218" s="133">
        <v>1674</v>
      </c>
      <c r="E218" s="133">
        <v>560</v>
      </c>
      <c r="F218" s="120">
        <f t="shared" si="17"/>
        <v>1.76518440962977</v>
      </c>
      <c r="G218" s="44">
        <v>0.6514729199979921</v>
      </c>
      <c r="H218" s="18">
        <v>80</v>
      </c>
      <c r="I218" s="44">
        <f t="shared" si="16"/>
        <v>1.113711489631778</v>
      </c>
      <c r="J218" s="17">
        <v>0</v>
      </c>
      <c r="K218" s="43">
        <f t="shared" si="14"/>
        <v>2.625</v>
      </c>
      <c r="L218" s="105">
        <f t="shared" si="15"/>
        <v>1.511288510368222</v>
      </c>
      <c r="M218" s="44">
        <f t="shared" si="13"/>
        <v>1.511288510368222</v>
      </c>
      <c r="N218" s="32"/>
      <c r="O218" s="15">
        <v>1.05</v>
      </c>
      <c r="P218" s="23">
        <v>2.5</v>
      </c>
    </row>
    <row r="219" spans="1:16" s="15" customFormat="1" ht="19.5">
      <c r="A219" s="16">
        <v>140</v>
      </c>
      <c r="B219" s="169" t="s">
        <v>234</v>
      </c>
      <c r="C219" s="133" t="str">
        <f>'МРСК 2'!C219</f>
        <v>4+4</v>
      </c>
      <c r="D219" s="133">
        <v>1304</v>
      </c>
      <c r="E219" s="133">
        <v>416</v>
      </c>
      <c r="F219" s="120">
        <f t="shared" si="17"/>
        <v>1.3687483333323187</v>
      </c>
      <c r="G219" s="44">
        <v>0.451</v>
      </c>
      <c r="H219" s="18">
        <v>120</v>
      </c>
      <c r="I219" s="44">
        <f t="shared" si="16"/>
        <v>0.9177483333323186</v>
      </c>
      <c r="J219" s="17">
        <v>0</v>
      </c>
      <c r="K219" s="43">
        <f t="shared" si="14"/>
        <v>4.2</v>
      </c>
      <c r="L219" s="105">
        <f t="shared" si="15"/>
        <v>3.2822516666676815</v>
      </c>
      <c r="M219" s="44">
        <f t="shared" si="13"/>
        <v>3.2822516666676815</v>
      </c>
      <c r="N219" s="32"/>
      <c r="O219" s="15">
        <v>1.05</v>
      </c>
      <c r="P219" s="23">
        <v>4</v>
      </c>
    </row>
    <row r="220" spans="1:16" s="15" customFormat="1" ht="19.5">
      <c r="A220" s="16">
        <v>141</v>
      </c>
      <c r="B220" s="169" t="s">
        <v>235</v>
      </c>
      <c r="C220" s="133" t="str">
        <f>'МРСК 2'!C220</f>
        <v>2,5+2,5</v>
      </c>
      <c r="D220" s="133">
        <v>1856</v>
      </c>
      <c r="E220" s="133">
        <v>648</v>
      </c>
      <c r="F220" s="120">
        <f t="shared" si="17"/>
        <v>1.9658687646941237</v>
      </c>
      <c r="G220" s="44">
        <v>1.435432922178513</v>
      </c>
      <c r="H220" s="18">
        <v>80</v>
      </c>
      <c r="I220" s="44">
        <f t="shared" si="16"/>
        <v>0.5304358425156108</v>
      </c>
      <c r="J220" s="17">
        <v>0</v>
      </c>
      <c r="K220" s="43">
        <f t="shared" si="14"/>
        <v>2.625</v>
      </c>
      <c r="L220" s="105">
        <f t="shared" si="15"/>
        <v>2.094564157484389</v>
      </c>
      <c r="M220" s="44">
        <f t="shared" si="13"/>
        <v>2.094564157484389</v>
      </c>
      <c r="N220" s="32"/>
      <c r="O220" s="15">
        <v>1.05</v>
      </c>
      <c r="P220" s="23">
        <v>2.5</v>
      </c>
    </row>
    <row r="221" spans="1:16" s="15" customFormat="1" ht="19.5">
      <c r="A221" s="16">
        <v>142</v>
      </c>
      <c r="B221" s="169" t="s">
        <v>236</v>
      </c>
      <c r="C221" s="133" t="str">
        <f>'МРСК 2'!C221</f>
        <v>4+4</v>
      </c>
      <c r="D221" s="133">
        <v>2056</v>
      </c>
      <c r="E221" s="133">
        <v>600</v>
      </c>
      <c r="F221" s="120">
        <f t="shared" si="17"/>
        <v>2.1417600239055727</v>
      </c>
      <c r="G221" s="44">
        <v>1.7332102024177531</v>
      </c>
      <c r="H221" s="18">
        <v>80</v>
      </c>
      <c r="I221" s="44">
        <f t="shared" si="16"/>
        <v>0.4085498214878196</v>
      </c>
      <c r="J221" s="17">
        <v>0</v>
      </c>
      <c r="K221" s="43">
        <f t="shared" si="14"/>
        <v>4.2</v>
      </c>
      <c r="L221" s="105">
        <f t="shared" si="15"/>
        <v>3.7914501785121804</v>
      </c>
      <c r="M221" s="44">
        <f aca="true" t="shared" si="18" ref="M221:M234">L221</f>
        <v>3.7914501785121804</v>
      </c>
      <c r="N221" s="32"/>
      <c r="O221" s="15">
        <v>1.05</v>
      </c>
      <c r="P221" s="23">
        <v>4</v>
      </c>
    </row>
    <row r="222" spans="1:16" s="15" customFormat="1" ht="19.5">
      <c r="A222" s="16">
        <v>143</v>
      </c>
      <c r="B222" s="169" t="s">
        <v>237</v>
      </c>
      <c r="C222" s="133" t="str">
        <f>'МРСК 2'!C222</f>
        <v>6,3+6,3</v>
      </c>
      <c r="D222" s="133">
        <v>6128</v>
      </c>
      <c r="E222" s="133">
        <v>2176</v>
      </c>
      <c r="F222" s="120">
        <f t="shared" si="17"/>
        <v>6.502873211127524</v>
      </c>
      <c r="G222" s="44">
        <v>0.872</v>
      </c>
      <c r="H222" s="18">
        <v>80</v>
      </c>
      <c r="I222" s="44">
        <f t="shared" si="16"/>
        <v>5.630873211127524</v>
      </c>
      <c r="J222" s="17">
        <v>0</v>
      </c>
      <c r="K222" s="43">
        <f t="shared" si="14"/>
        <v>6.615</v>
      </c>
      <c r="L222" s="105">
        <f t="shared" si="15"/>
        <v>0.9841267888724765</v>
      </c>
      <c r="M222" s="44">
        <f t="shared" si="18"/>
        <v>0.9841267888724765</v>
      </c>
      <c r="N222" s="32"/>
      <c r="O222" s="15">
        <v>1.05</v>
      </c>
      <c r="P222" s="23">
        <v>6.3</v>
      </c>
    </row>
    <row r="223" spans="1:16" s="15" customFormat="1" ht="19.5">
      <c r="A223" s="16">
        <v>144</v>
      </c>
      <c r="B223" s="169" t="s">
        <v>238</v>
      </c>
      <c r="C223" s="133" t="str">
        <f>'МРСК 2'!C223</f>
        <v>4+4</v>
      </c>
      <c r="D223" s="133">
        <v>1836</v>
      </c>
      <c r="E223" s="133">
        <v>756</v>
      </c>
      <c r="F223" s="120">
        <f t="shared" si="17"/>
        <v>1.9855558415718253</v>
      </c>
      <c r="G223" s="44">
        <v>0.553</v>
      </c>
      <c r="H223" s="18">
        <v>80</v>
      </c>
      <c r="I223" s="44">
        <f t="shared" si="16"/>
        <v>1.4325558415718254</v>
      </c>
      <c r="J223" s="17">
        <v>0</v>
      </c>
      <c r="K223" s="43">
        <f t="shared" si="14"/>
        <v>4.2</v>
      </c>
      <c r="L223" s="105">
        <f t="shared" si="15"/>
        <v>2.767444158428175</v>
      </c>
      <c r="M223" s="44">
        <f t="shared" si="18"/>
        <v>2.767444158428175</v>
      </c>
      <c r="N223" s="32"/>
      <c r="O223" s="15">
        <v>1.05</v>
      </c>
      <c r="P223" s="23">
        <v>4</v>
      </c>
    </row>
    <row r="224" spans="1:16" s="15" customFormat="1" ht="19.5">
      <c r="A224" s="16">
        <v>145</v>
      </c>
      <c r="B224" s="169" t="s">
        <v>239</v>
      </c>
      <c r="C224" s="133" t="str">
        <f>'МРСК 2'!C224</f>
        <v>2,5+2,5</v>
      </c>
      <c r="D224" s="133">
        <v>2014</v>
      </c>
      <c r="E224" s="133">
        <v>792</v>
      </c>
      <c r="F224" s="120">
        <f t="shared" si="17"/>
        <v>2.1641303103094325</v>
      </c>
      <c r="G224" s="44">
        <v>1.1224919242012794</v>
      </c>
      <c r="H224" s="18">
        <v>45</v>
      </c>
      <c r="I224" s="44">
        <f t="shared" si="16"/>
        <v>1.041638386108153</v>
      </c>
      <c r="J224" s="17">
        <v>0</v>
      </c>
      <c r="K224" s="43">
        <f t="shared" si="14"/>
        <v>2.625</v>
      </c>
      <c r="L224" s="105">
        <f t="shared" si="15"/>
        <v>1.583361613891847</v>
      </c>
      <c r="M224" s="44">
        <f t="shared" si="18"/>
        <v>1.583361613891847</v>
      </c>
      <c r="N224" s="32"/>
      <c r="O224" s="15">
        <v>1.05</v>
      </c>
      <c r="P224" s="23">
        <v>2.5</v>
      </c>
    </row>
    <row r="225" spans="1:16" s="15" customFormat="1" ht="19.5">
      <c r="A225" s="16">
        <v>146</v>
      </c>
      <c r="B225" s="169" t="s">
        <v>240</v>
      </c>
      <c r="C225" s="133" t="str">
        <f>'МРСК 2'!C225</f>
        <v>6,3+4</v>
      </c>
      <c r="D225" s="133">
        <v>1152</v>
      </c>
      <c r="E225" s="133">
        <v>532</v>
      </c>
      <c r="F225" s="120">
        <f t="shared" si="17"/>
        <v>1.2689081921084755</v>
      </c>
      <c r="G225" s="44">
        <v>0.6463610983551401</v>
      </c>
      <c r="H225" s="18">
        <v>80</v>
      </c>
      <c r="I225" s="44">
        <f t="shared" si="16"/>
        <v>0.6225470937533354</v>
      </c>
      <c r="J225" s="17">
        <v>0</v>
      </c>
      <c r="K225" s="43">
        <f aca="true" t="shared" si="19" ref="K225:K234">O225*P225</f>
        <v>4.2</v>
      </c>
      <c r="L225" s="105">
        <f aca="true" t="shared" si="20" ref="L225:L234">K225-J225-I225</f>
        <v>3.577452906246665</v>
      </c>
      <c r="M225" s="44">
        <f t="shared" si="18"/>
        <v>3.577452906246665</v>
      </c>
      <c r="N225" s="32"/>
      <c r="O225" s="15">
        <v>1.05</v>
      </c>
      <c r="P225" s="23">
        <v>4</v>
      </c>
    </row>
    <row r="226" spans="1:16" s="15" customFormat="1" ht="19.5">
      <c r="A226" s="16">
        <v>147</v>
      </c>
      <c r="B226" s="169" t="s">
        <v>228</v>
      </c>
      <c r="C226" s="133" t="str">
        <f>'МРСК 2'!C226</f>
        <v>4+4</v>
      </c>
      <c r="D226" s="133">
        <v>4020</v>
      </c>
      <c r="E226" s="133">
        <v>1524</v>
      </c>
      <c r="F226" s="120">
        <f t="shared" si="17"/>
        <v>4.299183178232814</v>
      </c>
      <c r="G226" s="44">
        <v>0</v>
      </c>
      <c r="H226" s="18"/>
      <c r="I226" s="44">
        <f t="shared" si="16"/>
        <v>4.299183178232814</v>
      </c>
      <c r="J226" s="17">
        <v>0</v>
      </c>
      <c r="K226" s="43">
        <f t="shared" si="19"/>
        <v>4.2</v>
      </c>
      <c r="L226" s="105">
        <f t="shared" si="20"/>
        <v>-0.09918317823281342</v>
      </c>
      <c r="M226" s="44">
        <f t="shared" si="18"/>
        <v>-0.09918317823281342</v>
      </c>
      <c r="N226" s="32"/>
      <c r="O226" s="15">
        <v>1.05</v>
      </c>
      <c r="P226" s="23">
        <v>4</v>
      </c>
    </row>
    <row r="227" spans="1:16" s="15" customFormat="1" ht="19.5">
      <c r="A227" s="16">
        <v>148</v>
      </c>
      <c r="B227" s="169" t="s">
        <v>241</v>
      </c>
      <c r="C227" s="133" t="str">
        <f>'МРСК 2'!C227</f>
        <v>6,3+6,3</v>
      </c>
      <c r="D227" s="133">
        <v>5242</v>
      </c>
      <c r="E227" s="133">
        <v>2492</v>
      </c>
      <c r="F227" s="120">
        <f t="shared" si="17"/>
        <v>5.804190555107577</v>
      </c>
      <c r="G227" s="44">
        <v>0</v>
      </c>
      <c r="H227" s="18"/>
      <c r="I227" s="44">
        <f t="shared" si="16"/>
        <v>5.804190555107577</v>
      </c>
      <c r="J227" s="17">
        <v>0</v>
      </c>
      <c r="K227" s="43">
        <f t="shared" si="19"/>
        <v>6.615</v>
      </c>
      <c r="L227" s="105">
        <f t="shared" si="20"/>
        <v>0.8108094448924232</v>
      </c>
      <c r="M227" s="44">
        <f t="shared" si="18"/>
        <v>0.8108094448924232</v>
      </c>
      <c r="N227" s="32"/>
      <c r="O227" s="15">
        <v>1.05</v>
      </c>
      <c r="P227" s="45">
        <v>6.3</v>
      </c>
    </row>
    <row r="228" spans="1:16" s="15" customFormat="1" ht="19.5">
      <c r="A228" s="16">
        <v>149</v>
      </c>
      <c r="B228" s="169" t="s">
        <v>242</v>
      </c>
      <c r="C228" s="133" t="str">
        <f>'МРСК 2'!C228</f>
        <v>2,5+2,5</v>
      </c>
      <c r="D228" s="133">
        <v>600</v>
      </c>
      <c r="E228" s="133">
        <v>378</v>
      </c>
      <c r="F228" s="120">
        <f t="shared" si="17"/>
        <v>0.7091431449291462</v>
      </c>
      <c r="G228" s="44">
        <v>0.3763754343811262</v>
      </c>
      <c r="H228" s="18">
        <v>80</v>
      </c>
      <c r="I228" s="44">
        <f t="shared" si="16"/>
        <v>0.33276771054802</v>
      </c>
      <c r="J228" s="17">
        <v>0</v>
      </c>
      <c r="K228" s="43">
        <f t="shared" si="19"/>
        <v>2.625</v>
      </c>
      <c r="L228" s="105">
        <f t="shared" si="20"/>
        <v>2.29223228945198</v>
      </c>
      <c r="M228" s="44">
        <f t="shared" si="18"/>
        <v>2.29223228945198</v>
      </c>
      <c r="N228" s="32"/>
      <c r="O228" s="15">
        <v>1.05</v>
      </c>
      <c r="P228" s="45">
        <v>2.5</v>
      </c>
    </row>
    <row r="229" spans="1:16" s="15" customFormat="1" ht="19.5">
      <c r="A229" s="16">
        <v>150</v>
      </c>
      <c r="B229" s="169" t="s">
        <v>244</v>
      </c>
      <c r="C229" s="133" t="str">
        <f>'МРСК 2'!C229</f>
        <v>2,5+2,5</v>
      </c>
      <c r="D229" s="133">
        <v>1616</v>
      </c>
      <c r="E229" s="133">
        <v>640</v>
      </c>
      <c r="F229" s="120">
        <f t="shared" si="17"/>
        <v>1.7381185230012366</v>
      </c>
      <c r="G229" s="44">
        <v>0.352</v>
      </c>
      <c r="H229" s="18">
        <v>120</v>
      </c>
      <c r="I229" s="44">
        <f t="shared" si="16"/>
        <v>1.3861185230012367</v>
      </c>
      <c r="J229" s="17">
        <v>0</v>
      </c>
      <c r="K229" s="43">
        <f t="shared" si="19"/>
        <v>2.625</v>
      </c>
      <c r="L229" s="105">
        <f t="shared" si="20"/>
        <v>1.2388814769987633</v>
      </c>
      <c r="M229" s="44">
        <f t="shared" si="18"/>
        <v>1.2388814769987633</v>
      </c>
      <c r="N229" s="32"/>
      <c r="O229" s="15">
        <v>1.05</v>
      </c>
      <c r="P229" s="45">
        <v>2.5</v>
      </c>
    </row>
    <row r="230" spans="1:16" s="15" customFormat="1" ht="19.5">
      <c r="A230" s="16">
        <v>151</v>
      </c>
      <c r="B230" s="169" t="s">
        <v>245</v>
      </c>
      <c r="C230" s="133" t="str">
        <f>'МРСК 2'!C230</f>
        <v>6,3+6,3</v>
      </c>
      <c r="D230" s="133">
        <v>4736</v>
      </c>
      <c r="E230" s="133">
        <v>1888</v>
      </c>
      <c r="F230" s="120">
        <f t="shared" si="17"/>
        <v>5.098454667838089</v>
      </c>
      <c r="G230" s="44">
        <v>0.164</v>
      </c>
      <c r="H230" s="18">
        <v>45</v>
      </c>
      <c r="I230" s="44">
        <f t="shared" si="16"/>
        <v>4.934454667838089</v>
      </c>
      <c r="J230" s="17">
        <v>0</v>
      </c>
      <c r="K230" s="43">
        <f t="shared" si="19"/>
        <v>6.615</v>
      </c>
      <c r="L230" s="105">
        <f t="shared" si="20"/>
        <v>1.6805453321619108</v>
      </c>
      <c r="M230" s="44">
        <f t="shared" si="18"/>
        <v>1.6805453321619108</v>
      </c>
      <c r="N230" s="32"/>
      <c r="O230" s="15">
        <v>1.05</v>
      </c>
      <c r="P230" s="45">
        <v>6.3</v>
      </c>
    </row>
    <row r="231" spans="1:16" s="15" customFormat="1" ht="19.5">
      <c r="A231" s="16">
        <v>152</v>
      </c>
      <c r="B231" s="169" t="s">
        <v>246</v>
      </c>
      <c r="C231" s="133" t="str">
        <f>'МРСК 2'!C231</f>
        <v>2,5+2,5</v>
      </c>
      <c r="D231" s="133">
        <v>1278</v>
      </c>
      <c r="E231" s="133">
        <v>684</v>
      </c>
      <c r="F231" s="120">
        <f t="shared" si="17"/>
        <v>1.4495309586207534</v>
      </c>
      <c r="G231" s="44">
        <v>0.662</v>
      </c>
      <c r="H231" s="18">
        <v>80</v>
      </c>
      <c r="I231" s="44">
        <f t="shared" si="16"/>
        <v>0.7875309586207534</v>
      </c>
      <c r="J231" s="17">
        <v>0</v>
      </c>
      <c r="K231" s="43">
        <f t="shared" si="19"/>
        <v>2.625</v>
      </c>
      <c r="L231" s="105">
        <f t="shared" si="20"/>
        <v>1.8374690413792467</v>
      </c>
      <c r="M231" s="44">
        <f t="shared" si="18"/>
        <v>1.8374690413792467</v>
      </c>
      <c r="N231" s="32"/>
      <c r="O231" s="15">
        <v>1.05</v>
      </c>
      <c r="P231" s="45">
        <v>2.5</v>
      </c>
    </row>
    <row r="232" spans="1:16" s="15" customFormat="1" ht="19.5">
      <c r="A232" s="16">
        <v>153</v>
      </c>
      <c r="B232" s="169" t="s">
        <v>247</v>
      </c>
      <c r="C232" s="133" t="str">
        <f>'МРСК 2'!C232</f>
        <v>2,5+2,5</v>
      </c>
      <c r="D232" s="133">
        <v>1536</v>
      </c>
      <c r="E232" s="133">
        <v>744</v>
      </c>
      <c r="F232" s="120">
        <f t="shared" si="17"/>
        <v>1.7067020829658583</v>
      </c>
      <c r="G232" s="44">
        <v>0.8849109793349925</v>
      </c>
      <c r="H232" s="18">
        <v>80</v>
      </c>
      <c r="I232" s="44">
        <f t="shared" si="16"/>
        <v>0.8217911036308658</v>
      </c>
      <c r="J232" s="17">
        <v>0</v>
      </c>
      <c r="K232" s="43">
        <f t="shared" si="19"/>
        <v>2.625</v>
      </c>
      <c r="L232" s="105">
        <f t="shared" si="20"/>
        <v>1.8032088963691342</v>
      </c>
      <c r="M232" s="44">
        <f t="shared" si="18"/>
        <v>1.8032088963691342</v>
      </c>
      <c r="N232" s="32"/>
      <c r="O232" s="15">
        <v>1.05</v>
      </c>
      <c r="P232" s="45">
        <v>2.5</v>
      </c>
    </row>
    <row r="233" spans="1:16" s="15" customFormat="1" ht="19.5">
      <c r="A233" s="16">
        <v>154</v>
      </c>
      <c r="B233" s="169" t="s">
        <v>248</v>
      </c>
      <c r="C233" s="133" t="str">
        <f>'МРСК 2'!C233</f>
        <v>10+10</v>
      </c>
      <c r="D233" s="133">
        <v>5736</v>
      </c>
      <c r="E233" s="133">
        <v>2664</v>
      </c>
      <c r="F233" s="120">
        <f t="shared" si="17"/>
        <v>6.324444007183556</v>
      </c>
      <c r="G233" s="44">
        <v>2.53</v>
      </c>
      <c r="H233" s="18">
        <v>45</v>
      </c>
      <c r="I233" s="44">
        <f t="shared" si="16"/>
        <v>3.794444007183556</v>
      </c>
      <c r="J233" s="17">
        <v>0</v>
      </c>
      <c r="K233" s="43">
        <f t="shared" si="19"/>
        <v>10.5</v>
      </c>
      <c r="L233" s="105">
        <f t="shared" si="20"/>
        <v>6.7055559928164445</v>
      </c>
      <c r="M233" s="44">
        <f t="shared" si="18"/>
        <v>6.7055559928164445</v>
      </c>
      <c r="N233" s="32"/>
      <c r="O233" s="15">
        <v>1.05</v>
      </c>
      <c r="P233" s="45">
        <v>10</v>
      </c>
    </row>
    <row r="234" spans="1:16" s="15" customFormat="1" ht="19.5">
      <c r="A234" s="16">
        <v>155</v>
      </c>
      <c r="B234" s="169" t="s">
        <v>249</v>
      </c>
      <c r="C234" s="133" t="str">
        <f>'МРСК 2'!C234</f>
        <v>4+4</v>
      </c>
      <c r="D234" s="133">
        <v>3000</v>
      </c>
      <c r="E234" s="133">
        <v>1188</v>
      </c>
      <c r="F234" s="120">
        <f t="shared" si="17"/>
        <v>3.2266614325026417</v>
      </c>
      <c r="G234" s="44">
        <v>1.7392964094713703</v>
      </c>
      <c r="H234" s="18">
        <v>120</v>
      </c>
      <c r="I234" s="44">
        <f t="shared" si="16"/>
        <v>1.4873650230312714</v>
      </c>
      <c r="J234" s="17">
        <v>0</v>
      </c>
      <c r="K234" s="43">
        <f t="shared" si="19"/>
        <v>4.2</v>
      </c>
      <c r="L234" s="105">
        <f t="shared" si="20"/>
        <v>2.7126349769687286</v>
      </c>
      <c r="M234" s="44">
        <f t="shared" si="18"/>
        <v>2.7126349769687286</v>
      </c>
      <c r="N234" s="32"/>
      <c r="O234" s="15">
        <v>1.05</v>
      </c>
      <c r="P234" s="45">
        <v>4</v>
      </c>
    </row>
    <row r="235" spans="1:16" s="15" customFormat="1" ht="19.5">
      <c r="A235" s="16">
        <v>156</v>
      </c>
      <c r="B235" s="169" t="s">
        <v>250</v>
      </c>
      <c r="C235" s="133" t="str">
        <f>'МРСК 2'!C235</f>
        <v>4+4</v>
      </c>
      <c r="D235" s="133">
        <v>1648</v>
      </c>
      <c r="E235" s="133">
        <v>736</v>
      </c>
      <c r="F235" s="120">
        <f t="shared" si="17"/>
        <v>1.8048822676285565</v>
      </c>
      <c r="G235" s="44">
        <v>0</v>
      </c>
      <c r="H235" s="18"/>
      <c r="I235" s="44">
        <f t="shared" si="16"/>
        <v>1.8048822676285565</v>
      </c>
      <c r="J235" s="17">
        <v>0</v>
      </c>
      <c r="K235" s="43">
        <f aca="true" t="shared" si="21" ref="K235:K257">O235*P235</f>
        <v>2.625</v>
      </c>
      <c r="L235" s="105">
        <f aca="true" t="shared" si="22" ref="L235:L257">K235-J235-I235</f>
        <v>0.8201177323714435</v>
      </c>
      <c r="M235" s="44">
        <f aca="true" t="shared" si="23" ref="M235:M257">L235</f>
        <v>0.8201177323714435</v>
      </c>
      <c r="N235" s="32"/>
      <c r="O235" s="15">
        <v>1.05</v>
      </c>
      <c r="P235" s="45">
        <v>2.5</v>
      </c>
    </row>
    <row r="236" spans="1:16" s="15" customFormat="1" ht="19.5">
      <c r="A236" s="16">
        <v>157</v>
      </c>
      <c r="B236" s="169" t="s">
        <v>293</v>
      </c>
      <c r="C236" s="133" t="str">
        <f>'МРСК 2'!C236</f>
        <v>2,5+2,5</v>
      </c>
      <c r="D236" s="133">
        <v>805</v>
      </c>
      <c r="E236" s="133">
        <v>381</v>
      </c>
      <c r="F236" s="120">
        <f t="shared" si="17"/>
        <v>0.8906099033808237</v>
      </c>
      <c r="G236" s="44">
        <v>0</v>
      </c>
      <c r="H236" s="18">
        <v>0</v>
      </c>
      <c r="I236" s="44">
        <f t="shared" si="16"/>
        <v>0.8906099033808237</v>
      </c>
      <c r="J236" s="17">
        <v>0</v>
      </c>
      <c r="K236" s="43">
        <f t="shared" si="21"/>
        <v>2.625</v>
      </c>
      <c r="L236" s="105">
        <f t="shared" si="22"/>
        <v>1.7343900966191763</v>
      </c>
      <c r="M236" s="44">
        <f t="shared" si="23"/>
        <v>1.7343900966191763</v>
      </c>
      <c r="N236" s="32"/>
      <c r="O236" s="15">
        <v>1.05</v>
      </c>
      <c r="P236" s="45">
        <v>2.5</v>
      </c>
    </row>
    <row r="237" spans="1:16" s="15" customFormat="1" ht="19.5">
      <c r="A237" s="16">
        <v>158</v>
      </c>
      <c r="B237" s="169" t="s">
        <v>243</v>
      </c>
      <c r="C237" s="133" t="str">
        <f>'МРСК 2'!C237</f>
        <v>2,5+2,5</v>
      </c>
      <c r="D237" s="133">
        <v>288</v>
      </c>
      <c r="E237" s="133">
        <v>152</v>
      </c>
      <c r="F237" s="120">
        <f t="shared" si="17"/>
        <v>0.3256501189927619</v>
      </c>
      <c r="G237" s="44">
        <v>0.2275127113166862</v>
      </c>
      <c r="H237" s="18">
        <v>120</v>
      </c>
      <c r="I237" s="44">
        <f t="shared" si="16"/>
        <v>0.0981374076760757</v>
      </c>
      <c r="J237" s="17">
        <v>0</v>
      </c>
      <c r="K237" s="43">
        <f t="shared" si="21"/>
        <v>2.625</v>
      </c>
      <c r="L237" s="105">
        <f t="shared" si="22"/>
        <v>2.5268625923239245</v>
      </c>
      <c r="M237" s="44">
        <f t="shared" si="23"/>
        <v>2.5268625923239245</v>
      </c>
      <c r="N237" s="32"/>
      <c r="O237" s="15">
        <v>1.05</v>
      </c>
      <c r="P237" s="45">
        <v>2.5</v>
      </c>
    </row>
    <row r="238" spans="1:16" s="15" customFormat="1" ht="19.5">
      <c r="A238" s="16">
        <v>159</v>
      </c>
      <c r="B238" s="169" t="s">
        <v>251</v>
      </c>
      <c r="C238" s="133" t="str">
        <f>'МРСК 2'!C238</f>
        <v>6,3+6,3</v>
      </c>
      <c r="D238" s="133">
        <v>6278</v>
      </c>
      <c r="E238" s="133">
        <v>1901</v>
      </c>
      <c r="F238" s="120">
        <f t="shared" si="17"/>
        <v>6.559503411082275</v>
      </c>
      <c r="G238" s="44">
        <v>4.804906036985494</v>
      </c>
      <c r="H238" s="18">
        <v>120</v>
      </c>
      <c r="I238" s="44">
        <f t="shared" si="16"/>
        <v>1.7545973740967815</v>
      </c>
      <c r="J238" s="17">
        <v>0</v>
      </c>
      <c r="K238" s="43">
        <f t="shared" si="21"/>
        <v>6.615</v>
      </c>
      <c r="L238" s="105">
        <f t="shared" si="22"/>
        <v>4.860402625903219</v>
      </c>
      <c r="M238" s="44">
        <f t="shared" si="23"/>
        <v>4.860402625903219</v>
      </c>
      <c r="N238" s="32"/>
      <c r="O238" s="15">
        <v>1.05</v>
      </c>
      <c r="P238" s="45">
        <v>6.3</v>
      </c>
    </row>
    <row r="239" spans="1:16" s="15" customFormat="1" ht="19.5">
      <c r="A239" s="16">
        <v>160</v>
      </c>
      <c r="B239" s="169" t="s">
        <v>252</v>
      </c>
      <c r="C239" s="133" t="str">
        <f>'МРСК 2'!C239</f>
        <v>2,5+2,5</v>
      </c>
      <c r="D239" s="133">
        <v>1806</v>
      </c>
      <c r="E239" s="133">
        <v>754</v>
      </c>
      <c r="F239" s="120">
        <f t="shared" si="17"/>
        <v>1.9570774128787036</v>
      </c>
      <c r="G239" s="44">
        <v>1.062118637441223</v>
      </c>
      <c r="H239" s="18">
        <v>80</v>
      </c>
      <c r="I239" s="44">
        <f t="shared" si="16"/>
        <v>0.8949587754374806</v>
      </c>
      <c r="J239" s="17">
        <v>0</v>
      </c>
      <c r="K239" s="43">
        <f t="shared" si="21"/>
        <v>2.625</v>
      </c>
      <c r="L239" s="105">
        <f t="shared" si="22"/>
        <v>1.7300412245625194</v>
      </c>
      <c r="M239" s="44">
        <f t="shared" si="23"/>
        <v>1.7300412245625194</v>
      </c>
      <c r="N239" s="32"/>
      <c r="O239" s="15">
        <v>1.05</v>
      </c>
      <c r="P239" s="45">
        <v>2.5</v>
      </c>
    </row>
    <row r="240" spans="1:16" s="15" customFormat="1" ht="19.5">
      <c r="A240" s="16">
        <v>161</v>
      </c>
      <c r="B240" s="169" t="s">
        <v>253</v>
      </c>
      <c r="C240" s="133" t="str">
        <f>'МРСК 2'!C240</f>
        <v>4+4</v>
      </c>
      <c r="D240" s="133">
        <v>2288</v>
      </c>
      <c r="E240" s="133">
        <v>1184</v>
      </c>
      <c r="F240" s="120">
        <f t="shared" si="17"/>
        <v>2.5761987500967387</v>
      </c>
      <c r="G240" s="44">
        <v>1.1305772892533212</v>
      </c>
      <c r="H240" s="18">
        <v>120</v>
      </c>
      <c r="I240" s="44">
        <f t="shared" si="16"/>
        <v>1.4456214608434175</v>
      </c>
      <c r="J240" s="17">
        <v>0</v>
      </c>
      <c r="K240" s="43">
        <f t="shared" si="21"/>
        <v>4.2</v>
      </c>
      <c r="L240" s="105">
        <f t="shared" si="22"/>
        <v>2.7543785391565825</v>
      </c>
      <c r="M240" s="44">
        <f t="shared" si="23"/>
        <v>2.7543785391565825</v>
      </c>
      <c r="N240" s="32"/>
      <c r="O240" s="15">
        <v>1.05</v>
      </c>
      <c r="P240" s="45">
        <v>4</v>
      </c>
    </row>
    <row r="241" spans="1:16" s="15" customFormat="1" ht="19.5">
      <c r="A241" s="16">
        <v>162</v>
      </c>
      <c r="B241" s="169" t="s">
        <v>254</v>
      </c>
      <c r="C241" s="133" t="str">
        <f>'МРСК 2'!C241</f>
        <v>16+16</v>
      </c>
      <c r="D241" s="133">
        <v>10742</v>
      </c>
      <c r="E241" s="133">
        <v>4668</v>
      </c>
      <c r="F241" s="120">
        <f t="shared" si="17"/>
        <v>11.712420245192707</v>
      </c>
      <c r="G241" s="44">
        <v>1.21</v>
      </c>
      <c r="H241" s="18">
        <v>80</v>
      </c>
      <c r="I241" s="44">
        <f t="shared" si="16"/>
        <v>10.502420245192706</v>
      </c>
      <c r="J241" s="17">
        <v>0</v>
      </c>
      <c r="K241" s="43">
        <f t="shared" si="21"/>
        <v>16.8</v>
      </c>
      <c r="L241" s="105">
        <f t="shared" si="22"/>
        <v>6.297579754807295</v>
      </c>
      <c r="M241" s="44">
        <f t="shared" si="23"/>
        <v>6.297579754807295</v>
      </c>
      <c r="N241" s="32"/>
      <c r="O241" s="15">
        <v>1.05</v>
      </c>
      <c r="P241" s="45">
        <v>16</v>
      </c>
    </row>
    <row r="242" spans="1:16" s="15" customFormat="1" ht="19.5">
      <c r="A242" s="16">
        <v>163</v>
      </c>
      <c r="B242" s="169" t="s">
        <v>255</v>
      </c>
      <c r="C242" s="133" t="str">
        <f>'МРСК 2'!C242</f>
        <v>4+4</v>
      </c>
      <c r="D242" s="133">
        <v>2028</v>
      </c>
      <c r="E242" s="133">
        <v>684</v>
      </c>
      <c r="F242" s="120">
        <f t="shared" si="17"/>
        <v>2.1402429768603377</v>
      </c>
      <c r="G242" s="44">
        <v>1.3453007325017299</v>
      </c>
      <c r="H242" s="18">
        <v>45</v>
      </c>
      <c r="I242" s="44">
        <f t="shared" si="16"/>
        <v>0.7949422443586078</v>
      </c>
      <c r="J242" s="17">
        <v>0</v>
      </c>
      <c r="K242" s="43">
        <f t="shared" si="21"/>
        <v>4.2</v>
      </c>
      <c r="L242" s="105">
        <f t="shared" si="22"/>
        <v>3.4050577556413923</v>
      </c>
      <c r="M242" s="44">
        <f t="shared" si="23"/>
        <v>3.4050577556413923</v>
      </c>
      <c r="N242" s="32"/>
      <c r="O242" s="15">
        <v>1.05</v>
      </c>
      <c r="P242" s="45">
        <v>4</v>
      </c>
    </row>
    <row r="243" spans="1:16" s="15" customFormat="1" ht="19.5">
      <c r="A243" s="16">
        <v>164</v>
      </c>
      <c r="B243" s="169" t="s">
        <v>256</v>
      </c>
      <c r="C243" s="133" t="str">
        <f>'МРСК 2'!C243</f>
        <v>10+10</v>
      </c>
      <c r="D243" s="133">
        <v>8592</v>
      </c>
      <c r="E243" s="133">
        <v>1656</v>
      </c>
      <c r="F243" s="120">
        <f t="shared" si="17"/>
        <v>8.750131427584389</v>
      </c>
      <c r="G243" s="44">
        <v>0.531</v>
      </c>
      <c r="H243" s="18">
        <v>45</v>
      </c>
      <c r="I243" s="44">
        <f t="shared" si="16"/>
        <v>8.219131427584388</v>
      </c>
      <c r="J243" s="17">
        <v>0</v>
      </c>
      <c r="K243" s="43">
        <f t="shared" si="21"/>
        <v>10.5</v>
      </c>
      <c r="L243" s="105">
        <f t="shared" si="22"/>
        <v>2.2808685724156117</v>
      </c>
      <c r="M243" s="44">
        <f t="shared" si="23"/>
        <v>2.2808685724156117</v>
      </c>
      <c r="N243" s="32"/>
      <c r="O243" s="15">
        <v>1.05</v>
      </c>
      <c r="P243" s="45">
        <v>10</v>
      </c>
    </row>
    <row r="244" spans="1:16" s="15" customFormat="1" ht="19.5">
      <c r="A244" s="16">
        <v>165</v>
      </c>
      <c r="B244" s="169" t="s">
        <v>257</v>
      </c>
      <c r="C244" s="133" t="str">
        <f>'МРСК 2'!C244</f>
        <v>2,5+2,5</v>
      </c>
      <c r="D244" s="133">
        <v>960</v>
      </c>
      <c r="E244" s="133">
        <v>504</v>
      </c>
      <c r="F244" s="120">
        <f t="shared" si="17"/>
        <v>1.0842582718153455</v>
      </c>
      <c r="G244" s="44">
        <v>0.4497830700715363</v>
      </c>
      <c r="H244" s="18">
        <v>80</v>
      </c>
      <c r="I244" s="44">
        <f t="shared" si="16"/>
        <v>0.6344752017438092</v>
      </c>
      <c r="J244" s="17">
        <v>0</v>
      </c>
      <c r="K244" s="43">
        <f t="shared" si="21"/>
        <v>2.625</v>
      </c>
      <c r="L244" s="105">
        <f t="shared" si="22"/>
        <v>1.9905247982561907</v>
      </c>
      <c r="M244" s="44">
        <f t="shared" si="23"/>
        <v>1.9905247982561907</v>
      </c>
      <c r="N244" s="32"/>
      <c r="O244" s="15">
        <v>1.05</v>
      </c>
      <c r="P244" s="45">
        <v>2.5</v>
      </c>
    </row>
    <row r="245" spans="1:16" s="15" customFormat="1" ht="19.5">
      <c r="A245" s="16">
        <v>166</v>
      </c>
      <c r="B245" s="169" t="s">
        <v>258</v>
      </c>
      <c r="C245" s="133" t="str">
        <f>'МРСК 2'!C245</f>
        <v>6,3+6,3</v>
      </c>
      <c r="D245" s="133">
        <v>4116</v>
      </c>
      <c r="E245" s="133">
        <v>1140</v>
      </c>
      <c r="F245" s="120">
        <f t="shared" si="17"/>
        <v>4.270954928350333</v>
      </c>
      <c r="G245" s="44">
        <v>1.39</v>
      </c>
      <c r="H245" s="18">
        <v>120</v>
      </c>
      <c r="I245" s="44">
        <f aca="true" t="shared" si="24" ref="I245:I256">F245-G245</f>
        <v>2.8809549283503335</v>
      </c>
      <c r="J245" s="17">
        <v>0</v>
      </c>
      <c r="K245" s="43">
        <f t="shared" si="21"/>
        <v>6.615</v>
      </c>
      <c r="L245" s="105">
        <f t="shared" si="22"/>
        <v>3.7340450716496667</v>
      </c>
      <c r="M245" s="44">
        <f t="shared" si="23"/>
        <v>3.7340450716496667</v>
      </c>
      <c r="N245" s="32"/>
      <c r="O245" s="15">
        <v>1.05</v>
      </c>
      <c r="P245" s="45">
        <v>6.3</v>
      </c>
    </row>
    <row r="246" spans="1:16" s="15" customFormat="1" ht="19.5">
      <c r="A246" s="16">
        <v>167</v>
      </c>
      <c r="B246" s="169" t="s">
        <v>259</v>
      </c>
      <c r="C246" s="133" t="str">
        <f>'МРСК 2'!C246</f>
        <v>1,6+2,5</v>
      </c>
      <c r="D246" s="133">
        <v>728</v>
      </c>
      <c r="E246" s="133">
        <v>284</v>
      </c>
      <c r="F246" s="120">
        <f t="shared" si="17"/>
        <v>0.7814345781957694</v>
      </c>
      <c r="G246" s="44">
        <v>0.4724167338631652</v>
      </c>
      <c r="H246" s="18">
        <v>80</v>
      </c>
      <c r="I246" s="44">
        <f t="shared" si="24"/>
        <v>0.30901784433260426</v>
      </c>
      <c r="J246" s="17">
        <v>0</v>
      </c>
      <c r="K246" s="43">
        <f t="shared" si="21"/>
        <v>1.6800000000000002</v>
      </c>
      <c r="L246" s="105">
        <f t="shared" si="22"/>
        <v>1.370982155667396</v>
      </c>
      <c r="M246" s="44">
        <f t="shared" si="23"/>
        <v>1.370982155667396</v>
      </c>
      <c r="N246" s="32"/>
      <c r="O246" s="15">
        <v>1.05</v>
      </c>
      <c r="P246" s="45">
        <v>1.6</v>
      </c>
    </row>
    <row r="247" spans="1:16" s="15" customFormat="1" ht="19.5">
      <c r="A247" s="16">
        <v>168</v>
      </c>
      <c r="B247" s="169" t="s">
        <v>260</v>
      </c>
      <c r="C247" s="133" t="str">
        <f>'МРСК 2'!C247</f>
        <v>4+4</v>
      </c>
      <c r="D247" s="133">
        <v>1795</v>
      </c>
      <c r="E247" s="133">
        <v>643</v>
      </c>
      <c r="F247" s="120">
        <f t="shared" si="17"/>
        <v>1.9066918995999327</v>
      </c>
      <c r="G247" s="44">
        <v>0</v>
      </c>
      <c r="H247" s="18"/>
      <c r="I247" s="44">
        <f t="shared" si="24"/>
        <v>1.9066918995999327</v>
      </c>
      <c r="J247" s="17">
        <v>0</v>
      </c>
      <c r="K247" s="43">
        <f t="shared" si="21"/>
        <v>4.2</v>
      </c>
      <c r="L247" s="105">
        <f t="shared" si="22"/>
        <v>2.2933081004000675</v>
      </c>
      <c r="M247" s="44">
        <f t="shared" si="23"/>
        <v>2.2933081004000675</v>
      </c>
      <c r="N247" s="32"/>
      <c r="O247" s="15">
        <v>1.05</v>
      </c>
      <c r="P247" s="45">
        <v>4</v>
      </c>
    </row>
    <row r="248" spans="1:16" s="15" customFormat="1" ht="19.5">
      <c r="A248" s="16">
        <v>169</v>
      </c>
      <c r="B248" s="169" t="s">
        <v>261</v>
      </c>
      <c r="C248" s="133" t="str">
        <f>'МРСК 2'!C248</f>
        <v>1,6+2,5</v>
      </c>
      <c r="D248" s="133">
        <v>872</v>
      </c>
      <c r="E248" s="133">
        <v>392</v>
      </c>
      <c r="F248" s="120">
        <f t="shared" si="17"/>
        <v>0.9560585756113481</v>
      </c>
      <c r="G248" s="44">
        <v>0.7868064298244878</v>
      </c>
      <c r="H248" s="18">
        <v>45</v>
      </c>
      <c r="I248" s="44">
        <f t="shared" si="24"/>
        <v>0.16925214578686032</v>
      </c>
      <c r="J248" s="17">
        <v>0</v>
      </c>
      <c r="K248" s="43">
        <f t="shared" si="21"/>
        <v>1.6800000000000002</v>
      </c>
      <c r="L248" s="105">
        <f t="shared" si="22"/>
        <v>1.5107478542131398</v>
      </c>
      <c r="M248" s="44">
        <f t="shared" si="23"/>
        <v>1.5107478542131398</v>
      </c>
      <c r="N248" s="32"/>
      <c r="O248" s="15">
        <v>1.05</v>
      </c>
      <c r="P248" s="45">
        <v>1.6</v>
      </c>
    </row>
    <row r="249" spans="1:16" s="15" customFormat="1" ht="19.5">
      <c r="A249" s="16">
        <v>170</v>
      </c>
      <c r="B249" s="169" t="s">
        <v>262</v>
      </c>
      <c r="C249" s="133" t="str">
        <f>'МРСК 2'!C249</f>
        <v>4+4</v>
      </c>
      <c r="D249" s="133">
        <v>1796</v>
      </c>
      <c r="E249" s="133">
        <v>556</v>
      </c>
      <c r="F249" s="120">
        <f t="shared" si="17"/>
        <v>1.8800936146905025</v>
      </c>
      <c r="G249" s="44">
        <v>0</v>
      </c>
      <c r="H249" s="18"/>
      <c r="I249" s="44">
        <f t="shared" si="24"/>
        <v>1.8800936146905025</v>
      </c>
      <c r="J249" s="17">
        <v>0</v>
      </c>
      <c r="K249" s="43">
        <f t="shared" si="21"/>
        <v>4.2</v>
      </c>
      <c r="L249" s="105">
        <f t="shared" si="22"/>
        <v>2.3199063853094977</v>
      </c>
      <c r="M249" s="44">
        <f t="shared" si="23"/>
        <v>2.3199063853094977</v>
      </c>
      <c r="N249" s="32"/>
      <c r="O249" s="15">
        <v>1.05</v>
      </c>
      <c r="P249" s="45">
        <v>4</v>
      </c>
    </row>
    <row r="250" spans="1:16" s="15" customFormat="1" ht="24" customHeight="1" thickBot="1">
      <c r="A250" s="16">
        <v>171</v>
      </c>
      <c r="B250" s="179" t="s">
        <v>263</v>
      </c>
      <c r="C250" s="133" t="str">
        <f>'МРСК 2'!C250</f>
        <v>7,5+6,3</v>
      </c>
      <c r="D250" s="133">
        <v>2160</v>
      </c>
      <c r="E250" s="133">
        <v>1500</v>
      </c>
      <c r="F250" s="120">
        <f t="shared" si="17"/>
        <v>2.629752840097335</v>
      </c>
      <c r="G250" s="44">
        <v>1.3512660729848878</v>
      </c>
      <c r="H250" s="18">
        <v>20</v>
      </c>
      <c r="I250" s="44">
        <f t="shared" si="24"/>
        <v>1.2784867671124474</v>
      </c>
      <c r="J250" s="17">
        <v>0</v>
      </c>
      <c r="K250" s="43">
        <f t="shared" si="21"/>
        <v>6.615</v>
      </c>
      <c r="L250" s="105">
        <f t="shared" si="22"/>
        <v>5.336513232887553</v>
      </c>
      <c r="M250" s="44">
        <f t="shared" si="23"/>
        <v>5.336513232887553</v>
      </c>
      <c r="N250" s="32"/>
      <c r="O250" s="15">
        <v>1.05</v>
      </c>
      <c r="P250" s="45">
        <v>6.3</v>
      </c>
    </row>
    <row r="251" spans="1:16" s="194" customFormat="1" ht="19.5">
      <c r="A251" s="16">
        <v>172</v>
      </c>
      <c r="B251" s="170" t="s">
        <v>123</v>
      </c>
      <c r="C251" s="188" t="str">
        <f>'МРСК 2'!C251</f>
        <v>2,5+2,5</v>
      </c>
      <c r="D251" s="188">
        <v>0</v>
      </c>
      <c r="E251" s="188">
        <v>0</v>
      </c>
      <c r="F251" s="172">
        <f>SQRT(D251*D251+E251*E251)/1000</f>
        <v>0</v>
      </c>
      <c r="G251" s="189">
        <v>1</v>
      </c>
      <c r="H251" s="190">
        <v>80</v>
      </c>
      <c r="I251" s="173">
        <f t="shared" si="24"/>
        <v>-1</v>
      </c>
      <c r="J251" s="189">
        <v>0</v>
      </c>
      <c r="K251" s="191">
        <f t="shared" si="21"/>
        <v>2.625</v>
      </c>
      <c r="L251" s="192">
        <f t="shared" si="22"/>
        <v>3.625</v>
      </c>
      <c r="M251" s="173">
        <f t="shared" si="23"/>
        <v>3.625</v>
      </c>
      <c r="N251" s="193"/>
      <c r="O251" s="194">
        <v>1.05</v>
      </c>
      <c r="P251" s="194">
        <v>2.5</v>
      </c>
    </row>
    <row r="252" spans="1:16" s="15" customFormat="1" ht="19.5">
      <c r="A252" s="16">
        <v>173</v>
      </c>
      <c r="B252" s="169" t="s">
        <v>264</v>
      </c>
      <c r="C252" s="133" t="str">
        <f>'МРСК 2'!C252</f>
        <v>6,3+6,3</v>
      </c>
      <c r="D252" s="133">
        <v>1704</v>
      </c>
      <c r="E252" s="133">
        <v>744</v>
      </c>
      <c r="F252" s="120">
        <f t="shared" si="17"/>
        <v>1.8593418190316702</v>
      </c>
      <c r="G252" s="44">
        <v>0</v>
      </c>
      <c r="H252" s="18"/>
      <c r="I252" s="44">
        <f t="shared" si="24"/>
        <v>1.8593418190316702</v>
      </c>
      <c r="J252" s="17">
        <v>0</v>
      </c>
      <c r="K252" s="43">
        <f t="shared" si="21"/>
        <v>6.615</v>
      </c>
      <c r="L252" s="105">
        <f t="shared" si="22"/>
        <v>4.7556581809683305</v>
      </c>
      <c r="M252" s="44">
        <f t="shared" si="23"/>
        <v>4.7556581809683305</v>
      </c>
      <c r="N252" s="32"/>
      <c r="O252" s="15">
        <v>1.05</v>
      </c>
      <c r="P252" s="45">
        <v>6.3</v>
      </c>
    </row>
    <row r="253" spans="1:16" s="15" customFormat="1" ht="19.5">
      <c r="A253" s="16">
        <v>174</v>
      </c>
      <c r="B253" s="169" t="s">
        <v>265</v>
      </c>
      <c r="C253" s="133" t="str">
        <f>'МРСК 2'!C253</f>
        <v>2,5+2,5</v>
      </c>
      <c r="D253" s="133">
        <v>1668</v>
      </c>
      <c r="E253" s="133">
        <v>582</v>
      </c>
      <c r="F253" s="120">
        <f t="shared" si="17"/>
        <v>1.7666205025415052</v>
      </c>
      <c r="G253" s="44">
        <v>0.7906646371233466</v>
      </c>
      <c r="H253" s="18">
        <v>80</v>
      </c>
      <c r="I253" s="44">
        <f t="shared" si="24"/>
        <v>0.9759558654181586</v>
      </c>
      <c r="J253" s="17">
        <v>0</v>
      </c>
      <c r="K253" s="43">
        <f t="shared" si="21"/>
        <v>2.625</v>
      </c>
      <c r="L253" s="105">
        <f t="shared" si="22"/>
        <v>1.6490441345818414</v>
      </c>
      <c r="M253" s="44">
        <f t="shared" si="23"/>
        <v>1.6490441345818414</v>
      </c>
      <c r="N253" s="32"/>
      <c r="O253" s="15">
        <v>1.05</v>
      </c>
      <c r="P253" s="45">
        <v>2.5</v>
      </c>
    </row>
    <row r="254" spans="1:16" s="15" customFormat="1" ht="19.5">
      <c r="A254" s="16">
        <v>175</v>
      </c>
      <c r="B254" s="169" t="s">
        <v>266</v>
      </c>
      <c r="C254" s="133" t="str">
        <f>'МРСК 2'!C254</f>
        <v>6,3+6,3</v>
      </c>
      <c r="D254" s="133">
        <v>3376</v>
      </c>
      <c r="E254" s="133">
        <v>944</v>
      </c>
      <c r="F254" s="120">
        <f t="shared" si="17"/>
        <v>3.505497396946687</v>
      </c>
      <c r="G254" s="44">
        <v>1.03</v>
      </c>
      <c r="H254" s="18">
        <v>80</v>
      </c>
      <c r="I254" s="44">
        <f t="shared" si="24"/>
        <v>2.475497396946687</v>
      </c>
      <c r="J254" s="17">
        <v>0</v>
      </c>
      <c r="K254" s="43">
        <f t="shared" si="21"/>
        <v>4.2</v>
      </c>
      <c r="L254" s="105">
        <f t="shared" si="22"/>
        <v>1.7245026030533133</v>
      </c>
      <c r="M254" s="44">
        <f t="shared" si="23"/>
        <v>1.7245026030533133</v>
      </c>
      <c r="N254" s="32"/>
      <c r="O254" s="15">
        <v>1.05</v>
      </c>
      <c r="P254" s="45">
        <v>4</v>
      </c>
    </row>
    <row r="255" spans="1:16" s="15" customFormat="1" ht="19.5">
      <c r="A255" s="16">
        <v>176</v>
      </c>
      <c r="B255" s="169" t="s">
        <v>291</v>
      </c>
      <c r="C255" s="133" t="str">
        <f>'МРСК 2'!C255</f>
        <v>1,6+1,6</v>
      </c>
      <c r="D255" s="133">
        <v>254</v>
      </c>
      <c r="E255" s="133">
        <v>197</v>
      </c>
      <c r="F255" s="120">
        <f t="shared" si="17"/>
        <v>0.3214420632089086</v>
      </c>
      <c r="G255" s="44">
        <v>0</v>
      </c>
      <c r="H255" s="18">
        <v>0</v>
      </c>
      <c r="I255" s="44">
        <f t="shared" si="24"/>
        <v>0.3214420632089086</v>
      </c>
      <c r="J255" s="17">
        <v>0</v>
      </c>
      <c r="K255" s="43">
        <f t="shared" si="21"/>
        <v>1.6800000000000002</v>
      </c>
      <c r="L255" s="105">
        <f t="shared" si="22"/>
        <v>1.3585579367910916</v>
      </c>
      <c r="M255" s="44">
        <f t="shared" si="23"/>
        <v>1.3585579367910916</v>
      </c>
      <c r="N255" s="32"/>
      <c r="O255" s="15">
        <v>1.05</v>
      </c>
      <c r="P255" s="45">
        <v>1.6</v>
      </c>
    </row>
    <row r="256" spans="1:16" s="15" customFormat="1" ht="19.5">
      <c r="A256" s="16">
        <v>177</v>
      </c>
      <c r="B256" s="169" t="s">
        <v>267</v>
      </c>
      <c r="C256" s="133" t="str">
        <f>'МРСК 2'!C256</f>
        <v>4+4</v>
      </c>
      <c r="D256" s="133">
        <v>1440</v>
      </c>
      <c r="E256" s="133">
        <v>624</v>
      </c>
      <c r="F256" s="120">
        <f t="shared" si="17"/>
        <v>1.5693871415300942</v>
      </c>
      <c r="G256" s="44">
        <v>1.1284260177094108</v>
      </c>
      <c r="H256" s="18">
        <v>80</v>
      </c>
      <c r="I256" s="44">
        <f t="shared" si="24"/>
        <v>0.4409611238206834</v>
      </c>
      <c r="J256" s="17">
        <v>0</v>
      </c>
      <c r="K256" s="43">
        <f t="shared" si="21"/>
        <v>4.2</v>
      </c>
      <c r="L256" s="105">
        <f t="shared" si="22"/>
        <v>3.759038876179317</v>
      </c>
      <c r="M256" s="44">
        <f t="shared" si="23"/>
        <v>3.759038876179317</v>
      </c>
      <c r="N256" s="32"/>
      <c r="O256" s="15">
        <v>1.05</v>
      </c>
      <c r="P256" s="45">
        <v>4</v>
      </c>
    </row>
    <row r="257" spans="1:16" s="15" customFormat="1" ht="20.25" thickBot="1">
      <c r="A257" s="16">
        <v>178</v>
      </c>
      <c r="B257" s="170" t="s">
        <v>268</v>
      </c>
      <c r="C257" s="134" t="str">
        <f>'МРСК 2'!C257</f>
        <v>2,5+2,5</v>
      </c>
      <c r="D257" s="134">
        <v>492</v>
      </c>
      <c r="E257" s="134">
        <v>204</v>
      </c>
      <c r="F257" s="120">
        <f t="shared" si="17"/>
        <v>0.5326161845081315</v>
      </c>
      <c r="G257" s="20">
        <v>0.14647866738880444</v>
      </c>
      <c r="H257" s="22">
        <v>80</v>
      </c>
      <c r="I257" s="20">
        <f>F257-G257</f>
        <v>0.3861375171193271</v>
      </c>
      <c r="J257" s="27">
        <v>0</v>
      </c>
      <c r="K257" s="43">
        <f t="shared" si="21"/>
        <v>2.625</v>
      </c>
      <c r="L257" s="105">
        <f t="shared" si="22"/>
        <v>2.238862482880673</v>
      </c>
      <c r="M257" s="44">
        <f t="shared" si="23"/>
        <v>2.238862482880673</v>
      </c>
      <c r="N257" s="40"/>
      <c r="O257" s="15">
        <v>1.05</v>
      </c>
      <c r="P257" s="26">
        <v>2.5</v>
      </c>
    </row>
    <row r="258" spans="1:15" s="54" customFormat="1" ht="19.5">
      <c r="A258" s="50"/>
      <c r="B258" s="51" t="s">
        <v>270</v>
      </c>
      <c r="C258" s="156">
        <f>'МРСК 2'!C258</f>
        <v>3271.0999999999985</v>
      </c>
      <c r="D258" s="156"/>
      <c r="E258" s="156"/>
      <c r="F258" s="121">
        <f>SUM(F156:F257)+F153+F152+F149+F146+F143+F142+F141+F138+F137+F134+F131+F128+F127+F124+F121+F120+F119+F118+F115+F114+F113+F110+F107+F106+F103+F102+F99+F96+F93+F90+F89+F86+F85+F84+F81+F80+F77+F74+F71+F70+F67+F64+F61+F60+F57+F54+F51+F48+F47+F45+F44+F43+F42+F41+F40+F39+F38+F37+F36+F35+F34+F33+F32+F31+F30+F29++F28+F27+F26+F25+F24+F21+F18+F15+F12+F9</f>
        <v>1103.1933474238097</v>
      </c>
      <c r="G258" s="94">
        <f>SUM(G47:G257)</f>
        <v>638.6111094237863</v>
      </c>
      <c r="H258" s="94"/>
      <c r="I258" s="94" t="e">
        <f>#VALUE!</f>
        <v>#VALUE!</v>
      </c>
      <c r="J258" s="63"/>
      <c r="K258" s="63"/>
      <c r="L258" s="63"/>
      <c r="M258" s="63"/>
      <c r="N258" s="52"/>
      <c r="O258" s="53">
        <v>1.05</v>
      </c>
    </row>
    <row r="259" spans="1:15" s="54" customFormat="1" ht="20.25">
      <c r="A259" s="55"/>
      <c r="B259" s="56" t="s">
        <v>271</v>
      </c>
      <c r="C259" s="135"/>
      <c r="D259" s="135"/>
      <c r="E259" s="135"/>
      <c r="F259" s="122"/>
      <c r="G259" s="64"/>
      <c r="H259" s="64"/>
      <c r="I259" s="64"/>
      <c r="J259" s="64"/>
      <c r="K259" s="64"/>
      <c r="L259" s="65"/>
      <c r="M259" s="66">
        <f>M226+M152+M41+M39+M38+M33+M32+M31+M30+M29+M27+M26+M25+M24+M15+M12+M74</f>
        <v>-21.345280074531225</v>
      </c>
      <c r="N259" s="58"/>
      <c r="O259" s="53">
        <v>1.05</v>
      </c>
    </row>
    <row r="260" spans="1:15" s="54" customFormat="1" ht="20.25" thickBot="1">
      <c r="A260" s="59"/>
      <c r="B260" s="60" t="s">
        <v>272</v>
      </c>
      <c r="C260" s="157"/>
      <c r="D260" s="157"/>
      <c r="E260" s="157"/>
      <c r="F260" s="123"/>
      <c r="G260" s="67"/>
      <c r="H260" s="67"/>
      <c r="I260" s="67"/>
      <c r="J260" s="67"/>
      <c r="K260" s="67"/>
      <c r="L260" s="67"/>
      <c r="M260" s="68">
        <f>SUM(M9:M257)</f>
        <v>940.6518551163197</v>
      </c>
      <c r="N260" s="62"/>
      <c r="O260" s="53">
        <v>1.05</v>
      </c>
    </row>
    <row r="261" spans="3:11" ht="15.75">
      <c r="C261" s="137"/>
      <c r="D261" s="137"/>
      <c r="E261" s="137"/>
      <c r="F261" s="124"/>
      <c r="G261" s="5"/>
      <c r="H261" s="5"/>
      <c r="I261" s="5"/>
      <c r="J261" s="5"/>
      <c r="K261" s="5"/>
    </row>
    <row r="262" spans="3:11" ht="20.25">
      <c r="C262" s="360"/>
      <c r="D262" s="360"/>
      <c r="E262" s="360"/>
      <c r="F262" s="360"/>
      <c r="G262" s="360"/>
      <c r="H262" s="360"/>
      <c r="I262" s="360"/>
      <c r="J262" s="360"/>
      <c r="K262" s="360"/>
    </row>
  </sheetData>
  <sheetProtection/>
  <mergeCells count="48">
    <mergeCell ref="M146:M148"/>
    <mergeCell ref="M96:M98"/>
    <mergeCell ref="M153:M155"/>
    <mergeCell ref="M134:M136"/>
    <mergeCell ref="M138:M140"/>
    <mergeCell ref="M121:M123"/>
    <mergeCell ref="M124:M126"/>
    <mergeCell ref="M128:M130"/>
    <mergeCell ref="M143:M145"/>
    <mergeCell ref="M149:M151"/>
    <mergeCell ref="M131:M133"/>
    <mergeCell ref="M9:M11"/>
    <mergeCell ref="M12:M14"/>
    <mergeCell ref="M15:M17"/>
    <mergeCell ref="M71:M73"/>
    <mergeCell ref="M99:M101"/>
    <mergeCell ref="M103:M105"/>
    <mergeCell ref="M107:M109"/>
    <mergeCell ref="M110:M112"/>
    <mergeCell ref="M57:M59"/>
    <mergeCell ref="M86:M88"/>
    <mergeCell ref="M90:M92"/>
    <mergeCell ref="M93:M95"/>
    <mergeCell ref="M74:M76"/>
    <mergeCell ref="M77:M79"/>
    <mergeCell ref="M81:M83"/>
    <mergeCell ref="L7:M7"/>
    <mergeCell ref="M115:M117"/>
    <mergeCell ref="M18:M20"/>
    <mergeCell ref="M61:M63"/>
    <mergeCell ref="M64:M66"/>
    <mergeCell ref="M67:M69"/>
    <mergeCell ref="M21:M23"/>
    <mergeCell ref="M48:M50"/>
    <mergeCell ref="M51:M53"/>
    <mergeCell ref="M54:M56"/>
    <mergeCell ref="A2:N2"/>
    <mergeCell ref="L5:M6"/>
    <mergeCell ref="N4:N6"/>
    <mergeCell ref="C4:M4"/>
    <mergeCell ref="A4:A6"/>
    <mergeCell ref="B4:B6"/>
    <mergeCell ref="C5:C6"/>
    <mergeCell ref="G5:H5"/>
    <mergeCell ref="C262:K262"/>
    <mergeCell ref="I5:I6"/>
    <mergeCell ref="J5:J6"/>
    <mergeCell ref="K5:K6"/>
  </mergeCells>
  <conditionalFormatting sqref="M260 M9:M257">
    <cfRule type="cellIs" priority="2" dxfId="0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49" r:id="rId1"/>
  <rowBreaks count="1" manualBreakCount="1">
    <brk id="22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T262"/>
  <sheetViews>
    <sheetView view="pageBreakPreview" zoomScaleNormal="70" zoomScaleSheetLayoutView="100" zoomScalePageLayoutView="0" workbookViewId="0" topLeftCell="F1">
      <pane ySplit="7" topLeftCell="BM26" activePane="bottomLeft" state="frozen"/>
      <selection pane="topLeft" activeCell="A1" sqref="A1"/>
      <selection pane="bottomLeft" activeCell="Q17" sqref="Q17"/>
    </sheetView>
  </sheetViews>
  <sheetFormatPr defaultColWidth="9.140625" defaultRowHeight="15"/>
  <cols>
    <col min="1" max="1" width="9.140625" style="1" customWidth="1"/>
    <col min="2" max="2" width="43.28125" style="5" customWidth="1"/>
    <col min="3" max="3" width="23.140625" style="1" customWidth="1"/>
    <col min="4" max="4" width="21.57421875" style="125" customWidth="1"/>
    <col min="5" max="5" width="19.00390625" style="1" customWidth="1"/>
    <col min="6" max="6" width="12.421875" style="7" customWidth="1"/>
    <col min="7" max="7" width="11.00390625" style="7" customWidth="1"/>
    <col min="8" max="8" width="16.421875" style="1" customWidth="1"/>
    <col min="9" max="9" width="19.140625" style="1" customWidth="1"/>
    <col min="10" max="10" width="16.00390625" style="1" customWidth="1"/>
    <col min="11" max="12" width="13.00390625" style="1" customWidth="1"/>
    <col min="13" max="13" width="18.8515625" style="1" customWidth="1"/>
    <col min="14" max="14" width="9.140625" style="1" customWidth="1"/>
    <col min="15" max="15" width="26.00390625" style="1" hidden="1" customWidth="1"/>
    <col min="16" max="16" width="9.140625" style="1" hidden="1" customWidth="1"/>
    <col min="17" max="17" width="9.140625" style="223" customWidth="1"/>
    <col min="18" max="19" width="9.140625" style="1" customWidth="1"/>
    <col min="20" max="20" width="13.00390625" style="1" bestFit="1" customWidth="1"/>
    <col min="21" max="16384" width="9.140625" style="1" customWidth="1"/>
  </cols>
  <sheetData>
    <row r="2" spans="1:13" ht="25.5" customHeight="1">
      <c r="A2" s="388" t="s">
        <v>295</v>
      </c>
      <c r="B2" s="388"/>
      <c r="C2" s="388"/>
      <c r="D2" s="388"/>
      <c r="E2" s="388"/>
      <c r="F2" s="388"/>
      <c r="G2" s="388"/>
      <c r="H2" s="388"/>
      <c r="I2" s="388"/>
      <c r="J2" s="388"/>
      <c r="K2" s="389"/>
      <c r="L2" s="389"/>
      <c r="M2" s="389"/>
    </row>
    <row r="3" ht="30" customHeight="1" thickBot="1">
      <c r="M3" s="38" t="s">
        <v>280</v>
      </c>
    </row>
    <row r="4" spans="1:17" s="8" customFormat="1" ht="20.25" customHeight="1" thickBot="1">
      <c r="A4" s="363" t="s">
        <v>69</v>
      </c>
      <c r="B4" s="364" t="s">
        <v>0</v>
      </c>
      <c r="C4" s="385" t="s">
        <v>279</v>
      </c>
      <c r="D4" s="386"/>
      <c r="E4" s="386"/>
      <c r="F4" s="386"/>
      <c r="G4" s="386"/>
      <c r="H4" s="386"/>
      <c r="I4" s="386"/>
      <c r="J4" s="386"/>
      <c r="K4" s="386"/>
      <c r="L4" s="387"/>
      <c r="M4" s="376" t="s">
        <v>2</v>
      </c>
      <c r="N4" s="376" t="s">
        <v>2</v>
      </c>
      <c r="Q4" s="223"/>
    </row>
    <row r="5" spans="1:17" s="8" customFormat="1" ht="98.25" customHeight="1" thickBot="1">
      <c r="A5" s="361"/>
      <c r="B5" s="362"/>
      <c r="C5" s="362" t="s">
        <v>11</v>
      </c>
      <c r="D5" s="379" t="s">
        <v>276</v>
      </c>
      <c r="E5" s="381" t="s">
        <v>277</v>
      </c>
      <c r="F5" s="383" t="s">
        <v>10</v>
      </c>
      <c r="G5" s="366"/>
      <c r="H5" s="361" t="s">
        <v>3</v>
      </c>
      <c r="I5" s="361" t="s">
        <v>7</v>
      </c>
      <c r="J5" s="362" t="s">
        <v>8</v>
      </c>
      <c r="K5" s="162" t="s">
        <v>95</v>
      </c>
      <c r="L5" s="130"/>
      <c r="M5" s="377"/>
      <c r="N5" s="377"/>
      <c r="Q5" s="223"/>
    </row>
    <row r="6" spans="1:17" s="8" customFormat="1" ht="23.25" customHeight="1" thickBot="1">
      <c r="A6" s="361"/>
      <c r="B6" s="365"/>
      <c r="C6" s="362"/>
      <c r="D6" s="380"/>
      <c r="E6" s="382"/>
      <c r="F6" s="24" t="s">
        <v>81</v>
      </c>
      <c r="G6" s="48" t="s">
        <v>278</v>
      </c>
      <c r="H6" s="361"/>
      <c r="I6" s="361"/>
      <c r="J6" s="362"/>
      <c r="K6" s="358"/>
      <c r="L6" s="384"/>
      <c r="M6" s="378"/>
      <c r="N6" s="378"/>
      <c r="Q6" s="223"/>
    </row>
    <row r="7" spans="1:17" s="7" customFormat="1" ht="20.25" thickBot="1">
      <c r="A7" s="106">
        <v>1</v>
      </c>
      <c r="B7" s="9">
        <v>2</v>
      </c>
      <c r="C7" s="106">
        <v>3</v>
      </c>
      <c r="D7" s="117">
        <v>4</v>
      </c>
      <c r="E7" s="106">
        <v>5</v>
      </c>
      <c r="F7" s="106">
        <v>6</v>
      </c>
      <c r="G7" s="9">
        <v>7</v>
      </c>
      <c r="H7" s="106">
        <v>8</v>
      </c>
      <c r="I7" s="9">
        <v>9</v>
      </c>
      <c r="J7" s="106">
        <v>10</v>
      </c>
      <c r="K7" s="106">
        <v>11</v>
      </c>
      <c r="L7" s="69">
        <v>12</v>
      </c>
      <c r="M7" s="106">
        <v>13</v>
      </c>
      <c r="Q7" s="223"/>
    </row>
    <row r="8" spans="1:17" s="15" customFormat="1" ht="20.25" thickBot="1">
      <c r="A8" s="30" t="s">
        <v>5</v>
      </c>
      <c r="B8" s="107"/>
      <c r="C8" s="107"/>
      <c r="D8" s="118"/>
      <c r="E8" s="107"/>
      <c r="F8" s="107"/>
      <c r="G8" s="107"/>
      <c r="H8" s="107"/>
      <c r="I8" s="107"/>
      <c r="J8" s="107"/>
      <c r="K8" s="107"/>
      <c r="L8" s="107"/>
      <c r="M8" s="108"/>
      <c r="Q8" s="223"/>
    </row>
    <row r="9" spans="1:18" s="15" customFormat="1" ht="19.5">
      <c r="A9" s="11">
        <f>МРСК!A9</f>
        <v>1</v>
      </c>
      <c r="B9" s="4" t="s">
        <v>96</v>
      </c>
      <c r="C9" s="12">
        <v>6.3</v>
      </c>
      <c r="D9" s="126">
        <f>D10+D11</f>
        <v>0</v>
      </c>
      <c r="E9" s="98">
        <f>D9+МРСК!F9</f>
        <v>0.32073197533142844</v>
      </c>
      <c r="F9" s="35">
        <v>1.457</v>
      </c>
      <c r="G9" s="13">
        <v>45</v>
      </c>
      <c r="H9" s="14">
        <f>E9-F9</f>
        <v>-1.1362680246685717</v>
      </c>
      <c r="I9" s="14">
        <v>0</v>
      </c>
      <c r="J9" s="14">
        <f>F9</f>
        <v>1.457</v>
      </c>
      <c r="K9" s="104">
        <f aca="true" t="shared" si="0" ref="K9:K45">J9-E9</f>
        <v>1.1362680246685717</v>
      </c>
      <c r="L9" s="373">
        <f>MIN(K9:K11)</f>
        <v>0.20864676685113365</v>
      </c>
      <c r="M9" s="39"/>
      <c r="Q9" s="223"/>
      <c r="R9" s="15">
        <v>6.3</v>
      </c>
    </row>
    <row r="10" spans="1:18" s="15" customFormat="1" ht="19.5">
      <c r="A10" s="16">
        <f>МРСК!A10</f>
        <v>0</v>
      </c>
      <c r="B10" s="2" t="s">
        <v>92</v>
      </c>
      <c r="C10" s="10">
        <v>6.3</v>
      </c>
      <c r="D10" s="127">
        <f aca="true" t="shared" si="1" ref="D10:D45">Q10</f>
        <v>0</v>
      </c>
      <c r="E10" s="99">
        <f>D10+МРСК!F10</f>
        <v>0.048373546489791294</v>
      </c>
      <c r="F10" s="31">
        <v>0.958</v>
      </c>
      <c r="G10" s="45"/>
      <c r="H10" s="17">
        <f aca="true" t="shared" si="2" ref="H10:H69">E10-F10</f>
        <v>-0.9096264535102087</v>
      </c>
      <c r="I10" s="17">
        <v>0</v>
      </c>
      <c r="J10" s="17">
        <f aca="true" t="shared" si="3" ref="J10:J45">F10</f>
        <v>0.958</v>
      </c>
      <c r="K10" s="44">
        <f t="shared" si="0"/>
        <v>0.9096264535102087</v>
      </c>
      <c r="L10" s="371"/>
      <c r="M10" s="32"/>
      <c r="Q10" s="223"/>
      <c r="R10" s="15">
        <v>0</v>
      </c>
    </row>
    <row r="11" spans="1:18" s="15" customFormat="1" ht="20.25" thickBot="1">
      <c r="A11" s="72">
        <f>МРСК!A11</f>
        <v>0</v>
      </c>
      <c r="B11" s="73" t="s">
        <v>93</v>
      </c>
      <c r="C11" s="74">
        <v>6.3</v>
      </c>
      <c r="D11" s="128">
        <f>Q11</f>
        <v>0</v>
      </c>
      <c r="E11" s="100">
        <f>D11+МРСК!F11</f>
        <v>0.29035323314886646</v>
      </c>
      <c r="F11" s="76">
        <v>0.4990000000000001</v>
      </c>
      <c r="G11" s="77"/>
      <c r="H11" s="78">
        <f t="shared" si="2"/>
        <v>-0.20864676685113365</v>
      </c>
      <c r="I11" s="78">
        <v>0</v>
      </c>
      <c r="J11" s="78">
        <f t="shared" si="3"/>
        <v>0.4990000000000001</v>
      </c>
      <c r="K11" s="75">
        <f t="shared" si="0"/>
        <v>0.20864676685113365</v>
      </c>
      <c r="L11" s="372"/>
      <c r="M11" s="80"/>
      <c r="Q11" s="223"/>
      <c r="R11" s="15">
        <v>0</v>
      </c>
    </row>
    <row r="12" spans="1:18" s="15" customFormat="1" ht="20.25" thickTop="1">
      <c r="A12" s="81">
        <f>МРСК!A12</f>
        <v>2</v>
      </c>
      <c r="B12" s="82" t="s">
        <v>97</v>
      </c>
      <c r="C12" s="83">
        <v>6.3</v>
      </c>
      <c r="D12" s="129">
        <f>D13+D14</f>
        <v>0</v>
      </c>
      <c r="E12" s="101">
        <f>D12+МРСК!F12</f>
        <v>0.40990974616371345</v>
      </c>
      <c r="F12" s="84">
        <v>0.39</v>
      </c>
      <c r="G12" s="85">
        <v>20</v>
      </c>
      <c r="H12" s="86">
        <f t="shared" si="2"/>
        <v>0.019909746163713438</v>
      </c>
      <c r="I12" s="86">
        <v>0</v>
      </c>
      <c r="J12" s="86">
        <f t="shared" si="3"/>
        <v>0.39</v>
      </c>
      <c r="K12" s="103">
        <f t="shared" si="0"/>
        <v>-0.019909746163713438</v>
      </c>
      <c r="L12" s="370">
        <f>MIN(K12:K14)</f>
        <v>-0.019909746163713438</v>
      </c>
      <c r="M12" s="87"/>
      <c r="Q12" s="223"/>
      <c r="R12" s="15">
        <v>6.3</v>
      </c>
    </row>
    <row r="13" spans="1:18" s="15" customFormat="1" ht="19.5">
      <c r="A13" s="16">
        <f>МРСК!A13</f>
        <v>0</v>
      </c>
      <c r="B13" s="2" t="s">
        <v>92</v>
      </c>
      <c r="C13" s="10">
        <v>6.3</v>
      </c>
      <c r="D13" s="127">
        <f t="shared" si="1"/>
        <v>0</v>
      </c>
      <c r="E13" s="99">
        <f>D13+МРСК!F13</f>
        <v>0</v>
      </c>
      <c r="F13" s="31">
        <v>0</v>
      </c>
      <c r="G13" s="45"/>
      <c r="H13" s="17">
        <f t="shared" si="2"/>
        <v>0</v>
      </c>
      <c r="I13" s="17">
        <v>0</v>
      </c>
      <c r="J13" s="17">
        <f t="shared" si="3"/>
        <v>0</v>
      </c>
      <c r="K13" s="44">
        <f t="shared" si="0"/>
        <v>0</v>
      </c>
      <c r="L13" s="371"/>
      <c r="M13" s="32"/>
      <c r="Q13" s="223"/>
      <c r="R13" s="15">
        <v>0</v>
      </c>
    </row>
    <row r="14" spans="1:18" s="15" customFormat="1" ht="20.25" thickBot="1">
      <c r="A14" s="72">
        <f>МРСК!A14</f>
        <v>0</v>
      </c>
      <c r="B14" s="73" t="s">
        <v>93</v>
      </c>
      <c r="C14" s="74">
        <v>6.3</v>
      </c>
      <c r="D14" s="128">
        <f t="shared" si="1"/>
        <v>0</v>
      </c>
      <c r="E14" s="100">
        <f>D14+МРСК!F14</f>
        <v>0.40990974616371345</v>
      </c>
      <c r="F14" s="76">
        <v>0.39</v>
      </c>
      <c r="G14" s="77"/>
      <c r="H14" s="78">
        <f t="shared" si="2"/>
        <v>0.019909746163713438</v>
      </c>
      <c r="I14" s="78">
        <v>0</v>
      </c>
      <c r="J14" s="78">
        <f t="shared" si="3"/>
        <v>0.39</v>
      </c>
      <c r="K14" s="75">
        <f t="shared" si="0"/>
        <v>-0.019909746163713438</v>
      </c>
      <c r="L14" s="372"/>
      <c r="M14" s="80"/>
      <c r="Q14" s="223"/>
      <c r="R14" s="15">
        <v>0</v>
      </c>
    </row>
    <row r="15" spans="1:18" s="15" customFormat="1" ht="20.25" thickTop="1">
      <c r="A15" s="81">
        <f>МРСК!A15</f>
        <v>3</v>
      </c>
      <c r="B15" s="82" t="s">
        <v>98</v>
      </c>
      <c r="C15" s="83">
        <v>16</v>
      </c>
      <c r="D15" s="129">
        <f>D16+D17</f>
        <v>0.1</v>
      </c>
      <c r="E15" s="101">
        <f>D15+МРСК!F15</f>
        <v>14.746601005011367</v>
      </c>
      <c r="F15" s="84">
        <v>11.607</v>
      </c>
      <c r="G15" s="85">
        <v>120</v>
      </c>
      <c r="H15" s="86">
        <f t="shared" si="2"/>
        <v>3.139601005011368</v>
      </c>
      <c r="I15" s="86">
        <v>0</v>
      </c>
      <c r="J15" s="86">
        <f t="shared" si="3"/>
        <v>11.607</v>
      </c>
      <c r="K15" s="103">
        <f t="shared" si="0"/>
        <v>-3.139601005011368</v>
      </c>
      <c r="L15" s="370">
        <f>MIN(K15:K17)</f>
        <v>-3.139601005011368</v>
      </c>
      <c r="M15" s="87"/>
      <c r="Q15" s="223"/>
      <c r="R15" s="15">
        <v>16</v>
      </c>
    </row>
    <row r="16" spans="1:18" s="15" customFormat="1" ht="19.5">
      <c r="A16" s="16">
        <f>МРСК!A16</f>
        <v>0</v>
      </c>
      <c r="B16" s="2" t="s">
        <v>92</v>
      </c>
      <c r="C16" s="10">
        <v>16</v>
      </c>
      <c r="D16" s="127">
        <f t="shared" si="1"/>
        <v>0</v>
      </c>
      <c r="E16" s="99">
        <f>D16+МРСК!F16</f>
        <v>9.144500041008255</v>
      </c>
      <c r="F16" s="31">
        <v>8.606</v>
      </c>
      <c r="G16" s="45"/>
      <c r="H16" s="17">
        <f t="shared" si="2"/>
        <v>0.5385000410082554</v>
      </c>
      <c r="I16" s="17">
        <v>0</v>
      </c>
      <c r="J16" s="17">
        <f t="shared" si="3"/>
        <v>8.606</v>
      </c>
      <c r="K16" s="44">
        <f t="shared" si="0"/>
        <v>-0.5385000410082554</v>
      </c>
      <c r="L16" s="371"/>
      <c r="M16" s="32"/>
      <c r="Q16" s="223"/>
      <c r="R16" s="15">
        <v>0</v>
      </c>
    </row>
    <row r="17" spans="1:18" s="15" customFormat="1" ht="20.25" thickBot="1">
      <c r="A17" s="72">
        <f>МРСК!A17</f>
        <v>0</v>
      </c>
      <c r="B17" s="73" t="s">
        <v>93</v>
      </c>
      <c r="C17" s="74">
        <v>16</v>
      </c>
      <c r="D17" s="128">
        <f t="shared" si="1"/>
        <v>0.1</v>
      </c>
      <c r="E17" s="100">
        <f>D17+МРСК!F17</f>
        <v>5.60268607136551</v>
      </c>
      <c r="F17" s="76">
        <v>3.0009999999999994</v>
      </c>
      <c r="G17" s="77"/>
      <c r="H17" s="78">
        <f t="shared" si="2"/>
        <v>2.6016860713655108</v>
      </c>
      <c r="I17" s="78">
        <v>0</v>
      </c>
      <c r="J17" s="78">
        <f t="shared" si="3"/>
        <v>3.0009999999999994</v>
      </c>
      <c r="K17" s="75">
        <f t="shared" si="0"/>
        <v>-2.6016860713655108</v>
      </c>
      <c r="L17" s="372"/>
      <c r="M17" s="80"/>
      <c r="Q17" s="223">
        <v>0.1</v>
      </c>
      <c r="R17" s="15">
        <v>0</v>
      </c>
    </row>
    <row r="18" spans="1:18" s="15" customFormat="1" ht="20.25" thickTop="1">
      <c r="A18" s="81">
        <f>МРСК!A18</f>
        <v>4</v>
      </c>
      <c r="B18" s="82" t="s">
        <v>99</v>
      </c>
      <c r="C18" s="83">
        <v>16</v>
      </c>
      <c r="D18" s="129">
        <f>D19+D20</f>
        <v>0.1</v>
      </c>
      <c r="E18" s="101">
        <f>D18+МРСК!F18</f>
        <v>2.5016379827109665</v>
      </c>
      <c r="F18" s="84">
        <v>3.44</v>
      </c>
      <c r="G18" s="85">
        <v>120</v>
      </c>
      <c r="H18" s="86">
        <f t="shared" si="2"/>
        <v>-0.9383620172890335</v>
      </c>
      <c r="I18" s="86">
        <v>0</v>
      </c>
      <c r="J18" s="86">
        <f t="shared" si="3"/>
        <v>3.44</v>
      </c>
      <c r="K18" s="103">
        <f t="shared" si="0"/>
        <v>0.9383620172890335</v>
      </c>
      <c r="L18" s="370">
        <f>MIN(K18:K20)</f>
        <v>0.9383620172890335</v>
      </c>
      <c r="M18" s="87"/>
      <c r="Q18" s="223"/>
      <c r="R18" s="15">
        <v>16</v>
      </c>
    </row>
    <row r="19" spans="1:18" s="15" customFormat="1" ht="19.5">
      <c r="A19" s="16">
        <f>МРСК!A19</f>
        <v>0</v>
      </c>
      <c r="B19" s="2" t="s">
        <v>92</v>
      </c>
      <c r="C19" s="10">
        <v>16</v>
      </c>
      <c r="D19" s="127">
        <f t="shared" si="1"/>
        <v>0</v>
      </c>
      <c r="E19" s="99">
        <f>D19+МРСК!F19</f>
        <v>0.03405877273185281</v>
      </c>
      <c r="F19" s="31">
        <v>4</v>
      </c>
      <c r="G19" s="45"/>
      <c r="H19" s="17">
        <f t="shared" si="2"/>
        <v>-3.9659412272681474</v>
      </c>
      <c r="I19" s="17">
        <v>0</v>
      </c>
      <c r="J19" s="17">
        <f t="shared" si="3"/>
        <v>4</v>
      </c>
      <c r="K19" s="44">
        <f t="shared" si="0"/>
        <v>3.9659412272681474</v>
      </c>
      <c r="L19" s="371"/>
      <c r="M19" s="32"/>
      <c r="Q19" s="223"/>
      <c r="R19" s="15">
        <v>0</v>
      </c>
    </row>
    <row r="20" spans="1:18" s="15" customFormat="1" ht="20.25" thickBot="1">
      <c r="A20" s="72">
        <f>МРСК!A20</f>
        <v>0</v>
      </c>
      <c r="B20" s="73" t="s">
        <v>93</v>
      </c>
      <c r="C20" s="74">
        <v>16</v>
      </c>
      <c r="D20" s="128">
        <f t="shared" si="1"/>
        <v>0.1</v>
      </c>
      <c r="E20" s="100">
        <f>D20+МРСК!F20</f>
        <v>2.4860186503881314</v>
      </c>
      <c r="F20" s="76">
        <v>3.44</v>
      </c>
      <c r="G20" s="77"/>
      <c r="H20" s="78">
        <f t="shared" si="2"/>
        <v>-0.9539813496118685</v>
      </c>
      <c r="I20" s="78">
        <v>0</v>
      </c>
      <c r="J20" s="78">
        <f t="shared" si="3"/>
        <v>3.44</v>
      </c>
      <c r="K20" s="75">
        <f t="shared" si="0"/>
        <v>0.9539813496118685</v>
      </c>
      <c r="L20" s="372"/>
      <c r="M20" s="80"/>
      <c r="Q20" s="223">
        <f>0.1</f>
        <v>0.1</v>
      </c>
      <c r="R20" s="15">
        <v>0</v>
      </c>
    </row>
    <row r="21" spans="1:18" s="15" customFormat="1" ht="20.25" thickTop="1">
      <c r="A21" s="81">
        <f>МРСК!A21</f>
        <v>5</v>
      </c>
      <c r="B21" s="82" t="s">
        <v>100</v>
      </c>
      <c r="C21" s="83">
        <v>10</v>
      </c>
      <c r="D21" s="129">
        <f>D22+D23</f>
        <v>0.3</v>
      </c>
      <c r="E21" s="101">
        <f>D21+МРСК!F21</f>
        <v>1.3413822545060003</v>
      </c>
      <c r="F21" s="84">
        <v>1.78</v>
      </c>
      <c r="G21" s="85">
        <v>45</v>
      </c>
      <c r="H21" s="86">
        <f t="shared" si="2"/>
        <v>-0.4386177454939997</v>
      </c>
      <c r="I21" s="86">
        <v>0</v>
      </c>
      <c r="J21" s="86">
        <f t="shared" si="3"/>
        <v>1.78</v>
      </c>
      <c r="K21" s="103">
        <f t="shared" si="0"/>
        <v>0.4386177454939997</v>
      </c>
      <c r="L21" s="370">
        <f>K21</f>
        <v>0.4386177454939997</v>
      </c>
      <c r="M21" s="87"/>
      <c r="Q21" s="223"/>
      <c r="R21" s="15">
        <v>10</v>
      </c>
    </row>
    <row r="22" spans="1:18" s="15" customFormat="1" ht="19.5">
      <c r="A22" s="16">
        <f>МРСК!A22</f>
        <v>0</v>
      </c>
      <c r="B22" s="2" t="s">
        <v>92</v>
      </c>
      <c r="C22" s="10">
        <v>10</v>
      </c>
      <c r="D22" s="127">
        <f t="shared" si="1"/>
        <v>0</v>
      </c>
      <c r="E22" s="99">
        <f>D22+МРСК!F22</f>
        <v>0</v>
      </c>
      <c r="F22" s="31">
        <v>0</v>
      </c>
      <c r="G22" s="45"/>
      <c r="H22" s="17">
        <f t="shared" si="2"/>
        <v>0</v>
      </c>
      <c r="I22" s="17">
        <v>0</v>
      </c>
      <c r="J22" s="17">
        <f t="shared" si="3"/>
        <v>0</v>
      </c>
      <c r="K22" s="44">
        <f t="shared" si="0"/>
        <v>0</v>
      </c>
      <c r="L22" s="371"/>
      <c r="M22" s="32"/>
      <c r="Q22" s="223"/>
      <c r="R22" s="15">
        <v>0</v>
      </c>
    </row>
    <row r="23" spans="1:18" s="15" customFormat="1" ht="20.25" thickBot="1">
      <c r="A23" s="72">
        <f>МРСК!A23</f>
        <v>0</v>
      </c>
      <c r="B23" s="73" t="s">
        <v>93</v>
      </c>
      <c r="C23" s="74">
        <v>10</v>
      </c>
      <c r="D23" s="128">
        <f t="shared" si="1"/>
        <v>0.3</v>
      </c>
      <c r="E23" s="100">
        <f>D23+МРСК!F23</f>
        <v>1.3413822545060003</v>
      </c>
      <c r="F23" s="76">
        <v>1.78</v>
      </c>
      <c r="G23" s="77"/>
      <c r="H23" s="78">
        <f t="shared" si="2"/>
        <v>-0.4386177454939997</v>
      </c>
      <c r="I23" s="78">
        <v>0</v>
      </c>
      <c r="J23" s="78">
        <f t="shared" si="3"/>
        <v>1.78</v>
      </c>
      <c r="K23" s="75">
        <f t="shared" si="0"/>
        <v>0.4386177454939997</v>
      </c>
      <c r="L23" s="372"/>
      <c r="M23" s="80"/>
      <c r="Q23" s="223">
        <f>0.3</f>
        <v>0.3</v>
      </c>
      <c r="R23" s="15">
        <v>0</v>
      </c>
    </row>
    <row r="24" spans="1:18" s="15" customFormat="1" ht="20.25" thickTop="1">
      <c r="A24" s="16">
        <f>МРСК!A24</f>
        <v>6</v>
      </c>
      <c r="B24" s="2" t="s">
        <v>101</v>
      </c>
      <c r="C24" s="10">
        <v>1.6</v>
      </c>
      <c r="D24" s="127">
        <f t="shared" si="1"/>
        <v>0.33</v>
      </c>
      <c r="E24" s="99">
        <f>D24+МРСК!F24</f>
        <v>1.165224520712844</v>
      </c>
      <c r="F24" s="17">
        <v>0.6464</v>
      </c>
      <c r="G24" s="18">
        <v>45</v>
      </c>
      <c r="H24" s="17">
        <f t="shared" si="2"/>
        <v>0.518824520712844</v>
      </c>
      <c r="I24" s="17">
        <v>0</v>
      </c>
      <c r="J24" s="17">
        <f t="shared" si="3"/>
        <v>0.6464</v>
      </c>
      <c r="K24" s="44">
        <f t="shared" si="0"/>
        <v>-0.518824520712844</v>
      </c>
      <c r="L24" s="44">
        <f>K24</f>
        <v>-0.518824520712844</v>
      </c>
      <c r="M24" s="32"/>
      <c r="Q24" s="223">
        <f>0.33</f>
        <v>0.33</v>
      </c>
      <c r="R24" s="15">
        <v>1.6</v>
      </c>
    </row>
    <row r="25" spans="1:18" s="15" customFormat="1" ht="19.5">
      <c r="A25" s="16">
        <f>МРСК!A25</f>
        <v>7</v>
      </c>
      <c r="B25" s="2" t="s">
        <v>102</v>
      </c>
      <c r="C25" s="10">
        <v>1.6</v>
      </c>
      <c r="D25" s="127">
        <f t="shared" si="1"/>
        <v>0</v>
      </c>
      <c r="E25" s="99">
        <f>D25+МРСК!F25</f>
        <v>0.8076831061746927</v>
      </c>
      <c r="F25" s="17">
        <v>0.6835</v>
      </c>
      <c r="G25" s="18">
        <v>45</v>
      </c>
      <c r="H25" s="17">
        <f t="shared" si="2"/>
        <v>0.12418310617469275</v>
      </c>
      <c r="I25" s="17">
        <v>0</v>
      </c>
      <c r="J25" s="17">
        <f t="shared" si="3"/>
        <v>0.6835</v>
      </c>
      <c r="K25" s="44">
        <f t="shared" si="0"/>
        <v>-0.12418310617469275</v>
      </c>
      <c r="L25" s="44">
        <f aca="true" t="shared" si="4" ref="L25:L45">K25</f>
        <v>-0.12418310617469275</v>
      </c>
      <c r="M25" s="32"/>
      <c r="Q25" s="223"/>
      <c r="R25" s="15">
        <v>1.6</v>
      </c>
    </row>
    <row r="26" spans="1:18" s="15" customFormat="1" ht="19.5">
      <c r="A26" s="16">
        <f>МРСК!A26</f>
        <v>8</v>
      </c>
      <c r="B26" s="2" t="s">
        <v>103</v>
      </c>
      <c r="C26" s="10">
        <v>1.6</v>
      </c>
      <c r="D26" s="127">
        <f t="shared" si="1"/>
        <v>0</v>
      </c>
      <c r="E26" s="99">
        <f>D26+МРСК!F26</f>
        <v>0.8590692637965811</v>
      </c>
      <c r="F26" s="17">
        <v>0</v>
      </c>
      <c r="G26" s="18">
        <v>20</v>
      </c>
      <c r="H26" s="17">
        <f t="shared" si="2"/>
        <v>0.8590692637965811</v>
      </c>
      <c r="I26" s="17">
        <v>0</v>
      </c>
      <c r="J26" s="17">
        <f t="shared" si="3"/>
        <v>0</v>
      </c>
      <c r="K26" s="44">
        <f t="shared" si="0"/>
        <v>-0.8590692637965811</v>
      </c>
      <c r="L26" s="44">
        <f t="shared" si="4"/>
        <v>-0.8590692637965811</v>
      </c>
      <c r="M26" s="32"/>
      <c r="Q26" s="223"/>
      <c r="R26" s="15">
        <v>1.6</v>
      </c>
    </row>
    <row r="27" spans="1:18" s="15" customFormat="1" ht="19.5">
      <c r="A27" s="16">
        <f>МРСК!A27</f>
        <v>9</v>
      </c>
      <c r="B27" s="2" t="s">
        <v>104</v>
      </c>
      <c r="C27" s="10">
        <v>4</v>
      </c>
      <c r="D27" s="127">
        <f t="shared" si="1"/>
        <v>1.21</v>
      </c>
      <c r="E27" s="99">
        <f>D27+МРСК!F27</f>
        <v>4.420313380341552</v>
      </c>
      <c r="F27" s="17">
        <v>2.64</v>
      </c>
      <c r="G27" s="18">
        <v>80</v>
      </c>
      <c r="H27" s="17">
        <f t="shared" si="2"/>
        <v>1.780313380341552</v>
      </c>
      <c r="I27" s="17">
        <v>0</v>
      </c>
      <c r="J27" s="17">
        <f t="shared" si="3"/>
        <v>2.64</v>
      </c>
      <c r="K27" s="44">
        <f t="shared" si="0"/>
        <v>-1.780313380341552</v>
      </c>
      <c r="L27" s="44">
        <f t="shared" si="4"/>
        <v>-1.780313380341552</v>
      </c>
      <c r="M27" s="32"/>
      <c r="Q27" s="223">
        <f>0.09+0.12+1</f>
        <v>1.21</v>
      </c>
      <c r="R27" s="15">
        <v>4</v>
      </c>
    </row>
    <row r="28" spans="1:18" s="15" customFormat="1" ht="19.5">
      <c r="A28" s="16">
        <f>МРСК!A28</f>
        <v>10</v>
      </c>
      <c r="B28" s="2" t="s">
        <v>105</v>
      </c>
      <c r="C28" s="10">
        <v>1.6</v>
      </c>
      <c r="D28" s="127">
        <f t="shared" si="1"/>
        <v>0</v>
      </c>
      <c r="E28" s="99">
        <f>D28+МРСК!F28</f>
        <v>0.7594445338535264</v>
      </c>
      <c r="F28" s="17">
        <v>1.05</v>
      </c>
      <c r="G28" s="18">
        <v>80</v>
      </c>
      <c r="H28" s="17">
        <f t="shared" si="2"/>
        <v>-0.29055546614647365</v>
      </c>
      <c r="I28" s="17">
        <v>0</v>
      </c>
      <c r="J28" s="17">
        <f t="shared" si="3"/>
        <v>1.05</v>
      </c>
      <c r="K28" s="44">
        <f t="shared" si="0"/>
        <v>0.29055546614647365</v>
      </c>
      <c r="L28" s="44">
        <f t="shared" si="4"/>
        <v>0.29055546614647365</v>
      </c>
      <c r="M28" s="32"/>
      <c r="Q28" s="223"/>
      <c r="R28" s="15">
        <v>1.6</v>
      </c>
    </row>
    <row r="29" spans="1:18" s="15" customFormat="1" ht="19.5">
      <c r="A29" s="16">
        <f>МРСК!A29</f>
        <v>11</v>
      </c>
      <c r="B29" s="2" t="s">
        <v>106</v>
      </c>
      <c r="C29" s="10">
        <v>1.6</v>
      </c>
      <c r="D29" s="127">
        <f t="shared" si="1"/>
        <v>0.19</v>
      </c>
      <c r="E29" s="99">
        <f>D29+МРСК!F29</f>
        <v>0.2136008474424119</v>
      </c>
      <c r="F29" s="17">
        <v>0</v>
      </c>
      <c r="G29" s="18"/>
      <c r="H29" s="17">
        <f t="shared" si="2"/>
        <v>0.2136008474424119</v>
      </c>
      <c r="I29" s="17">
        <v>0</v>
      </c>
      <c r="J29" s="17">
        <f t="shared" si="3"/>
        <v>0</v>
      </c>
      <c r="K29" s="44">
        <f t="shared" si="0"/>
        <v>-0.2136008474424119</v>
      </c>
      <c r="L29" s="44">
        <f t="shared" si="4"/>
        <v>-0.2136008474424119</v>
      </c>
      <c r="M29" s="32"/>
      <c r="Q29" s="223">
        <v>0.19</v>
      </c>
      <c r="R29" s="15">
        <v>1.6</v>
      </c>
    </row>
    <row r="30" spans="1:18" s="15" customFormat="1" ht="19.5">
      <c r="A30" s="16">
        <f>МРСК!A30</f>
        <v>12</v>
      </c>
      <c r="B30" s="2" t="s">
        <v>107</v>
      </c>
      <c r="C30" s="10">
        <v>2.5</v>
      </c>
      <c r="D30" s="127">
        <f t="shared" si="1"/>
        <v>0</v>
      </c>
      <c r="E30" s="99">
        <f>D30+МРСК!F30</f>
        <v>0.34985711369071804</v>
      </c>
      <c r="F30" s="17">
        <v>0</v>
      </c>
      <c r="G30" s="18"/>
      <c r="H30" s="17">
        <f t="shared" si="2"/>
        <v>0.34985711369071804</v>
      </c>
      <c r="I30" s="17">
        <v>0</v>
      </c>
      <c r="J30" s="17">
        <f t="shared" si="3"/>
        <v>0</v>
      </c>
      <c r="K30" s="44">
        <f t="shared" si="0"/>
        <v>-0.34985711369071804</v>
      </c>
      <c r="L30" s="44">
        <f t="shared" si="4"/>
        <v>-0.34985711369071804</v>
      </c>
      <c r="M30" s="32"/>
      <c r="Q30" s="223"/>
      <c r="R30" s="15">
        <v>2.5</v>
      </c>
    </row>
    <row r="31" spans="1:18" s="15" customFormat="1" ht="19.5">
      <c r="A31" s="16">
        <f>МРСК!A31</f>
        <v>13</v>
      </c>
      <c r="B31" s="2" t="s">
        <v>108</v>
      </c>
      <c r="C31" s="10">
        <v>2.5</v>
      </c>
      <c r="D31" s="127">
        <f t="shared" si="1"/>
        <v>0</v>
      </c>
      <c r="E31" s="99">
        <f>D31+МРСК!F31</f>
        <v>0.95696185921906</v>
      </c>
      <c r="F31" s="17">
        <v>0.541</v>
      </c>
      <c r="G31" s="18">
        <v>45</v>
      </c>
      <c r="H31" s="17">
        <f t="shared" si="2"/>
        <v>0.4159618592190599</v>
      </c>
      <c r="I31" s="17">
        <v>0</v>
      </c>
      <c r="J31" s="17">
        <f t="shared" si="3"/>
        <v>0.541</v>
      </c>
      <c r="K31" s="44">
        <f t="shared" si="0"/>
        <v>-0.4159618592190599</v>
      </c>
      <c r="L31" s="44">
        <f t="shared" si="4"/>
        <v>-0.4159618592190599</v>
      </c>
      <c r="M31" s="32"/>
      <c r="Q31" s="223"/>
      <c r="R31" s="15">
        <v>2.5</v>
      </c>
    </row>
    <row r="32" spans="1:18" s="15" customFormat="1" ht="19.5">
      <c r="A32" s="16">
        <f>МРСК!A32</f>
        <v>14</v>
      </c>
      <c r="B32" s="2" t="s">
        <v>109</v>
      </c>
      <c r="C32" s="10">
        <v>2.5</v>
      </c>
      <c r="D32" s="127">
        <f t="shared" si="1"/>
        <v>0.08</v>
      </c>
      <c r="E32" s="99">
        <f>D32+МРСК!F32</f>
        <v>1.7599238077960562</v>
      </c>
      <c r="F32" s="17">
        <v>1.6626</v>
      </c>
      <c r="G32" s="18">
        <v>45</v>
      </c>
      <c r="H32" s="17">
        <f t="shared" si="2"/>
        <v>0.0973238077960561</v>
      </c>
      <c r="I32" s="17">
        <v>0</v>
      </c>
      <c r="J32" s="17">
        <f t="shared" si="3"/>
        <v>1.6626</v>
      </c>
      <c r="K32" s="44">
        <f t="shared" si="0"/>
        <v>-0.0973238077960561</v>
      </c>
      <c r="L32" s="44">
        <f t="shared" si="4"/>
        <v>-0.0973238077960561</v>
      </c>
      <c r="M32" s="32"/>
      <c r="Q32" s="223">
        <f>0.08</f>
        <v>0.08</v>
      </c>
      <c r="R32" s="15">
        <v>2.5</v>
      </c>
    </row>
    <row r="33" spans="1:18" s="15" customFormat="1" ht="19.5">
      <c r="A33" s="16">
        <f>МРСК!A33</f>
        <v>15</v>
      </c>
      <c r="B33" s="2" t="s">
        <v>110</v>
      </c>
      <c r="C33" s="10">
        <v>2.5</v>
      </c>
      <c r="D33" s="127">
        <f t="shared" si="1"/>
        <v>0</v>
      </c>
      <c r="E33" s="99">
        <f>D33+МРСК!F33</f>
        <v>1.6357457015074195</v>
      </c>
      <c r="F33" s="17">
        <v>1.55</v>
      </c>
      <c r="G33" s="18">
        <v>45</v>
      </c>
      <c r="H33" s="17">
        <f t="shared" si="2"/>
        <v>0.08574570150741945</v>
      </c>
      <c r="I33" s="17">
        <v>0</v>
      </c>
      <c r="J33" s="17">
        <f t="shared" si="3"/>
        <v>1.55</v>
      </c>
      <c r="K33" s="44">
        <f t="shared" si="0"/>
        <v>-0.08574570150741945</v>
      </c>
      <c r="L33" s="44">
        <f t="shared" si="4"/>
        <v>-0.08574570150741945</v>
      </c>
      <c r="M33" s="32"/>
      <c r="Q33" s="223"/>
      <c r="R33" s="15">
        <v>2.5</v>
      </c>
    </row>
    <row r="34" spans="1:18" s="15" customFormat="1" ht="19.5">
      <c r="A34" s="16">
        <f>МРСК!A34</f>
        <v>16</v>
      </c>
      <c r="B34" s="2" t="s">
        <v>111</v>
      </c>
      <c r="C34" s="10">
        <v>1.6</v>
      </c>
      <c r="D34" s="127">
        <f t="shared" si="1"/>
        <v>0</v>
      </c>
      <c r="E34" s="99">
        <f>D34+МРСК!F34</f>
        <v>0.3529305880764658</v>
      </c>
      <c r="F34" s="17">
        <v>0.4101</v>
      </c>
      <c r="G34" s="18">
        <v>80</v>
      </c>
      <c r="H34" s="17">
        <f t="shared" si="2"/>
        <v>-0.0571694119235342</v>
      </c>
      <c r="I34" s="17">
        <v>0</v>
      </c>
      <c r="J34" s="17">
        <f t="shared" si="3"/>
        <v>0.4101</v>
      </c>
      <c r="K34" s="44">
        <f t="shared" si="0"/>
        <v>0.0571694119235342</v>
      </c>
      <c r="L34" s="44">
        <f t="shared" si="4"/>
        <v>0.0571694119235342</v>
      </c>
      <c r="M34" s="32"/>
      <c r="Q34" s="223"/>
      <c r="R34" s="15">
        <v>1.6</v>
      </c>
    </row>
    <row r="35" spans="1:18" s="15" customFormat="1" ht="19.5">
      <c r="A35" s="16">
        <f>МРСК!A35</f>
        <v>17</v>
      </c>
      <c r="B35" s="2" t="s">
        <v>112</v>
      </c>
      <c r="C35" s="10">
        <v>2.5</v>
      </c>
      <c r="D35" s="127">
        <f t="shared" si="1"/>
        <v>0</v>
      </c>
      <c r="E35" s="99">
        <f>D35+МРСК!F35</f>
        <v>0.3363807366660582</v>
      </c>
      <c r="F35" s="17">
        <v>0.407</v>
      </c>
      <c r="G35" s="18">
        <v>20</v>
      </c>
      <c r="H35" s="17">
        <f t="shared" si="2"/>
        <v>-0.07061926333394175</v>
      </c>
      <c r="I35" s="17">
        <v>0</v>
      </c>
      <c r="J35" s="17">
        <f t="shared" si="3"/>
        <v>0.407</v>
      </c>
      <c r="K35" s="44">
        <f t="shared" si="0"/>
        <v>0.07061926333394175</v>
      </c>
      <c r="L35" s="44">
        <f t="shared" si="4"/>
        <v>0.07061926333394175</v>
      </c>
      <c r="M35" s="32"/>
      <c r="Q35" s="223"/>
      <c r="R35" s="15">
        <v>2.5</v>
      </c>
    </row>
    <row r="36" spans="1:18" s="15" customFormat="1" ht="19.5">
      <c r="A36" s="16">
        <f>МРСК!A36</f>
        <v>18</v>
      </c>
      <c r="B36" s="2" t="s">
        <v>113</v>
      </c>
      <c r="C36" s="10">
        <v>2.5</v>
      </c>
      <c r="D36" s="127">
        <f t="shared" si="1"/>
        <v>0.35</v>
      </c>
      <c r="E36" s="99">
        <f>D36+МРСК!F36</f>
        <v>1.6595403773843707</v>
      </c>
      <c r="F36" s="17">
        <v>1.38</v>
      </c>
      <c r="G36" s="18">
        <v>120</v>
      </c>
      <c r="H36" s="17">
        <f t="shared" si="2"/>
        <v>0.27954037738437076</v>
      </c>
      <c r="I36" s="17">
        <v>0</v>
      </c>
      <c r="J36" s="17">
        <f t="shared" si="3"/>
        <v>1.38</v>
      </c>
      <c r="K36" s="44">
        <f t="shared" si="0"/>
        <v>-0.27954037738437076</v>
      </c>
      <c r="L36" s="44">
        <f t="shared" si="4"/>
        <v>-0.27954037738437076</v>
      </c>
      <c r="M36" s="32"/>
      <c r="Q36" s="223">
        <f>0.19+0.16</f>
        <v>0.35</v>
      </c>
      <c r="R36" s="15">
        <v>2.5</v>
      </c>
    </row>
    <row r="37" spans="1:18" s="15" customFormat="1" ht="19.5">
      <c r="A37" s="16">
        <f>МРСК!A37</f>
        <v>19</v>
      </c>
      <c r="B37" s="2" t="s">
        <v>114</v>
      </c>
      <c r="C37" s="10">
        <v>2.5</v>
      </c>
      <c r="D37" s="127">
        <f t="shared" si="1"/>
        <v>0.8800000000000001</v>
      </c>
      <c r="E37" s="99">
        <f>D37+МРСК!F37</f>
        <v>1.8349534020045168</v>
      </c>
      <c r="F37" s="17">
        <v>1.54</v>
      </c>
      <c r="G37" s="18">
        <v>45</v>
      </c>
      <c r="H37" s="17">
        <f t="shared" si="2"/>
        <v>0.2949534020045168</v>
      </c>
      <c r="I37" s="17">
        <v>0</v>
      </c>
      <c r="J37" s="17">
        <f t="shared" si="3"/>
        <v>1.54</v>
      </c>
      <c r="K37" s="44">
        <f t="shared" si="0"/>
        <v>-0.2949534020045168</v>
      </c>
      <c r="L37" s="44">
        <f t="shared" si="4"/>
        <v>-0.2949534020045168</v>
      </c>
      <c r="M37" s="32"/>
      <c r="Q37" s="223">
        <f>0.4+0.03+0.45</f>
        <v>0.8800000000000001</v>
      </c>
      <c r="R37" s="15">
        <v>2.5</v>
      </c>
    </row>
    <row r="38" spans="1:18" s="15" customFormat="1" ht="19.5">
      <c r="A38" s="16">
        <f>МРСК!A38</f>
        <v>20</v>
      </c>
      <c r="B38" s="2" t="s">
        <v>115</v>
      </c>
      <c r="C38" s="10">
        <v>2.5</v>
      </c>
      <c r="D38" s="127">
        <f t="shared" si="1"/>
        <v>0.19</v>
      </c>
      <c r="E38" s="99">
        <f>D38+МРСК!F38</f>
        <v>0.9064356216716196</v>
      </c>
      <c r="F38" s="17">
        <v>0.6647</v>
      </c>
      <c r="G38" s="18">
        <v>45</v>
      </c>
      <c r="H38" s="17">
        <f t="shared" si="2"/>
        <v>0.24173562167161966</v>
      </c>
      <c r="I38" s="17">
        <v>0</v>
      </c>
      <c r="J38" s="17">
        <f t="shared" si="3"/>
        <v>0.6647</v>
      </c>
      <c r="K38" s="44">
        <f t="shared" si="0"/>
        <v>-0.24173562167161966</v>
      </c>
      <c r="L38" s="44">
        <f t="shared" si="4"/>
        <v>-0.24173562167161966</v>
      </c>
      <c r="M38" s="32"/>
      <c r="Q38" s="223">
        <v>0.19</v>
      </c>
      <c r="R38" s="15">
        <v>2.5</v>
      </c>
    </row>
    <row r="39" spans="1:18" s="15" customFormat="1" ht="19.5">
      <c r="A39" s="16">
        <f>МРСК!A39</f>
        <v>21</v>
      </c>
      <c r="B39" s="2" t="s">
        <v>116</v>
      </c>
      <c r="C39" s="10">
        <v>4</v>
      </c>
      <c r="D39" s="127">
        <f t="shared" si="1"/>
        <v>0.13</v>
      </c>
      <c r="E39" s="99">
        <f>D39+МРСК!F39</f>
        <v>1.7132725602371814</v>
      </c>
      <c r="F39" s="17">
        <v>0.78</v>
      </c>
      <c r="G39" s="18">
        <v>120</v>
      </c>
      <c r="H39" s="17">
        <f t="shared" si="2"/>
        <v>0.9332725602371814</v>
      </c>
      <c r="I39" s="17">
        <v>0</v>
      </c>
      <c r="J39" s="17">
        <f t="shared" si="3"/>
        <v>0.78</v>
      </c>
      <c r="K39" s="44">
        <f t="shared" si="0"/>
        <v>-0.9332725602371814</v>
      </c>
      <c r="L39" s="44">
        <f t="shared" si="4"/>
        <v>-0.9332725602371814</v>
      </c>
      <c r="M39" s="32"/>
      <c r="Q39" s="223">
        <f>0.1+0.03</f>
        <v>0.13</v>
      </c>
      <c r="R39" s="15">
        <v>4</v>
      </c>
    </row>
    <row r="40" spans="1:18" s="15" customFormat="1" ht="19.5">
      <c r="A40" s="16">
        <f>МРСК!A40</f>
        <v>22</v>
      </c>
      <c r="B40" s="2" t="s">
        <v>117</v>
      </c>
      <c r="C40" s="10">
        <v>4</v>
      </c>
      <c r="D40" s="127">
        <f t="shared" si="1"/>
        <v>0</v>
      </c>
      <c r="E40" s="99">
        <f>D40+МРСК!F40</f>
        <v>0.6387112023442206</v>
      </c>
      <c r="F40" s="17">
        <v>0.722</v>
      </c>
      <c r="G40" s="18">
        <v>45</v>
      </c>
      <c r="H40" s="17">
        <f t="shared" si="2"/>
        <v>-0.08328879765577935</v>
      </c>
      <c r="I40" s="17">
        <v>0</v>
      </c>
      <c r="J40" s="17">
        <f t="shared" si="3"/>
        <v>0.722</v>
      </c>
      <c r="K40" s="44">
        <f t="shared" si="0"/>
        <v>0.08328879765577935</v>
      </c>
      <c r="L40" s="44">
        <f t="shared" si="4"/>
        <v>0.08328879765577935</v>
      </c>
      <c r="M40" s="32"/>
      <c r="Q40" s="223"/>
      <c r="R40" s="15">
        <v>4</v>
      </c>
    </row>
    <row r="41" spans="1:18" s="15" customFormat="1" ht="19.5">
      <c r="A41" s="16">
        <f>МРСК!A41</f>
        <v>23</v>
      </c>
      <c r="B41" s="2" t="s">
        <v>118</v>
      </c>
      <c r="C41" s="10">
        <v>4</v>
      </c>
      <c r="D41" s="127">
        <f t="shared" si="1"/>
        <v>0.08</v>
      </c>
      <c r="E41" s="99">
        <f>D41+МРСК!F41</f>
        <v>2.582339105716889</v>
      </c>
      <c r="F41" s="17">
        <v>1.84</v>
      </c>
      <c r="G41" s="18">
        <v>80</v>
      </c>
      <c r="H41" s="17">
        <f t="shared" si="2"/>
        <v>0.7423391057168891</v>
      </c>
      <c r="I41" s="17">
        <v>0</v>
      </c>
      <c r="J41" s="17">
        <f t="shared" si="3"/>
        <v>1.84</v>
      </c>
      <c r="K41" s="44">
        <f t="shared" si="0"/>
        <v>-0.7423391057168891</v>
      </c>
      <c r="L41" s="44">
        <f t="shared" si="4"/>
        <v>-0.7423391057168891</v>
      </c>
      <c r="M41" s="32"/>
      <c r="Q41" s="223">
        <f>0.02+0.06</f>
        <v>0.08</v>
      </c>
      <c r="R41" s="15">
        <v>4</v>
      </c>
    </row>
    <row r="42" spans="1:18" s="15" customFormat="1" ht="19.5">
      <c r="A42" s="16">
        <f>МРСК!A42</f>
        <v>24</v>
      </c>
      <c r="B42" s="2" t="s">
        <v>119</v>
      </c>
      <c r="C42" s="10">
        <v>2.5</v>
      </c>
      <c r="D42" s="127">
        <f t="shared" si="1"/>
        <v>0</v>
      </c>
      <c r="E42" s="99">
        <f>D42+МРСК!F42</f>
        <v>0.14166156853571826</v>
      </c>
      <c r="F42" s="17">
        <v>1.676</v>
      </c>
      <c r="G42" s="18">
        <v>80</v>
      </c>
      <c r="H42" s="17">
        <f t="shared" si="2"/>
        <v>-1.5343384314642816</v>
      </c>
      <c r="I42" s="17">
        <v>0</v>
      </c>
      <c r="J42" s="17">
        <f t="shared" si="3"/>
        <v>1.676</v>
      </c>
      <c r="K42" s="44">
        <f t="shared" si="0"/>
        <v>1.5343384314642816</v>
      </c>
      <c r="L42" s="44">
        <f t="shared" si="4"/>
        <v>1.5343384314642816</v>
      </c>
      <c r="M42" s="32"/>
      <c r="Q42" s="223"/>
      <c r="R42" s="15">
        <v>2.5</v>
      </c>
    </row>
    <row r="43" spans="1:18" s="15" customFormat="1" ht="19.5">
      <c r="A43" s="16">
        <f>МРСК!A43</f>
        <v>25</v>
      </c>
      <c r="B43" s="2" t="s">
        <v>120</v>
      </c>
      <c r="C43" s="10">
        <v>2.5</v>
      </c>
      <c r="D43" s="127">
        <f t="shared" si="1"/>
        <v>0.02</v>
      </c>
      <c r="E43" s="99">
        <f>D43+МРСК!F43</f>
        <v>0.5715360369005819</v>
      </c>
      <c r="F43" s="17">
        <v>0.6872</v>
      </c>
      <c r="G43" s="18">
        <v>45</v>
      </c>
      <c r="H43" s="17">
        <f t="shared" si="2"/>
        <v>-0.11566396309941818</v>
      </c>
      <c r="I43" s="17">
        <v>0</v>
      </c>
      <c r="J43" s="17">
        <f t="shared" si="3"/>
        <v>0.6872</v>
      </c>
      <c r="K43" s="44">
        <f t="shared" si="0"/>
        <v>0.11566396309941818</v>
      </c>
      <c r="L43" s="44">
        <f t="shared" si="4"/>
        <v>0.11566396309941818</v>
      </c>
      <c r="M43" s="32"/>
      <c r="Q43" s="223">
        <f>0.02</f>
        <v>0.02</v>
      </c>
      <c r="R43" s="15">
        <v>2.5</v>
      </c>
    </row>
    <row r="44" spans="1:18" s="15" customFormat="1" ht="19.5">
      <c r="A44" s="16">
        <f>МРСК!A44</f>
        <v>26</v>
      </c>
      <c r="B44" s="2" t="s">
        <v>121</v>
      </c>
      <c r="C44" s="10">
        <v>2.5</v>
      </c>
      <c r="D44" s="127">
        <f t="shared" si="1"/>
        <v>0</v>
      </c>
      <c r="E44" s="99">
        <f>D44+МРСК!F44</f>
        <v>0.59965323312728</v>
      </c>
      <c r="F44" s="17">
        <v>0.7238</v>
      </c>
      <c r="G44" s="18">
        <v>120</v>
      </c>
      <c r="H44" s="17">
        <f t="shared" si="2"/>
        <v>-0.12414676687271997</v>
      </c>
      <c r="I44" s="17">
        <v>0</v>
      </c>
      <c r="J44" s="17">
        <f t="shared" si="3"/>
        <v>0.7238</v>
      </c>
      <c r="K44" s="44">
        <f t="shared" si="0"/>
        <v>0.12414676687271997</v>
      </c>
      <c r="L44" s="44">
        <f t="shared" si="4"/>
        <v>0.12414676687271997</v>
      </c>
      <c r="M44" s="32"/>
      <c r="Q44" s="223"/>
      <c r="R44" s="15">
        <v>2.5</v>
      </c>
    </row>
    <row r="45" spans="1:18" s="15" customFormat="1" ht="20.25" thickBot="1">
      <c r="A45" s="16">
        <f>МРСК!A45</f>
        <v>27</v>
      </c>
      <c r="B45" s="2" t="s">
        <v>122</v>
      </c>
      <c r="C45" s="10">
        <v>2.5</v>
      </c>
      <c r="D45" s="127">
        <f t="shared" si="1"/>
        <v>0</v>
      </c>
      <c r="E45" s="99">
        <f>D45+МРСК!F45</f>
        <v>0.6003332407921453</v>
      </c>
      <c r="F45" s="17">
        <v>0.6797</v>
      </c>
      <c r="G45" s="18">
        <v>120</v>
      </c>
      <c r="H45" s="17">
        <f t="shared" si="2"/>
        <v>-0.07936675920785463</v>
      </c>
      <c r="I45" s="17">
        <v>0</v>
      </c>
      <c r="J45" s="17">
        <f t="shared" si="3"/>
        <v>0.6797</v>
      </c>
      <c r="K45" s="44">
        <f t="shared" si="0"/>
        <v>0.07936675920785463</v>
      </c>
      <c r="L45" s="44">
        <f t="shared" si="4"/>
        <v>0.07936675920785463</v>
      </c>
      <c r="M45" s="32"/>
      <c r="Q45" s="223"/>
      <c r="R45" s="15">
        <v>2.5</v>
      </c>
    </row>
    <row r="46" spans="1:18" s="15" customFormat="1" ht="21" thickBot="1">
      <c r="A46" s="30" t="s">
        <v>6</v>
      </c>
      <c r="B46" s="107"/>
      <c r="C46" s="107"/>
      <c r="D46" s="118"/>
      <c r="E46" s="113"/>
      <c r="F46" s="107"/>
      <c r="G46" s="107"/>
      <c r="H46" s="107"/>
      <c r="I46" s="107"/>
      <c r="J46" s="107"/>
      <c r="K46" s="107"/>
      <c r="L46" s="107"/>
      <c r="M46" s="108"/>
      <c r="Q46" s="223"/>
      <c r="R46" s="114">
        <f>SUM(R9:R45)</f>
        <v>110.19999999999999</v>
      </c>
    </row>
    <row r="47" spans="1:20" s="15" customFormat="1" ht="20.25" thickBot="1">
      <c r="A47" s="36">
        <f>МРСК!A47</f>
        <v>28</v>
      </c>
      <c r="B47" s="34" t="s">
        <v>124</v>
      </c>
      <c r="C47" s="28" t="s">
        <v>61</v>
      </c>
      <c r="D47" s="132">
        <f aca="true" t="shared" si="5" ref="D47:D109">Q47</f>
        <v>0.72</v>
      </c>
      <c r="E47" s="29">
        <f>D47+МРСК!F47</f>
        <v>13.076457785304006</v>
      </c>
      <c r="F47" s="105">
        <v>3.561</v>
      </c>
      <c r="G47" s="41">
        <v>45</v>
      </c>
      <c r="H47" s="44">
        <f t="shared" si="2"/>
        <v>9.515457785304006</v>
      </c>
      <c r="I47" s="29">
        <v>0</v>
      </c>
      <c r="J47" s="43">
        <f>МРСК!K47</f>
        <v>16.8</v>
      </c>
      <c r="K47" s="105">
        <f>J47-I47-H47</f>
        <v>7.284542214695994</v>
      </c>
      <c r="L47" s="105">
        <f>K47</f>
        <v>7.284542214695994</v>
      </c>
      <c r="M47" s="42"/>
      <c r="N47" s="15">
        <v>1.05</v>
      </c>
      <c r="O47" s="28">
        <v>16</v>
      </c>
      <c r="Q47" s="223">
        <f>0.6+0.02+0.1</f>
        <v>0.72</v>
      </c>
      <c r="R47" s="15" t="s">
        <v>61</v>
      </c>
      <c r="T47" s="15">
        <f>16+16</f>
        <v>32</v>
      </c>
    </row>
    <row r="48" spans="1:20" s="15" customFormat="1" ht="20.25" thickTop="1">
      <c r="A48" s="81">
        <f>МРСК!A48</f>
        <v>29</v>
      </c>
      <c r="B48" s="82" t="s">
        <v>125</v>
      </c>
      <c r="C48" s="83" t="s">
        <v>66</v>
      </c>
      <c r="D48" s="129">
        <f>D49+D50</f>
        <v>0</v>
      </c>
      <c r="E48" s="101">
        <f>D48+МРСК!F48</f>
        <v>8.834385151214542</v>
      </c>
      <c r="F48" s="84">
        <v>8.95</v>
      </c>
      <c r="G48" s="85">
        <v>120</v>
      </c>
      <c r="H48" s="86">
        <f t="shared" si="2"/>
        <v>-0.11561484878545691</v>
      </c>
      <c r="I48" s="86">
        <v>0</v>
      </c>
      <c r="J48" s="86">
        <f>МРСК!K48</f>
        <v>10.5</v>
      </c>
      <c r="K48" s="103">
        <f aca="true" t="shared" si="6" ref="K48:K105">J48-I48-H48</f>
        <v>10.615614848785457</v>
      </c>
      <c r="L48" s="370">
        <f>MIN(K48:K50)</f>
        <v>10.391611999901599</v>
      </c>
      <c r="M48" s="87"/>
      <c r="N48" s="15">
        <v>1.05</v>
      </c>
      <c r="O48" s="45">
        <v>10</v>
      </c>
      <c r="Q48" s="223"/>
      <c r="R48" s="15" t="s">
        <v>66</v>
      </c>
      <c r="T48" s="15">
        <v>26</v>
      </c>
    </row>
    <row r="49" spans="1:18" s="15" customFormat="1" ht="19.5">
      <c r="A49" s="16">
        <f>МРСК!A49</f>
        <v>0</v>
      </c>
      <c r="B49" s="2" t="s">
        <v>92</v>
      </c>
      <c r="C49" s="10" t="s">
        <v>66</v>
      </c>
      <c r="D49" s="127">
        <f t="shared" si="5"/>
        <v>0</v>
      </c>
      <c r="E49" s="99">
        <f>D49+МРСК!F49</f>
        <v>7.3983880000984</v>
      </c>
      <c r="F49" s="31">
        <v>7.29</v>
      </c>
      <c r="G49" s="45"/>
      <c r="H49" s="17">
        <f t="shared" si="2"/>
        <v>0.1083880000984001</v>
      </c>
      <c r="I49" s="17">
        <v>0</v>
      </c>
      <c r="J49" s="17">
        <f>МРСК!K49</f>
        <v>10.5</v>
      </c>
      <c r="K49" s="44">
        <f t="shared" si="6"/>
        <v>10.391611999901599</v>
      </c>
      <c r="L49" s="371"/>
      <c r="M49" s="32"/>
      <c r="N49" s="15">
        <v>1.05</v>
      </c>
      <c r="O49" s="45">
        <v>10</v>
      </c>
      <c r="Q49" s="223"/>
      <c r="R49" s="15">
        <v>0</v>
      </c>
    </row>
    <row r="50" spans="1:18" s="15" customFormat="1" ht="20.25" thickBot="1">
      <c r="A50" s="72">
        <f>МРСК!A50</f>
        <v>0</v>
      </c>
      <c r="B50" s="73" t="s">
        <v>93</v>
      </c>
      <c r="C50" s="74" t="s">
        <v>66</v>
      </c>
      <c r="D50" s="128">
        <f t="shared" si="5"/>
        <v>0</v>
      </c>
      <c r="E50" s="100">
        <f>D50+МРСК!F50</f>
        <v>1.4360055710198343</v>
      </c>
      <c r="F50" s="76">
        <v>1.6599999999999993</v>
      </c>
      <c r="G50" s="77"/>
      <c r="H50" s="78">
        <f t="shared" si="2"/>
        <v>-0.22399442898016497</v>
      </c>
      <c r="I50" s="78">
        <v>0</v>
      </c>
      <c r="J50" s="78">
        <f>МРСК!K50</f>
        <v>10.5</v>
      </c>
      <c r="K50" s="75">
        <f t="shared" si="6"/>
        <v>10.723994428980165</v>
      </c>
      <c r="L50" s="372"/>
      <c r="M50" s="80"/>
      <c r="N50" s="15">
        <v>1.05</v>
      </c>
      <c r="O50" s="45">
        <v>10</v>
      </c>
      <c r="Q50" s="223"/>
      <c r="R50" s="15">
        <v>0</v>
      </c>
    </row>
    <row r="51" spans="1:20" s="15" customFormat="1" ht="20.25" thickTop="1">
      <c r="A51" s="81">
        <f>МРСК!A51</f>
        <v>30</v>
      </c>
      <c r="B51" s="82" t="s">
        <v>126</v>
      </c>
      <c r="C51" s="83" t="s">
        <v>4</v>
      </c>
      <c r="D51" s="129">
        <f>D52+D53</f>
        <v>13.06</v>
      </c>
      <c r="E51" s="101">
        <f>D51+МРСК!F51</f>
        <v>21.573897873477225</v>
      </c>
      <c r="F51" s="84">
        <v>8.37</v>
      </c>
      <c r="G51" s="85">
        <v>80</v>
      </c>
      <c r="H51" s="86">
        <f t="shared" si="2"/>
        <v>13.203897873477226</v>
      </c>
      <c r="I51" s="86">
        <v>0</v>
      </c>
      <c r="J51" s="86">
        <f>МРСК!K51</f>
        <v>26.25</v>
      </c>
      <c r="K51" s="103">
        <f t="shared" si="6"/>
        <v>13.046102126522774</v>
      </c>
      <c r="L51" s="370">
        <f>MIN(K51:K53)</f>
        <v>13.046102126522774</v>
      </c>
      <c r="M51" s="87"/>
      <c r="N51" s="15">
        <v>1.05</v>
      </c>
      <c r="O51" s="45">
        <v>16</v>
      </c>
      <c r="Q51" s="223"/>
      <c r="R51" s="15" t="s">
        <v>4</v>
      </c>
      <c r="T51" s="15">
        <v>50</v>
      </c>
    </row>
    <row r="52" spans="1:18" s="15" customFormat="1" ht="19.5">
      <c r="A52" s="16">
        <f>МРСК!A52</f>
        <v>0</v>
      </c>
      <c r="B52" s="2" t="s">
        <v>92</v>
      </c>
      <c r="C52" s="10" t="s">
        <v>4</v>
      </c>
      <c r="D52" s="127">
        <f t="shared" si="5"/>
        <v>0</v>
      </c>
      <c r="E52" s="99">
        <f>D52+МРСК!F52</f>
        <v>7.78214526978262</v>
      </c>
      <c r="F52" s="31">
        <v>6.697</v>
      </c>
      <c r="G52" s="45"/>
      <c r="H52" s="17">
        <f t="shared" si="2"/>
        <v>1.08514526978262</v>
      </c>
      <c r="I52" s="17">
        <v>0</v>
      </c>
      <c r="J52" s="17">
        <f>МРСК!K52</f>
        <v>26.25</v>
      </c>
      <c r="K52" s="44">
        <f t="shared" si="6"/>
        <v>25.164854730217378</v>
      </c>
      <c r="L52" s="371"/>
      <c r="M52" s="32"/>
      <c r="N52" s="15">
        <v>1.05</v>
      </c>
      <c r="O52" s="45">
        <v>16</v>
      </c>
      <c r="Q52" s="223"/>
      <c r="R52" s="15">
        <v>0</v>
      </c>
    </row>
    <row r="53" spans="1:18" s="15" customFormat="1" ht="20.25" thickBot="1">
      <c r="A53" s="72">
        <f>МРСК!A53</f>
        <v>0</v>
      </c>
      <c r="B53" s="73" t="s">
        <v>93</v>
      </c>
      <c r="C53" s="74" t="s">
        <v>4</v>
      </c>
      <c r="D53" s="128">
        <f t="shared" si="5"/>
        <v>13.06</v>
      </c>
      <c r="E53" s="100">
        <f>D53+МРСК!F53</f>
        <v>14.03771365951387</v>
      </c>
      <c r="F53" s="76">
        <v>1.6729999999999992</v>
      </c>
      <c r="G53" s="77"/>
      <c r="H53" s="78">
        <f t="shared" si="2"/>
        <v>12.364713659513871</v>
      </c>
      <c r="I53" s="78">
        <v>0</v>
      </c>
      <c r="J53" s="78">
        <f>МРСК!K53</f>
        <v>26.25</v>
      </c>
      <c r="K53" s="75">
        <f t="shared" si="6"/>
        <v>13.885286340486129</v>
      </c>
      <c r="L53" s="372"/>
      <c r="M53" s="80"/>
      <c r="N53" s="15">
        <v>1.05</v>
      </c>
      <c r="O53" s="45">
        <v>16</v>
      </c>
      <c r="Q53" s="223">
        <f>11.83+0.1+0.23+0.9</f>
        <v>13.06</v>
      </c>
      <c r="R53" s="15">
        <v>0</v>
      </c>
    </row>
    <row r="54" spans="1:20" s="15" customFormat="1" ht="21" thickBot="1" thickTop="1">
      <c r="A54" s="81">
        <f>МРСК!A54</f>
        <v>31</v>
      </c>
      <c r="B54" s="82" t="s">
        <v>127</v>
      </c>
      <c r="C54" s="83" t="s">
        <v>284</v>
      </c>
      <c r="D54" s="129">
        <f>D55+D56</f>
        <v>0.54</v>
      </c>
      <c r="E54" s="101">
        <f>D54+МРСК!F54</f>
        <v>44.650485068745276</v>
      </c>
      <c r="F54" s="84">
        <f>F55+F56</f>
        <v>5.322</v>
      </c>
      <c r="G54" s="85">
        <v>120</v>
      </c>
      <c r="H54" s="86">
        <f>E54-F54</f>
        <v>39.32848506874527</v>
      </c>
      <c r="I54" s="86">
        <v>0</v>
      </c>
      <c r="J54" s="86">
        <f>МРСК!K54</f>
        <v>52.5</v>
      </c>
      <c r="K54" s="103">
        <f t="shared" si="6"/>
        <v>13.171514931254727</v>
      </c>
      <c r="L54" s="370">
        <f>MIN(K54:K56)</f>
        <v>13.171514931254727</v>
      </c>
      <c r="M54" s="87"/>
      <c r="N54" s="15">
        <v>1.05</v>
      </c>
      <c r="O54" s="45">
        <v>41</v>
      </c>
      <c r="Q54" s="223"/>
      <c r="R54" s="15" t="s">
        <v>284</v>
      </c>
      <c r="T54" s="15">
        <v>75</v>
      </c>
    </row>
    <row r="55" spans="1:18" s="15" customFormat="1" ht="21" thickBot="1" thickTop="1">
      <c r="A55" s="16">
        <f>МРСК!A55</f>
        <v>0</v>
      </c>
      <c r="B55" s="2" t="s">
        <v>92</v>
      </c>
      <c r="C55" s="83" t="s">
        <v>284</v>
      </c>
      <c r="D55" s="127">
        <f t="shared" si="5"/>
        <v>0</v>
      </c>
      <c r="E55" s="99">
        <f>D55+МРСК!F55</f>
        <v>19.262639824281614</v>
      </c>
      <c r="F55" s="31">
        <v>3.102</v>
      </c>
      <c r="G55" s="45"/>
      <c r="H55" s="17">
        <f t="shared" si="2"/>
        <v>16.160639824281613</v>
      </c>
      <c r="I55" s="17">
        <v>0</v>
      </c>
      <c r="J55" s="17">
        <f>МРСК!K55</f>
        <v>52.5</v>
      </c>
      <c r="K55" s="44">
        <f t="shared" si="6"/>
        <v>36.33936017571838</v>
      </c>
      <c r="L55" s="371"/>
      <c r="M55" s="32"/>
      <c r="N55" s="15">
        <v>1.05</v>
      </c>
      <c r="O55" s="45">
        <v>41</v>
      </c>
      <c r="Q55" s="223"/>
      <c r="R55" s="15">
        <v>0</v>
      </c>
    </row>
    <row r="56" spans="1:18" s="15" customFormat="1" ht="21" thickBot="1" thickTop="1">
      <c r="A56" s="72">
        <f>МРСК!A56</f>
        <v>0</v>
      </c>
      <c r="B56" s="73" t="s">
        <v>93</v>
      </c>
      <c r="C56" s="83" t="s">
        <v>284</v>
      </c>
      <c r="D56" s="128">
        <f t="shared" si="5"/>
        <v>0.54</v>
      </c>
      <c r="E56" s="100">
        <f>D56+МРСК!F56</f>
        <v>25.388082420983714</v>
      </c>
      <c r="F56" s="76">
        <v>2.22</v>
      </c>
      <c r="G56" s="77"/>
      <c r="H56" s="78">
        <f t="shared" si="2"/>
        <v>23.168082420983716</v>
      </c>
      <c r="I56" s="78">
        <v>0</v>
      </c>
      <c r="J56" s="78">
        <f>МРСК!K56</f>
        <v>52.5</v>
      </c>
      <c r="K56" s="75">
        <f t="shared" si="6"/>
        <v>29.331917579016284</v>
      </c>
      <c r="L56" s="372"/>
      <c r="M56" s="80"/>
      <c r="N56" s="15">
        <v>1.05</v>
      </c>
      <c r="O56" s="45">
        <v>41</v>
      </c>
      <c r="Q56" s="223">
        <f>0.12+0.12+0.3</f>
        <v>0.54</v>
      </c>
      <c r="R56" s="15">
        <v>0</v>
      </c>
    </row>
    <row r="57" spans="1:20" s="15" customFormat="1" ht="20.25" thickTop="1">
      <c r="A57" s="81">
        <f>МРСК!A57</f>
        <v>32</v>
      </c>
      <c r="B57" s="82" t="s">
        <v>128</v>
      </c>
      <c r="C57" s="83" t="s">
        <v>65</v>
      </c>
      <c r="D57" s="129">
        <f>D58+D59</f>
        <v>0.05</v>
      </c>
      <c r="E57" s="101">
        <f>D57+МРСК!F57</f>
        <v>9.875895786135736</v>
      </c>
      <c r="F57" s="84">
        <v>8.87</v>
      </c>
      <c r="G57" s="85">
        <v>45</v>
      </c>
      <c r="H57" s="86">
        <f t="shared" si="2"/>
        <v>1.0058957861357367</v>
      </c>
      <c r="I57" s="86">
        <v>0</v>
      </c>
      <c r="J57" s="86">
        <f>МРСК!K57</f>
        <v>10.5</v>
      </c>
      <c r="K57" s="103">
        <f t="shared" si="6"/>
        <v>9.494104213864263</v>
      </c>
      <c r="L57" s="370">
        <f>MIN(K57:K59)</f>
        <v>9.494104213864263</v>
      </c>
      <c r="M57" s="87"/>
      <c r="N57" s="15">
        <v>1.05</v>
      </c>
      <c r="O57" s="45">
        <v>10</v>
      </c>
      <c r="Q57" s="223"/>
      <c r="R57" s="15" t="s">
        <v>65</v>
      </c>
      <c r="T57" s="15">
        <v>26</v>
      </c>
    </row>
    <row r="58" spans="1:18" s="15" customFormat="1" ht="19.5">
      <c r="A58" s="16">
        <f>МРСК!A58</f>
        <v>0</v>
      </c>
      <c r="B58" s="2" t="s">
        <v>92</v>
      </c>
      <c r="C58" s="10" t="s">
        <v>65</v>
      </c>
      <c r="D58" s="127">
        <f t="shared" si="5"/>
        <v>0</v>
      </c>
      <c r="E58" s="99">
        <f>D58+МРСК!F58</f>
        <v>9.269677070966388</v>
      </c>
      <c r="F58" s="31">
        <v>8.867</v>
      </c>
      <c r="G58" s="45"/>
      <c r="H58" s="17">
        <f t="shared" si="2"/>
        <v>0.40267707096638716</v>
      </c>
      <c r="I58" s="17">
        <v>0</v>
      </c>
      <c r="J58" s="17">
        <f>МРСК!K58</f>
        <v>10.5</v>
      </c>
      <c r="K58" s="44">
        <f t="shared" si="6"/>
        <v>10.097322929033613</v>
      </c>
      <c r="L58" s="371"/>
      <c r="M58" s="32"/>
      <c r="N58" s="15">
        <v>1.05</v>
      </c>
      <c r="O58" s="45">
        <v>10</v>
      </c>
      <c r="Q58" s="223"/>
      <c r="R58" s="15">
        <v>0</v>
      </c>
    </row>
    <row r="59" spans="1:18" s="15" customFormat="1" ht="20.25" thickBot="1">
      <c r="A59" s="72">
        <f>МРСК!A59</f>
        <v>0</v>
      </c>
      <c r="B59" s="73" t="s">
        <v>93</v>
      </c>
      <c r="C59" s="74" t="s">
        <v>65</v>
      </c>
      <c r="D59" s="128">
        <f t="shared" si="5"/>
        <v>0.05</v>
      </c>
      <c r="E59" s="100">
        <f>D59+МРСК!F59</f>
        <v>0.6066480036791654</v>
      </c>
      <c r="F59" s="76">
        <v>0</v>
      </c>
      <c r="G59" s="77"/>
      <c r="H59" s="78">
        <f t="shared" si="2"/>
        <v>0.6066480036791654</v>
      </c>
      <c r="I59" s="78">
        <v>0</v>
      </c>
      <c r="J59" s="78">
        <f>МРСК!K59</f>
        <v>10.5</v>
      </c>
      <c r="K59" s="75">
        <f t="shared" si="6"/>
        <v>9.893351996320835</v>
      </c>
      <c r="L59" s="372"/>
      <c r="M59" s="80"/>
      <c r="N59" s="15">
        <v>1.05</v>
      </c>
      <c r="O59" s="45">
        <v>10</v>
      </c>
      <c r="Q59" s="223">
        <f>0.05</f>
        <v>0.05</v>
      </c>
      <c r="R59" s="15">
        <v>0</v>
      </c>
    </row>
    <row r="60" spans="1:20" s="15" customFormat="1" ht="21" thickBot="1" thickTop="1">
      <c r="A60" s="16">
        <f>МРСК!A60</f>
        <v>33</v>
      </c>
      <c r="B60" s="2" t="s">
        <v>129</v>
      </c>
      <c r="C60" s="45" t="s">
        <v>59</v>
      </c>
      <c r="D60" s="133">
        <f t="shared" si="5"/>
        <v>2.25</v>
      </c>
      <c r="E60" s="17">
        <f>D60+МРСК!F60</f>
        <v>42.7136911934638</v>
      </c>
      <c r="F60" s="44">
        <v>0</v>
      </c>
      <c r="G60" s="18">
        <v>120</v>
      </c>
      <c r="H60" s="44">
        <f t="shared" si="2"/>
        <v>42.7136911934638</v>
      </c>
      <c r="I60" s="17">
        <v>0</v>
      </c>
      <c r="J60" s="46">
        <f>МРСК!K60</f>
        <v>42</v>
      </c>
      <c r="K60" s="44">
        <f t="shared" si="6"/>
        <v>-0.7136911934638022</v>
      </c>
      <c r="L60" s="44">
        <f>MIN(K60:K60)</f>
        <v>-0.7136911934638022</v>
      </c>
      <c r="M60" s="32"/>
      <c r="N60" s="15">
        <v>1.05</v>
      </c>
      <c r="O60" s="45">
        <v>40</v>
      </c>
      <c r="Q60" s="223">
        <f>0.85+0.03+0.1+0.07+1.2</f>
        <v>2.25</v>
      </c>
      <c r="R60" s="15" t="s">
        <v>59</v>
      </c>
      <c r="T60" s="15">
        <v>88</v>
      </c>
    </row>
    <row r="61" spans="1:20" s="15" customFormat="1" ht="21" thickBot="1" thickTop="1">
      <c r="A61" s="81">
        <f>МРСК!A61</f>
        <v>34</v>
      </c>
      <c r="B61" s="82" t="s">
        <v>130</v>
      </c>
      <c r="C61" s="83" t="s">
        <v>61</v>
      </c>
      <c r="D61" s="129">
        <f>D62+D63</f>
        <v>1.78</v>
      </c>
      <c r="E61" s="101">
        <f>D61+МРСК!F61</f>
        <v>14.178472688198333</v>
      </c>
      <c r="F61" s="84">
        <v>11.433</v>
      </c>
      <c r="G61" s="85">
        <v>120</v>
      </c>
      <c r="H61" s="86">
        <f t="shared" si="2"/>
        <v>2.7454726881983333</v>
      </c>
      <c r="I61" s="86">
        <v>0</v>
      </c>
      <c r="J61" s="86">
        <f>МРСК!K61</f>
        <v>16.8</v>
      </c>
      <c r="K61" s="103">
        <f t="shared" si="6"/>
        <v>14.054527311801667</v>
      </c>
      <c r="L61" s="370">
        <f>MIN(K61:K63)</f>
        <v>3.7099384866170615</v>
      </c>
      <c r="M61" s="87"/>
      <c r="N61" s="15">
        <v>1.05</v>
      </c>
      <c r="O61" s="45">
        <v>16</v>
      </c>
      <c r="Q61" s="223"/>
      <c r="R61" s="15" t="s">
        <v>61</v>
      </c>
      <c r="T61" s="15">
        <v>32</v>
      </c>
    </row>
    <row r="62" spans="1:18" s="15" customFormat="1" ht="21" thickBot="1" thickTop="1">
      <c r="A62" s="16">
        <f>МРСК!A62</f>
        <v>0</v>
      </c>
      <c r="B62" s="2" t="s">
        <v>92</v>
      </c>
      <c r="C62" s="83" t="s">
        <v>273</v>
      </c>
      <c r="D62" s="127">
        <f t="shared" si="5"/>
        <v>0</v>
      </c>
      <c r="E62" s="99">
        <f>D62+МРСК!F62</f>
        <v>6.200321040075264</v>
      </c>
      <c r="F62" s="31">
        <v>8.133</v>
      </c>
      <c r="G62" s="45"/>
      <c r="H62" s="17">
        <f t="shared" si="2"/>
        <v>-1.9326789599247354</v>
      </c>
      <c r="I62" s="17">
        <v>0</v>
      </c>
      <c r="J62" s="17">
        <f>МРСК!K62</f>
        <v>8.4</v>
      </c>
      <c r="K62" s="44">
        <f t="shared" si="6"/>
        <v>10.332678959924735</v>
      </c>
      <c r="L62" s="371"/>
      <c r="M62" s="32"/>
      <c r="N62" s="15">
        <v>1.05</v>
      </c>
      <c r="O62" s="45">
        <v>8</v>
      </c>
      <c r="Q62" s="223"/>
      <c r="R62" s="15">
        <v>0</v>
      </c>
    </row>
    <row r="63" spans="1:18" s="15" customFormat="1" ht="21" thickBot="1" thickTop="1">
      <c r="A63" s="72">
        <f>МРСК!A63</f>
        <v>0</v>
      </c>
      <c r="B63" s="73" t="s">
        <v>93</v>
      </c>
      <c r="C63" s="83" t="s">
        <v>273</v>
      </c>
      <c r="D63" s="128">
        <f t="shared" si="5"/>
        <v>1.78</v>
      </c>
      <c r="E63" s="100">
        <f>D63+МРСК!F63</f>
        <v>7.990061513382939</v>
      </c>
      <c r="F63" s="76">
        <v>3.3</v>
      </c>
      <c r="G63" s="77"/>
      <c r="H63" s="78">
        <f t="shared" si="2"/>
        <v>4.690061513382939</v>
      </c>
      <c r="I63" s="78">
        <v>0</v>
      </c>
      <c r="J63" s="78">
        <f>МРСК!K63</f>
        <v>8.4</v>
      </c>
      <c r="K63" s="75">
        <f t="shared" si="6"/>
        <v>3.7099384866170615</v>
      </c>
      <c r="L63" s="372"/>
      <c r="M63" s="80"/>
      <c r="N63" s="15">
        <v>1.05</v>
      </c>
      <c r="O63" s="45">
        <v>8</v>
      </c>
      <c r="Q63" s="223">
        <f>0.17+1.05+0.26+0.3</f>
        <v>1.78</v>
      </c>
      <c r="R63" s="15">
        <v>0</v>
      </c>
    </row>
    <row r="64" spans="1:20" s="15" customFormat="1" ht="20.25" thickTop="1">
      <c r="A64" s="81">
        <f>МРСК!A64</f>
        <v>35</v>
      </c>
      <c r="B64" s="82" t="s">
        <v>131</v>
      </c>
      <c r="C64" s="83" t="s">
        <v>64</v>
      </c>
      <c r="D64" s="129">
        <f>D65+D66</f>
        <v>0.01</v>
      </c>
      <c r="E64" s="101">
        <f>D64+МРСК!F64</f>
        <v>10.231502433595562</v>
      </c>
      <c r="F64" s="84">
        <v>11.5</v>
      </c>
      <c r="G64" s="85">
        <v>120</v>
      </c>
      <c r="H64" s="86">
        <f t="shared" si="2"/>
        <v>-1.268497566404438</v>
      </c>
      <c r="I64" s="86">
        <v>0</v>
      </c>
      <c r="J64" s="86">
        <f>МРСК!K64</f>
        <v>10.5</v>
      </c>
      <c r="K64" s="103">
        <f t="shared" si="6"/>
        <v>11.768497566404438</v>
      </c>
      <c r="L64" s="370">
        <f>MIN(K64:K66)</f>
        <v>9.223725654212519</v>
      </c>
      <c r="M64" s="87"/>
      <c r="N64" s="15">
        <v>1.05</v>
      </c>
      <c r="O64" s="45">
        <v>10</v>
      </c>
      <c r="Q64" s="223"/>
      <c r="R64" s="15" t="s">
        <v>64</v>
      </c>
      <c r="T64" s="15">
        <v>20</v>
      </c>
    </row>
    <row r="65" spans="1:18" s="15" customFormat="1" ht="19.5">
      <c r="A65" s="16">
        <f>МРСК!A65</f>
        <v>0</v>
      </c>
      <c r="B65" s="2" t="s">
        <v>92</v>
      </c>
      <c r="C65" s="10" t="s">
        <v>64</v>
      </c>
      <c r="D65" s="127">
        <f t="shared" si="5"/>
        <v>0</v>
      </c>
      <c r="E65" s="99">
        <f>D65+МРСК!F65</f>
        <v>9.076274345787482</v>
      </c>
      <c r="F65" s="31">
        <v>7.8</v>
      </c>
      <c r="G65" s="45"/>
      <c r="H65" s="17">
        <f t="shared" si="2"/>
        <v>1.2762743457874821</v>
      </c>
      <c r="I65" s="17">
        <v>0</v>
      </c>
      <c r="J65" s="17">
        <f>МРСК!K65</f>
        <v>10.5</v>
      </c>
      <c r="K65" s="44">
        <f t="shared" si="6"/>
        <v>9.223725654212519</v>
      </c>
      <c r="L65" s="371"/>
      <c r="M65" s="32"/>
      <c r="N65" s="15">
        <v>1.05</v>
      </c>
      <c r="O65" s="45">
        <v>10</v>
      </c>
      <c r="Q65" s="223"/>
      <c r="R65" s="15">
        <v>0</v>
      </c>
    </row>
    <row r="66" spans="1:18" s="15" customFormat="1" ht="20.25" thickBot="1">
      <c r="A66" s="72">
        <f>МРСК!A66</f>
        <v>0</v>
      </c>
      <c r="B66" s="73" t="s">
        <v>93</v>
      </c>
      <c r="C66" s="74" t="s">
        <v>64</v>
      </c>
      <c r="D66" s="128">
        <f t="shared" si="5"/>
        <v>0.01</v>
      </c>
      <c r="E66" s="100">
        <f>D66+МРСК!F66</f>
        <v>1.1592345278488634</v>
      </c>
      <c r="F66" s="76">
        <v>3.7</v>
      </c>
      <c r="G66" s="77"/>
      <c r="H66" s="78">
        <f t="shared" si="2"/>
        <v>-2.540765472151137</v>
      </c>
      <c r="I66" s="78">
        <v>0</v>
      </c>
      <c r="J66" s="78">
        <f>МРСК!K66</f>
        <v>10.5</v>
      </c>
      <c r="K66" s="75">
        <f t="shared" si="6"/>
        <v>13.040765472151136</v>
      </c>
      <c r="L66" s="372"/>
      <c r="M66" s="80"/>
      <c r="N66" s="15">
        <v>1.05</v>
      </c>
      <c r="O66" s="45">
        <v>10</v>
      </c>
      <c r="Q66" s="223">
        <v>0.01</v>
      </c>
      <c r="R66" s="15">
        <v>0</v>
      </c>
    </row>
    <row r="67" spans="1:20" s="15" customFormat="1" ht="20.25" thickTop="1">
      <c r="A67" s="81">
        <f>МРСК!A67</f>
        <v>36</v>
      </c>
      <c r="B67" s="82" t="s">
        <v>132</v>
      </c>
      <c r="C67" s="83" t="s">
        <v>64</v>
      </c>
      <c r="D67" s="129">
        <f>D68+D69</f>
        <v>0.99</v>
      </c>
      <c r="E67" s="101">
        <f>D67+МРСК!F67</f>
        <v>9.829488220479735</v>
      </c>
      <c r="F67" s="84">
        <v>8.83</v>
      </c>
      <c r="G67" s="85">
        <v>120</v>
      </c>
      <c r="H67" s="86">
        <f t="shared" si="2"/>
        <v>0.9994882204797353</v>
      </c>
      <c r="I67" s="86">
        <v>0</v>
      </c>
      <c r="J67" s="86">
        <f>МРСК!K67</f>
        <v>10.5</v>
      </c>
      <c r="K67" s="103">
        <f t="shared" si="6"/>
        <v>9.500511779520265</v>
      </c>
      <c r="L67" s="370">
        <f>MIN(K67:K69)</f>
        <v>9.500511779520265</v>
      </c>
      <c r="M67" s="87"/>
      <c r="N67" s="15">
        <v>1.05</v>
      </c>
      <c r="O67" s="45">
        <v>10</v>
      </c>
      <c r="Q67" s="223"/>
      <c r="R67" s="15" t="s">
        <v>64</v>
      </c>
      <c r="T67" s="15">
        <v>20</v>
      </c>
    </row>
    <row r="68" spans="1:18" s="15" customFormat="1" ht="19.5">
      <c r="A68" s="16">
        <f>МРСК!A68</f>
        <v>0</v>
      </c>
      <c r="B68" s="2" t="s">
        <v>92</v>
      </c>
      <c r="C68" s="10" t="s">
        <v>64</v>
      </c>
      <c r="D68" s="127">
        <f t="shared" si="5"/>
        <v>0</v>
      </c>
      <c r="E68" s="99">
        <f>D68+МРСК!F68</f>
        <v>4.780046547890512</v>
      </c>
      <c r="F68" s="31">
        <v>3.955</v>
      </c>
      <c r="G68" s="45"/>
      <c r="H68" s="17">
        <f t="shared" si="2"/>
        <v>0.825046547890512</v>
      </c>
      <c r="I68" s="17">
        <v>0</v>
      </c>
      <c r="J68" s="17">
        <f>МРСК!K68</f>
        <v>10.5</v>
      </c>
      <c r="K68" s="44">
        <f t="shared" si="6"/>
        <v>9.674953452109488</v>
      </c>
      <c r="L68" s="371"/>
      <c r="M68" s="32"/>
      <c r="N68" s="15">
        <v>1.05</v>
      </c>
      <c r="O68" s="45">
        <v>10</v>
      </c>
      <c r="Q68" s="223"/>
      <c r="R68" s="15">
        <v>0</v>
      </c>
    </row>
    <row r="69" spans="1:18" s="15" customFormat="1" ht="20.25" thickBot="1">
      <c r="A69" s="72">
        <f>МРСК!A69</f>
        <v>0</v>
      </c>
      <c r="B69" s="73" t="s">
        <v>93</v>
      </c>
      <c r="C69" s="74" t="s">
        <v>64</v>
      </c>
      <c r="D69" s="128">
        <f t="shared" si="5"/>
        <v>0.99</v>
      </c>
      <c r="E69" s="100">
        <f>D69+МРСК!F69</f>
        <v>5.049710457655817</v>
      </c>
      <c r="F69" s="76">
        <v>4.875</v>
      </c>
      <c r="G69" s="77"/>
      <c r="H69" s="78">
        <f t="shared" si="2"/>
        <v>0.17471045765581739</v>
      </c>
      <c r="I69" s="78">
        <v>0</v>
      </c>
      <c r="J69" s="78">
        <f>МРСК!K69</f>
        <v>10.5</v>
      </c>
      <c r="K69" s="75">
        <f t="shared" si="6"/>
        <v>10.325289542344184</v>
      </c>
      <c r="L69" s="372"/>
      <c r="M69" s="80"/>
      <c r="N69" s="15">
        <v>1.05</v>
      </c>
      <c r="O69" s="45">
        <v>10</v>
      </c>
      <c r="Q69" s="223">
        <f>0.2+0.79</f>
        <v>0.99</v>
      </c>
      <c r="R69" s="15">
        <v>0</v>
      </c>
    </row>
    <row r="70" spans="1:20" s="15" customFormat="1" ht="21" thickBot="1" thickTop="1">
      <c r="A70" s="16">
        <f>МРСК!A70</f>
        <v>37</v>
      </c>
      <c r="B70" s="2" t="s">
        <v>133</v>
      </c>
      <c r="C70" s="45" t="s">
        <v>4</v>
      </c>
      <c r="D70" s="133">
        <f t="shared" si="5"/>
        <v>2.96</v>
      </c>
      <c r="E70" s="17">
        <f>D70+МРСК!F70</f>
        <v>18.770047564760834</v>
      </c>
      <c r="F70" s="44">
        <v>1.46</v>
      </c>
      <c r="G70" s="18">
        <v>45</v>
      </c>
      <c r="H70" s="44">
        <f aca="true" t="shared" si="7" ref="H70:H138">E70-F70</f>
        <v>17.310047564760833</v>
      </c>
      <c r="I70" s="17">
        <v>0</v>
      </c>
      <c r="J70" s="46">
        <f>МРСК!K70</f>
        <v>26.25</v>
      </c>
      <c r="K70" s="44">
        <f t="shared" si="6"/>
        <v>8.939952435239167</v>
      </c>
      <c r="L70" s="44">
        <f>MIN(K70:K70)</f>
        <v>8.939952435239167</v>
      </c>
      <c r="M70" s="32"/>
      <c r="N70" s="15">
        <v>1.05</v>
      </c>
      <c r="O70" s="45">
        <v>25</v>
      </c>
      <c r="Q70" s="223">
        <f>1.85+0.06+0.05+1</f>
        <v>2.96</v>
      </c>
      <c r="R70" s="15" t="s">
        <v>4</v>
      </c>
      <c r="T70" s="15">
        <v>50</v>
      </c>
    </row>
    <row r="71" spans="1:20" s="15" customFormat="1" ht="20.25" thickTop="1">
      <c r="A71" s="81">
        <f>МРСК!A71</f>
        <v>38</v>
      </c>
      <c r="B71" s="82" t="s">
        <v>134</v>
      </c>
      <c r="C71" s="83" t="s">
        <v>4</v>
      </c>
      <c r="D71" s="129">
        <f>D72+D73</f>
        <v>0.32000000000000006</v>
      </c>
      <c r="E71" s="101">
        <f>D71+МРСК!F71</f>
        <v>20.046658738874154</v>
      </c>
      <c r="F71" s="84">
        <v>10.651</v>
      </c>
      <c r="G71" s="85">
        <v>120</v>
      </c>
      <c r="H71" s="86">
        <f t="shared" si="7"/>
        <v>9.395658738874154</v>
      </c>
      <c r="I71" s="86">
        <v>0</v>
      </c>
      <c r="J71" s="86">
        <f>МРСК!K71</f>
        <v>26.25</v>
      </c>
      <c r="K71" s="103">
        <f t="shared" si="6"/>
        <v>16.854341261125846</v>
      </c>
      <c r="L71" s="370">
        <f>MIN(K71:K73)</f>
        <v>16.854341261125846</v>
      </c>
      <c r="M71" s="87"/>
      <c r="N71" s="15">
        <v>1.05</v>
      </c>
      <c r="O71" s="45">
        <v>25</v>
      </c>
      <c r="Q71" s="223"/>
      <c r="R71" s="15" t="s">
        <v>4</v>
      </c>
      <c r="T71" s="15">
        <v>50</v>
      </c>
    </row>
    <row r="72" spans="1:18" s="15" customFormat="1" ht="19.5">
      <c r="A72" s="16">
        <f>МРСК!A72</f>
        <v>0</v>
      </c>
      <c r="B72" s="2" t="s">
        <v>92</v>
      </c>
      <c r="C72" s="10" t="s">
        <v>4</v>
      </c>
      <c r="D72" s="127">
        <f t="shared" si="5"/>
        <v>0</v>
      </c>
      <c r="E72" s="99">
        <f>D72+МРСК!F72</f>
        <v>10.802397696807871</v>
      </c>
      <c r="F72" s="31">
        <v>8.576</v>
      </c>
      <c r="G72" s="45"/>
      <c r="H72" s="17">
        <f t="shared" si="7"/>
        <v>2.2263976968078705</v>
      </c>
      <c r="I72" s="17">
        <v>0</v>
      </c>
      <c r="J72" s="17">
        <f>МРСК!K72</f>
        <v>26.25</v>
      </c>
      <c r="K72" s="44">
        <f t="shared" si="6"/>
        <v>24.023602303192128</v>
      </c>
      <c r="L72" s="371"/>
      <c r="M72" s="32"/>
      <c r="N72" s="15">
        <v>1.05</v>
      </c>
      <c r="O72" s="45">
        <v>25</v>
      </c>
      <c r="Q72" s="223"/>
      <c r="R72" s="15">
        <v>0</v>
      </c>
    </row>
    <row r="73" spans="1:18" s="15" customFormat="1" ht="20.25" thickBot="1">
      <c r="A73" s="72">
        <f>МРСК!A73</f>
        <v>0</v>
      </c>
      <c r="B73" s="73" t="s">
        <v>93</v>
      </c>
      <c r="C73" s="74" t="s">
        <v>4</v>
      </c>
      <c r="D73" s="128">
        <f t="shared" si="5"/>
        <v>0.32000000000000006</v>
      </c>
      <c r="E73" s="100">
        <f>D73+МРСК!F73</f>
        <v>9.244691423236997</v>
      </c>
      <c r="F73" s="76">
        <v>2.075</v>
      </c>
      <c r="G73" s="77"/>
      <c r="H73" s="78">
        <f t="shared" si="7"/>
        <v>7.169691423236997</v>
      </c>
      <c r="I73" s="78">
        <v>0</v>
      </c>
      <c r="J73" s="78">
        <f>МРСК!K73</f>
        <v>26.25</v>
      </c>
      <c r="K73" s="75">
        <f t="shared" si="6"/>
        <v>19.080308576763002</v>
      </c>
      <c r="L73" s="372"/>
      <c r="M73" s="80"/>
      <c r="N73" s="15">
        <v>1.05</v>
      </c>
      <c r="O73" s="45">
        <v>25</v>
      </c>
      <c r="Q73" s="223">
        <f>0.05+0.17+0.1</f>
        <v>0.32000000000000006</v>
      </c>
      <c r="R73" s="15">
        <v>0</v>
      </c>
    </row>
    <row r="74" spans="1:20" s="15" customFormat="1" ht="20.25" thickTop="1">
      <c r="A74" s="81">
        <f>МРСК!A74</f>
        <v>39</v>
      </c>
      <c r="B74" s="82" t="s">
        <v>135</v>
      </c>
      <c r="C74" s="83" t="s">
        <v>4</v>
      </c>
      <c r="D74" s="129">
        <f>D75+D76</f>
        <v>3.869999999999999</v>
      </c>
      <c r="E74" s="101">
        <f>D74+МРСК!F74</f>
        <v>44.05474063621663</v>
      </c>
      <c r="F74" s="84"/>
      <c r="G74" s="85">
        <v>120</v>
      </c>
      <c r="H74" s="86">
        <f t="shared" si="7"/>
        <v>44.05474063621663</v>
      </c>
      <c r="I74" s="86">
        <v>0</v>
      </c>
      <c r="J74" s="86">
        <f>МРСК!K74</f>
        <v>26.25</v>
      </c>
      <c r="K74" s="103">
        <f t="shared" si="6"/>
        <v>-17.80474063621663</v>
      </c>
      <c r="L74" s="370">
        <f>MIN(K74:K76)</f>
        <v>-17.80474063621663</v>
      </c>
      <c r="M74" s="87"/>
      <c r="N74" s="15">
        <v>1.05</v>
      </c>
      <c r="O74" s="45">
        <v>25</v>
      </c>
      <c r="Q74" s="223"/>
      <c r="R74" s="15" t="s">
        <v>4</v>
      </c>
      <c r="T74" s="15">
        <v>50</v>
      </c>
    </row>
    <row r="75" spans="1:18" s="15" customFormat="1" ht="19.5">
      <c r="A75" s="16">
        <f>МРСК!A75</f>
        <v>0</v>
      </c>
      <c r="B75" s="2" t="s">
        <v>92</v>
      </c>
      <c r="C75" s="10" t="s">
        <v>4</v>
      </c>
      <c r="D75" s="127">
        <f t="shared" si="5"/>
        <v>0</v>
      </c>
      <c r="E75" s="99">
        <f>D75+МРСК!F75</f>
        <v>16.645377166048235</v>
      </c>
      <c r="F75" s="31"/>
      <c r="G75" s="45"/>
      <c r="H75" s="17">
        <f t="shared" si="7"/>
        <v>16.645377166048235</v>
      </c>
      <c r="I75" s="17">
        <v>0</v>
      </c>
      <c r="J75" s="17">
        <f>МРСК!K75</f>
        <v>26.25</v>
      </c>
      <c r="K75" s="44">
        <f t="shared" si="6"/>
        <v>9.604622833951765</v>
      </c>
      <c r="L75" s="371"/>
      <c r="M75" s="32"/>
      <c r="N75" s="15">
        <v>1.05</v>
      </c>
      <c r="O75" s="45">
        <v>25</v>
      </c>
      <c r="Q75" s="223"/>
      <c r="R75" s="15">
        <v>0</v>
      </c>
    </row>
    <row r="76" spans="1:18" s="15" customFormat="1" ht="20.25" thickBot="1">
      <c r="A76" s="72">
        <f>МРСК!A76</f>
        <v>0</v>
      </c>
      <c r="B76" s="73" t="s">
        <v>93</v>
      </c>
      <c r="C76" s="74" t="s">
        <v>4</v>
      </c>
      <c r="D76" s="128">
        <f t="shared" si="5"/>
        <v>3.869999999999999</v>
      </c>
      <c r="E76" s="100">
        <f>D76+МРСК!F76</f>
        <v>27.576814821903007</v>
      </c>
      <c r="F76" s="76"/>
      <c r="G76" s="77"/>
      <c r="H76" s="78">
        <f t="shared" si="7"/>
        <v>27.576814821903007</v>
      </c>
      <c r="I76" s="78">
        <v>0</v>
      </c>
      <c r="J76" s="78">
        <f>МРСК!K76</f>
        <v>26.25</v>
      </c>
      <c r="K76" s="75">
        <f t="shared" si="6"/>
        <v>-1.3268148219030067</v>
      </c>
      <c r="L76" s="372"/>
      <c r="M76" s="80"/>
      <c r="N76" s="15">
        <v>1.05</v>
      </c>
      <c r="O76" s="45">
        <v>25</v>
      </c>
      <c r="Q76" s="223">
        <f>3.05+0.03+0.49+0.3</f>
        <v>3.869999999999999</v>
      </c>
      <c r="R76" s="15">
        <v>0</v>
      </c>
    </row>
    <row r="77" spans="1:20" s="15" customFormat="1" ht="21" thickBot="1" thickTop="1">
      <c r="A77" s="81">
        <f>МРСК!A77</f>
        <v>40</v>
      </c>
      <c r="B77" s="82" t="s">
        <v>137</v>
      </c>
      <c r="C77" s="83" t="s">
        <v>61</v>
      </c>
      <c r="D77" s="129">
        <f>D78+D79</f>
        <v>0</v>
      </c>
      <c r="E77" s="101">
        <f>D77+МРСК!F77</f>
        <v>2.220668367856849</v>
      </c>
      <c r="F77" s="84">
        <v>0</v>
      </c>
      <c r="G77" s="85"/>
      <c r="H77" s="86">
        <f t="shared" si="7"/>
        <v>2.220668367856849</v>
      </c>
      <c r="I77" s="86">
        <v>0</v>
      </c>
      <c r="J77" s="86">
        <f>МРСК!K77</f>
        <v>26.25</v>
      </c>
      <c r="K77" s="103">
        <f t="shared" si="6"/>
        <v>24.02933163214315</v>
      </c>
      <c r="L77" s="370">
        <f>MIN(K77:K79)</f>
        <v>10.904331632143151</v>
      </c>
      <c r="M77" s="87"/>
      <c r="N77" s="15">
        <v>1.05</v>
      </c>
      <c r="O77" s="45">
        <v>25</v>
      </c>
      <c r="Q77" s="223"/>
      <c r="R77" s="15" t="s">
        <v>4</v>
      </c>
      <c r="T77" s="15">
        <v>50</v>
      </c>
    </row>
    <row r="78" spans="1:18" s="15" customFormat="1" ht="21" thickBot="1" thickTop="1">
      <c r="A78" s="16">
        <f>МРСК!A78</f>
        <v>0</v>
      </c>
      <c r="B78" s="2" t="s">
        <v>93</v>
      </c>
      <c r="C78" s="83" t="s">
        <v>61</v>
      </c>
      <c r="D78" s="127">
        <f t="shared" si="5"/>
        <v>0</v>
      </c>
      <c r="E78" s="99">
        <f>D78+МРСК!F78</f>
        <v>0</v>
      </c>
      <c r="F78" s="31">
        <v>0</v>
      </c>
      <c r="G78" s="45"/>
      <c r="H78" s="17">
        <f t="shared" si="7"/>
        <v>0</v>
      </c>
      <c r="I78" s="17">
        <v>0</v>
      </c>
      <c r="J78" s="17">
        <f>МРСК!K78</f>
        <v>13.125</v>
      </c>
      <c r="K78" s="44">
        <f t="shared" si="6"/>
        <v>13.125</v>
      </c>
      <c r="L78" s="371"/>
      <c r="M78" s="32"/>
      <c r="N78" s="15">
        <v>1.05</v>
      </c>
      <c r="O78" s="45">
        <v>12.5</v>
      </c>
      <c r="Q78" s="223"/>
      <c r="R78" s="15">
        <v>0</v>
      </c>
    </row>
    <row r="79" spans="1:18" s="15" customFormat="1" ht="21" thickBot="1" thickTop="1">
      <c r="A79" s="72">
        <f>МРСК!A79</f>
        <v>0</v>
      </c>
      <c r="B79" s="73" t="s">
        <v>93</v>
      </c>
      <c r="C79" s="83" t="s">
        <v>61</v>
      </c>
      <c r="D79" s="128">
        <f t="shared" si="5"/>
        <v>0</v>
      </c>
      <c r="E79" s="100">
        <f>D79+МРСК!F79</f>
        <v>2.220668367856849</v>
      </c>
      <c r="F79" s="76">
        <v>0</v>
      </c>
      <c r="G79" s="77"/>
      <c r="H79" s="78">
        <f t="shared" si="7"/>
        <v>2.220668367856849</v>
      </c>
      <c r="I79" s="78">
        <v>0</v>
      </c>
      <c r="J79" s="78">
        <f>МРСК!K79</f>
        <v>13.125</v>
      </c>
      <c r="K79" s="75">
        <f t="shared" si="6"/>
        <v>10.904331632143151</v>
      </c>
      <c r="L79" s="372"/>
      <c r="M79" s="80"/>
      <c r="N79" s="15">
        <v>1.05</v>
      </c>
      <c r="O79" s="45">
        <v>12.5</v>
      </c>
      <c r="Q79" s="223"/>
      <c r="R79" s="15">
        <v>0</v>
      </c>
    </row>
    <row r="80" spans="1:20" s="15" customFormat="1" ht="21" thickBot="1" thickTop="1">
      <c r="A80" s="16">
        <f>МРСК!A80</f>
        <v>41</v>
      </c>
      <c r="B80" s="2" t="s">
        <v>138</v>
      </c>
      <c r="C80" s="83" t="s">
        <v>61</v>
      </c>
      <c r="D80" s="133">
        <f t="shared" si="5"/>
        <v>0.55</v>
      </c>
      <c r="E80" s="17">
        <f>D80+МРСК!F80</f>
        <v>10.155377504294144</v>
      </c>
      <c r="F80" s="44">
        <v>6.43</v>
      </c>
      <c r="G80" s="18">
        <v>120</v>
      </c>
      <c r="H80" s="44">
        <f t="shared" si="7"/>
        <v>3.725377504294144</v>
      </c>
      <c r="I80" s="17">
        <v>0</v>
      </c>
      <c r="J80" s="46">
        <f>МРСК!K80</f>
        <v>16.8</v>
      </c>
      <c r="K80" s="44">
        <f t="shared" si="6"/>
        <v>13.074622495705857</v>
      </c>
      <c r="L80" s="44">
        <f>K80</f>
        <v>13.074622495705857</v>
      </c>
      <c r="M80" s="32"/>
      <c r="N80" s="15">
        <v>1.05</v>
      </c>
      <c r="O80" s="45">
        <v>16</v>
      </c>
      <c r="Q80" s="223">
        <f>0.1+0.45</f>
        <v>0.55</v>
      </c>
      <c r="R80" s="15" t="s">
        <v>61</v>
      </c>
      <c r="T80" s="15">
        <v>32</v>
      </c>
    </row>
    <row r="81" spans="1:20" s="15" customFormat="1" ht="21" thickBot="1" thickTop="1">
      <c r="A81" s="81">
        <f>МРСК!A81</f>
        <v>42</v>
      </c>
      <c r="B81" s="82" t="s">
        <v>136</v>
      </c>
      <c r="C81" s="83" t="s">
        <v>61</v>
      </c>
      <c r="D81" s="129">
        <f>D82+D83</f>
        <v>0.22</v>
      </c>
      <c r="E81" s="101">
        <f>D81+МРСК!F81</f>
        <v>20.962477311063886</v>
      </c>
      <c r="F81" s="84">
        <v>13.953</v>
      </c>
      <c r="G81" s="85">
        <v>80</v>
      </c>
      <c r="H81" s="86">
        <f t="shared" si="7"/>
        <v>7.009477311063886</v>
      </c>
      <c r="I81" s="86">
        <v>0</v>
      </c>
      <c r="J81" s="86">
        <f>МРСК!K81</f>
        <v>16.8</v>
      </c>
      <c r="K81" s="103">
        <f t="shared" si="6"/>
        <v>9.790522688936115</v>
      </c>
      <c r="L81" s="370">
        <f>MIN(K81:K83)</f>
        <v>6.774424089135486</v>
      </c>
      <c r="M81" s="87"/>
      <c r="N81" s="15">
        <v>1.05</v>
      </c>
      <c r="O81" s="45">
        <v>16</v>
      </c>
      <c r="Q81" s="223"/>
      <c r="R81" s="15" t="s">
        <v>61</v>
      </c>
      <c r="T81" s="15">
        <v>32</v>
      </c>
    </row>
    <row r="82" spans="1:18" s="15" customFormat="1" ht="21" thickBot="1" thickTop="1">
      <c r="A82" s="16">
        <f>МРСК!A82</f>
        <v>0</v>
      </c>
      <c r="B82" s="2" t="s">
        <v>92</v>
      </c>
      <c r="C82" s="83" t="s">
        <v>61</v>
      </c>
      <c r="D82" s="127">
        <f t="shared" si="5"/>
        <v>0</v>
      </c>
      <c r="E82" s="99">
        <f>D82+МРСК!F82</f>
        <v>8.61182634520692</v>
      </c>
      <c r="F82" s="31">
        <v>10.903</v>
      </c>
      <c r="G82" s="45"/>
      <c r="H82" s="17">
        <f t="shared" si="7"/>
        <v>-2.2911736547930808</v>
      </c>
      <c r="I82" s="17">
        <v>0</v>
      </c>
      <c r="J82" s="17">
        <f>МРСК!K82</f>
        <v>16.8</v>
      </c>
      <c r="K82" s="44">
        <f t="shared" si="6"/>
        <v>19.09117365479308</v>
      </c>
      <c r="L82" s="371"/>
      <c r="M82" s="32"/>
      <c r="N82" s="15">
        <v>1.05</v>
      </c>
      <c r="O82" s="45">
        <v>16</v>
      </c>
      <c r="Q82" s="223"/>
      <c r="R82" s="15">
        <v>0</v>
      </c>
    </row>
    <row r="83" spans="1:18" s="15" customFormat="1" ht="21" thickBot="1" thickTop="1">
      <c r="A83" s="72">
        <f>МРСК!A83</f>
        <v>0</v>
      </c>
      <c r="B83" s="73" t="s">
        <v>93</v>
      </c>
      <c r="C83" s="83" t="s">
        <v>61</v>
      </c>
      <c r="D83" s="128">
        <f t="shared" si="5"/>
        <v>0.22</v>
      </c>
      <c r="E83" s="100">
        <f>D83+МРСК!F83</f>
        <v>13.075575910864515</v>
      </c>
      <c r="F83" s="76">
        <v>3.05</v>
      </c>
      <c r="G83" s="77"/>
      <c r="H83" s="78">
        <f t="shared" si="7"/>
        <v>10.025575910864514</v>
      </c>
      <c r="I83" s="78">
        <v>0</v>
      </c>
      <c r="J83" s="78">
        <f>МРСК!K83</f>
        <v>16.8</v>
      </c>
      <c r="K83" s="75">
        <f t="shared" si="6"/>
        <v>6.774424089135486</v>
      </c>
      <c r="L83" s="372"/>
      <c r="M83" s="80"/>
      <c r="N83" s="15">
        <v>1.05</v>
      </c>
      <c r="O83" s="45">
        <v>16</v>
      </c>
      <c r="Q83" s="223">
        <f>0.02+0.2</f>
        <v>0.22</v>
      </c>
      <c r="R83" s="15">
        <v>0</v>
      </c>
    </row>
    <row r="84" spans="1:20" s="15" customFormat="1" ht="20.25" thickTop="1">
      <c r="A84" s="16">
        <f>МРСК!A84</f>
        <v>43</v>
      </c>
      <c r="B84" s="2" t="s">
        <v>139</v>
      </c>
      <c r="C84" s="45" t="s">
        <v>60</v>
      </c>
      <c r="D84" s="133">
        <f t="shared" si="5"/>
        <v>2.73</v>
      </c>
      <c r="E84" s="17">
        <f>D84+МРСК!F84</f>
        <v>28.534632142311196</v>
      </c>
      <c r="F84" s="44">
        <v>6.73</v>
      </c>
      <c r="G84" s="18">
        <v>120</v>
      </c>
      <c r="H84" s="44">
        <f t="shared" si="7"/>
        <v>21.804632142311196</v>
      </c>
      <c r="I84" s="17">
        <v>0</v>
      </c>
      <c r="J84" s="46">
        <f>МРСК!K84</f>
        <v>42</v>
      </c>
      <c r="K84" s="44">
        <f t="shared" si="6"/>
        <v>20.195367857688804</v>
      </c>
      <c r="L84" s="44">
        <f>MIN(K84:K84)</f>
        <v>20.195367857688804</v>
      </c>
      <c r="M84" s="32"/>
      <c r="N84" s="15">
        <v>1.05</v>
      </c>
      <c r="O84" s="45">
        <v>40</v>
      </c>
      <c r="Q84" s="223">
        <f>0.62+0.91+1.2</f>
        <v>2.73</v>
      </c>
      <c r="R84" s="15" t="s">
        <v>60</v>
      </c>
      <c r="T84" s="15">
        <v>80</v>
      </c>
    </row>
    <row r="85" spans="1:20" s="15" customFormat="1" ht="20.25" thickBot="1">
      <c r="A85" s="16">
        <f>МРСК!A85</f>
        <v>44</v>
      </c>
      <c r="B85" s="6" t="s">
        <v>140</v>
      </c>
      <c r="C85" s="45" t="s">
        <v>60</v>
      </c>
      <c r="D85" s="133">
        <f t="shared" si="5"/>
        <v>1.62</v>
      </c>
      <c r="E85" s="17">
        <f>D85+МРСК!F85</f>
        <v>24.581728615241495</v>
      </c>
      <c r="F85" s="44">
        <v>11.23</v>
      </c>
      <c r="G85" s="18">
        <v>120</v>
      </c>
      <c r="H85" s="44">
        <f t="shared" si="7"/>
        <v>13.351728615241495</v>
      </c>
      <c r="I85" s="17">
        <v>0</v>
      </c>
      <c r="J85" s="46">
        <f>МРСК!K85</f>
        <v>42</v>
      </c>
      <c r="K85" s="44">
        <f t="shared" si="6"/>
        <v>28.648271384758505</v>
      </c>
      <c r="L85" s="44">
        <f>MIN(K85:K85)</f>
        <v>28.648271384758505</v>
      </c>
      <c r="M85" s="32"/>
      <c r="N85" s="15">
        <v>1.05</v>
      </c>
      <c r="O85" s="45">
        <v>40</v>
      </c>
      <c r="Q85" s="223">
        <f>0.2+1.12+0.3</f>
        <v>1.62</v>
      </c>
      <c r="R85" s="15" t="s">
        <v>60</v>
      </c>
      <c r="T85" s="15">
        <v>80</v>
      </c>
    </row>
    <row r="86" spans="1:20" s="15" customFormat="1" ht="20.25" thickTop="1">
      <c r="A86" s="81">
        <f>МРСК!A86</f>
        <v>45</v>
      </c>
      <c r="B86" s="82" t="s">
        <v>141</v>
      </c>
      <c r="C86" s="83" t="s">
        <v>91</v>
      </c>
      <c r="D86" s="129">
        <f>D87+D88</f>
        <v>0.13</v>
      </c>
      <c r="E86" s="101">
        <f>D86+МРСК!F86</f>
        <v>21.52969532493395</v>
      </c>
      <c r="F86" s="84">
        <v>12.4</v>
      </c>
      <c r="G86" s="85">
        <v>120</v>
      </c>
      <c r="H86" s="86">
        <f t="shared" si="7"/>
        <v>9.12969532493395</v>
      </c>
      <c r="I86" s="86">
        <v>0</v>
      </c>
      <c r="J86" s="86">
        <f>МРСК!K86</f>
        <v>42</v>
      </c>
      <c r="K86" s="103">
        <f t="shared" si="6"/>
        <v>32.87030467506605</v>
      </c>
      <c r="L86" s="370">
        <f>MIN(K86:K88)</f>
        <v>32.260962733351775</v>
      </c>
      <c r="M86" s="87"/>
      <c r="N86" s="15">
        <v>1.05</v>
      </c>
      <c r="O86" s="45">
        <v>40</v>
      </c>
      <c r="Q86" s="223"/>
      <c r="R86" s="15" t="s">
        <v>91</v>
      </c>
      <c r="T86" s="15">
        <v>65</v>
      </c>
    </row>
    <row r="87" spans="1:18" s="15" customFormat="1" ht="19.5">
      <c r="A87" s="16">
        <f>МРСК!A87</f>
        <v>0</v>
      </c>
      <c r="B87" s="2" t="s">
        <v>92</v>
      </c>
      <c r="C87" s="10" t="s">
        <v>91</v>
      </c>
      <c r="D87" s="127">
        <f t="shared" si="5"/>
        <v>0</v>
      </c>
      <c r="E87" s="99">
        <f>D87+МРСК!F87</f>
        <v>15.966037266648227</v>
      </c>
      <c r="F87" s="31">
        <v>6.227</v>
      </c>
      <c r="G87" s="45"/>
      <c r="H87" s="17">
        <f t="shared" si="7"/>
        <v>9.739037266648227</v>
      </c>
      <c r="I87" s="17">
        <v>0</v>
      </c>
      <c r="J87" s="17">
        <f>МРСК!K87</f>
        <v>42</v>
      </c>
      <c r="K87" s="44">
        <f t="shared" si="6"/>
        <v>32.260962733351775</v>
      </c>
      <c r="L87" s="371"/>
      <c r="M87" s="32"/>
      <c r="N87" s="15">
        <v>1.05</v>
      </c>
      <c r="O87" s="45">
        <v>40</v>
      </c>
      <c r="Q87" s="223"/>
      <c r="R87" s="15">
        <v>0</v>
      </c>
    </row>
    <row r="88" spans="1:18" s="15" customFormat="1" ht="20.25" thickBot="1">
      <c r="A88" s="72">
        <f>МРСК!A88</f>
        <v>0</v>
      </c>
      <c r="B88" s="73" t="s">
        <v>93</v>
      </c>
      <c r="C88" s="74" t="s">
        <v>91</v>
      </c>
      <c r="D88" s="128">
        <f t="shared" si="5"/>
        <v>0.13</v>
      </c>
      <c r="E88" s="100">
        <f>D88+МРСК!F88</f>
        <v>5.627170363014048</v>
      </c>
      <c r="F88" s="76">
        <v>6.173</v>
      </c>
      <c r="G88" s="77"/>
      <c r="H88" s="78">
        <f t="shared" si="7"/>
        <v>-0.5458296369859523</v>
      </c>
      <c r="I88" s="78">
        <v>0</v>
      </c>
      <c r="J88" s="78">
        <f>МРСК!K88</f>
        <v>42</v>
      </c>
      <c r="K88" s="75">
        <f t="shared" si="6"/>
        <v>42.54582963698595</v>
      </c>
      <c r="L88" s="372"/>
      <c r="M88" s="80"/>
      <c r="N88" s="15">
        <v>1.05</v>
      </c>
      <c r="O88" s="45">
        <v>40</v>
      </c>
      <c r="Q88" s="223">
        <f>0.03+0.1</f>
        <v>0.13</v>
      </c>
      <c r="R88" s="15">
        <v>0</v>
      </c>
    </row>
    <row r="89" spans="1:20" s="15" customFormat="1" ht="21" thickBot="1" thickTop="1">
      <c r="A89" s="16">
        <f>МРСК!A89</f>
        <v>46</v>
      </c>
      <c r="B89" s="6" t="s">
        <v>142</v>
      </c>
      <c r="C89" s="45" t="s">
        <v>61</v>
      </c>
      <c r="D89" s="133">
        <f t="shared" si="5"/>
        <v>1.52</v>
      </c>
      <c r="E89" s="17">
        <f>D89+МРСК!F89</f>
        <v>17.905752957981516</v>
      </c>
      <c r="F89" s="44">
        <v>1.249</v>
      </c>
      <c r="G89" s="18">
        <v>80</v>
      </c>
      <c r="H89" s="44">
        <f t="shared" si="7"/>
        <v>16.656752957981517</v>
      </c>
      <c r="I89" s="17">
        <v>0</v>
      </c>
      <c r="J89" s="46">
        <f>МРСК!K89</f>
        <v>16.8</v>
      </c>
      <c r="K89" s="44">
        <f t="shared" si="6"/>
        <v>0.14324704201848348</v>
      </c>
      <c r="L89" s="44">
        <f>K89</f>
        <v>0.14324704201848348</v>
      </c>
      <c r="M89" s="32"/>
      <c r="N89" s="15">
        <v>1.05</v>
      </c>
      <c r="O89" s="45">
        <v>16</v>
      </c>
      <c r="Q89" s="223">
        <f>0.88+0.02+0.02+0.6</f>
        <v>1.52</v>
      </c>
      <c r="R89" s="15" t="s">
        <v>61</v>
      </c>
      <c r="T89" s="15">
        <v>32</v>
      </c>
    </row>
    <row r="90" spans="1:20" s="15" customFormat="1" ht="21" thickBot="1" thickTop="1">
      <c r="A90" s="81">
        <f>МРСК!A90</f>
        <v>47</v>
      </c>
      <c r="B90" s="82" t="s">
        <v>143</v>
      </c>
      <c r="C90" s="83" t="s">
        <v>64</v>
      </c>
      <c r="D90" s="129">
        <f>D91+D92</f>
        <v>0</v>
      </c>
      <c r="E90" s="101">
        <f>D90+МРСК!F90</f>
        <v>12.616217024132075</v>
      </c>
      <c r="F90" s="84">
        <v>6.16</v>
      </c>
      <c r="G90" s="85">
        <v>80</v>
      </c>
      <c r="H90" s="86">
        <f t="shared" si="7"/>
        <v>6.456217024132075</v>
      </c>
      <c r="I90" s="86">
        <v>0</v>
      </c>
      <c r="J90" s="86">
        <f>МРСК!K90</f>
        <v>10.5</v>
      </c>
      <c r="K90" s="103">
        <f t="shared" si="6"/>
        <v>4.043782975867925</v>
      </c>
      <c r="L90" s="370">
        <f>MIN(K90:K92)</f>
        <v>3.8937446311776664</v>
      </c>
      <c r="M90" s="87"/>
      <c r="N90" s="15">
        <v>1.05</v>
      </c>
      <c r="O90" s="45">
        <v>10</v>
      </c>
      <c r="Q90" s="223"/>
      <c r="R90" s="15" t="s">
        <v>64</v>
      </c>
      <c r="T90" s="15">
        <v>20</v>
      </c>
    </row>
    <row r="91" spans="1:18" s="15" customFormat="1" ht="21" thickBot="1" thickTop="1">
      <c r="A91" s="16">
        <f>МРСК!A91</f>
        <v>0</v>
      </c>
      <c r="B91" s="2" t="s">
        <v>92</v>
      </c>
      <c r="C91" s="83" t="s">
        <v>64</v>
      </c>
      <c r="D91" s="127">
        <f t="shared" si="5"/>
        <v>0</v>
      </c>
      <c r="E91" s="99">
        <f>D91+МРСК!F91</f>
        <v>8.981255368822334</v>
      </c>
      <c r="F91" s="31">
        <v>2.375</v>
      </c>
      <c r="G91" s="45"/>
      <c r="H91" s="17">
        <f t="shared" si="7"/>
        <v>6.6062553688223336</v>
      </c>
      <c r="I91" s="17">
        <v>0</v>
      </c>
      <c r="J91" s="17">
        <f>МРСК!K91</f>
        <v>10.5</v>
      </c>
      <c r="K91" s="44">
        <f t="shared" si="6"/>
        <v>3.8937446311776664</v>
      </c>
      <c r="L91" s="371"/>
      <c r="M91" s="32"/>
      <c r="N91" s="15">
        <v>1.05</v>
      </c>
      <c r="O91" s="45">
        <v>10</v>
      </c>
      <c r="Q91" s="223"/>
      <c r="R91" s="15">
        <v>0</v>
      </c>
    </row>
    <row r="92" spans="1:18" s="15" customFormat="1" ht="21" thickBot="1" thickTop="1">
      <c r="A92" s="72">
        <f>МРСК!A92</f>
        <v>0</v>
      </c>
      <c r="B92" s="73" t="s">
        <v>93</v>
      </c>
      <c r="C92" s="83" t="s">
        <v>64</v>
      </c>
      <c r="D92" s="128">
        <f t="shared" si="5"/>
        <v>0</v>
      </c>
      <c r="E92" s="100">
        <f>D92+МРСК!F92</f>
        <v>3.6349646490715695</v>
      </c>
      <c r="F92" s="76">
        <v>3.785</v>
      </c>
      <c r="G92" s="77"/>
      <c r="H92" s="78">
        <f t="shared" si="7"/>
        <v>-0.15003535092843068</v>
      </c>
      <c r="I92" s="78">
        <v>0</v>
      </c>
      <c r="J92" s="78">
        <f>МРСК!K92</f>
        <v>10.5</v>
      </c>
      <c r="K92" s="75">
        <f t="shared" si="6"/>
        <v>10.65003535092843</v>
      </c>
      <c r="L92" s="372"/>
      <c r="M92" s="80"/>
      <c r="N92" s="15">
        <v>1.05</v>
      </c>
      <c r="O92" s="45">
        <v>10</v>
      </c>
      <c r="Q92" s="223"/>
      <c r="R92" s="15">
        <v>0</v>
      </c>
    </row>
    <row r="93" spans="1:20" s="15" customFormat="1" ht="20.25" thickTop="1">
      <c r="A93" s="81">
        <f>МРСК!A93</f>
        <v>48</v>
      </c>
      <c r="B93" s="82" t="s">
        <v>144</v>
      </c>
      <c r="C93" s="83" t="s">
        <v>61</v>
      </c>
      <c r="D93" s="129">
        <f>D94+D95</f>
        <v>0.83</v>
      </c>
      <c r="E93" s="101">
        <f>D93+МРСК!F93</f>
        <v>15.467469760856895</v>
      </c>
      <c r="F93" s="84">
        <v>7.7116</v>
      </c>
      <c r="G93" s="85">
        <v>120</v>
      </c>
      <c r="H93" s="86">
        <f t="shared" si="7"/>
        <v>7.755869760856895</v>
      </c>
      <c r="I93" s="86">
        <v>0</v>
      </c>
      <c r="J93" s="86">
        <f>МРСК!K93</f>
        <v>16.8</v>
      </c>
      <c r="K93" s="103">
        <f t="shared" si="6"/>
        <v>9.044130239143104</v>
      </c>
      <c r="L93" s="370">
        <f>MIN(K93:K95)</f>
        <v>9.044130239143104</v>
      </c>
      <c r="M93" s="87"/>
      <c r="N93" s="15">
        <v>1.05</v>
      </c>
      <c r="O93" s="45">
        <v>16</v>
      </c>
      <c r="Q93" s="223"/>
      <c r="R93" s="15" t="s">
        <v>61</v>
      </c>
      <c r="T93" s="15">
        <v>32</v>
      </c>
    </row>
    <row r="94" spans="1:18" s="15" customFormat="1" ht="19.5">
      <c r="A94" s="16">
        <f>МРСК!A94</f>
        <v>0</v>
      </c>
      <c r="B94" s="2" t="s">
        <v>92</v>
      </c>
      <c r="C94" s="10" t="s">
        <v>61</v>
      </c>
      <c r="D94" s="127">
        <f t="shared" si="5"/>
        <v>0</v>
      </c>
      <c r="E94" s="99">
        <f>D94+МРСК!F94</f>
        <v>7.608991588903224</v>
      </c>
      <c r="F94" s="31">
        <v>4.854</v>
      </c>
      <c r="G94" s="45"/>
      <c r="H94" s="17">
        <f>E94-F94</f>
        <v>2.7549915889032235</v>
      </c>
      <c r="I94" s="17">
        <v>0</v>
      </c>
      <c r="J94" s="17">
        <f>МРСК!K94</f>
        <v>16.8</v>
      </c>
      <c r="K94" s="44">
        <f t="shared" si="6"/>
        <v>14.045008411096777</v>
      </c>
      <c r="L94" s="371"/>
      <c r="M94" s="32"/>
      <c r="N94" s="15">
        <v>1.05</v>
      </c>
      <c r="O94" s="45">
        <v>16</v>
      </c>
      <c r="Q94" s="223"/>
      <c r="R94" s="15">
        <v>0</v>
      </c>
    </row>
    <row r="95" spans="1:18" s="15" customFormat="1" ht="20.25" thickBot="1">
      <c r="A95" s="72">
        <f>МРСК!A95</f>
        <v>0</v>
      </c>
      <c r="B95" s="73" t="s">
        <v>93</v>
      </c>
      <c r="C95" s="74" t="s">
        <v>61</v>
      </c>
      <c r="D95" s="128">
        <f t="shared" si="5"/>
        <v>0.83</v>
      </c>
      <c r="E95" s="100">
        <f>D95+МРСК!F95</f>
        <v>7.867355185010914</v>
      </c>
      <c r="F95" s="76">
        <v>2.8575999999999997</v>
      </c>
      <c r="G95" s="77"/>
      <c r="H95" s="78">
        <f t="shared" si="7"/>
        <v>5.009755185010914</v>
      </c>
      <c r="I95" s="78">
        <v>0</v>
      </c>
      <c r="J95" s="78">
        <f>МРСК!K95</f>
        <v>16.8</v>
      </c>
      <c r="K95" s="75">
        <f t="shared" si="6"/>
        <v>11.790244814989087</v>
      </c>
      <c r="L95" s="372"/>
      <c r="M95" s="80"/>
      <c r="N95" s="15">
        <v>1.05</v>
      </c>
      <c r="O95" s="45">
        <v>16</v>
      </c>
      <c r="Q95" s="223">
        <f>0.04+0.1+0.59+0.1</f>
        <v>0.83</v>
      </c>
      <c r="R95" s="15">
        <v>0</v>
      </c>
    </row>
    <row r="96" spans="1:20" s="15" customFormat="1" ht="20.25" thickTop="1">
      <c r="A96" s="81">
        <f>МРСК!A96</f>
        <v>49</v>
      </c>
      <c r="B96" s="82" t="s">
        <v>146</v>
      </c>
      <c r="C96" s="83" t="s">
        <v>4</v>
      </c>
      <c r="D96" s="129">
        <f>D97+D98</f>
        <v>0.16</v>
      </c>
      <c r="E96" s="101">
        <f>D96+МРСК!F96</f>
        <v>12.055466237184653</v>
      </c>
      <c r="F96" s="84">
        <v>9.65</v>
      </c>
      <c r="G96" s="85">
        <v>80</v>
      </c>
      <c r="H96" s="86">
        <f t="shared" si="7"/>
        <v>2.405466237184653</v>
      </c>
      <c r="I96" s="86">
        <v>0</v>
      </c>
      <c r="J96" s="86">
        <f>МРСК!K96</f>
        <v>26.25</v>
      </c>
      <c r="K96" s="103">
        <f t="shared" si="6"/>
        <v>23.844533762815345</v>
      </c>
      <c r="L96" s="370">
        <f>MIN(K96:K98)</f>
        <v>19.84675847204607</v>
      </c>
      <c r="M96" s="87"/>
      <c r="N96" s="15">
        <v>1.05</v>
      </c>
      <c r="O96" s="45">
        <v>25</v>
      </c>
      <c r="Q96" s="223"/>
      <c r="R96" s="15" t="s">
        <v>4</v>
      </c>
      <c r="T96" s="15">
        <v>50</v>
      </c>
    </row>
    <row r="97" spans="1:18" s="15" customFormat="1" ht="19.5">
      <c r="A97" s="16">
        <f>МРСК!A97</f>
        <v>0</v>
      </c>
      <c r="B97" s="2" t="s">
        <v>93</v>
      </c>
      <c r="C97" s="10" t="s">
        <v>4</v>
      </c>
      <c r="D97" s="127">
        <f t="shared" si="5"/>
        <v>0</v>
      </c>
      <c r="E97" s="99">
        <f>D97+МРСК!F97</f>
        <v>1.6530892292916315</v>
      </c>
      <c r="F97" s="31">
        <v>1.384</v>
      </c>
      <c r="G97" s="45"/>
      <c r="H97" s="17">
        <f t="shared" si="7"/>
        <v>0.2690892292916316</v>
      </c>
      <c r="I97" s="17">
        <v>0</v>
      </c>
      <c r="J97" s="17">
        <f>МРСК!K97</f>
        <v>26.25</v>
      </c>
      <c r="K97" s="44">
        <f t="shared" si="6"/>
        <v>25.98091077070837</v>
      </c>
      <c r="L97" s="371"/>
      <c r="M97" s="32"/>
      <c r="N97" s="15">
        <v>1.05</v>
      </c>
      <c r="O97" s="45">
        <v>25</v>
      </c>
      <c r="Q97" s="223"/>
      <c r="R97" s="15">
        <v>0</v>
      </c>
    </row>
    <row r="98" spans="1:18" s="15" customFormat="1" ht="20.25" thickBot="1">
      <c r="A98" s="72">
        <f>МРСК!A98</f>
        <v>0</v>
      </c>
      <c r="B98" s="73" t="s">
        <v>93</v>
      </c>
      <c r="C98" s="74" t="s">
        <v>4</v>
      </c>
      <c r="D98" s="128">
        <f t="shared" si="5"/>
        <v>0.16</v>
      </c>
      <c r="E98" s="100">
        <f>D98+МРСК!F98</f>
        <v>10.40324152795393</v>
      </c>
      <c r="F98" s="76">
        <v>4</v>
      </c>
      <c r="G98" s="77"/>
      <c r="H98" s="78">
        <f t="shared" si="7"/>
        <v>6.403241527953931</v>
      </c>
      <c r="I98" s="78">
        <v>0</v>
      </c>
      <c r="J98" s="78">
        <f>МРСК!K98</f>
        <v>26.25</v>
      </c>
      <c r="K98" s="75">
        <f t="shared" si="6"/>
        <v>19.84675847204607</v>
      </c>
      <c r="L98" s="372"/>
      <c r="M98" s="80"/>
      <c r="N98" s="15">
        <v>1.05</v>
      </c>
      <c r="O98" s="45">
        <v>25</v>
      </c>
      <c r="Q98" s="223">
        <f>0.06+0.1</f>
        <v>0.16</v>
      </c>
      <c r="R98" s="15">
        <v>0</v>
      </c>
    </row>
    <row r="99" spans="1:20" s="15" customFormat="1" ht="21" thickBot="1" thickTop="1">
      <c r="A99" s="81">
        <f>МРСК!A99</f>
        <v>50</v>
      </c>
      <c r="B99" s="82" t="s">
        <v>145</v>
      </c>
      <c r="C99" s="83" t="s">
        <v>285</v>
      </c>
      <c r="D99" s="129">
        <f>D100+D101</f>
        <v>1.83</v>
      </c>
      <c r="E99" s="101">
        <f>D99+МРСК!F99</f>
        <v>22.788426396082315</v>
      </c>
      <c r="F99" s="84">
        <v>2.019</v>
      </c>
      <c r="G99" s="85">
        <v>20</v>
      </c>
      <c r="H99" s="86">
        <f t="shared" si="7"/>
        <v>20.769426396082316</v>
      </c>
      <c r="I99" s="86">
        <v>0</v>
      </c>
      <c r="J99" s="86">
        <f>МРСК!K99</f>
        <v>33.6</v>
      </c>
      <c r="K99" s="103">
        <f t="shared" si="6"/>
        <v>12.830573603917685</v>
      </c>
      <c r="L99" s="370">
        <f>MIN(K99:K101)</f>
        <v>12.830573603917685</v>
      </c>
      <c r="M99" s="87"/>
      <c r="N99" s="15">
        <v>1.05</v>
      </c>
      <c r="O99" s="45">
        <v>32</v>
      </c>
      <c r="Q99" s="223"/>
      <c r="R99" s="15" t="s">
        <v>285</v>
      </c>
      <c r="T99" s="15">
        <v>48</v>
      </c>
    </row>
    <row r="100" spans="1:18" s="15" customFormat="1" ht="21" thickBot="1" thickTop="1">
      <c r="A100" s="16">
        <f>МРСК!A100</f>
        <v>0</v>
      </c>
      <c r="B100" s="2" t="s">
        <v>92</v>
      </c>
      <c r="C100" s="83" t="s">
        <v>285</v>
      </c>
      <c r="D100" s="127">
        <f t="shared" si="5"/>
        <v>0</v>
      </c>
      <c r="E100" s="99">
        <f>D100+МРСК!F100</f>
        <v>7.626876752642592</v>
      </c>
      <c r="F100" s="31">
        <v>1.719</v>
      </c>
      <c r="G100" s="45"/>
      <c r="H100" s="17">
        <f t="shared" si="7"/>
        <v>5.907876752642592</v>
      </c>
      <c r="I100" s="17">
        <v>0</v>
      </c>
      <c r="J100" s="17">
        <f>МРСК!K100</f>
        <v>33.6</v>
      </c>
      <c r="K100" s="44">
        <f t="shared" si="6"/>
        <v>27.692123247357408</v>
      </c>
      <c r="L100" s="371"/>
      <c r="M100" s="32"/>
      <c r="N100" s="15">
        <v>1.05</v>
      </c>
      <c r="O100" s="45">
        <v>32</v>
      </c>
      <c r="Q100" s="223"/>
      <c r="R100" s="15">
        <v>0</v>
      </c>
    </row>
    <row r="101" spans="1:18" s="15" customFormat="1" ht="21" thickBot="1" thickTop="1">
      <c r="A101" s="72">
        <f>МРСК!A101</f>
        <v>0</v>
      </c>
      <c r="B101" s="73" t="s">
        <v>93</v>
      </c>
      <c r="C101" s="83" t="s">
        <v>285</v>
      </c>
      <c r="D101" s="128">
        <f t="shared" si="5"/>
        <v>1.83</v>
      </c>
      <c r="E101" s="100">
        <f>D101+МРСК!F101</f>
        <v>15.171515656026491</v>
      </c>
      <c r="F101" s="76">
        <v>0.3</v>
      </c>
      <c r="G101" s="77"/>
      <c r="H101" s="78">
        <f t="shared" si="7"/>
        <v>14.87151565602649</v>
      </c>
      <c r="I101" s="78">
        <v>0</v>
      </c>
      <c r="J101" s="78">
        <f>МРСК!K101</f>
        <v>33.6</v>
      </c>
      <c r="K101" s="75">
        <f t="shared" si="6"/>
        <v>18.728484343973513</v>
      </c>
      <c r="L101" s="372"/>
      <c r="M101" s="80"/>
      <c r="N101" s="15">
        <v>1.05</v>
      </c>
      <c r="O101" s="45">
        <v>32</v>
      </c>
      <c r="Q101" s="223">
        <f>0.63+0.08+1.02+0.1</f>
        <v>1.83</v>
      </c>
      <c r="R101" s="15">
        <v>0</v>
      </c>
    </row>
    <row r="102" spans="1:20" s="15" customFormat="1" ht="20.25" thickTop="1">
      <c r="A102" s="81">
        <f>МРСК!A102</f>
        <v>51</v>
      </c>
      <c r="B102" s="82" t="s">
        <v>147</v>
      </c>
      <c r="C102" s="83" t="s">
        <v>64</v>
      </c>
      <c r="D102" s="129">
        <f>D103+D104</f>
        <v>0.14</v>
      </c>
      <c r="E102" s="101">
        <f>D102+МРСК!F103</f>
        <v>10.467215791296317</v>
      </c>
      <c r="F102" s="84">
        <v>9.158000000000001</v>
      </c>
      <c r="G102" s="85">
        <v>120</v>
      </c>
      <c r="H102" s="86">
        <f t="shared" si="7"/>
        <v>1.3092157912963156</v>
      </c>
      <c r="I102" s="86">
        <v>0</v>
      </c>
      <c r="J102" s="86">
        <f>МРСК!K103</f>
        <v>10.5</v>
      </c>
      <c r="K102" s="103">
        <f t="shared" si="6"/>
        <v>9.190784208703684</v>
      </c>
      <c r="L102" s="370">
        <f>MIN(K102:K104)</f>
        <v>9.190784208703684</v>
      </c>
      <c r="M102" s="87"/>
      <c r="N102" s="15">
        <v>1.05</v>
      </c>
      <c r="O102" s="45">
        <v>10</v>
      </c>
      <c r="Q102" s="223"/>
      <c r="R102" s="15" t="s">
        <v>64</v>
      </c>
      <c r="T102" s="15">
        <v>20</v>
      </c>
    </row>
    <row r="103" spans="1:18" s="15" customFormat="1" ht="19.5">
      <c r="A103" s="16">
        <f>МРСК!A103</f>
        <v>52</v>
      </c>
      <c r="B103" s="2" t="s">
        <v>92</v>
      </c>
      <c r="C103" s="10" t="s">
        <v>64</v>
      </c>
      <c r="D103" s="127">
        <f t="shared" si="5"/>
        <v>0</v>
      </c>
      <c r="E103" s="99">
        <f>D103+МРСК!F104</f>
        <v>4.499506861868309</v>
      </c>
      <c r="F103" s="31">
        <v>3.52</v>
      </c>
      <c r="G103" s="45"/>
      <c r="H103" s="17">
        <f t="shared" si="7"/>
        <v>0.9795068618683094</v>
      </c>
      <c r="I103" s="17">
        <v>0</v>
      </c>
      <c r="J103" s="17">
        <f>МРСК!K104</f>
        <v>10.5</v>
      </c>
      <c r="K103" s="44">
        <f t="shared" si="6"/>
        <v>9.520493138131691</v>
      </c>
      <c r="L103" s="371"/>
      <c r="M103" s="32"/>
      <c r="N103" s="15">
        <v>1.05</v>
      </c>
      <c r="O103" s="45">
        <v>10</v>
      </c>
      <c r="Q103" s="223"/>
      <c r="R103" s="15">
        <v>0</v>
      </c>
    </row>
    <row r="104" spans="1:18" s="15" customFormat="1" ht="20.25" thickBot="1">
      <c r="A104" s="72">
        <f>МРСК!A104</f>
        <v>0</v>
      </c>
      <c r="B104" s="73" t="s">
        <v>93</v>
      </c>
      <c r="C104" s="74" t="s">
        <v>64</v>
      </c>
      <c r="D104" s="128">
        <f t="shared" si="5"/>
        <v>0.14</v>
      </c>
      <c r="E104" s="100">
        <f>D104+МРСК!F105</f>
        <v>5.967908715825943</v>
      </c>
      <c r="F104" s="76">
        <v>5.638000000000001</v>
      </c>
      <c r="G104" s="77"/>
      <c r="H104" s="78">
        <f t="shared" si="7"/>
        <v>0.32990871582594217</v>
      </c>
      <c r="I104" s="78">
        <v>0</v>
      </c>
      <c r="J104" s="78">
        <f>МРСК!K105</f>
        <v>10.5</v>
      </c>
      <c r="K104" s="75">
        <f aca="true" t="shared" si="8" ref="K104:K160">J104-I104-H104</f>
        <v>10.170091284174058</v>
      </c>
      <c r="L104" s="372"/>
      <c r="M104" s="80"/>
      <c r="N104" s="15">
        <v>1.05</v>
      </c>
      <c r="O104" s="45">
        <v>10</v>
      </c>
      <c r="Q104" s="223">
        <f>0.01+0.01+0.02+0.1</f>
        <v>0.14</v>
      </c>
      <c r="R104" s="15">
        <v>0</v>
      </c>
    </row>
    <row r="105" spans="1:20" s="15" customFormat="1" ht="21" thickBot="1" thickTop="1">
      <c r="A105" s="139">
        <f>МРСК!A105</f>
        <v>0</v>
      </c>
      <c r="B105" s="140" t="s">
        <v>290</v>
      </c>
      <c r="C105" s="45" t="s">
        <v>61</v>
      </c>
      <c r="D105" s="133">
        <f t="shared" si="5"/>
        <v>1.19</v>
      </c>
      <c r="E105" s="17">
        <f>D105+МРСК!F102</f>
        <v>2.0246556176052493</v>
      </c>
      <c r="F105" s="105">
        <v>0</v>
      </c>
      <c r="G105" s="44">
        <v>0</v>
      </c>
      <c r="H105" s="18">
        <f>E105-F105</f>
        <v>2.0246556176052493</v>
      </c>
      <c r="I105" s="44">
        <v>0</v>
      </c>
      <c r="J105" s="17">
        <f>МРСК!K102</f>
        <v>16.8</v>
      </c>
      <c r="K105" s="44">
        <f t="shared" si="6"/>
        <v>14.775344382394751</v>
      </c>
      <c r="L105" s="105">
        <f>K105</f>
        <v>14.775344382394751</v>
      </c>
      <c r="M105" s="44"/>
      <c r="N105" s="32"/>
      <c r="P105" s="45"/>
      <c r="Q105" s="223">
        <f>1.19</f>
        <v>1.19</v>
      </c>
      <c r="T105" s="15">
        <v>32</v>
      </c>
    </row>
    <row r="106" spans="1:20" s="15" customFormat="1" ht="21" thickBot="1" thickTop="1">
      <c r="A106" s="81">
        <f>МРСК!A106</f>
        <v>53</v>
      </c>
      <c r="B106" s="82" t="s">
        <v>288</v>
      </c>
      <c r="C106" s="83" t="s">
        <v>60</v>
      </c>
      <c r="D106" s="129">
        <f t="shared" si="5"/>
        <v>0.88</v>
      </c>
      <c r="E106" s="101">
        <f>D106+МРСК!F106</f>
        <v>7.169791808955206</v>
      </c>
      <c r="F106" s="84"/>
      <c r="G106" s="85"/>
      <c r="H106" s="86">
        <f>E106-F106</f>
        <v>7.169791808955206</v>
      </c>
      <c r="I106" s="86">
        <v>0</v>
      </c>
      <c r="J106" s="86">
        <f>МРСК!K106</f>
        <v>42</v>
      </c>
      <c r="K106" s="103">
        <f>J106-I106-H106</f>
        <v>34.8302081910448</v>
      </c>
      <c r="L106" s="138">
        <f>K106</f>
        <v>34.8302081910448</v>
      </c>
      <c r="M106" s="87"/>
      <c r="N106" s="15">
        <v>1.05</v>
      </c>
      <c r="O106" s="45">
        <v>16</v>
      </c>
      <c r="Q106" s="223">
        <f>0.02+0.26+0.6</f>
        <v>0.88</v>
      </c>
      <c r="R106" s="15" t="s">
        <v>61</v>
      </c>
      <c r="T106" s="15">
        <v>80</v>
      </c>
    </row>
    <row r="107" spans="1:20" s="15" customFormat="1" ht="20.25" thickTop="1">
      <c r="A107" s="81">
        <f>МРСК!A107</f>
        <v>54</v>
      </c>
      <c r="B107" s="82" t="s">
        <v>148</v>
      </c>
      <c r="C107" s="83" t="s">
        <v>61</v>
      </c>
      <c r="D107" s="129">
        <f>D108+D109</f>
        <v>0</v>
      </c>
      <c r="E107" s="101">
        <f>D107+МРСК!F107</f>
        <v>10.03338307850348</v>
      </c>
      <c r="F107" s="84">
        <v>11.48</v>
      </c>
      <c r="G107" s="85">
        <v>45</v>
      </c>
      <c r="H107" s="86">
        <f t="shared" si="7"/>
        <v>-1.4466169214965205</v>
      </c>
      <c r="I107" s="86">
        <v>0</v>
      </c>
      <c r="J107" s="86">
        <f>МРСК!K107</f>
        <v>16.8</v>
      </c>
      <c r="K107" s="103">
        <f t="shared" si="8"/>
        <v>18.24661692149652</v>
      </c>
      <c r="L107" s="370">
        <f>MIN(K107:K109)</f>
        <v>17.282642160222647</v>
      </c>
      <c r="M107" s="87"/>
      <c r="N107" s="15">
        <v>1.05</v>
      </c>
      <c r="O107" s="45">
        <v>16</v>
      </c>
      <c r="Q107" s="223"/>
      <c r="R107" s="15" t="s">
        <v>61</v>
      </c>
      <c r="T107" s="15">
        <v>32</v>
      </c>
    </row>
    <row r="108" spans="1:18" s="15" customFormat="1" ht="19.5">
      <c r="A108" s="16">
        <f>МРСК!A108</f>
        <v>0</v>
      </c>
      <c r="B108" s="2" t="s">
        <v>92</v>
      </c>
      <c r="C108" s="10" t="s">
        <v>61</v>
      </c>
      <c r="D108" s="127">
        <f t="shared" si="5"/>
        <v>0</v>
      </c>
      <c r="E108" s="99">
        <f>D108+МРСК!F108</f>
        <v>8.498293711092833</v>
      </c>
      <c r="F108" s="31">
        <v>9.449</v>
      </c>
      <c r="G108" s="45"/>
      <c r="H108" s="17">
        <f t="shared" si="7"/>
        <v>-0.9507062889071669</v>
      </c>
      <c r="I108" s="17">
        <v>0</v>
      </c>
      <c r="J108" s="17">
        <f>МРСК!K108</f>
        <v>16.8</v>
      </c>
      <c r="K108" s="44">
        <f t="shared" si="8"/>
        <v>17.750706288907168</v>
      </c>
      <c r="L108" s="371"/>
      <c r="M108" s="32"/>
      <c r="N108" s="15">
        <v>1.05</v>
      </c>
      <c r="O108" s="45">
        <v>16</v>
      </c>
      <c r="Q108" s="223"/>
      <c r="R108" s="15">
        <v>0</v>
      </c>
    </row>
    <row r="109" spans="1:18" s="15" customFormat="1" ht="20.25" thickBot="1">
      <c r="A109" s="72">
        <f>МРСК!A109</f>
        <v>0</v>
      </c>
      <c r="B109" s="73" t="s">
        <v>93</v>
      </c>
      <c r="C109" s="74" t="s">
        <v>61</v>
      </c>
      <c r="D109" s="128">
        <f t="shared" si="5"/>
        <v>0</v>
      </c>
      <c r="E109" s="100">
        <f>D109+МРСК!F109</f>
        <v>1.5483578397773559</v>
      </c>
      <c r="F109" s="76">
        <v>2.0310000000000006</v>
      </c>
      <c r="G109" s="77"/>
      <c r="H109" s="78">
        <f t="shared" si="7"/>
        <v>-0.4826421602226447</v>
      </c>
      <c r="I109" s="78">
        <v>0</v>
      </c>
      <c r="J109" s="78">
        <f>МРСК!K109</f>
        <v>16.8</v>
      </c>
      <c r="K109" s="75">
        <f t="shared" si="8"/>
        <v>17.282642160222647</v>
      </c>
      <c r="L109" s="372"/>
      <c r="M109" s="80"/>
      <c r="N109" s="15">
        <v>1.05</v>
      </c>
      <c r="O109" s="45">
        <v>16</v>
      </c>
      <c r="Q109" s="223"/>
      <c r="R109" s="15">
        <v>0</v>
      </c>
    </row>
    <row r="110" spans="1:20" s="15" customFormat="1" ht="20.25" thickTop="1">
      <c r="A110" s="81">
        <f>МРСК!A110</f>
        <v>55</v>
      </c>
      <c r="B110" s="82" t="s">
        <v>149</v>
      </c>
      <c r="C110" s="83" t="s">
        <v>86</v>
      </c>
      <c r="D110" s="129">
        <f>D111+D112</f>
        <v>0.66</v>
      </c>
      <c r="E110" s="101">
        <f>D110+МРСК!F110</f>
        <v>20.04062062989728</v>
      </c>
      <c r="F110" s="84">
        <v>9.119</v>
      </c>
      <c r="G110" s="85">
        <v>80</v>
      </c>
      <c r="H110" s="86">
        <f t="shared" si="7"/>
        <v>10.92162062989728</v>
      </c>
      <c r="I110" s="86">
        <v>0</v>
      </c>
      <c r="J110" s="86">
        <f>МРСК!K110</f>
        <v>26.25</v>
      </c>
      <c r="K110" s="103">
        <f t="shared" si="8"/>
        <v>15.32837937010272</v>
      </c>
      <c r="L110" s="370">
        <f>MIN(K110:K112)</f>
        <v>14.563676212133114</v>
      </c>
      <c r="M110" s="87"/>
      <c r="N110" s="15">
        <v>1.05</v>
      </c>
      <c r="O110" s="45">
        <v>25</v>
      </c>
      <c r="Q110" s="223"/>
      <c r="R110" s="15" t="s">
        <v>86</v>
      </c>
      <c r="T110" s="15">
        <v>56.5</v>
      </c>
    </row>
    <row r="111" spans="1:18" s="15" customFormat="1" ht="19.5">
      <c r="A111" s="16">
        <f>МРСК!A111</f>
        <v>0</v>
      </c>
      <c r="B111" s="2" t="s">
        <v>92</v>
      </c>
      <c r="C111" s="10" t="s">
        <v>86</v>
      </c>
      <c r="D111" s="127">
        <f aca="true" t="shared" si="9" ref="D111:D174">Q111</f>
        <v>0</v>
      </c>
      <c r="E111" s="99">
        <f>D111+МРСК!F111</f>
        <v>7.0986742424202</v>
      </c>
      <c r="F111" s="31">
        <v>7.83</v>
      </c>
      <c r="G111" s="45"/>
      <c r="H111" s="17">
        <f t="shared" si="7"/>
        <v>-0.7313257575797998</v>
      </c>
      <c r="I111" s="17">
        <v>0</v>
      </c>
      <c r="J111" s="17">
        <f>МРСК!K111</f>
        <v>26.25</v>
      </c>
      <c r="K111" s="44">
        <f t="shared" si="8"/>
        <v>26.9813257575798</v>
      </c>
      <c r="L111" s="371"/>
      <c r="M111" s="32"/>
      <c r="N111" s="15">
        <v>1.05</v>
      </c>
      <c r="O111" s="45">
        <v>25</v>
      </c>
      <c r="Q111" s="223"/>
      <c r="R111" s="15">
        <v>0</v>
      </c>
    </row>
    <row r="112" spans="1:18" s="15" customFormat="1" ht="20.25" thickBot="1">
      <c r="A112" s="72">
        <f>МРСК!A112</f>
        <v>0</v>
      </c>
      <c r="B112" s="73" t="s">
        <v>93</v>
      </c>
      <c r="C112" s="74" t="s">
        <v>86</v>
      </c>
      <c r="D112" s="128">
        <f t="shared" si="9"/>
        <v>0.66</v>
      </c>
      <c r="E112" s="100">
        <f>D112+МРСК!F112</f>
        <v>12.975323787866886</v>
      </c>
      <c r="F112" s="76">
        <v>1.2889999999999997</v>
      </c>
      <c r="G112" s="77"/>
      <c r="H112" s="78">
        <f t="shared" si="7"/>
        <v>11.686323787866886</v>
      </c>
      <c r="I112" s="78">
        <v>0</v>
      </c>
      <c r="J112" s="78">
        <f>МРСК!K112</f>
        <v>26.25</v>
      </c>
      <c r="K112" s="75">
        <f t="shared" si="8"/>
        <v>14.563676212133114</v>
      </c>
      <c r="L112" s="372"/>
      <c r="M112" s="80"/>
      <c r="N112" s="15">
        <v>1.05</v>
      </c>
      <c r="O112" s="45">
        <v>25</v>
      </c>
      <c r="Q112" s="223">
        <f>0.43+0.13+0.1</f>
        <v>0.66</v>
      </c>
      <c r="R112" s="15">
        <v>0</v>
      </c>
    </row>
    <row r="113" spans="1:20" s="15" customFormat="1" ht="20.25" thickTop="1">
      <c r="A113" s="16">
        <f>МРСК!A113</f>
        <v>56</v>
      </c>
      <c r="B113" s="6" t="s">
        <v>150</v>
      </c>
      <c r="C113" s="45" t="s">
        <v>4</v>
      </c>
      <c r="D113" s="133">
        <f t="shared" si="9"/>
        <v>0</v>
      </c>
      <c r="E113" s="17">
        <f>D113+МРСК!F113</f>
        <v>2.2874188510196376</v>
      </c>
      <c r="F113" s="44">
        <v>0</v>
      </c>
      <c r="G113" s="18"/>
      <c r="H113" s="44">
        <f t="shared" si="7"/>
        <v>2.2874188510196376</v>
      </c>
      <c r="I113" s="17">
        <v>0</v>
      </c>
      <c r="J113" s="46">
        <f>МРСК!K113</f>
        <v>26.25</v>
      </c>
      <c r="K113" s="44">
        <f t="shared" si="8"/>
        <v>23.962581148980362</v>
      </c>
      <c r="L113" s="44">
        <f>MIN(K113:K113)</f>
        <v>23.962581148980362</v>
      </c>
      <c r="M113" s="32"/>
      <c r="N113" s="15">
        <v>1.05</v>
      </c>
      <c r="O113" s="45">
        <v>25</v>
      </c>
      <c r="Q113" s="223"/>
      <c r="R113" s="15" t="s">
        <v>4</v>
      </c>
      <c r="T113" s="15">
        <v>50</v>
      </c>
    </row>
    <row r="114" spans="1:20" s="15" customFormat="1" ht="20.25" thickBot="1">
      <c r="A114" s="16">
        <f>МРСК!A114</f>
        <v>57</v>
      </c>
      <c r="B114" s="2" t="s">
        <v>151</v>
      </c>
      <c r="C114" s="45" t="s">
        <v>61</v>
      </c>
      <c r="D114" s="133">
        <f t="shared" si="9"/>
        <v>0</v>
      </c>
      <c r="E114" s="17">
        <f>D114+МРСК!F114</f>
        <v>5.12761357748417</v>
      </c>
      <c r="F114" s="44">
        <v>0</v>
      </c>
      <c r="G114" s="18"/>
      <c r="H114" s="44">
        <f t="shared" si="7"/>
        <v>5.12761357748417</v>
      </c>
      <c r="I114" s="17">
        <v>0</v>
      </c>
      <c r="J114" s="46">
        <f>МРСК!K114</f>
        <v>16.8</v>
      </c>
      <c r="K114" s="44">
        <f t="shared" si="8"/>
        <v>11.672386422515832</v>
      </c>
      <c r="L114" s="44">
        <f>K114</f>
        <v>11.672386422515832</v>
      </c>
      <c r="M114" s="32"/>
      <c r="N114" s="15">
        <v>1.05</v>
      </c>
      <c r="O114" s="45">
        <v>16</v>
      </c>
      <c r="Q114" s="223"/>
      <c r="R114" s="15" t="s">
        <v>61</v>
      </c>
      <c r="T114" s="15">
        <v>32</v>
      </c>
    </row>
    <row r="115" spans="1:20" s="15" customFormat="1" ht="21" thickBot="1" thickTop="1">
      <c r="A115" s="81">
        <f>МРСК!A115</f>
        <v>58</v>
      </c>
      <c r="B115" s="82" t="s">
        <v>296</v>
      </c>
      <c r="C115" s="83" t="s">
        <v>4</v>
      </c>
      <c r="D115" s="129">
        <f>D116+D117</f>
        <v>0.6</v>
      </c>
      <c r="E115" s="101">
        <f>D115+МРСК!F115</f>
        <v>0.6</v>
      </c>
      <c r="F115" s="84">
        <v>6.679</v>
      </c>
      <c r="G115" s="85">
        <v>120</v>
      </c>
      <c r="H115" s="86">
        <f>E115-F115</f>
        <v>-6.079000000000001</v>
      </c>
      <c r="I115" s="86">
        <v>0</v>
      </c>
      <c r="J115" s="86">
        <f>МРСК!K115</f>
        <v>26.25</v>
      </c>
      <c r="K115" s="103">
        <f>J115-E115</f>
        <v>25.65</v>
      </c>
      <c r="L115" s="370">
        <f>MIN(K115:K117)</f>
        <v>25.65</v>
      </c>
      <c r="M115" s="87"/>
      <c r="Q115" s="223"/>
      <c r="R115" s="15">
        <v>25</v>
      </c>
      <c r="T115" s="15">
        <v>50</v>
      </c>
    </row>
    <row r="116" spans="1:18" s="15" customFormat="1" ht="21" thickBot="1" thickTop="1">
      <c r="A116" s="16">
        <f>МРСК!A116</f>
        <v>0</v>
      </c>
      <c r="B116" s="2" t="s">
        <v>92</v>
      </c>
      <c r="C116" s="83" t="s">
        <v>4</v>
      </c>
      <c r="D116" s="127">
        <f t="shared" si="9"/>
        <v>0</v>
      </c>
      <c r="E116" s="99">
        <f>D116+МРСК!F116</f>
        <v>0</v>
      </c>
      <c r="F116" s="31">
        <v>2.022</v>
      </c>
      <c r="G116" s="45"/>
      <c r="H116" s="17">
        <f>E116-F116</f>
        <v>-2.022</v>
      </c>
      <c r="I116" s="17">
        <v>0</v>
      </c>
      <c r="J116" s="17">
        <f>МРСК!K116</f>
        <v>26.25</v>
      </c>
      <c r="K116" s="44">
        <f>J116-E116</f>
        <v>26.25</v>
      </c>
      <c r="L116" s="371"/>
      <c r="M116" s="32"/>
      <c r="Q116" s="223"/>
      <c r="R116" s="15">
        <v>0</v>
      </c>
    </row>
    <row r="117" spans="1:18" s="15" customFormat="1" ht="21" thickBot="1" thickTop="1">
      <c r="A117" s="72">
        <f>МРСК!A117</f>
        <v>0</v>
      </c>
      <c r="B117" s="73" t="s">
        <v>93</v>
      </c>
      <c r="C117" s="83" t="s">
        <v>4</v>
      </c>
      <c r="D117" s="128">
        <f t="shared" si="9"/>
        <v>0.6</v>
      </c>
      <c r="E117" s="100">
        <f>D117+МРСК!F117</f>
        <v>0.6</v>
      </c>
      <c r="F117" s="76">
        <v>4.657</v>
      </c>
      <c r="G117" s="77"/>
      <c r="H117" s="78">
        <f>E117-F117</f>
        <v>-4.057</v>
      </c>
      <c r="I117" s="78">
        <v>0</v>
      </c>
      <c r="J117" s="78">
        <f>МРСК!K117</f>
        <v>26.25</v>
      </c>
      <c r="K117" s="75">
        <f>J117-E117</f>
        <v>25.65</v>
      </c>
      <c r="L117" s="372"/>
      <c r="M117" s="80"/>
      <c r="Q117" s="223">
        <f>0.6</f>
        <v>0.6</v>
      </c>
      <c r="R117" s="15">
        <v>0</v>
      </c>
    </row>
    <row r="118" spans="1:20" s="15" customFormat="1" ht="21" thickBot="1" thickTop="1">
      <c r="A118" s="16">
        <f>МРСК!A118</f>
        <v>59</v>
      </c>
      <c r="B118" s="6" t="s">
        <v>152</v>
      </c>
      <c r="C118" s="83" t="s">
        <v>4</v>
      </c>
      <c r="D118" s="133">
        <f>D119+D120</f>
        <v>0.9899999999999999</v>
      </c>
      <c r="E118" s="17">
        <f>D118+МРСК!F118</f>
        <v>19.531051884938996</v>
      </c>
      <c r="F118" s="44">
        <v>0</v>
      </c>
      <c r="G118" s="18"/>
      <c r="H118" s="44">
        <f t="shared" si="7"/>
        <v>19.531051884938996</v>
      </c>
      <c r="I118" s="17">
        <v>0</v>
      </c>
      <c r="J118" s="46">
        <f>МРСК!K118</f>
        <v>26.25</v>
      </c>
      <c r="K118" s="44">
        <f t="shared" si="8"/>
        <v>6.7189481150610035</v>
      </c>
      <c r="L118" s="44">
        <f>MIN(K118:K118)</f>
        <v>6.7189481150610035</v>
      </c>
      <c r="M118" s="32"/>
      <c r="N118" s="15">
        <v>1.05</v>
      </c>
      <c r="O118" s="45">
        <v>25</v>
      </c>
      <c r="Q118" s="223">
        <f>0.12+0.11+0.1</f>
        <v>0.32999999999999996</v>
      </c>
      <c r="R118" s="15" t="s">
        <v>4</v>
      </c>
      <c r="T118" s="15">
        <v>50</v>
      </c>
    </row>
    <row r="119" spans="1:20" s="15" customFormat="1" ht="20.25" thickTop="1">
      <c r="A119" s="16">
        <f>МРСК!A119</f>
        <v>60</v>
      </c>
      <c r="B119" s="2" t="s">
        <v>153</v>
      </c>
      <c r="C119" s="83" t="s">
        <v>61</v>
      </c>
      <c r="D119" s="133">
        <f t="shared" si="9"/>
        <v>0</v>
      </c>
      <c r="E119" s="17">
        <f>D119+МРСК!F119</f>
        <v>14.485999620323065</v>
      </c>
      <c r="F119" s="44">
        <v>1.296</v>
      </c>
      <c r="G119" s="18">
        <v>80</v>
      </c>
      <c r="H119" s="44">
        <f t="shared" si="7"/>
        <v>13.189999620323066</v>
      </c>
      <c r="I119" s="17">
        <v>0</v>
      </c>
      <c r="J119" s="46">
        <f>МРСК!K119</f>
        <v>16.8</v>
      </c>
      <c r="K119" s="44">
        <f t="shared" si="8"/>
        <v>3.6100003796769347</v>
      </c>
      <c r="L119" s="44">
        <f>K119</f>
        <v>3.6100003796769347</v>
      </c>
      <c r="M119" s="32"/>
      <c r="N119" s="15">
        <v>1.05</v>
      </c>
      <c r="O119" s="45">
        <v>16</v>
      </c>
      <c r="Q119" s="223"/>
      <c r="R119" s="15" t="s">
        <v>61</v>
      </c>
      <c r="T119" s="15">
        <v>32</v>
      </c>
    </row>
    <row r="120" spans="1:20" s="15" customFormat="1" ht="20.25" thickBot="1">
      <c r="A120" s="16">
        <f>МРСК!A120</f>
        <v>61</v>
      </c>
      <c r="B120" s="6" t="s">
        <v>154</v>
      </c>
      <c r="C120" s="45" t="s">
        <v>60</v>
      </c>
      <c r="D120" s="133">
        <f t="shared" si="9"/>
        <v>0.9899999999999999</v>
      </c>
      <c r="E120" s="17">
        <f>D120+МРСК!F120</f>
        <v>32.561761686671844</v>
      </c>
      <c r="F120" s="44">
        <v>0</v>
      </c>
      <c r="G120" s="45">
        <v>60</v>
      </c>
      <c r="H120" s="44">
        <f t="shared" si="7"/>
        <v>32.561761686671844</v>
      </c>
      <c r="I120" s="17">
        <v>0</v>
      </c>
      <c r="J120" s="46">
        <f>МРСК!K120</f>
        <v>42</v>
      </c>
      <c r="K120" s="44">
        <f t="shared" si="8"/>
        <v>9.438238313328156</v>
      </c>
      <c r="L120" s="44">
        <f>MIN(K120:K120)</f>
        <v>9.438238313328156</v>
      </c>
      <c r="M120" s="32"/>
      <c r="N120" s="15">
        <v>1.05</v>
      </c>
      <c r="O120" s="45">
        <v>40</v>
      </c>
      <c r="Q120" s="223">
        <f>0.29+0.6+0.1</f>
        <v>0.9899999999999999</v>
      </c>
      <c r="R120" s="15" t="s">
        <v>60</v>
      </c>
      <c r="T120" s="15">
        <v>80</v>
      </c>
    </row>
    <row r="121" spans="1:20" s="15" customFormat="1" ht="21" thickBot="1" thickTop="1">
      <c r="A121" s="16">
        <f>МРСК!A121</f>
        <v>62</v>
      </c>
      <c r="B121" s="82" t="s">
        <v>155</v>
      </c>
      <c r="C121" s="83" t="s">
        <v>64</v>
      </c>
      <c r="D121" s="129">
        <f>D122+D123</f>
        <v>7.33</v>
      </c>
      <c r="E121" s="101">
        <f>D121+МРСК!F121</f>
        <v>20.95101435282997</v>
      </c>
      <c r="F121" s="84">
        <v>8.98</v>
      </c>
      <c r="G121" s="85">
        <v>120</v>
      </c>
      <c r="H121" s="86">
        <f t="shared" si="7"/>
        <v>11.971014352829968</v>
      </c>
      <c r="I121" s="86">
        <v>0</v>
      </c>
      <c r="J121" s="86">
        <f>МРСК!K121</f>
        <v>10.5</v>
      </c>
      <c r="K121" s="103">
        <f t="shared" si="8"/>
        <v>-1.4710143528299682</v>
      </c>
      <c r="L121" s="370">
        <f>MIN(K121:K123)</f>
        <v>-1.4710143528299682</v>
      </c>
      <c r="M121" s="87"/>
      <c r="N121" s="15">
        <v>1.05</v>
      </c>
      <c r="O121" s="45">
        <v>10</v>
      </c>
      <c r="Q121" s="223"/>
      <c r="R121" s="15" t="s">
        <v>64</v>
      </c>
      <c r="T121" s="15">
        <v>20</v>
      </c>
    </row>
    <row r="122" spans="1:18" s="15" customFormat="1" ht="21" thickBot="1" thickTop="1">
      <c r="A122" s="16">
        <f>МРСК!A122</f>
        <v>0</v>
      </c>
      <c r="B122" s="2" t="s">
        <v>92</v>
      </c>
      <c r="C122" s="83" t="s">
        <v>64</v>
      </c>
      <c r="D122" s="127">
        <f t="shared" si="9"/>
        <v>0</v>
      </c>
      <c r="E122" s="99">
        <f>D122+МРСК!F122</f>
        <v>10.329193192113312</v>
      </c>
      <c r="F122" s="31">
        <v>6.407</v>
      </c>
      <c r="G122" s="45"/>
      <c r="H122" s="17">
        <f t="shared" si="7"/>
        <v>3.922193192113312</v>
      </c>
      <c r="I122" s="17">
        <v>0</v>
      </c>
      <c r="J122" s="17">
        <f>МРСК!K122</f>
        <v>10.5</v>
      </c>
      <c r="K122" s="44">
        <f t="shared" si="8"/>
        <v>6.577806807886688</v>
      </c>
      <c r="L122" s="371"/>
      <c r="M122" s="32"/>
      <c r="N122" s="15">
        <v>1.05</v>
      </c>
      <c r="O122" s="45">
        <v>10</v>
      </c>
      <c r="Q122" s="223"/>
      <c r="R122" s="15">
        <v>0</v>
      </c>
    </row>
    <row r="123" spans="1:18" s="15" customFormat="1" ht="21" thickBot="1" thickTop="1">
      <c r="A123" s="72">
        <f>МРСК!A123</f>
        <v>0</v>
      </c>
      <c r="B123" s="73" t="s">
        <v>93</v>
      </c>
      <c r="C123" s="83" t="s">
        <v>64</v>
      </c>
      <c r="D123" s="128">
        <f t="shared" si="9"/>
        <v>7.33</v>
      </c>
      <c r="E123" s="100">
        <f>D123+МРСК!F123</f>
        <v>10.635782811982663</v>
      </c>
      <c r="F123" s="76">
        <v>2.5730000000000004</v>
      </c>
      <c r="G123" s="77"/>
      <c r="H123" s="78">
        <f t="shared" si="7"/>
        <v>8.062782811982663</v>
      </c>
      <c r="I123" s="78">
        <v>0</v>
      </c>
      <c r="J123" s="78">
        <f>МРСК!K123</f>
        <v>10.5</v>
      </c>
      <c r="K123" s="75">
        <f t="shared" si="8"/>
        <v>2.437217188017337</v>
      </c>
      <c r="L123" s="372"/>
      <c r="M123" s="80"/>
      <c r="N123" s="15">
        <v>1.05</v>
      </c>
      <c r="O123" s="45">
        <v>10</v>
      </c>
      <c r="Q123" s="223">
        <f>7+0.33</f>
        <v>7.33</v>
      </c>
      <c r="R123" s="15">
        <v>0</v>
      </c>
    </row>
    <row r="124" spans="1:20" s="15" customFormat="1" ht="20.25" thickTop="1">
      <c r="A124" s="81">
        <f>МРСК!A124</f>
        <v>63</v>
      </c>
      <c r="B124" s="82" t="s">
        <v>156</v>
      </c>
      <c r="C124" s="83" t="s">
        <v>4</v>
      </c>
      <c r="D124" s="129">
        <f>D125+D126</f>
        <v>0.22</v>
      </c>
      <c r="E124" s="101">
        <f>D124+МРСК!F124</f>
        <v>20.45031675481133</v>
      </c>
      <c r="F124" s="84">
        <v>10.46</v>
      </c>
      <c r="G124" s="85">
        <v>45</v>
      </c>
      <c r="H124" s="86">
        <f t="shared" si="7"/>
        <v>9.990316754811328</v>
      </c>
      <c r="I124" s="86">
        <v>0</v>
      </c>
      <c r="J124" s="86">
        <f>МРСК!K124</f>
        <v>26.25</v>
      </c>
      <c r="K124" s="103">
        <f t="shared" si="8"/>
        <v>16.259683245188672</v>
      </c>
      <c r="L124" s="370">
        <f>MIN(K124:K126)</f>
        <v>16.259683245188672</v>
      </c>
      <c r="M124" s="87"/>
      <c r="N124" s="15">
        <v>1.05</v>
      </c>
      <c r="O124" s="45">
        <v>25</v>
      </c>
      <c r="Q124" s="223"/>
      <c r="R124" s="15" t="s">
        <v>4</v>
      </c>
      <c r="T124" s="15">
        <v>50</v>
      </c>
    </row>
    <row r="125" spans="1:18" s="15" customFormat="1" ht="19.5">
      <c r="A125" s="16">
        <f>МРСК!A125</f>
        <v>0</v>
      </c>
      <c r="B125" s="2" t="s">
        <v>92</v>
      </c>
      <c r="C125" s="10" t="s">
        <v>4</v>
      </c>
      <c r="D125" s="127">
        <f t="shared" si="9"/>
        <v>0</v>
      </c>
      <c r="E125" s="99">
        <f>D125+МРСК!F125</f>
        <v>12.073918874996634</v>
      </c>
      <c r="F125" s="31">
        <v>10.46</v>
      </c>
      <c r="G125" s="45"/>
      <c r="H125" s="17">
        <f t="shared" si="7"/>
        <v>1.6139188749966333</v>
      </c>
      <c r="I125" s="17">
        <v>0</v>
      </c>
      <c r="J125" s="17">
        <f>МРСК!K125</f>
        <v>26.25</v>
      </c>
      <c r="K125" s="44">
        <f t="shared" si="8"/>
        <v>24.636081125003365</v>
      </c>
      <c r="L125" s="371"/>
      <c r="M125" s="32"/>
      <c r="N125" s="15">
        <v>1.05</v>
      </c>
      <c r="O125" s="45">
        <v>25</v>
      </c>
      <c r="Q125" s="223"/>
      <c r="R125" s="15">
        <v>0</v>
      </c>
    </row>
    <row r="126" spans="1:18" s="15" customFormat="1" ht="20.25" thickBot="1">
      <c r="A126" s="72">
        <f>МРСК!A126</f>
        <v>0</v>
      </c>
      <c r="B126" s="73" t="s">
        <v>93</v>
      </c>
      <c r="C126" s="74" t="s">
        <v>4</v>
      </c>
      <c r="D126" s="128">
        <f t="shared" si="9"/>
        <v>0.22</v>
      </c>
      <c r="E126" s="100">
        <f>D126+МРСК!F126</f>
        <v>8.437545923206029</v>
      </c>
      <c r="F126" s="76">
        <v>0</v>
      </c>
      <c r="G126" s="77"/>
      <c r="H126" s="78">
        <f t="shared" si="7"/>
        <v>8.437545923206029</v>
      </c>
      <c r="I126" s="78">
        <v>0</v>
      </c>
      <c r="J126" s="78">
        <f>МРСК!K126</f>
        <v>26.25</v>
      </c>
      <c r="K126" s="75">
        <f t="shared" si="8"/>
        <v>17.81245407679397</v>
      </c>
      <c r="L126" s="372"/>
      <c r="M126" s="80"/>
      <c r="N126" s="15">
        <v>1.05</v>
      </c>
      <c r="O126" s="45">
        <v>25</v>
      </c>
      <c r="Q126" s="223">
        <f>0.04+0.02+0.06+0.1</f>
        <v>0.22</v>
      </c>
      <c r="R126" s="15">
        <v>0</v>
      </c>
    </row>
    <row r="127" spans="1:20" s="15" customFormat="1" ht="18.75" customHeight="1" thickBot="1" thickTop="1">
      <c r="A127" s="16">
        <f>МРСК!A127</f>
        <v>64</v>
      </c>
      <c r="B127" s="2" t="s">
        <v>157</v>
      </c>
      <c r="C127" s="45" t="s">
        <v>60</v>
      </c>
      <c r="D127" s="133">
        <f t="shared" si="9"/>
        <v>10.370000000000001</v>
      </c>
      <c r="E127" s="17">
        <f>D127+МРСК!F127</f>
        <v>22.013274453520367</v>
      </c>
      <c r="F127" s="44">
        <v>3.312</v>
      </c>
      <c r="G127" s="18">
        <v>45</v>
      </c>
      <c r="H127" s="44">
        <f t="shared" si="7"/>
        <v>18.701274453520366</v>
      </c>
      <c r="I127" s="17">
        <v>0</v>
      </c>
      <c r="J127" s="46">
        <f>МРСК!K127</f>
        <v>42</v>
      </c>
      <c r="K127" s="44">
        <f t="shared" si="8"/>
        <v>23.298725546479634</v>
      </c>
      <c r="L127" s="44">
        <f>MIN(K127:K127)</f>
        <v>23.298725546479634</v>
      </c>
      <c r="M127" s="32"/>
      <c r="N127" s="15">
        <v>1.05</v>
      </c>
      <c r="O127" s="45">
        <v>40</v>
      </c>
      <c r="Q127" s="223">
        <f>5.13+0.15+3.59+1.5</f>
        <v>10.370000000000001</v>
      </c>
      <c r="R127" s="15" t="s">
        <v>60</v>
      </c>
      <c r="T127" s="15">
        <v>80</v>
      </c>
    </row>
    <row r="128" spans="1:20" s="15" customFormat="1" ht="20.25" thickTop="1">
      <c r="A128" s="81">
        <f>МРСК!A128</f>
        <v>65</v>
      </c>
      <c r="B128" s="82" t="s">
        <v>158</v>
      </c>
      <c r="C128" s="83" t="s">
        <v>61</v>
      </c>
      <c r="D128" s="129">
        <f>D129+D130</f>
        <v>0.28</v>
      </c>
      <c r="E128" s="101">
        <f>D128+МРСК!F128</f>
        <v>15.06359729565169</v>
      </c>
      <c r="F128" s="84">
        <v>10.36</v>
      </c>
      <c r="G128" s="85">
        <v>120</v>
      </c>
      <c r="H128" s="86">
        <f t="shared" si="7"/>
        <v>4.70359729565169</v>
      </c>
      <c r="I128" s="86">
        <v>0</v>
      </c>
      <c r="J128" s="86">
        <f>МРСК!K128</f>
        <v>16.8</v>
      </c>
      <c r="K128" s="103">
        <f t="shared" si="8"/>
        <v>12.09640270434831</v>
      </c>
      <c r="L128" s="370">
        <f>MIN(K128:K130)</f>
        <v>12.09640270434831</v>
      </c>
      <c r="M128" s="87"/>
      <c r="N128" s="15">
        <v>1.05</v>
      </c>
      <c r="O128" s="45">
        <v>16</v>
      </c>
      <c r="Q128" s="223"/>
      <c r="R128" s="15" t="s">
        <v>61</v>
      </c>
      <c r="T128" s="15">
        <v>32</v>
      </c>
    </row>
    <row r="129" spans="1:18" s="15" customFormat="1" ht="19.5">
      <c r="A129" s="16">
        <f>МРСК!A129</f>
        <v>0</v>
      </c>
      <c r="B129" s="2" t="s">
        <v>92</v>
      </c>
      <c r="C129" s="10" t="s">
        <v>61</v>
      </c>
      <c r="D129" s="127">
        <f t="shared" si="9"/>
        <v>0</v>
      </c>
      <c r="E129" s="99">
        <f>D129+МРСК!F129</f>
        <v>10.563621064767515</v>
      </c>
      <c r="F129" s="31">
        <v>7.562</v>
      </c>
      <c r="G129" s="45"/>
      <c r="H129" s="17">
        <f t="shared" si="7"/>
        <v>3.001621064767515</v>
      </c>
      <c r="I129" s="17">
        <v>0</v>
      </c>
      <c r="J129" s="17">
        <f>МРСК!K129</f>
        <v>16.8</v>
      </c>
      <c r="K129" s="44">
        <f t="shared" si="8"/>
        <v>13.798378935232485</v>
      </c>
      <c r="L129" s="371"/>
      <c r="M129" s="32"/>
      <c r="N129" s="15">
        <v>1.05</v>
      </c>
      <c r="O129" s="45">
        <v>16</v>
      </c>
      <c r="Q129" s="223"/>
      <c r="R129" s="15">
        <v>0</v>
      </c>
    </row>
    <row r="130" spans="1:18" s="15" customFormat="1" ht="20.25" thickBot="1">
      <c r="A130" s="72">
        <f>МРСК!A130</f>
        <v>0</v>
      </c>
      <c r="B130" s="73" t="s">
        <v>93</v>
      </c>
      <c r="C130" s="74" t="s">
        <v>61</v>
      </c>
      <c r="D130" s="128">
        <f t="shared" si="9"/>
        <v>0.28</v>
      </c>
      <c r="E130" s="100">
        <f>D130+МРСК!F130</f>
        <v>4.500720909986823</v>
      </c>
      <c r="F130" s="76">
        <v>2.797999999999999</v>
      </c>
      <c r="G130" s="77"/>
      <c r="H130" s="78">
        <f t="shared" si="7"/>
        <v>1.702720909986824</v>
      </c>
      <c r="I130" s="78">
        <v>0</v>
      </c>
      <c r="J130" s="78">
        <f>МРСК!K130</f>
        <v>16.8</v>
      </c>
      <c r="K130" s="75">
        <f t="shared" si="8"/>
        <v>15.097279090013178</v>
      </c>
      <c r="L130" s="372"/>
      <c r="M130" s="80"/>
      <c r="N130" s="15">
        <v>1.05</v>
      </c>
      <c r="O130" s="45">
        <v>16</v>
      </c>
      <c r="Q130" s="223">
        <f>0.1+0.08+0.1</f>
        <v>0.28</v>
      </c>
      <c r="R130" s="15">
        <v>0</v>
      </c>
    </row>
    <row r="131" spans="1:20" s="15" customFormat="1" ht="20.25" thickTop="1">
      <c r="A131" s="81">
        <f>МРСК!A131</f>
        <v>66</v>
      </c>
      <c r="B131" s="82" t="s">
        <v>159</v>
      </c>
      <c r="C131" s="83" t="s">
        <v>68</v>
      </c>
      <c r="D131" s="129">
        <f>D132+D133</f>
        <v>0.31000000000000005</v>
      </c>
      <c r="E131" s="101">
        <f>D131+МРСК!F131</f>
        <v>35.36347072687668</v>
      </c>
      <c r="F131" s="84">
        <v>0</v>
      </c>
      <c r="G131" s="85"/>
      <c r="H131" s="86">
        <f t="shared" si="7"/>
        <v>35.36347072687668</v>
      </c>
      <c r="I131" s="86">
        <v>0</v>
      </c>
      <c r="J131" s="86">
        <f>МРСК!K131</f>
        <v>47.25</v>
      </c>
      <c r="K131" s="103">
        <f t="shared" si="8"/>
        <v>11.886529273123323</v>
      </c>
      <c r="L131" s="370">
        <f>MIN(K131:K133)</f>
        <v>11.886529273123323</v>
      </c>
      <c r="M131" s="87"/>
      <c r="N131" s="15">
        <v>1.05</v>
      </c>
      <c r="O131" s="45">
        <v>45</v>
      </c>
      <c r="Q131" s="223"/>
      <c r="R131" s="15" t="s">
        <v>68</v>
      </c>
      <c r="T131" s="15">
        <v>70</v>
      </c>
    </row>
    <row r="132" spans="1:18" s="15" customFormat="1" ht="19.5">
      <c r="A132" s="16">
        <f>МРСК!A132</f>
        <v>0</v>
      </c>
      <c r="B132" s="2" t="s">
        <v>92</v>
      </c>
      <c r="C132" s="10" t="s">
        <v>68</v>
      </c>
      <c r="D132" s="127">
        <f t="shared" si="9"/>
        <v>0</v>
      </c>
      <c r="E132" s="99">
        <f>D132+МРСК!F132</f>
        <v>11.828002578626705</v>
      </c>
      <c r="F132" s="31">
        <v>0</v>
      </c>
      <c r="G132" s="45"/>
      <c r="H132" s="17">
        <f t="shared" si="7"/>
        <v>11.828002578626705</v>
      </c>
      <c r="I132" s="17">
        <v>0</v>
      </c>
      <c r="J132" s="17">
        <f>МРСК!K132</f>
        <v>47.25</v>
      </c>
      <c r="K132" s="44">
        <f t="shared" si="8"/>
        <v>35.42199742137329</v>
      </c>
      <c r="L132" s="371"/>
      <c r="M132" s="32"/>
      <c r="N132" s="15">
        <v>1.05</v>
      </c>
      <c r="O132" s="45">
        <v>45</v>
      </c>
      <c r="Q132" s="223"/>
      <c r="R132" s="15">
        <v>0</v>
      </c>
    </row>
    <row r="133" spans="1:18" s="15" customFormat="1" ht="20.25" thickBot="1">
      <c r="A133" s="72">
        <f>МРСК!A133</f>
        <v>0</v>
      </c>
      <c r="B133" s="73" t="s">
        <v>93</v>
      </c>
      <c r="C133" s="74" t="s">
        <v>68</v>
      </c>
      <c r="D133" s="128">
        <f t="shared" si="9"/>
        <v>0.31000000000000005</v>
      </c>
      <c r="E133" s="100">
        <f>D133+МРСК!F133</f>
        <v>23.644856438384185</v>
      </c>
      <c r="F133" s="76">
        <v>0</v>
      </c>
      <c r="G133" s="77"/>
      <c r="H133" s="78">
        <f t="shared" si="7"/>
        <v>23.644856438384185</v>
      </c>
      <c r="I133" s="78">
        <v>0</v>
      </c>
      <c r="J133" s="78">
        <f>МРСК!K133</f>
        <v>47.25</v>
      </c>
      <c r="K133" s="75">
        <f t="shared" si="8"/>
        <v>23.605143561615815</v>
      </c>
      <c r="L133" s="372"/>
      <c r="M133" s="80"/>
      <c r="N133" s="15">
        <v>1.05</v>
      </c>
      <c r="O133" s="45">
        <v>45</v>
      </c>
      <c r="Q133" s="223">
        <f>0.05+0.02+0.04+0.2</f>
        <v>0.31000000000000005</v>
      </c>
      <c r="R133" s="15">
        <v>0</v>
      </c>
    </row>
    <row r="134" spans="1:20" s="15" customFormat="1" ht="20.25" thickTop="1">
      <c r="A134" s="81">
        <f>МРСК!A134</f>
        <v>67</v>
      </c>
      <c r="B134" s="82" t="s">
        <v>160</v>
      </c>
      <c r="C134" s="83" t="s">
        <v>61</v>
      </c>
      <c r="D134" s="129">
        <f>D135+D136</f>
        <v>0.49</v>
      </c>
      <c r="E134" s="101">
        <f>D134+МРСК!F134</f>
        <v>5.397841276977078</v>
      </c>
      <c r="F134" s="84">
        <v>2.23</v>
      </c>
      <c r="G134" s="85">
        <v>80</v>
      </c>
      <c r="H134" s="86">
        <f t="shared" si="7"/>
        <v>3.1678412769770783</v>
      </c>
      <c r="I134" s="86">
        <v>0</v>
      </c>
      <c r="J134" s="86">
        <f>МРСК!K134</f>
        <v>16.8</v>
      </c>
      <c r="K134" s="103">
        <f t="shared" si="8"/>
        <v>13.632158723022922</v>
      </c>
      <c r="L134" s="370">
        <f>MIN(K134:K136)</f>
        <v>5.191195598935032</v>
      </c>
      <c r="M134" s="87"/>
      <c r="N134" s="15">
        <v>1.05</v>
      </c>
      <c r="O134" s="45">
        <v>16</v>
      </c>
      <c r="Q134" s="223"/>
      <c r="R134" s="15" t="s">
        <v>61</v>
      </c>
      <c r="T134" s="15">
        <v>32</v>
      </c>
    </row>
    <row r="135" spans="1:18" s="15" customFormat="1" ht="19.5">
      <c r="A135" s="16">
        <f>МРСК!A135</f>
        <v>0</v>
      </c>
      <c r="B135" s="2" t="s">
        <v>92</v>
      </c>
      <c r="C135" s="10" t="s">
        <v>273</v>
      </c>
      <c r="D135" s="127">
        <f t="shared" si="9"/>
        <v>0</v>
      </c>
      <c r="E135" s="99">
        <f>D135+МРСК!F135</f>
        <v>0.10196568050084302</v>
      </c>
      <c r="F135" s="31">
        <v>0</v>
      </c>
      <c r="G135" s="45"/>
      <c r="H135" s="17">
        <f t="shared" si="7"/>
        <v>0.10196568050084302</v>
      </c>
      <c r="I135" s="17">
        <v>0</v>
      </c>
      <c r="J135" s="17">
        <f>МРСК!K135</f>
        <v>8.4</v>
      </c>
      <c r="K135" s="44">
        <f t="shared" si="8"/>
        <v>8.298034319499157</v>
      </c>
      <c r="L135" s="371"/>
      <c r="M135" s="32"/>
      <c r="N135" s="15">
        <v>1.05</v>
      </c>
      <c r="O135" s="45">
        <v>8</v>
      </c>
      <c r="Q135" s="223"/>
      <c r="R135" s="15">
        <v>0</v>
      </c>
    </row>
    <row r="136" spans="1:18" s="15" customFormat="1" ht="20.25" thickBot="1">
      <c r="A136" s="72">
        <f>МРСК!A136</f>
        <v>0</v>
      </c>
      <c r="B136" s="73" t="s">
        <v>93</v>
      </c>
      <c r="C136" s="74" t="s">
        <v>273</v>
      </c>
      <c r="D136" s="128">
        <f t="shared" si="9"/>
        <v>0.49</v>
      </c>
      <c r="E136" s="100">
        <f>D136+МРСК!F136</f>
        <v>5.438804401064968</v>
      </c>
      <c r="F136" s="76">
        <v>2.23</v>
      </c>
      <c r="G136" s="77"/>
      <c r="H136" s="78">
        <f t="shared" si="7"/>
        <v>3.208804401064968</v>
      </c>
      <c r="I136" s="78">
        <v>0</v>
      </c>
      <c r="J136" s="78">
        <f>МРСК!K136</f>
        <v>8.4</v>
      </c>
      <c r="K136" s="75">
        <f t="shared" si="8"/>
        <v>5.191195598935032</v>
      </c>
      <c r="L136" s="372"/>
      <c r="M136" s="80"/>
      <c r="N136" s="15">
        <v>1.05</v>
      </c>
      <c r="O136" s="45">
        <v>8</v>
      </c>
      <c r="Q136" s="223">
        <f>0.3+0.19</f>
        <v>0.49</v>
      </c>
      <c r="R136" s="15">
        <v>0</v>
      </c>
    </row>
    <row r="137" spans="1:20" s="15" customFormat="1" ht="21" thickBot="1" thickTop="1">
      <c r="A137" s="16">
        <f>МРСК!A137</f>
        <v>68</v>
      </c>
      <c r="B137" s="2" t="s">
        <v>161</v>
      </c>
      <c r="C137" s="45" t="s">
        <v>63</v>
      </c>
      <c r="D137" s="133">
        <f t="shared" si="9"/>
        <v>1.59</v>
      </c>
      <c r="E137" s="17">
        <f>D137+МРСК!F137</f>
        <v>15.383163814005835</v>
      </c>
      <c r="F137" s="44">
        <v>0</v>
      </c>
      <c r="G137" s="18"/>
      <c r="H137" s="44">
        <f t="shared" si="7"/>
        <v>15.383163814005835</v>
      </c>
      <c r="I137" s="17">
        <v>0</v>
      </c>
      <c r="J137" s="46">
        <f>МРСК!K137</f>
        <v>15.75</v>
      </c>
      <c r="K137" s="44">
        <f t="shared" si="8"/>
        <v>0.3668361859941651</v>
      </c>
      <c r="L137" s="44">
        <f>K137</f>
        <v>0.3668361859941651</v>
      </c>
      <c r="M137" s="32"/>
      <c r="N137" s="15">
        <v>1.05</v>
      </c>
      <c r="O137" s="45">
        <v>15</v>
      </c>
      <c r="Q137" s="223">
        <f>0.49+0.17+0.03+0.9</f>
        <v>1.59</v>
      </c>
      <c r="R137" s="15" t="s">
        <v>63</v>
      </c>
      <c r="T137" s="15">
        <v>30</v>
      </c>
    </row>
    <row r="138" spans="1:20" s="15" customFormat="1" ht="20.25" thickTop="1">
      <c r="A138" s="81">
        <f>МРСК!A138</f>
        <v>69</v>
      </c>
      <c r="B138" s="82" t="s">
        <v>162</v>
      </c>
      <c r="C138" s="83" t="s">
        <v>61</v>
      </c>
      <c r="D138" s="129">
        <f>D139+D140</f>
        <v>0.18</v>
      </c>
      <c r="E138" s="101">
        <f>D138+МРСК!F138</f>
        <v>11.053625752250259</v>
      </c>
      <c r="F138" s="84">
        <v>3.46</v>
      </c>
      <c r="G138" s="85">
        <v>45</v>
      </c>
      <c r="H138" s="86">
        <f t="shared" si="7"/>
        <v>7.593625752250259</v>
      </c>
      <c r="I138" s="86">
        <v>0</v>
      </c>
      <c r="J138" s="86">
        <f>МРСК!K138</f>
        <v>16.8</v>
      </c>
      <c r="K138" s="103">
        <f t="shared" si="8"/>
        <v>9.206374247749743</v>
      </c>
      <c r="L138" s="370">
        <f>MIN(K138:K140)</f>
        <v>8.749285419988857</v>
      </c>
      <c r="M138" s="87"/>
      <c r="N138" s="15">
        <v>1.05</v>
      </c>
      <c r="O138" s="45">
        <v>16</v>
      </c>
      <c r="Q138" s="223"/>
      <c r="R138" s="15" t="s">
        <v>61</v>
      </c>
      <c r="T138" s="15">
        <v>32</v>
      </c>
    </row>
    <row r="139" spans="1:18" s="15" customFormat="1" ht="19.5">
      <c r="A139" s="16">
        <f>МРСК!A139</f>
        <v>0</v>
      </c>
      <c r="B139" s="2" t="s">
        <v>92</v>
      </c>
      <c r="C139" s="10" t="s">
        <v>61</v>
      </c>
      <c r="D139" s="127">
        <f t="shared" si="9"/>
        <v>0</v>
      </c>
      <c r="E139" s="99">
        <f>D139+МРСК!F139</f>
        <v>3.007724222730535</v>
      </c>
      <c r="F139" s="31">
        <v>3.46</v>
      </c>
      <c r="G139" s="45"/>
      <c r="H139" s="17">
        <f aca="true" t="shared" si="10" ref="H139:H202">E139-F139</f>
        <v>-0.452275777269465</v>
      </c>
      <c r="I139" s="17">
        <v>0</v>
      </c>
      <c r="J139" s="17">
        <f>МРСК!K139</f>
        <v>16.8</v>
      </c>
      <c r="K139" s="44">
        <f t="shared" si="8"/>
        <v>17.252275777269467</v>
      </c>
      <c r="L139" s="371"/>
      <c r="M139" s="32"/>
      <c r="N139" s="15">
        <v>1.05</v>
      </c>
      <c r="O139" s="45">
        <v>16</v>
      </c>
      <c r="Q139" s="223"/>
      <c r="R139" s="15">
        <v>0</v>
      </c>
    </row>
    <row r="140" spans="1:18" s="15" customFormat="1" ht="20.25" thickBot="1">
      <c r="A140" s="72">
        <f>МРСК!A140</f>
        <v>0</v>
      </c>
      <c r="B140" s="73" t="s">
        <v>93</v>
      </c>
      <c r="C140" s="74" t="s">
        <v>61</v>
      </c>
      <c r="D140" s="128">
        <f t="shared" si="9"/>
        <v>0.18</v>
      </c>
      <c r="E140" s="100">
        <f>D140+МРСК!F140</f>
        <v>8.050714580011144</v>
      </c>
      <c r="F140" s="76">
        <v>0</v>
      </c>
      <c r="G140" s="77"/>
      <c r="H140" s="78">
        <f t="shared" si="10"/>
        <v>8.050714580011144</v>
      </c>
      <c r="I140" s="78">
        <v>0</v>
      </c>
      <c r="J140" s="78">
        <f>МРСК!K140</f>
        <v>16.8</v>
      </c>
      <c r="K140" s="75">
        <f t="shared" si="8"/>
        <v>8.749285419988857</v>
      </c>
      <c r="L140" s="372"/>
      <c r="M140" s="80"/>
      <c r="N140" s="15">
        <v>1.05</v>
      </c>
      <c r="O140" s="45">
        <v>16</v>
      </c>
      <c r="Q140" s="223">
        <f>0.05+0.03+0.1</f>
        <v>0.18</v>
      </c>
      <c r="R140" s="15">
        <v>0</v>
      </c>
    </row>
    <row r="141" spans="1:20" s="15" customFormat="1" ht="20.25" thickTop="1">
      <c r="A141" s="16">
        <f>МРСК!A141</f>
        <v>70</v>
      </c>
      <c r="B141" s="2" t="s">
        <v>163</v>
      </c>
      <c r="C141" s="45" t="s">
        <v>62</v>
      </c>
      <c r="D141" s="133">
        <f t="shared" si="9"/>
        <v>5</v>
      </c>
      <c r="E141" s="17">
        <f>D141+МРСК!F141</f>
        <v>17.008803853839897</v>
      </c>
      <c r="F141" s="44">
        <v>5.56</v>
      </c>
      <c r="G141" s="18">
        <v>45</v>
      </c>
      <c r="H141" s="44">
        <f t="shared" si="10"/>
        <v>11.448803853839898</v>
      </c>
      <c r="I141" s="17">
        <v>0</v>
      </c>
      <c r="J141" s="46">
        <f>МРСК!K141</f>
        <v>33.6</v>
      </c>
      <c r="K141" s="44">
        <f t="shared" si="8"/>
        <v>22.151196146160103</v>
      </c>
      <c r="L141" s="44">
        <f>MIN(K141:K141)</f>
        <v>22.151196146160103</v>
      </c>
      <c r="M141" s="32"/>
      <c r="N141" s="15">
        <v>1.05</v>
      </c>
      <c r="O141" s="45">
        <v>32</v>
      </c>
      <c r="Q141" s="223">
        <v>5</v>
      </c>
      <c r="R141" s="15" t="s">
        <v>62</v>
      </c>
      <c r="T141" s="15">
        <v>64</v>
      </c>
    </row>
    <row r="142" spans="1:20" s="15" customFormat="1" ht="20.25" thickBot="1">
      <c r="A142" s="16">
        <f>МРСК!A142</f>
        <v>71</v>
      </c>
      <c r="B142" s="6" t="s">
        <v>164</v>
      </c>
      <c r="C142" s="45" t="s">
        <v>60</v>
      </c>
      <c r="D142" s="133">
        <f t="shared" si="9"/>
        <v>0.8200000000000001</v>
      </c>
      <c r="E142" s="17">
        <f>D142+МРСК!F142</f>
        <v>28.615052941126052</v>
      </c>
      <c r="F142" s="44">
        <v>0</v>
      </c>
      <c r="G142" s="18"/>
      <c r="H142" s="44">
        <f t="shared" si="10"/>
        <v>28.615052941126052</v>
      </c>
      <c r="I142" s="17">
        <v>0</v>
      </c>
      <c r="J142" s="46">
        <f>МРСК!K142</f>
        <v>42</v>
      </c>
      <c r="K142" s="44">
        <f t="shared" si="8"/>
        <v>13.384947058873948</v>
      </c>
      <c r="L142" s="44">
        <f>MIN(K142:K142)</f>
        <v>13.384947058873948</v>
      </c>
      <c r="M142" s="32"/>
      <c r="N142" s="15">
        <v>1.05</v>
      </c>
      <c r="O142" s="45">
        <v>40</v>
      </c>
      <c r="Q142" s="223">
        <f>0.01+0.01+0.8</f>
        <v>0.8200000000000001</v>
      </c>
      <c r="R142" s="15" t="s">
        <v>60</v>
      </c>
      <c r="T142" s="15">
        <v>80</v>
      </c>
    </row>
    <row r="143" spans="1:20" s="15" customFormat="1" ht="20.25" thickTop="1">
      <c r="A143" s="81">
        <f>МРСК!A143</f>
        <v>72</v>
      </c>
      <c r="B143" s="82" t="s">
        <v>165</v>
      </c>
      <c r="C143" s="83" t="s">
        <v>4</v>
      </c>
      <c r="D143" s="129">
        <f>D144+D145</f>
        <v>0.26</v>
      </c>
      <c r="E143" s="101">
        <f>D143+МРСК!F143</f>
        <v>20.952003576261053</v>
      </c>
      <c r="F143" s="84">
        <v>20.54</v>
      </c>
      <c r="G143" s="85">
        <v>80</v>
      </c>
      <c r="H143" s="86">
        <f t="shared" si="10"/>
        <v>0.41200357626105344</v>
      </c>
      <c r="I143" s="86">
        <v>0</v>
      </c>
      <c r="J143" s="86">
        <f>МРСК!K143</f>
        <v>26.25</v>
      </c>
      <c r="K143" s="103">
        <f t="shared" si="8"/>
        <v>25.837996423738947</v>
      </c>
      <c r="L143" s="370">
        <f>MIN(K143:K145)</f>
        <v>24.421081901436533</v>
      </c>
      <c r="M143" s="87"/>
      <c r="N143" s="15">
        <v>1.05</v>
      </c>
      <c r="O143" s="45">
        <v>25</v>
      </c>
      <c r="Q143" s="223"/>
      <c r="R143" s="15" t="s">
        <v>4</v>
      </c>
      <c r="T143" s="15">
        <v>50</v>
      </c>
    </row>
    <row r="144" spans="1:18" s="15" customFormat="1" ht="19.5">
      <c r="A144" s="16">
        <f>МРСК!A144</f>
        <v>0</v>
      </c>
      <c r="B144" s="2" t="s">
        <v>92</v>
      </c>
      <c r="C144" s="10" t="s">
        <v>4</v>
      </c>
      <c r="D144" s="127">
        <f t="shared" si="9"/>
        <v>0</v>
      </c>
      <c r="E144" s="99">
        <f>D144+МРСК!F144</f>
        <v>19.155656397001906</v>
      </c>
      <c r="F144" s="31">
        <v>19.676</v>
      </c>
      <c r="G144" s="45"/>
      <c r="H144" s="17">
        <f t="shared" si="10"/>
        <v>-0.5203436029980928</v>
      </c>
      <c r="I144" s="17">
        <v>0</v>
      </c>
      <c r="J144" s="17">
        <f>МРСК!K144</f>
        <v>26.25</v>
      </c>
      <c r="K144" s="44">
        <f t="shared" si="8"/>
        <v>26.770343602998093</v>
      </c>
      <c r="L144" s="371"/>
      <c r="M144" s="32"/>
      <c r="N144" s="15">
        <v>1.05</v>
      </c>
      <c r="O144" s="45">
        <v>25</v>
      </c>
      <c r="Q144" s="223"/>
      <c r="R144" s="15">
        <v>0</v>
      </c>
    </row>
    <row r="145" spans="1:18" s="15" customFormat="1" ht="20.25" thickBot="1">
      <c r="A145" s="72">
        <f>МРСК!A145</f>
        <v>0</v>
      </c>
      <c r="B145" s="73" t="s">
        <v>93</v>
      </c>
      <c r="C145" s="74" t="s">
        <v>4</v>
      </c>
      <c r="D145" s="128">
        <f t="shared" si="9"/>
        <v>0.26</v>
      </c>
      <c r="E145" s="100">
        <f>D145+МРСК!F145</f>
        <v>1.8289180985634654</v>
      </c>
      <c r="F145" s="76">
        <v>0</v>
      </c>
      <c r="G145" s="77"/>
      <c r="H145" s="78">
        <f t="shared" si="10"/>
        <v>1.8289180985634654</v>
      </c>
      <c r="I145" s="78">
        <v>0</v>
      </c>
      <c r="J145" s="78">
        <f>МРСК!K145</f>
        <v>26.25</v>
      </c>
      <c r="K145" s="75">
        <f t="shared" si="8"/>
        <v>24.421081901436533</v>
      </c>
      <c r="L145" s="372"/>
      <c r="M145" s="80"/>
      <c r="N145" s="15">
        <v>1.05</v>
      </c>
      <c r="O145" s="45">
        <v>25</v>
      </c>
      <c r="Q145" s="223">
        <v>0.26</v>
      </c>
      <c r="R145" s="15">
        <v>0</v>
      </c>
    </row>
    <row r="146" spans="1:20" s="15" customFormat="1" ht="21" thickBot="1" thickTop="1">
      <c r="A146" s="81">
        <f>МРСК!A146</f>
        <v>73</v>
      </c>
      <c r="B146" s="82" t="s">
        <v>166</v>
      </c>
      <c r="C146" s="83" t="s">
        <v>61</v>
      </c>
      <c r="D146" s="129">
        <f>D147+D148</f>
        <v>0.56</v>
      </c>
      <c r="E146" s="101">
        <f>D146+МРСК!F146</f>
        <v>17.257370960723126</v>
      </c>
      <c r="F146" s="84">
        <v>5.969</v>
      </c>
      <c r="G146" s="85">
        <v>120</v>
      </c>
      <c r="H146" s="86">
        <f t="shared" si="10"/>
        <v>11.288370960723125</v>
      </c>
      <c r="I146" s="86">
        <v>0</v>
      </c>
      <c r="J146" s="86">
        <f>МРСК!K146</f>
        <v>16.8</v>
      </c>
      <c r="K146" s="103">
        <f t="shared" si="8"/>
        <v>5.511629039276876</v>
      </c>
      <c r="L146" s="370">
        <f>MIN(K146:K148)</f>
        <v>5.511629039276876</v>
      </c>
      <c r="M146" s="87"/>
      <c r="N146" s="15">
        <v>1.05</v>
      </c>
      <c r="O146" s="45">
        <v>16</v>
      </c>
      <c r="Q146" s="223"/>
      <c r="R146" s="15" t="s">
        <v>61</v>
      </c>
      <c r="T146" s="15">
        <v>32</v>
      </c>
    </row>
    <row r="147" spans="1:18" s="15" customFormat="1" ht="21" thickBot="1" thickTop="1">
      <c r="A147" s="16">
        <f>МРСК!A147</f>
        <v>0</v>
      </c>
      <c r="B147" s="2" t="s">
        <v>92</v>
      </c>
      <c r="C147" s="83" t="s">
        <v>61</v>
      </c>
      <c r="D147" s="127">
        <f t="shared" si="9"/>
        <v>0</v>
      </c>
      <c r="E147" s="99">
        <f>D147+МРСК!F147</f>
        <v>8.43709013819338</v>
      </c>
      <c r="F147" s="31">
        <v>5.969</v>
      </c>
      <c r="G147" s="45"/>
      <c r="H147" s="17">
        <f t="shared" si="10"/>
        <v>2.4680901381933795</v>
      </c>
      <c r="I147" s="17">
        <v>0</v>
      </c>
      <c r="J147" s="17">
        <f>МРСК!K147</f>
        <v>16.8</v>
      </c>
      <c r="K147" s="44">
        <f t="shared" si="8"/>
        <v>14.331909861806622</v>
      </c>
      <c r="L147" s="371"/>
      <c r="M147" s="32"/>
      <c r="N147" s="15">
        <v>1.05</v>
      </c>
      <c r="O147" s="45">
        <v>16</v>
      </c>
      <c r="Q147" s="223"/>
      <c r="R147" s="15">
        <v>0</v>
      </c>
    </row>
    <row r="148" spans="1:18" s="15" customFormat="1" ht="21" thickBot="1" thickTop="1">
      <c r="A148" s="72">
        <f>МРСК!A148</f>
        <v>0</v>
      </c>
      <c r="B148" s="73" t="s">
        <v>93</v>
      </c>
      <c r="C148" s="83" t="s">
        <v>61</v>
      </c>
      <c r="D148" s="128">
        <f t="shared" si="9"/>
        <v>0.56</v>
      </c>
      <c r="E148" s="100">
        <f>D148+МРСК!F148</f>
        <v>8.845659961644577</v>
      </c>
      <c r="F148" s="76">
        <v>0</v>
      </c>
      <c r="G148" s="77"/>
      <c r="H148" s="78">
        <f t="shared" si="10"/>
        <v>8.845659961644577</v>
      </c>
      <c r="I148" s="78">
        <v>0</v>
      </c>
      <c r="J148" s="78">
        <f>МРСК!K148</f>
        <v>16.8</v>
      </c>
      <c r="K148" s="75">
        <f t="shared" si="8"/>
        <v>7.954340038355424</v>
      </c>
      <c r="L148" s="372"/>
      <c r="M148" s="80"/>
      <c r="N148" s="15">
        <v>1.05</v>
      </c>
      <c r="O148" s="45">
        <v>16</v>
      </c>
      <c r="Q148" s="223">
        <f>0.04+0.12+0.4</f>
        <v>0.56</v>
      </c>
      <c r="R148" s="15">
        <v>0</v>
      </c>
    </row>
    <row r="149" spans="1:20" s="15" customFormat="1" ht="20.25" thickTop="1">
      <c r="A149" s="81">
        <f>МРСК!A149</f>
        <v>74</v>
      </c>
      <c r="B149" s="82" t="s">
        <v>167</v>
      </c>
      <c r="C149" s="83" t="s">
        <v>60</v>
      </c>
      <c r="D149" s="129">
        <f>D150+D151</f>
        <v>1.1099999999999999</v>
      </c>
      <c r="E149" s="101">
        <f>D149+МРСК!F149</f>
        <v>30.7852592238046</v>
      </c>
      <c r="F149" s="84">
        <v>16.65</v>
      </c>
      <c r="G149" s="85">
        <v>120</v>
      </c>
      <c r="H149" s="86">
        <f t="shared" si="10"/>
        <v>14.135259223804603</v>
      </c>
      <c r="I149" s="86">
        <v>0</v>
      </c>
      <c r="J149" s="86">
        <f>МРСК!K149</f>
        <v>42</v>
      </c>
      <c r="K149" s="103">
        <f t="shared" si="8"/>
        <v>27.864740776195397</v>
      </c>
      <c r="L149" s="370">
        <f>MIN(K149:K151)</f>
        <v>27.864740776195397</v>
      </c>
      <c r="M149" s="87"/>
      <c r="N149" s="15">
        <v>1.05</v>
      </c>
      <c r="O149" s="45">
        <v>40</v>
      </c>
      <c r="Q149" s="223"/>
      <c r="R149" s="15" t="s">
        <v>60</v>
      </c>
      <c r="T149" s="15">
        <v>80</v>
      </c>
    </row>
    <row r="150" spans="1:18" s="15" customFormat="1" ht="19.5">
      <c r="A150" s="16">
        <f>МРСК!A150</f>
        <v>0</v>
      </c>
      <c r="B150" s="2" t="s">
        <v>92</v>
      </c>
      <c r="C150" s="10" t="s">
        <v>60</v>
      </c>
      <c r="D150" s="127">
        <f t="shared" si="9"/>
        <v>0</v>
      </c>
      <c r="E150" s="99">
        <f>D150+МРСК!F150</f>
        <v>17.079185226467917</v>
      </c>
      <c r="F150" s="31">
        <v>11.682</v>
      </c>
      <c r="G150" s="45"/>
      <c r="H150" s="17">
        <f t="shared" si="10"/>
        <v>5.397185226467917</v>
      </c>
      <c r="I150" s="17">
        <v>0</v>
      </c>
      <c r="J150" s="17">
        <f>МРСК!K150</f>
        <v>42</v>
      </c>
      <c r="K150" s="44">
        <f t="shared" si="8"/>
        <v>36.60281477353208</v>
      </c>
      <c r="L150" s="371"/>
      <c r="M150" s="32"/>
      <c r="N150" s="15">
        <v>1.05</v>
      </c>
      <c r="O150" s="45">
        <v>40</v>
      </c>
      <c r="Q150" s="223"/>
      <c r="R150" s="15">
        <v>0</v>
      </c>
    </row>
    <row r="151" spans="1:18" s="15" customFormat="1" ht="20.25" thickBot="1">
      <c r="A151" s="72">
        <f>МРСК!A151</f>
        <v>0</v>
      </c>
      <c r="B151" s="73" t="s">
        <v>93</v>
      </c>
      <c r="C151" s="74" t="s">
        <v>60</v>
      </c>
      <c r="D151" s="128">
        <f t="shared" si="9"/>
        <v>1.1099999999999999</v>
      </c>
      <c r="E151" s="100">
        <f>D151+МРСК!F151</f>
        <v>13.724769518306706</v>
      </c>
      <c r="F151" s="76">
        <v>4.967999999999998</v>
      </c>
      <c r="G151" s="77"/>
      <c r="H151" s="78">
        <f t="shared" si="10"/>
        <v>8.756769518306708</v>
      </c>
      <c r="I151" s="78">
        <v>0</v>
      </c>
      <c r="J151" s="78">
        <f>МРСК!K151</f>
        <v>42</v>
      </c>
      <c r="K151" s="75">
        <f t="shared" si="8"/>
        <v>33.24323048169329</v>
      </c>
      <c r="L151" s="372"/>
      <c r="M151" s="80"/>
      <c r="N151" s="15">
        <v>1.05</v>
      </c>
      <c r="O151" s="45">
        <v>40</v>
      </c>
      <c r="Q151" s="223">
        <f>0.04+0.47+0.6</f>
        <v>1.1099999999999999</v>
      </c>
      <c r="R151" s="15">
        <v>0</v>
      </c>
    </row>
    <row r="152" spans="1:20" s="15" customFormat="1" ht="21" thickBot="1" thickTop="1">
      <c r="A152" s="16">
        <f>МРСК!A152</f>
        <v>75</v>
      </c>
      <c r="B152" s="6" t="s">
        <v>168</v>
      </c>
      <c r="C152" s="45" t="s">
        <v>67</v>
      </c>
      <c r="D152" s="133">
        <f t="shared" si="9"/>
        <v>0.14</v>
      </c>
      <c r="E152" s="17">
        <f>D152+МРСК!F152</f>
        <v>3.599618620599675</v>
      </c>
      <c r="F152" s="44">
        <v>0</v>
      </c>
      <c r="G152" s="18"/>
      <c r="H152" s="44">
        <f t="shared" si="10"/>
        <v>3.599618620599675</v>
      </c>
      <c r="I152" s="17">
        <v>0</v>
      </c>
      <c r="J152" s="46">
        <f>МРСК!K152</f>
        <v>3.3600000000000003</v>
      </c>
      <c r="K152" s="44">
        <f t="shared" si="8"/>
        <v>-0.23961862059967487</v>
      </c>
      <c r="L152" s="44">
        <f>K152</f>
        <v>-0.23961862059967487</v>
      </c>
      <c r="M152" s="32"/>
      <c r="N152" s="15">
        <v>1.05</v>
      </c>
      <c r="O152" s="45">
        <v>3.2</v>
      </c>
      <c r="Q152" s="223">
        <f>0.1+0.04</f>
        <v>0.14</v>
      </c>
      <c r="R152" s="15" t="s">
        <v>67</v>
      </c>
      <c r="T152" s="15">
        <v>13.2</v>
      </c>
    </row>
    <row r="153" spans="1:20" s="15" customFormat="1" ht="20.25" thickTop="1">
      <c r="A153" s="81">
        <f>МРСК!A153</f>
        <v>76</v>
      </c>
      <c r="B153" s="82" t="s">
        <v>169</v>
      </c>
      <c r="C153" s="83" t="s">
        <v>60</v>
      </c>
      <c r="D153" s="129">
        <f>D154+D155</f>
        <v>2.98</v>
      </c>
      <c r="E153" s="101">
        <f>D153+МРСК!F153</f>
        <v>43.474467189975464</v>
      </c>
      <c r="F153" s="84">
        <v>12.94</v>
      </c>
      <c r="G153" s="85">
        <v>120</v>
      </c>
      <c r="H153" s="86">
        <f t="shared" si="10"/>
        <v>30.534467189975466</v>
      </c>
      <c r="I153" s="86">
        <v>0</v>
      </c>
      <c r="J153" s="86">
        <f>МРСК!K153</f>
        <v>42</v>
      </c>
      <c r="K153" s="103">
        <f t="shared" si="8"/>
        <v>11.465532810024534</v>
      </c>
      <c r="L153" s="370">
        <f>MIN(K153:K155)</f>
        <v>11.465532810024534</v>
      </c>
      <c r="M153" s="87"/>
      <c r="N153" s="15">
        <v>1.05</v>
      </c>
      <c r="O153" s="45">
        <v>40</v>
      </c>
      <c r="Q153" s="223"/>
      <c r="R153" s="15" t="s">
        <v>60</v>
      </c>
      <c r="T153" s="15">
        <v>80</v>
      </c>
    </row>
    <row r="154" spans="1:18" s="15" customFormat="1" ht="19.5">
      <c r="A154" s="16">
        <f>МРСК!A154</f>
        <v>0</v>
      </c>
      <c r="B154" s="2" t="s">
        <v>93</v>
      </c>
      <c r="C154" s="10" t="s">
        <v>60</v>
      </c>
      <c r="D154" s="127">
        <f t="shared" si="9"/>
        <v>0</v>
      </c>
      <c r="E154" s="99">
        <f>D154+МРСК!F154</f>
        <v>7.009689864751508</v>
      </c>
      <c r="F154" s="31">
        <v>3.42</v>
      </c>
      <c r="G154" s="45"/>
      <c r="H154" s="17">
        <f t="shared" si="10"/>
        <v>3.5896898647515076</v>
      </c>
      <c r="I154" s="17">
        <v>0</v>
      </c>
      <c r="J154" s="17">
        <f>МРСК!K154</f>
        <v>42</v>
      </c>
      <c r="K154" s="44">
        <f t="shared" si="8"/>
        <v>38.410310135248494</v>
      </c>
      <c r="L154" s="371"/>
      <c r="M154" s="32"/>
      <c r="N154" s="15">
        <v>1.05</v>
      </c>
      <c r="O154" s="45">
        <v>40</v>
      </c>
      <c r="Q154" s="223"/>
      <c r="R154" s="15">
        <v>0</v>
      </c>
    </row>
    <row r="155" spans="1:18" s="15" customFormat="1" ht="20.25" thickBot="1">
      <c r="A155" s="72">
        <f>МРСК!A155</f>
        <v>0</v>
      </c>
      <c r="B155" s="73" t="s">
        <v>93</v>
      </c>
      <c r="C155" s="74" t="s">
        <v>60</v>
      </c>
      <c r="D155" s="128">
        <f t="shared" si="9"/>
        <v>2.98</v>
      </c>
      <c r="E155" s="100">
        <f>D155+МРСК!F155</f>
        <v>36.48745238003033</v>
      </c>
      <c r="F155" s="76">
        <v>9.52</v>
      </c>
      <c r="G155" s="77"/>
      <c r="H155" s="78">
        <f t="shared" si="10"/>
        <v>26.967452380030327</v>
      </c>
      <c r="I155" s="78">
        <v>0</v>
      </c>
      <c r="J155" s="78">
        <f>МРСК!K155</f>
        <v>42</v>
      </c>
      <c r="K155" s="75">
        <f t="shared" si="8"/>
        <v>15.032547619969673</v>
      </c>
      <c r="L155" s="372"/>
      <c r="M155" s="80"/>
      <c r="N155" s="15">
        <v>1.05</v>
      </c>
      <c r="O155" s="45">
        <v>40</v>
      </c>
      <c r="Q155" s="223">
        <f>1.53+0.06+0.19+1.2</f>
        <v>2.98</v>
      </c>
      <c r="R155" s="15">
        <v>0</v>
      </c>
    </row>
    <row r="156" spans="1:20" s="15" customFormat="1" ht="20.25" thickTop="1">
      <c r="A156" s="16">
        <f>МРСК!A156</f>
        <v>77</v>
      </c>
      <c r="B156" s="6" t="s">
        <v>170</v>
      </c>
      <c r="C156" s="45" t="s">
        <v>70</v>
      </c>
      <c r="D156" s="133">
        <f t="shared" si="9"/>
        <v>0.1</v>
      </c>
      <c r="E156" s="17">
        <f>D156+МРСК!F156</f>
        <v>0.8518723295879428</v>
      </c>
      <c r="F156" s="44">
        <v>0.4326661530556787</v>
      </c>
      <c r="G156" s="18">
        <v>120</v>
      </c>
      <c r="H156" s="44">
        <f t="shared" si="10"/>
        <v>0.4192061765322641</v>
      </c>
      <c r="I156" s="17">
        <v>0</v>
      </c>
      <c r="J156" s="46">
        <f>МРСК!K156</f>
        <v>2.625</v>
      </c>
      <c r="K156" s="44">
        <f t="shared" si="8"/>
        <v>2.2057938234677357</v>
      </c>
      <c r="L156" s="44">
        <f>K156</f>
        <v>2.2057938234677357</v>
      </c>
      <c r="M156" s="32"/>
      <c r="N156" s="15">
        <v>1.05</v>
      </c>
      <c r="O156" s="45">
        <v>2.5</v>
      </c>
      <c r="Q156" s="223">
        <f>0.1</f>
        <v>0.1</v>
      </c>
      <c r="R156" s="15" t="s">
        <v>70</v>
      </c>
      <c r="T156" s="15">
        <v>5</v>
      </c>
    </row>
    <row r="157" spans="1:20" s="15" customFormat="1" ht="19.5">
      <c r="A157" s="16">
        <f>МРСК!A157</f>
        <v>78</v>
      </c>
      <c r="B157" s="2" t="s">
        <v>171</v>
      </c>
      <c r="C157" s="45" t="s">
        <v>70</v>
      </c>
      <c r="D157" s="133">
        <f t="shared" si="9"/>
        <v>0.03</v>
      </c>
      <c r="E157" s="17">
        <f>D157+МРСК!F157</f>
        <v>0.9458515163496756</v>
      </c>
      <c r="F157" s="44">
        <v>0.46639018642623853</v>
      </c>
      <c r="G157" s="18">
        <v>120</v>
      </c>
      <c r="H157" s="44">
        <f t="shared" si="10"/>
        <v>0.47946132992343704</v>
      </c>
      <c r="I157" s="17">
        <v>0</v>
      </c>
      <c r="J157" s="46">
        <f>МРСК!K157</f>
        <v>2.625</v>
      </c>
      <c r="K157" s="44">
        <f t="shared" si="8"/>
        <v>2.145538670076563</v>
      </c>
      <c r="L157" s="44">
        <f aca="true" t="shared" si="11" ref="L157:L220">K157</f>
        <v>2.145538670076563</v>
      </c>
      <c r="M157" s="32"/>
      <c r="N157" s="15">
        <v>1.05</v>
      </c>
      <c r="O157" s="45">
        <v>2.5</v>
      </c>
      <c r="Q157" s="223">
        <f>0.03</f>
        <v>0.03</v>
      </c>
      <c r="R157" s="15" t="s">
        <v>70</v>
      </c>
      <c r="T157" s="15">
        <v>5</v>
      </c>
    </row>
    <row r="158" spans="1:20" s="15" customFormat="1" ht="19.5">
      <c r="A158" s="16">
        <f>МРСК!A158</f>
        <v>79</v>
      </c>
      <c r="B158" s="6" t="s">
        <v>172</v>
      </c>
      <c r="C158" s="45" t="s">
        <v>71</v>
      </c>
      <c r="D158" s="133">
        <f t="shared" si="9"/>
        <v>0.13</v>
      </c>
      <c r="E158" s="17">
        <f>D158+МРСК!F158</f>
        <v>2.7081854083831907</v>
      </c>
      <c r="F158" s="44">
        <v>0</v>
      </c>
      <c r="G158" s="18"/>
      <c r="H158" s="44">
        <f t="shared" si="10"/>
        <v>2.7081854083831907</v>
      </c>
      <c r="I158" s="17">
        <v>0</v>
      </c>
      <c r="J158" s="46">
        <f>МРСК!K158</f>
        <v>4.2</v>
      </c>
      <c r="K158" s="44">
        <f t="shared" si="8"/>
        <v>1.4918145916168095</v>
      </c>
      <c r="L158" s="44">
        <f t="shared" si="11"/>
        <v>1.4918145916168095</v>
      </c>
      <c r="M158" s="32"/>
      <c r="N158" s="15">
        <v>1.05</v>
      </c>
      <c r="O158" s="45">
        <v>2.5</v>
      </c>
      <c r="Q158" s="223">
        <f>0.12+0.01</f>
        <v>0.13</v>
      </c>
      <c r="R158" s="15" t="s">
        <v>71</v>
      </c>
      <c r="T158" s="15">
        <v>8</v>
      </c>
    </row>
    <row r="159" spans="1:20" s="15" customFormat="1" ht="19.5">
      <c r="A159" s="16">
        <f>МРСК!A159</f>
        <v>80</v>
      </c>
      <c r="B159" s="2" t="s">
        <v>173</v>
      </c>
      <c r="C159" s="45" t="s">
        <v>70</v>
      </c>
      <c r="D159" s="133">
        <f t="shared" si="9"/>
        <v>0</v>
      </c>
      <c r="E159" s="17">
        <f>D159+МРСК!F159</f>
        <v>0.9448237930958344</v>
      </c>
      <c r="F159" s="44">
        <v>0.4465178692384436</v>
      </c>
      <c r="G159" s="18">
        <v>80</v>
      </c>
      <c r="H159" s="44">
        <f t="shared" si="10"/>
        <v>0.4983059238573908</v>
      </c>
      <c r="I159" s="17">
        <v>0</v>
      </c>
      <c r="J159" s="46">
        <f>МРСК!K159</f>
        <v>2.625</v>
      </c>
      <c r="K159" s="44">
        <f t="shared" si="8"/>
        <v>2.126694076142609</v>
      </c>
      <c r="L159" s="44">
        <f t="shared" si="11"/>
        <v>2.126694076142609</v>
      </c>
      <c r="M159" s="32"/>
      <c r="N159" s="15">
        <v>1.05</v>
      </c>
      <c r="O159" s="45">
        <v>2.5</v>
      </c>
      <c r="Q159" s="223"/>
      <c r="R159" s="15" t="s">
        <v>70</v>
      </c>
      <c r="T159" s="15">
        <v>5</v>
      </c>
    </row>
    <row r="160" spans="1:20" s="15" customFormat="1" ht="19.5">
      <c r="A160" s="16">
        <f>МРСК!A160</f>
        <v>81</v>
      </c>
      <c r="B160" s="6" t="s">
        <v>174</v>
      </c>
      <c r="C160" s="45" t="s">
        <v>73</v>
      </c>
      <c r="D160" s="133">
        <f t="shared" si="9"/>
        <v>0</v>
      </c>
      <c r="E160" s="17">
        <f>D160+МРСК!F160</f>
        <v>4.635784291789255</v>
      </c>
      <c r="F160" s="44">
        <v>0.55</v>
      </c>
      <c r="G160" s="18">
        <v>45</v>
      </c>
      <c r="H160" s="44">
        <f t="shared" si="10"/>
        <v>4.085784291789255</v>
      </c>
      <c r="I160" s="17">
        <v>0</v>
      </c>
      <c r="J160" s="46">
        <f>МРСК!K160</f>
        <v>6.615</v>
      </c>
      <c r="K160" s="44">
        <f t="shared" si="8"/>
        <v>2.529215708210745</v>
      </c>
      <c r="L160" s="44">
        <f t="shared" si="11"/>
        <v>2.529215708210745</v>
      </c>
      <c r="M160" s="32"/>
      <c r="N160" s="15">
        <v>1.05</v>
      </c>
      <c r="O160" s="45">
        <v>6.3</v>
      </c>
      <c r="Q160" s="223"/>
      <c r="R160" s="15" t="s">
        <v>73</v>
      </c>
      <c r="T160" s="15">
        <v>12.6</v>
      </c>
    </row>
    <row r="161" spans="1:20" s="15" customFormat="1" ht="19.5">
      <c r="A161" s="16">
        <f>МРСК!A161</f>
        <v>82</v>
      </c>
      <c r="B161" s="2" t="s">
        <v>175</v>
      </c>
      <c r="C161" s="45" t="s">
        <v>71</v>
      </c>
      <c r="D161" s="133">
        <f t="shared" si="9"/>
        <v>0.12000000000000001</v>
      </c>
      <c r="E161" s="17">
        <f>D161+МРСК!F161</f>
        <v>2.603867951401604</v>
      </c>
      <c r="F161" s="44">
        <v>1.191</v>
      </c>
      <c r="G161" s="18">
        <v>120</v>
      </c>
      <c r="H161" s="44">
        <f t="shared" si="10"/>
        <v>1.4128679514016038</v>
      </c>
      <c r="I161" s="17">
        <v>0</v>
      </c>
      <c r="J161" s="46">
        <f>МРСК!K161</f>
        <v>4.2</v>
      </c>
      <c r="K161" s="44">
        <f aca="true" t="shared" si="12" ref="K161:K224">J161-I161-H161</f>
        <v>2.787132048598396</v>
      </c>
      <c r="L161" s="44">
        <f t="shared" si="11"/>
        <v>2.787132048598396</v>
      </c>
      <c r="M161" s="32"/>
      <c r="N161" s="15">
        <v>1.05</v>
      </c>
      <c r="O161" s="45">
        <v>4</v>
      </c>
      <c r="Q161" s="223">
        <f>0.02+0.1</f>
        <v>0.12000000000000001</v>
      </c>
      <c r="R161" s="15" t="s">
        <v>71</v>
      </c>
      <c r="T161" s="15">
        <v>8</v>
      </c>
    </row>
    <row r="162" spans="1:20" s="15" customFormat="1" ht="19.5">
      <c r="A162" s="16">
        <f>МРСК!A162</f>
        <v>83</v>
      </c>
      <c r="B162" s="6" t="s">
        <v>176</v>
      </c>
      <c r="C162" s="45" t="s">
        <v>71</v>
      </c>
      <c r="D162" s="133">
        <f t="shared" si="9"/>
        <v>0</v>
      </c>
      <c r="E162" s="17">
        <f>D162+МРСК!F162</f>
        <v>0.6954020419872233</v>
      </c>
      <c r="F162" s="44">
        <v>0.6248809275468652</v>
      </c>
      <c r="G162" s="18">
        <v>80</v>
      </c>
      <c r="H162" s="44">
        <f t="shared" si="10"/>
        <v>0.07052111444035813</v>
      </c>
      <c r="I162" s="17">
        <v>0</v>
      </c>
      <c r="J162" s="46">
        <f>МРСК!K162</f>
        <v>4.2</v>
      </c>
      <c r="K162" s="44">
        <f t="shared" si="12"/>
        <v>4.129478885559642</v>
      </c>
      <c r="L162" s="44">
        <f t="shared" si="11"/>
        <v>4.129478885559642</v>
      </c>
      <c r="M162" s="32"/>
      <c r="N162" s="15">
        <v>1.05</v>
      </c>
      <c r="O162" s="45">
        <v>4</v>
      </c>
      <c r="Q162" s="223"/>
      <c r="R162" s="15" t="s">
        <v>71</v>
      </c>
      <c r="T162" s="15">
        <v>8</v>
      </c>
    </row>
    <row r="163" spans="1:20" s="15" customFormat="1" ht="19.5">
      <c r="A163" s="16">
        <f>МРСК!A163</f>
        <v>84</v>
      </c>
      <c r="B163" s="2" t="s">
        <v>177</v>
      </c>
      <c r="C163" s="45" t="s">
        <v>70</v>
      </c>
      <c r="D163" s="133">
        <f t="shared" si="9"/>
        <v>0.49</v>
      </c>
      <c r="E163" s="17">
        <f>D163+МРСК!F163</f>
        <v>1.2944700118711698</v>
      </c>
      <c r="F163" s="44">
        <v>0.447794595769087</v>
      </c>
      <c r="G163" s="18">
        <v>45</v>
      </c>
      <c r="H163" s="44">
        <f t="shared" si="10"/>
        <v>0.8466754161020829</v>
      </c>
      <c r="I163" s="17">
        <v>0</v>
      </c>
      <c r="J163" s="46">
        <f>МРСК!K163</f>
        <v>2.625</v>
      </c>
      <c r="K163" s="44">
        <f t="shared" si="12"/>
        <v>1.7783245838979171</v>
      </c>
      <c r="L163" s="44">
        <f t="shared" si="11"/>
        <v>1.7783245838979171</v>
      </c>
      <c r="M163" s="32"/>
      <c r="N163" s="15">
        <v>1.05</v>
      </c>
      <c r="O163" s="45">
        <v>2.5</v>
      </c>
      <c r="Q163" s="223">
        <v>0.49</v>
      </c>
      <c r="R163" s="15" t="s">
        <v>70</v>
      </c>
      <c r="T163" s="15">
        <v>5</v>
      </c>
    </row>
    <row r="164" spans="1:20" s="15" customFormat="1" ht="19.5">
      <c r="A164" s="16">
        <f>МРСК!A164</f>
        <v>85</v>
      </c>
      <c r="B164" s="6" t="s">
        <v>178</v>
      </c>
      <c r="C164" s="45" t="s">
        <v>70</v>
      </c>
      <c r="D164" s="133">
        <f t="shared" si="9"/>
        <v>0</v>
      </c>
      <c r="E164" s="17">
        <f>D164+МРСК!F164</f>
        <v>0.7945413771478487</v>
      </c>
      <c r="F164" s="44">
        <v>0.606</v>
      </c>
      <c r="G164" s="18">
        <v>45</v>
      </c>
      <c r="H164" s="44">
        <f t="shared" si="10"/>
        <v>0.1885413771478487</v>
      </c>
      <c r="I164" s="17">
        <v>0</v>
      </c>
      <c r="J164" s="46">
        <f>МРСК!K164</f>
        <v>2.625</v>
      </c>
      <c r="K164" s="44">
        <f t="shared" si="12"/>
        <v>2.436458622852151</v>
      </c>
      <c r="L164" s="44">
        <f t="shared" si="11"/>
        <v>2.436458622852151</v>
      </c>
      <c r="M164" s="32"/>
      <c r="N164" s="15">
        <v>1.05</v>
      </c>
      <c r="O164" s="45">
        <v>2.5</v>
      </c>
      <c r="Q164" s="223"/>
      <c r="R164" s="15" t="s">
        <v>70</v>
      </c>
      <c r="T164" s="15">
        <v>5</v>
      </c>
    </row>
    <row r="165" spans="1:20" s="15" customFormat="1" ht="19.5">
      <c r="A165" s="16">
        <f>МРСК!A165</f>
        <v>86</v>
      </c>
      <c r="B165" s="2" t="s">
        <v>179</v>
      </c>
      <c r="C165" s="45" t="s">
        <v>73</v>
      </c>
      <c r="D165" s="133">
        <f t="shared" si="9"/>
        <v>0.2</v>
      </c>
      <c r="E165" s="17">
        <f>D165+МРСК!F165</f>
        <v>3.4377374816374475</v>
      </c>
      <c r="F165" s="44">
        <v>2.83</v>
      </c>
      <c r="G165" s="18">
        <v>45</v>
      </c>
      <c r="H165" s="44">
        <f t="shared" si="10"/>
        <v>0.6077374816374475</v>
      </c>
      <c r="I165" s="17">
        <v>0</v>
      </c>
      <c r="J165" s="46">
        <f>МРСК!K165</f>
        <v>6.615</v>
      </c>
      <c r="K165" s="44">
        <f t="shared" si="12"/>
        <v>6.007262518362553</v>
      </c>
      <c r="L165" s="44">
        <f t="shared" si="11"/>
        <v>6.007262518362553</v>
      </c>
      <c r="M165" s="32"/>
      <c r="N165" s="15">
        <v>1.05</v>
      </c>
      <c r="O165" s="45">
        <v>6.3</v>
      </c>
      <c r="Q165" s="223">
        <f>0.1+0.1</f>
        <v>0.2</v>
      </c>
      <c r="R165" s="15" t="s">
        <v>73</v>
      </c>
      <c r="T165" s="15">
        <v>12.6</v>
      </c>
    </row>
    <row r="166" spans="1:20" s="15" customFormat="1" ht="19.5">
      <c r="A166" s="16">
        <f>МРСК!A166</f>
        <v>87</v>
      </c>
      <c r="B166" s="6" t="s">
        <v>180</v>
      </c>
      <c r="C166" s="45" t="s">
        <v>71</v>
      </c>
      <c r="D166" s="133">
        <f t="shared" si="9"/>
        <v>0.27</v>
      </c>
      <c r="E166" s="17">
        <f>D166+МРСК!F166</f>
        <v>4.0923762242877135</v>
      </c>
      <c r="F166" s="44">
        <v>1.21</v>
      </c>
      <c r="G166" s="18">
        <v>80</v>
      </c>
      <c r="H166" s="44">
        <f t="shared" si="10"/>
        <v>2.8823762242877136</v>
      </c>
      <c r="I166" s="17">
        <v>0</v>
      </c>
      <c r="J166" s="46">
        <f>МРСК!K166</f>
        <v>4.2</v>
      </c>
      <c r="K166" s="44">
        <f t="shared" si="12"/>
        <v>1.3176237757122866</v>
      </c>
      <c r="L166" s="44">
        <f t="shared" si="11"/>
        <v>1.3176237757122866</v>
      </c>
      <c r="M166" s="32"/>
      <c r="N166" s="15">
        <v>1.05</v>
      </c>
      <c r="O166" s="45">
        <v>4</v>
      </c>
      <c r="Q166" s="223">
        <f>0.2+0.07</f>
        <v>0.27</v>
      </c>
      <c r="R166" s="15" t="s">
        <v>71</v>
      </c>
      <c r="T166" s="15">
        <v>8</v>
      </c>
    </row>
    <row r="167" spans="1:20" s="15" customFormat="1" ht="19.5">
      <c r="A167" s="16">
        <f>МРСК!A167</f>
        <v>88</v>
      </c>
      <c r="B167" s="2" t="s">
        <v>181</v>
      </c>
      <c r="C167" s="45" t="s">
        <v>76</v>
      </c>
      <c r="D167" s="133">
        <f t="shared" si="9"/>
        <v>0.02</v>
      </c>
      <c r="E167" s="17">
        <f>D167+МРСК!F167</f>
        <v>1.9809630287182878</v>
      </c>
      <c r="F167" s="44">
        <v>1.3213999028416417</v>
      </c>
      <c r="G167" s="18">
        <v>45</v>
      </c>
      <c r="H167" s="44">
        <f t="shared" si="10"/>
        <v>0.6595631258766461</v>
      </c>
      <c r="I167" s="17">
        <v>0</v>
      </c>
      <c r="J167" s="46">
        <f>МРСК!K167</f>
        <v>2.625</v>
      </c>
      <c r="K167" s="44">
        <f t="shared" si="12"/>
        <v>1.9654368741233539</v>
      </c>
      <c r="L167" s="44">
        <f t="shared" si="11"/>
        <v>1.9654368741233539</v>
      </c>
      <c r="M167" s="32"/>
      <c r="N167" s="15">
        <v>1.05</v>
      </c>
      <c r="O167" s="45">
        <v>2.5</v>
      </c>
      <c r="Q167" s="223">
        <v>0.02</v>
      </c>
      <c r="R167" s="15" t="s">
        <v>76</v>
      </c>
      <c r="T167" s="15">
        <v>6.5</v>
      </c>
    </row>
    <row r="168" spans="1:20" s="15" customFormat="1" ht="19.5">
      <c r="A168" s="16">
        <f>МРСК!A168</f>
        <v>89</v>
      </c>
      <c r="B168" s="6" t="s">
        <v>182</v>
      </c>
      <c r="C168" s="45" t="s">
        <v>73</v>
      </c>
      <c r="D168" s="133">
        <f t="shared" si="9"/>
        <v>0.1</v>
      </c>
      <c r="E168" s="17">
        <f>D168+МРСК!F168</f>
        <v>6.936630749133669</v>
      </c>
      <c r="F168" s="44">
        <v>0.918</v>
      </c>
      <c r="G168" s="18">
        <v>120</v>
      </c>
      <c r="H168" s="44">
        <f t="shared" si="10"/>
        <v>6.018630749133669</v>
      </c>
      <c r="I168" s="17">
        <v>0</v>
      </c>
      <c r="J168" s="46">
        <f>МРСК!K168</f>
        <v>6.615</v>
      </c>
      <c r="K168" s="44">
        <f t="shared" si="12"/>
        <v>0.5963692508663314</v>
      </c>
      <c r="L168" s="44">
        <f t="shared" si="11"/>
        <v>0.5963692508663314</v>
      </c>
      <c r="M168" s="32"/>
      <c r="N168" s="15">
        <v>1.05</v>
      </c>
      <c r="O168" s="45">
        <v>6.3</v>
      </c>
      <c r="Q168" s="223">
        <f>0.1</f>
        <v>0.1</v>
      </c>
      <c r="R168" s="15" t="s">
        <v>73</v>
      </c>
      <c r="T168" s="15">
        <v>12.6</v>
      </c>
    </row>
    <row r="169" spans="1:20" s="15" customFormat="1" ht="19.5">
      <c r="A169" s="16">
        <f>МРСК!A169</f>
        <v>90</v>
      </c>
      <c r="B169" s="2" t="s">
        <v>183</v>
      </c>
      <c r="C169" s="45" t="s">
        <v>80</v>
      </c>
      <c r="D169" s="133">
        <f t="shared" si="9"/>
        <v>0.02</v>
      </c>
      <c r="E169" s="17">
        <f>D169+МРСК!F169</f>
        <v>1.0825252938165755</v>
      </c>
      <c r="F169" s="44">
        <v>0.522</v>
      </c>
      <c r="G169" s="18">
        <v>45</v>
      </c>
      <c r="H169" s="44">
        <f t="shared" si="10"/>
        <v>0.5605252938165755</v>
      </c>
      <c r="I169" s="17">
        <v>0</v>
      </c>
      <c r="J169" s="46">
        <f>МРСК!K169</f>
        <v>1.6800000000000002</v>
      </c>
      <c r="K169" s="44">
        <f t="shared" si="12"/>
        <v>1.1194747061834247</v>
      </c>
      <c r="L169" s="44">
        <f t="shared" si="11"/>
        <v>1.1194747061834247</v>
      </c>
      <c r="M169" s="32"/>
      <c r="N169" s="15">
        <v>1.05</v>
      </c>
      <c r="O169" s="45">
        <v>1.6</v>
      </c>
      <c r="Q169" s="223">
        <f>0.02</f>
        <v>0.02</v>
      </c>
      <c r="R169" s="15" t="s">
        <v>80</v>
      </c>
      <c r="T169" s="15">
        <v>4.1</v>
      </c>
    </row>
    <row r="170" spans="1:20" s="15" customFormat="1" ht="19.5">
      <c r="A170" s="16">
        <f>МРСК!A170</f>
        <v>91</v>
      </c>
      <c r="B170" s="6" t="s">
        <v>184</v>
      </c>
      <c r="C170" s="45" t="s">
        <v>71</v>
      </c>
      <c r="D170" s="133">
        <f t="shared" si="9"/>
        <v>0</v>
      </c>
      <c r="E170" s="17">
        <f>D170+МРСК!F170</f>
        <v>2.130464738032526</v>
      </c>
      <c r="F170" s="44">
        <v>1.45</v>
      </c>
      <c r="G170" s="18">
        <v>80</v>
      </c>
      <c r="H170" s="44">
        <f t="shared" si="10"/>
        <v>0.6804647380325262</v>
      </c>
      <c r="I170" s="17">
        <v>0</v>
      </c>
      <c r="J170" s="46">
        <f>МРСК!K170</f>
        <v>4.2</v>
      </c>
      <c r="K170" s="44">
        <f t="shared" si="12"/>
        <v>3.519535261967474</v>
      </c>
      <c r="L170" s="44">
        <f t="shared" si="11"/>
        <v>3.519535261967474</v>
      </c>
      <c r="M170" s="32"/>
      <c r="N170" s="15">
        <v>1.05</v>
      </c>
      <c r="O170" s="45">
        <v>4</v>
      </c>
      <c r="Q170" s="223"/>
      <c r="R170" s="15" t="s">
        <v>71</v>
      </c>
      <c r="T170" s="15">
        <v>8</v>
      </c>
    </row>
    <row r="171" spans="1:20" s="15" customFormat="1" ht="19.5">
      <c r="A171" s="16">
        <f>МРСК!A171</f>
        <v>92</v>
      </c>
      <c r="B171" s="2" t="s">
        <v>185</v>
      </c>
      <c r="C171" s="45" t="s">
        <v>70</v>
      </c>
      <c r="D171" s="133">
        <f t="shared" si="9"/>
        <v>0.30000000000000004</v>
      </c>
      <c r="E171" s="17">
        <f>D171+МРСК!F171</f>
        <v>2.0889438224829755</v>
      </c>
      <c r="F171" s="44">
        <v>1.0795494616358337</v>
      </c>
      <c r="G171" s="18">
        <v>120</v>
      </c>
      <c r="H171" s="44">
        <f t="shared" si="10"/>
        <v>1.0093943608471418</v>
      </c>
      <c r="I171" s="17">
        <v>0</v>
      </c>
      <c r="J171" s="46">
        <f>МРСК!K171</f>
        <v>2.625</v>
      </c>
      <c r="K171" s="44">
        <f t="shared" si="12"/>
        <v>1.6156056391528582</v>
      </c>
      <c r="L171" s="44">
        <f t="shared" si="11"/>
        <v>1.6156056391528582</v>
      </c>
      <c r="M171" s="32"/>
      <c r="N171" s="15">
        <v>1.05</v>
      </c>
      <c r="O171" s="45">
        <v>2.5</v>
      </c>
      <c r="Q171" s="223">
        <f>0.1+0.2</f>
        <v>0.30000000000000004</v>
      </c>
      <c r="R171" s="15" t="s">
        <v>70</v>
      </c>
      <c r="T171" s="15">
        <v>5</v>
      </c>
    </row>
    <row r="172" spans="1:20" s="15" customFormat="1" ht="19.5">
      <c r="A172" s="16">
        <f>МРСК!A172</f>
        <v>93</v>
      </c>
      <c r="B172" s="6" t="s">
        <v>186</v>
      </c>
      <c r="C172" s="45" t="s">
        <v>70</v>
      </c>
      <c r="D172" s="133">
        <f t="shared" si="9"/>
        <v>0.02</v>
      </c>
      <c r="E172" s="17">
        <f>D172+МРСК!F172</f>
        <v>1.2349074038789951</v>
      </c>
      <c r="F172" s="44">
        <v>0.4</v>
      </c>
      <c r="G172" s="18">
        <v>120</v>
      </c>
      <c r="H172" s="44">
        <f t="shared" si="10"/>
        <v>0.8349074038789951</v>
      </c>
      <c r="I172" s="17">
        <v>0</v>
      </c>
      <c r="J172" s="46">
        <f>МРСК!K172</f>
        <v>2.625</v>
      </c>
      <c r="K172" s="44">
        <f t="shared" si="12"/>
        <v>1.790092596121005</v>
      </c>
      <c r="L172" s="44">
        <f t="shared" si="11"/>
        <v>1.790092596121005</v>
      </c>
      <c r="M172" s="32"/>
      <c r="N172" s="15">
        <v>1.05</v>
      </c>
      <c r="O172" s="45">
        <v>2.5</v>
      </c>
      <c r="Q172" s="223">
        <v>0.02</v>
      </c>
      <c r="R172" s="15" t="s">
        <v>70</v>
      </c>
      <c r="T172" s="15">
        <v>5</v>
      </c>
    </row>
    <row r="173" spans="1:20" s="15" customFormat="1" ht="19.5">
      <c r="A173" s="16">
        <f>МРСК!A173</f>
        <v>94</v>
      </c>
      <c r="B173" s="2" t="s">
        <v>187</v>
      </c>
      <c r="C173" s="45" t="s">
        <v>76</v>
      </c>
      <c r="D173" s="133">
        <f t="shared" si="9"/>
        <v>1.52</v>
      </c>
      <c r="E173" s="17">
        <f>D173+МРСК!F173</f>
        <v>3.0935819012685677</v>
      </c>
      <c r="F173" s="44">
        <v>1.0176542711224374</v>
      </c>
      <c r="G173" s="18">
        <v>45</v>
      </c>
      <c r="H173" s="44">
        <f t="shared" si="10"/>
        <v>2.07592763014613</v>
      </c>
      <c r="I173" s="17">
        <v>0</v>
      </c>
      <c r="J173" s="46">
        <f>МРСК!K173</f>
        <v>2.625</v>
      </c>
      <c r="K173" s="44">
        <f t="shared" si="12"/>
        <v>0.54907236985387</v>
      </c>
      <c r="L173" s="44">
        <f t="shared" si="11"/>
        <v>0.54907236985387</v>
      </c>
      <c r="M173" s="32"/>
      <c r="N173" s="15">
        <v>1.05</v>
      </c>
      <c r="O173" s="45">
        <v>2.5</v>
      </c>
      <c r="Q173" s="223">
        <f>1.5+0.02</f>
        <v>1.52</v>
      </c>
      <c r="R173" s="15" t="s">
        <v>76</v>
      </c>
      <c r="T173" s="15">
        <v>6.5</v>
      </c>
    </row>
    <row r="174" spans="1:20" s="15" customFormat="1" ht="19.5">
      <c r="A174" s="16">
        <f>МРСК!A174</f>
        <v>95</v>
      </c>
      <c r="B174" s="6" t="s">
        <v>188</v>
      </c>
      <c r="C174" s="45" t="s">
        <v>76</v>
      </c>
      <c r="D174" s="133">
        <f t="shared" si="9"/>
        <v>0.49</v>
      </c>
      <c r="E174" s="17">
        <f>D174+МРСК!F174</f>
        <v>1.9268020044529448</v>
      </c>
      <c r="F174" s="44">
        <v>0.9553554312401222</v>
      </c>
      <c r="G174" s="18">
        <v>120</v>
      </c>
      <c r="H174" s="44">
        <f t="shared" si="10"/>
        <v>0.9714465732128226</v>
      </c>
      <c r="I174" s="17">
        <v>0</v>
      </c>
      <c r="J174" s="46">
        <f>МРСК!K174</f>
        <v>2.625</v>
      </c>
      <c r="K174" s="44">
        <f t="shared" si="12"/>
        <v>1.6535534267871774</v>
      </c>
      <c r="L174" s="44">
        <f t="shared" si="11"/>
        <v>1.6535534267871774</v>
      </c>
      <c r="M174" s="32"/>
      <c r="N174" s="15">
        <v>1.05</v>
      </c>
      <c r="O174" s="45">
        <v>2.5</v>
      </c>
      <c r="Q174" s="223">
        <v>0.49</v>
      </c>
      <c r="R174" s="15" t="s">
        <v>76</v>
      </c>
      <c r="T174" s="15">
        <v>6.5</v>
      </c>
    </row>
    <row r="175" spans="1:20" s="15" customFormat="1" ht="19.5">
      <c r="A175" s="16">
        <f>МРСК!A175</f>
        <v>96</v>
      </c>
      <c r="B175" s="2" t="s">
        <v>189</v>
      </c>
      <c r="C175" s="45" t="s">
        <v>71</v>
      </c>
      <c r="D175" s="133">
        <f aca="true" t="shared" si="13" ref="D175:D238">Q175</f>
        <v>0.1</v>
      </c>
      <c r="E175" s="17">
        <f>D175+МРСК!F175</f>
        <v>2.153122499998478</v>
      </c>
      <c r="F175" s="44">
        <v>0.616</v>
      </c>
      <c r="G175" s="18">
        <v>80</v>
      </c>
      <c r="H175" s="44">
        <f t="shared" si="10"/>
        <v>1.5371224999984778</v>
      </c>
      <c r="I175" s="17">
        <v>0</v>
      </c>
      <c r="J175" s="46">
        <f>МРСК!K175</f>
        <v>4.2</v>
      </c>
      <c r="K175" s="44">
        <f t="shared" si="12"/>
        <v>2.6628775000015223</v>
      </c>
      <c r="L175" s="44">
        <f t="shared" si="11"/>
        <v>2.6628775000015223</v>
      </c>
      <c r="M175" s="32"/>
      <c r="N175" s="15">
        <v>1.05</v>
      </c>
      <c r="O175" s="45">
        <v>4</v>
      </c>
      <c r="Q175" s="223">
        <f>0.1</f>
        <v>0.1</v>
      </c>
      <c r="R175" s="15" t="s">
        <v>71</v>
      </c>
      <c r="T175" s="15">
        <v>8</v>
      </c>
    </row>
    <row r="176" spans="1:20" s="15" customFormat="1" ht="19.5">
      <c r="A176" s="16">
        <f>МРСК!A176</f>
        <v>97</v>
      </c>
      <c r="B176" s="6" t="s">
        <v>190</v>
      </c>
      <c r="C176" s="45" t="s">
        <v>71</v>
      </c>
      <c r="D176" s="133">
        <f t="shared" si="13"/>
        <v>0</v>
      </c>
      <c r="E176" s="17">
        <f>D176+МРСК!F176</f>
        <v>0.8037045477039433</v>
      </c>
      <c r="F176" s="44">
        <v>0</v>
      </c>
      <c r="G176" s="18"/>
      <c r="H176" s="44">
        <f t="shared" si="10"/>
        <v>0.8037045477039433</v>
      </c>
      <c r="I176" s="17">
        <v>0</v>
      </c>
      <c r="J176" s="46">
        <f>МРСК!K176</f>
        <v>4.2</v>
      </c>
      <c r="K176" s="44">
        <f t="shared" si="12"/>
        <v>3.396295452296057</v>
      </c>
      <c r="L176" s="44">
        <f t="shared" si="11"/>
        <v>3.396295452296057</v>
      </c>
      <c r="M176" s="32"/>
      <c r="N176" s="15">
        <v>1.05</v>
      </c>
      <c r="O176" s="45">
        <v>4</v>
      </c>
      <c r="Q176" s="223"/>
      <c r="R176" s="15" t="s">
        <v>71</v>
      </c>
      <c r="T176" s="15">
        <v>8</v>
      </c>
    </row>
    <row r="177" spans="1:20" s="15" customFormat="1" ht="19.5">
      <c r="A177" s="16">
        <f>МРСК!A177</f>
        <v>98</v>
      </c>
      <c r="B177" s="2" t="s">
        <v>191</v>
      </c>
      <c r="C177" s="45" t="s">
        <v>283</v>
      </c>
      <c r="D177" s="133">
        <f t="shared" si="13"/>
        <v>0.12000000000000001</v>
      </c>
      <c r="E177" s="17">
        <f>D177+МРСК!F177</f>
        <v>2.2430506352887583</v>
      </c>
      <c r="F177" s="44">
        <v>0.305</v>
      </c>
      <c r="G177" s="18">
        <v>45</v>
      </c>
      <c r="H177" s="44">
        <f t="shared" si="10"/>
        <v>1.9380506352887583</v>
      </c>
      <c r="I177" s="17">
        <v>0</v>
      </c>
      <c r="J177" s="46">
        <f>МРСК!K177</f>
        <v>4.2</v>
      </c>
      <c r="K177" s="44">
        <f t="shared" si="12"/>
        <v>2.261949364711242</v>
      </c>
      <c r="L177" s="44">
        <f t="shared" si="11"/>
        <v>2.261949364711242</v>
      </c>
      <c r="M177" s="32"/>
      <c r="N177" s="15">
        <v>1.05</v>
      </c>
      <c r="O177" s="45">
        <v>2.5</v>
      </c>
      <c r="Q177" s="223">
        <f>0.1+0.02</f>
        <v>0.12000000000000001</v>
      </c>
      <c r="R177" s="15" t="s">
        <v>283</v>
      </c>
      <c r="T177" s="15">
        <v>10.3</v>
      </c>
    </row>
    <row r="178" spans="1:20" s="15" customFormat="1" ht="19.5">
      <c r="A178" s="16">
        <f>МРСК!A178</f>
        <v>99</v>
      </c>
      <c r="B178" s="6" t="s">
        <v>193</v>
      </c>
      <c r="C178" s="45" t="s">
        <v>73</v>
      </c>
      <c r="D178" s="133">
        <f t="shared" si="13"/>
        <v>0.12</v>
      </c>
      <c r="E178" s="17">
        <f>D178+МРСК!F178</f>
        <v>3.9282699484148966</v>
      </c>
      <c r="F178" s="44">
        <v>1.43</v>
      </c>
      <c r="G178" s="18">
        <v>120</v>
      </c>
      <c r="H178" s="44">
        <f t="shared" si="10"/>
        <v>2.4982699484148965</v>
      </c>
      <c r="I178" s="17">
        <v>0</v>
      </c>
      <c r="J178" s="46">
        <f>МРСК!K178</f>
        <v>6.615</v>
      </c>
      <c r="K178" s="44">
        <f t="shared" si="12"/>
        <v>4.116730051585104</v>
      </c>
      <c r="L178" s="44">
        <f t="shared" si="11"/>
        <v>4.116730051585104</v>
      </c>
      <c r="M178" s="32"/>
      <c r="N178" s="15">
        <v>1.05</v>
      </c>
      <c r="O178" s="45">
        <v>4</v>
      </c>
      <c r="Q178" s="223">
        <f>0.08+0.04</f>
        <v>0.12</v>
      </c>
      <c r="R178" s="15" t="s">
        <v>73</v>
      </c>
      <c r="T178" s="15">
        <v>12.6</v>
      </c>
    </row>
    <row r="179" spans="1:20" s="15" customFormat="1" ht="19.5">
      <c r="A179" s="16">
        <f>МРСК!A179</f>
        <v>100</v>
      </c>
      <c r="B179" s="2" t="s">
        <v>192</v>
      </c>
      <c r="C179" s="45" t="s">
        <v>70</v>
      </c>
      <c r="D179" s="133">
        <f t="shared" si="13"/>
        <v>0</v>
      </c>
      <c r="E179" s="17">
        <f>D179+МРСК!F179</f>
        <v>1.6946999734466277</v>
      </c>
      <c r="F179" s="44">
        <v>0.995132152028061</v>
      </c>
      <c r="G179" s="18">
        <v>120</v>
      </c>
      <c r="H179" s="44">
        <f t="shared" si="10"/>
        <v>0.6995678214185667</v>
      </c>
      <c r="I179" s="17">
        <v>0</v>
      </c>
      <c r="J179" s="46">
        <f>МРСК!K179</f>
        <v>2.625</v>
      </c>
      <c r="K179" s="44">
        <f t="shared" si="12"/>
        <v>1.9254321785814335</v>
      </c>
      <c r="L179" s="44">
        <f t="shared" si="11"/>
        <v>1.9254321785814335</v>
      </c>
      <c r="M179" s="32"/>
      <c r="N179" s="15">
        <v>1.05</v>
      </c>
      <c r="O179" s="45">
        <v>2.5</v>
      </c>
      <c r="Q179" s="223"/>
      <c r="R179" s="15" t="s">
        <v>70</v>
      </c>
      <c r="T179" s="15">
        <v>5</v>
      </c>
    </row>
    <row r="180" spans="1:20" s="15" customFormat="1" ht="19.5">
      <c r="A180" s="16">
        <f>МРСК!A180</f>
        <v>101</v>
      </c>
      <c r="B180" s="6" t="s">
        <v>194</v>
      </c>
      <c r="C180" s="45" t="s">
        <v>73</v>
      </c>
      <c r="D180" s="133">
        <f t="shared" si="13"/>
        <v>0</v>
      </c>
      <c r="E180" s="17">
        <f>D180+МРСК!F180</f>
        <v>3.2708946788302433</v>
      </c>
      <c r="F180" s="44">
        <v>1.4036067580251326</v>
      </c>
      <c r="G180" s="18">
        <v>80</v>
      </c>
      <c r="H180" s="44">
        <f t="shared" si="10"/>
        <v>1.8672879208051107</v>
      </c>
      <c r="I180" s="17">
        <v>0</v>
      </c>
      <c r="J180" s="46">
        <f>МРСК!K180</f>
        <v>6.615</v>
      </c>
      <c r="K180" s="44">
        <f t="shared" si="12"/>
        <v>4.74771207919489</v>
      </c>
      <c r="L180" s="44">
        <f t="shared" si="11"/>
        <v>4.74771207919489</v>
      </c>
      <c r="M180" s="32"/>
      <c r="N180" s="15">
        <v>1.05</v>
      </c>
      <c r="O180" s="45">
        <v>2.5</v>
      </c>
      <c r="Q180" s="223"/>
      <c r="R180" s="15" t="s">
        <v>73</v>
      </c>
      <c r="T180" s="15">
        <v>12.3</v>
      </c>
    </row>
    <row r="181" spans="1:20" s="15" customFormat="1" ht="19.5">
      <c r="A181" s="16">
        <f>МРСК!A181</f>
        <v>102</v>
      </c>
      <c r="B181" s="2" t="s">
        <v>195</v>
      </c>
      <c r="C181" s="45" t="s">
        <v>70</v>
      </c>
      <c r="D181" s="133">
        <f t="shared" si="13"/>
        <v>0.55</v>
      </c>
      <c r="E181" s="17">
        <f>D181+МРСК!F181</f>
        <v>3.3140665693864895</v>
      </c>
      <c r="F181" s="44">
        <v>0.617</v>
      </c>
      <c r="G181" s="18">
        <v>45</v>
      </c>
      <c r="H181" s="44">
        <f t="shared" si="10"/>
        <v>2.6970665693864895</v>
      </c>
      <c r="I181" s="17">
        <v>0</v>
      </c>
      <c r="J181" s="46">
        <f>МРСК!K181</f>
        <v>2.625</v>
      </c>
      <c r="K181" s="44">
        <f t="shared" si="12"/>
        <v>-0.07206656938648948</v>
      </c>
      <c r="L181" s="44">
        <f t="shared" si="11"/>
        <v>-0.07206656938648948</v>
      </c>
      <c r="M181" s="32"/>
      <c r="N181" s="15">
        <v>1.05</v>
      </c>
      <c r="O181" s="45">
        <v>2.5</v>
      </c>
      <c r="Q181" s="223">
        <f>0.45+0.1</f>
        <v>0.55</v>
      </c>
      <c r="R181" s="15" t="s">
        <v>70</v>
      </c>
      <c r="T181" s="15">
        <v>5</v>
      </c>
    </row>
    <row r="182" spans="1:20" s="15" customFormat="1" ht="19.5">
      <c r="A182" s="16">
        <f>МРСК!A182</f>
        <v>103</v>
      </c>
      <c r="B182" s="6" t="s">
        <v>196</v>
      </c>
      <c r="C182" s="45" t="s">
        <v>76</v>
      </c>
      <c r="D182" s="133">
        <f t="shared" si="13"/>
        <v>0.27</v>
      </c>
      <c r="E182" s="17">
        <f>D182+МРСК!F182</f>
        <v>1.8506682131301306</v>
      </c>
      <c r="F182" s="44">
        <v>0.9084995371305657</v>
      </c>
      <c r="G182" s="18">
        <v>45</v>
      </c>
      <c r="H182" s="44">
        <f t="shared" si="10"/>
        <v>0.9421686759995649</v>
      </c>
      <c r="I182" s="17">
        <v>0</v>
      </c>
      <c r="J182" s="46">
        <f>МРСК!K182</f>
        <v>2.625</v>
      </c>
      <c r="K182" s="44">
        <f t="shared" si="12"/>
        <v>1.6828313240004351</v>
      </c>
      <c r="L182" s="44">
        <f t="shared" si="11"/>
        <v>1.6828313240004351</v>
      </c>
      <c r="M182" s="32"/>
      <c r="N182" s="15">
        <v>1.05</v>
      </c>
      <c r="O182" s="45">
        <v>2.5</v>
      </c>
      <c r="Q182" s="223">
        <f>0.22+0.05</f>
        <v>0.27</v>
      </c>
      <c r="R182" s="15" t="s">
        <v>76</v>
      </c>
      <c r="T182" s="15">
        <v>6.5</v>
      </c>
    </row>
    <row r="183" spans="1:20" s="15" customFormat="1" ht="19.5">
      <c r="A183" s="16">
        <f>МРСК!A183</f>
        <v>104</v>
      </c>
      <c r="B183" s="2" t="s">
        <v>197</v>
      </c>
      <c r="C183" s="45" t="s">
        <v>71</v>
      </c>
      <c r="D183" s="133">
        <f t="shared" si="13"/>
        <v>0</v>
      </c>
      <c r="E183" s="17">
        <f>D183+МРСК!F183</f>
        <v>3.162824054543661</v>
      </c>
      <c r="F183" s="44">
        <v>0</v>
      </c>
      <c r="G183" s="18"/>
      <c r="H183" s="44">
        <f t="shared" si="10"/>
        <v>3.162824054543661</v>
      </c>
      <c r="I183" s="17">
        <v>0</v>
      </c>
      <c r="J183" s="46">
        <f>МРСК!K183</f>
        <v>4.2</v>
      </c>
      <c r="K183" s="44">
        <f t="shared" si="12"/>
        <v>1.0371759454563394</v>
      </c>
      <c r="L183" s="44">
        <f t="shared" si="11"/>
        <v>1.0371759454563394</v>
      </c>
      <c r="M183" s="32"/>
      <c r="N183" s="15">
        <v>1.05</v>
      </c>
      <c r="O183" s="45">
        <v>4</v>
      </c>
      <c r="Q183" s="223"/>
      <c r="R183" s="15" t="s">
        <v>71</v>
      </c>
      <c r="T183" s="15">
        <v>8</v>
      </c>
    </row>
    <row r="184" spans="1:20" s="15" customFormat="1" ht="19.5">
      <c r="A184" s="16">
        <f>МРСК!A184</f>
        <v>105</v>
      </c>
      <c r="B184" s="6" t="s">
        <v>198</v>
      </c>
      <c r="C184" s="45" t="s">
        <v>71</v>
      </c>
      <c r="D184" s="133">
        <f t="shared" si="13"/>
        <v>0.45</v>
      </c>
      <c r="E184" s="17">
        <f>D184+МРСК!F184</f>
        <v>1.7382546332150333</v>
      </c>
      <c r="F184" s="44">
        <v>0.7823699242213712</v>
      </c>
      <c r="G184" s="18">
        <v>80</v>
      </c>
      <c r="H184" s="44">
        <f t="shared" si="10"/>
        <v>0.9558847089936621</v>
      </c>
      <c r="I184" s="17">
        <v>0</v>
      </c>
      <c r="J184" s="46">
        <f>МРСК!K184</f>
        <v>4.2</v>
      </c>
      <c r="K184" s="44">
        <f t="shared" si="12"/>
        <v>3.244115291006338</v>
      </c>
      <c r="L184" s="44">
        <f t="shared" si="11"/>
        <v>3.244115291006338</v>
      </c>
      <c r="M184" s="32"/>
      <c r="N184" s="15">
        <v>1.05</v>
      </c>
      <c r="O184" s="45">
        <v>4</v>
      </c>
      <c r="Q184" s="223">
        <f>0.45</f>
        <v>0.45</v>
      </c>
      <c r="R184" s="15" t="s">
        <v>71</v>
      </c>
      <c r="T184" s="15">
        <v>8</v>
      </c>
    </row>
    <row r="185" spans="1:20" s="15" customFormat="1" ht="19.5">
      <c r="A185" s="16">
        <f>МРСК!A185</f>
        <v>106</v>
      </c>
      <c r="B185" s="2" t="s">
        <v>199</v>
      </c>
      <c r="C185" s="45" t="s">
        <v>71</v>
      </c>
      <c r="D185" s="133">
        <f t="shared" si="13"/>
        <v>0.1</v>
      </c>
      <c r="E185" s="17">
        <f>D185+МРСК!F185</f>
        <v>2.6670527848098486</v>
      </c>
      <c r="F185" s="44">
        <v>1.054</v>
      </c>
      <c r="G185" s="18">
        <v>45</v>
      </c>
      <c r="H185" s="44">
        <f t="shared" si="10"/>
        <v>1.6130527848098486</v>
      </c>
      <c r="I185" s="17">
        <v>0</v>
      </c>
      <c r="J185" s="46">
        <f>МРСК!K185</f>
        <v>4.2</v>
      </c>
      <c r="K185" s="44">
        <f t="shared" si="12"/>
        <v>2.5869472151901514</v>
      </c>
      <c r="L185" s="44">
        <f t="shared" si="11"/>
        <v>2.5869472151901514</v>
      </c>
      <c r="M185" s="32"/>
      <c r="N185" s="15">
        <v>1.05</v>
      </c>
      <c r="O185" s="45">
        <v>4</v>
      </c>
      <c r="Q185" s="223">
        <f>0.1</f>
        <v>0.1</v>
      </c>
      <c r="R185" s="15" t="s">
        <v>71</v>
      </c>
      <c r="T185" s="15">
        <v>8</v>
      </c>
    </row>
    <row r="186" spans="1:20" s="15" customFormat="1" ht="19.5">
      <c r="A186" s="16">
        <f>МРСК!A186</f>
        <v>107</v>
      </c>
      <c r="B186" s="6" t="s">
        <v>200</v>
      </c>
      <c r="C186" s="45" t="s">
        <v>70</v>
      </c>
      <c r="D186" s="133">
        <f t="shared" si="13"/>
        <v>1.4300000000000002</v>
      </c>
      <c r="E186" s="17">
        <f>D186+МРСК!F186</f>
        <v>2.2886873703508166</v>
      </c>
      <c r="F186" s="44">
        <v>0.6299911422760434</v>
      </c>
      <c r="G186" s="18">
        <v>80</v>
      </c>
      <c r="H186" s="44">
        <f t="shared" si="10"/>
        <v>1.6586962280747732</v>
      </c>
      <c r="I186" s="17">
        <v>0</v>
      </c>
      <c r="J186" s="46">
        <f>МРСК!K186</f>
        <v>2.625</v>
      </c>
      <c r="K186" s="44">
        <f t="shared" si="12"/>
        <v>0.9663037719252268</v>
      </c>
      <c r="L186" s="44">
        <f t="shared" si="11"/>
        <v>0.9663037719252268</v>
      </c>
      <c r="M186" s="32"/>
      <c r="N186" s="15">
        <v>1.05</v>
      </c>
      <c r="O186" s="45">
        <v>2.5</v>
      </c>
      <c r="Q186" s="223">
        <f>0.1+1.33</f>
        <v>1.4300000000000002</v>
      </c>
      <c r="R186" s="15" t="s">
        <v>70</v>
      </c>
      <c r="T186" s="15">
        <v>5</v>
      </c>
    </row>
    <row r="187" spans="1:20" s="15" customFormat="1" ht="19.5">
      <c r="A187" s="16">
        <f>МРСК!A187</f>
        <v>108</v>
      </c>
      <c r="B187" s="2" t="s">
        <v>201</v>
      </c>
      <c r="C187" s="45" t="s">
        <v>76</v>
      </c>
      <c r="D187" s="133">
        <f t="shared" si="13"/>
        <v>0.16</v>
      </c>
      <c r="E187" s="17">
        <f>D187+МРСК!F187</f>
        <v>1.7607398289540994</v>
      </c>
      <c r="F187" s="44">
        <v>0.274</v>
      </c>
      <c r="G187" s="18">
        <v>80</v>
      </c>
      <c r="H187" s="44">
        <f t="shared" si="10"/>
        <v>1.4867398289540994</v>
      </c>
      <c r="I187" s="17">
        <v>0</v>
      </c>
      <c r="J187" s="46">
        <f>МРСК!K187</f>
        <v>2.625</v>
      </c>
      <c r="K187" s="44">
        <f t="shared" si="12"/>
        <v>1.1382601710459006</v>
      </c>
      <c r="L187" s="44">
        <f t="shared" si="11"/>
        <v>1.1382601710459006</v>
      </c>
      <c r="M187" s="32"/>
      <c r="N187" s="15">
        <v>1.05</v>
      </c>
      <c r="O187" s="45">
        <v>2.5</v>
      </c>
      <c r="Q187" s="223">
        <f>0.14+0.02</f>
        <v>0.16</v>
      </c>
      <c r="R187" s="15" t="s">
        <v>76</v>
      </c>
      <c r="T187" s="15">
        <v>6.5</v>
      </c>
    </row>
    <row r="188" spans="1:20" s="15" customFormat="1" ht="19.5">
      <c r="A188" s="16">
        <f>МРСК!A188</f>
        <v>109</v>
      </c>
      <c r="B188" s="6" t="s">
        <v>202</v>
      </c>
      <c r="C188" s="45" t="s">
        <v>64</v>
      </c>
      <c r="D188" s="133">
        <f t="shared" si="13"/>
        <v>0.03</v>
      </c>
      <c r="E188" s="17">
        <f>D188+МРСК!F188</f>
        <v>7.680242349102413</v>
      </c>
      <c r="F188" s="44">
        <v>4.051</v>
      </c>
      <c r="G188" s="18">
        <v>120</v>
      </c>
      <c r="H188" s="44">
        <f t="shared" si="10"/>
        <v>3.6292423491024133</v>
      </c>
      <c r="I188" s="17">
        <v>0</v>
      </c>
      <c r="J188" s="46">
        <f>МРСК!K188</f>
        <v>10.5</v>
      </c>
      <c r="K188" s="44">
        <f t="shared" si="12"/>
        <v>6.870757650897587</v>
      </c>
      <c r="L188" s="44">
        <f t="shared" si="11"/>
        <v>6.870757650897587</v>
      </c>
      <c r="M188" s="32"/>
      <c r="N188" s="15">
        <v>1.05</v>
      </c>
      <c r="O188" s="45">
        <v>10</v>
      </c>
      <c r="Q188" s="223">
        <f>0.03</f>
        <v>0.03</v>
      </c>
      <c r="R188" s="15" t="s">
        <v>64</v>
      </c>
      <c r="T188" s="15">
        <v>20</v>
      </c>
    </row>
    <row r="189" spans="1:20" s="15" customFormat="1" ht="19.5">
      <c r="A189" s="16">
        <f>МРСК!A189</f>
        <v>110</v>
      </c>
      <c r="B189" s="2" t="s">
        <v>203</v>
      </c>
      <c r="C189" s="45" t="s">
        <v>70</v>
      </c>
      <c r="D189" s="133">
        <f t="shared" si="13"/>
        <v>0</v>
      </c>
      <c r="E189" s="17">
        <f>D189+МРСК!F189</f>
        <v>1.004708913068855</v>
      </c>
      <c r="F189" s="44">
        <v>0.42</v>
      </c>
      <c r="G189" s="18">
        <v>80</v>
      </c>
      <c r="H189" s="44">
        <f t="shared" si="10"/>
        <v>0.584708913068855</v>
      </c>
      <c r="I189" s="17">
        <v>0</v>
      </c>
      <c r="J189" s="46">
        <f>МРСК!K189</f>
        <v>2.625</v>
      </c>
      <c r="K189" s="44">
        <f t="shared" si="12"/>
        <v>2.040291086931145</v>
      </c>
      <c r="L189" s="44">
        <f t="shared" si="11"/>
        <v>2.040291086931145</v>
      </c>
      <c r="M189" s="32"/>
      <c r="N189" s="15">
        <v>1.05</v>
      </c>
      <c r="O189" s="45">
        <v>2.5</v>
      </c>
      <c r="Q189" s="223"/>
      <c r="R189" s="15" t="s">
        <v>70</v>
      </c>
      <c r="T189" s="15">
        <v>5</v>
      </c>
    </row>
    <row r="190" spans="1:20" s="15" customFormat="1" ht="19.5">
      <c r="A190" s="16">
        <f>МРСК!A190</f>
        <v>111</v>
      </c>
      <c r="B190" s="6" t="s">
        <v>204</v>
      </c>
      <c r="C190" s="45" t="s">
        <v>75</v>
      </c>
      <c r="D190" s="133">
        <f t="shared" si="13"/>
        <v>0.03</v>
      </c>
      <c r="E190" s="17">
        <f>D190+МРСК!F190</f>
        <v>7.028665015558325</v>
      </c>
      <c r="F190" s="44">
        <v>1.707</v>
      </c>
      <c r="G190" s="18">
        <v>120</v>
      </c>
      <c r="H190" s="44">
        <f t="shared" si="10"/>
        <v>5.321665015558325</v>
      </c>
      <c r="I190" s="17">
        <v>0</v>
      </c>
      <c r="J190" s="46">
        <f>МРСК!K190</f>
        <v>21</v>
      </c>
      <c r="K190" s="44">
        <f t="shared" si="12"/>
        <v>15.678334984441676</v>
      </c>
      <c r="L190" s="44">
        <f t="shared" si="11"/>
        <v>15.678334984441676</v>
      </c>
      <c r="M190" s="32"/>
      <c r="N190" s="15">
        <v>1.05</v>
      </c>
      <c r="O190" s="45">
        <v>20</v>
      </c>
      <c r="Q190" s="223">
        <f>0.02+0.01</f>
        <v>0.03</v>
      </c>
      <c r="R190" s="15" t="s">
        <v>75</v>
      </c>
      <c r="T190" s="15">
        <v>30</v>
      </c>
    </row>
    <row r="191" spans="1:20" s="15" customFormat="1" ht="19.5">
      <c r="A191" s="16">
        <f>МРСК!A191</f>
        <v>112</v>
      </c>
      <c r="B191" s="2" t="s">
        <v>205</v>
      </c>
      <c r="C191" s="45" t="s">
        <v>73</v>
      </c>
      <c r="D191" s="133">
        <f t="shared" si="13"/>
        <v>1.01</v>
      </c>
      <c r="E191" s="17">
        <f>D191+МРСК!F191</f>
        <v>7.344323010393454</v>
      </c>
      <c r="F191" s="44">
        <v>3.88</v>
      </c>
      <c r="G191" s="18">
        <v>80</v>
      </c>
      <c r="H191" s="44">
        <f t="shared" si="10"/>
        <v>3.4643230103934544</v>
      </c>
      <c r="I191" s="17">
        <v>0</v>
      </c>
      <c r="J191" s="46">
        <f>МРСК!K191</f>
        <v>6.615</v>
      </c>
      <c r="K191" s="44">
        <f t="shared" si="12"/>
        <v>3.150676989606546</v>
      </c>
      <c r="L191" s="44">
        <f t="shared" si="11"/>
        <v>3.150676989606546</v>
      </c>
      <c r="M191" s="32"/>
      <c r="N191" s="15">
        <v>1.05</v>
      </c>
      <c r="O191" s="45">
        <v>6.3</v>
      </c>
      <c r="Q191" s="223">
        <f>0.26+0.75</f>
        <v>1.01</v>
      </c>
      <c r="R191" s="15" t="s">
        <v>73</v>
      </c>
      <c r="T191" s="15">
        <v>12.6</v>
      </c>
    </row>
    <row r="192" spans="1:20" s="15" customFormat="1" ht="19.5">
      <c r="A192" s="16">
        <f>МРСК!A192</f>
        <v>113</v>
      </c>
      <c r="B192" s="6" t="s">
        <v>206</v>
      </c>
      <c r="C192" s="45" t="s">
        <v>70</v>
      </c>
      <c r="D192" s="133">
        <f t="shared" si="13"/>
        <v>0</v>
      </c>
      <c r="E192" s="17">
        <f>D192+МРСК!F192</f>
        <v>1.1209424606107132</v>
      </c>
      <c r="F192" s="44">
        <v>0.5860328625822191</v>
      </c>
      <c r="G192" s="18">
        <v>80</v>
      </c>
      <c r="H192" s="44">
        <f t="shared" si="10"/>
        <v>0.5349095980284941</v>
      </c>
      <c r="I192" s="17">
        <v>0</v>
      </c>
      <c r="J192" s="46">
        <f>МРСК!K192</f>
        <v>2.625</v>
      </c>
      <c r="K192" s="44">
        <f t="shared" si="12"/>
        <v>2.090090401971506</v>
      </c>
      <c r="L192" s="44">
        <f t="shared" si="11"/>
        <v>2.090090401971506</v>
      </c>
      <c r="M192" s="32"/>
      <c r="N192" s="15">
        <v>1.05</v>
      </c>
      <c r="O192" s="45">
        <v>2.5</v>
      </c>
      <c r="Q192" s="223"/>
      <c r="R192" s="15" t="s">
        <v>70</v>
      </c>
      <c r="T192" s="15">
        <v>5</v>
      </c>
    </row>
    <row r="193" spans="1:20" s="15" customFormat="1" ht="19.5">
      <c r="A193" s="16">
        <f>МРСК!A193</f>
        <v>114</v>
      </c>
      <c r="B193" s="2" t="s">
        <v>207</v>
      </c>
      <c r="C193" s="45" t="s">
        <v>71</v>
      </c>
      <c r="D193" s="133">
        <f t="shared" si="13"/>
        <v>0.3</v>
      </c>
      <c r="E193" s="17">
        <f>D193+МРСК!F193</f>
        <v>2.7176021178018517</v>
      </c>
      <c r="F193" s="44">
        <v>2.056</v>
      </c>
      <c r="G193" s="18">
        <v>45</v>
      </c>
      <c r="H193" s="44">
        <f t="shared" si="10"/>
        <v>0.6616021178018516</v>
      </c>
      <c r="I193" s="17">
        <v>0</v>
      </c>
      <c r="J193" s="46">
        <f>МРСК!K193</f>
        <v>4.2</v>
      </c>
      <c r="K193" s="44">
        <f t="shared" si="12"/>
        <v>3.5383978821981485</v>
      </c>
      <c r="L193" s="44">
        <f t="shared" si="11"/>
        <v>3.5383978821981485</v>
      </c>
      <c r="M193" s="32"/>
      <c r="N193" s="15">
        <v>1.05</v>
      </c>
      <c r="O193" s="45">
        <v>4</v>
      </c>
      <c r="Q193" s="223">
        <f>0.3</f>
        <v>0.3</v>
      </c>
      <c r="R193" s="15" t="s">
        <v>71</v>
      </c>
      <c r="T193" s="15">
        <v>8</v>
      </c>
    </row>
    <row r="194" spans="1:20" s="15" customFormat="1" ht="19.5">
      <c r="A194" s="16">
        <f>МРСК!A194</f>
        <v>115</v>
      </c>
      <c r="B194" s="6" t="s">
        <v>208</v>
      </c>
      <c r="C194" s="45" t="s">
        <v>74</v>
      </c>
      <c r="D194" s="133">
        <f t="shared" si="13"/>
        <v>0.02</v>
      </c>
      <c r="E194" s="17">
        <f>D194+МРСК!F194</f>
        <v>1.2939105149106824</v>
      </c>
      <c r="F194" s="44">
        <v>0.939351515379801</v>
      </c>
      <c r="G194" s="18">
        <v>120</v>
      </c>
      <c r="H194" s="44">
        <f t="shared" si="10"/>
        <v>0.35455899953088144</v>
      </c>
      <c r="I194" s="17">
        <v>0</v>
      </c>
      <c r="J194" s="46">
        <f>МРСК!K194</f>
        <v>2.625</v>
      </c>
      <c r="K194" s="44">
        <f t="shared" si="12"/>
        <v>2.2704410004691185</v>
      </c>
      <c r="L194" s="44">
        <f t="shared" si="11"/>
        <v>2.2704410004691185</v>
      </c>
      <c r="M194" s="32"/>
      <c r="N194" s="15">
        <v>1.05</v>
      </c>
      <c r="O194" s="45">
        <v>2.5</v>
      </c>
      <c r="Q194" s="223">
        <f>0.02</f>
        <v>0.02</v>
      </c>
      <c r="R194" s="15" t="s">
        <v>74</v>
      </c>
      <c r="T194" s="15">
        <v>6.5</v>
      </c>
    </row>
    <row r="195" spans="1:20" s="15" customFormat="1" ht="19.5">
      <c r="A195" s="16">
        <f>МРСК!A195</f>
        <v>116</v>
      </c>
      <c r="B195" s="2" t="s">
        <v>209</v>
      </c>
      <c r="C195" s="45" t="s">
        <v>76</v>
      </c>
      <c r="D195" s="133">
        <f t="shared" si="13"/>
        <v>0</v>
      </c>
      <c r="E195" s="17">
        <f>D195+МРСК!F195</f>
        <v>1.3717189945466237</v>
      </c>
      <c r="F195" s="44">
        <v>0.8714116873317177</v>
      </c>
      <c r="G195" s="18">
        <v>45</v>
      </c>
      <c r="H195" s="44">
        <f t="shared" si="10"/>
        <v>0.500307307214906</v>
      </c>
      <c r="I195" s="17">
        <v>0</v>
      </c>
      <c r="J195" s="46">
        <f>МРСК!K195</f>
        <v>2.625</v>
      </c>
      <c r="K195" s="44">
        <f t="shared" si="12"/>
        <v>2.1246926927850938</v>
      </c>
      <c r="L195" s="44">
        <f t="shared" si="11"/>
        <v>2.1246926927850938</v>
      </c>
      <c r="M195" s="32"/>
      <c r="N195" s="15">
        <v>1.05</v>
      </c>
      <c r="O195" s="45">
        <v>2.5</v>
      </c>
      <c r="Q195" s="223"/>
      <c r="R195" s="15" t="s">
        <v>76</v>
      </c>
      <c r="T195" s="15">
        <v>6.5</v>
      </c>
    </row>
    <row r="196" spans="1:20" s="15" customFormat="1" ht="19.5">
      <c r="A196" s="16">
        <f>МРСК!A196</f>
        <v>117</v>
      </c>
      <c r="B196" s="6" t="s">
        <v>210</v>
      </c>
      <c r="C196" s="45" t="s">
        <v>71</v>
      </c>
      <c r="D196" s="133">
        <f t="shared" si="13"/>
        <v>0.02</v>
      </c>
      <c r="E196" s="17">
        <f>D196+МРСК!F196</f>
        <v>2.9533312121204456</v>
      </c>
      <c r="F196" s="44">
        <v>0.736</v>
      </c>
      <c r="G196" s="18">
        <v>120</v>
      </c>
      <c r="H196" s="44">
        <f t="shared" si="10"/>
        <v>2.2173312121204454</v>
      </c>
      <c r="I196" s="17">
        <v>0</v>
      </c>
      <c r="J196" s="46">
        <f>МРСК!K196</f>
        <v>4.2</v>
      </c>
      <c r="K196" s="44">
        <f t="shared" si="12"/>
        <v>1.9826687878795548</v>
      </c>
      <c r="L196" s="44">
        <f t="shared" si="11"/>
        <v>1.9826687878795548</v>
      </c>
      <c r="M196" s="32"/>
      <c r="N196" s="15">
        <v>1.05</v>
      </c>
      <c r="O196" s="45">
        <v>4</v>
      </c>
      <c r="Q196" s="223">
        <f>0.02</f>
        <v>0.02</v>
      </c>
      <c r="R196" s="15" t="s">
        <v>71</v>
      </c>
      <c r="T196" s="15">
        <v>8</v>
      </c>
    </row>
    <row r="197" spans="1:20" s="15" customFormat="1" ht="19.5">
      <c r="A197" s="16">
        <f>МРСК!A197</f>
        <v>118</v>
      </c>
      <c r="B197" s="2" t="s">
        <v>211</v>
      </c>
      <c r="C197" s="45" t="s">
        <v>70</v>
      </c>
      <c r="D197" s="133">
        <f t="shared" si="13"/>
        <v>0.02</v>
      </c>
      <c r="E197" s="17">
        <f>D197+МРСК!F197</f>
        <v>1.0458498915533403</v>
      </c>
      <c r="F197" s="44">
        <v>0.712</v>
      </c>
      <c r="G197" s="18">
        <v>120</v>
      </c>
      <c r="H197" s="44">
        <f t="shared" si="10"/>
        <v>0.3338498915533403</v>
      </c>
      <c r="I197" s="17">
        <v>0</v>
      </c>
      <c r="J197" s="46">
        <f>МРСК!K197</f>
        <v>2.625</v>
      </c>
      <c r="K197" s="44">
        <f t="shared" si="12"/>
        <v>2.2911501084466597</v>
      </c>
      <c r="L197" s="44">
        <f t="shared" si="11"/>
        <v>2.2911501084466597</v>
      </c>
      <c r="M197" s="32"/>
      <c r="N197" s="15">
        <v>1.05</v>
      </c>
      <c r="O197" s="45">
        <v>2.5</v>
      </c>
      <c r="Q197" s="223">
        <f>0.02</f>
        <v>0.02</v>
      </c>
      <c r="R197" s="15" t="s">
        <v>70</v>
      </c>
      <c r="T197" s="15">
        <v>5</v>
      </c>
    </row>
    <row r="198" spans="1:20" s="15" customFormat="1" ht="19.5">
      <c r="A198" s="16">
        <f>МРСК!A198</f>
        <v>119</v>
      </c>
      <c r="B198" s="6" t="s">
        <v>212</v>
      </c>
      <c r="C198" s="45" t="s">
        <v>73</v>
      </c>
      <c r="D198" s="133">
        <f t="shared" si="13"/>
        <v>0</v>
      </c>
      <c r="E198" s="17">
        <f>D198+МРСК!F198</f>
        <v>3.263227849844384</v>
      </c>
      <c r="F198" s="44">
        <v>0.7035</v>
      </c>
      <c r="G198" s="18">
        <v>120</v>
      </c>
      <c r="H198" s="44">
        <f t="shared" si="10"/>
        <v>2.559727849844384</v>
      </c>
      <c r="I198" s="17">
        <v>0</v>
      </c>
      <c r="J198" s="46">
        <f>МРСК!K198</f>
        <v>6.615</v>
      </c>
      <c r="K198" s="44">
        <f t="shared" si="12"/>
        <v>4.055272150155616</v>
      </c>
      <c r="L198" s="44">
        <f t="shared" si="11"/>
        <v>4.055272150155616</v>
      </c>
      <c r="M198" s="32"/>
      <c r="N198" s="15">
        <v>1.05</v>
      </c>
      <c r="O198" s="45">
        <v>6.3</v>
      </c>
      <c r="Q198" s="223"/>
      <c r="R198" s="15" t="s">
        <v>73</v>
      </c>
      <c r="T198" s="15">
        <v>12.6</v>
      </c>
    </row>
    <row r="199" spans="1:20" s="15" customFormat="1" ht="19.5">
      <c r="A199" s="16">
        <f>МРСК!A199</f>
        <v>120</v>
      </c>
      <c r="B199" s="2" t="s">
        <v>213</v>
      </c>
      <c r="C199" s="45" t="s">
        <v>70</v>
      </c>
      <c r="D199" s="133">
        <f t="shared" si="13"/>
        <v>0.13</v>
      </c>
      <c r="E199" s="17">
        <f>D199+МРСК!F199</f>
        <v>2.6297919913464796</v>
      </c>
      <c r="F199" s="44">
        <v>1.6480094565606436</v>
      </c>
      <c r="G199" s="18">
        <v>20</v>
      </c>
      <c r="H199" s="44">
        <f t="shared" si="10"/>
        <v>0.981782534785836</v>
      </c>
      <c r="I199" s="17">
        <v>0</v>
      </c>
      <c r="J199" s="46">
        <f>МРСК!K199</f>
        <v>2.625</v>
      </c>
      <c r="K199" s="44">
        <f t="shared" si="12"/>
        <v>1.643217465214164</v>
      </c>
      <c r="L199" s="44">
        <f t="shared" si="11"/>
        <v>1.643217465214164</v>
      </c>
      <c r="M199" s="32"/>
      <c r="N199" s="15">
        <v>1.05</v>
      </c>
      <c r="O199" s="45">
        <v>2.5</v>
      </c>
      <c r="Q199" s="223">
        <f>0.03+0.1</f>
        <v>0.13</v>
      </c>
      <c r="R199" s="15" t="s">
        <v>70</v>
      </c>
      <c r="T199" s="15">
        <v>5</v>
      </c>
    </row>
    <row r="200" spans="1:20" s="15" customFormat="1" ht="19.5">
      <c r="A200" s="16">
        <f>МРСК!A200</f>
        <v>121</v>
      </c>
      <c r="B200" s="6" t="s">
        <v>214</v>
      </c>
      <c r="C200" s="45" t="s">
        <v>76</v>
      </c>
      <c r="D200" s="133">
        <f t="shared" si="13"/>
        <v>1.5100000000000002</v>
      </c>
      <c r="E200" s="17">
        <f>D200+МРСК!F200</f>
        <v>2.23488343890587</v>
      </c>
      <c r="F200" s="44">
        <v>0.6285950453618376</v>
      </c>
      <c r="G200" s="18">
        <v>45</v>
      </c>
      <c r="H200" s="44">
        <f t="shared" si="10"/>
        <v>1.6062883935440322</v>
      </c>
      <c r="I200" s="17">
        <v>0</v>
      </c>
      <c r="J200" s="46">
        <f>МРСК!K200</f>
        <v>2.625</v>
      </c>
      <c r="K200" s="44">
        <f t="shared" si="12"/>
        <v>1.0187116064559678</v>
      </c>
      <c r="L200" s="44">
        <f t="shared" si="11"/>
        <v>1.0187116064559678</v>
      </c>
      <c r="M200" s="32"/>
      <c r="N200" s="15">
        <v>1.05</v>
      </c>
      <c r="O200" s="45">
        <v>2.5</v>
      </c>
      <c r="Q200" s="223">
        <f>1.09+0.06+0.06+0.3</f>
        <v>1.5100000000000002</v>
      </c>
      <c r="R200" s="15" t="s">
        <v>76</v>
      </c>
      <c r="T200" s="15">
        <v>6.5</v>
      </c>
    </row>
    <row r="201" spans="1:20" s="15" customFormat="1" ht="19.5">
      <c r="A201" s="16">
        <f>МРСК!A201</f>
        <v>122</v>
      </c>
      <c r="B201" s="2" t="s">
        <v>215</v>
      </c>
      <c r="C201" s="45" t="s">
        <v>74</v>
      </c>
      <c r="D201" s="133">
        <f t="shared" si="13"/>
        <v>0</v>
      </c>
      <c r="E201" s="17">
        <f>D201+МРСК!F201</f>
        <v>1.120114279883977</v>
      </c>
      <c r="F201" s="44">
        <v>1.1395214781841227</v>
      </c>
      <c r="G201" s="18">
        <v>80</v>
      </c>
      <c r="H201" s="44">
        <f t="shared" si="10"/>
        <v>-0.01940719830014581</v>
      </c>
      <c r="I201" s="17">
        <v>0</v>
      </c>
      <c r="J201" s="46">
        <f>МРСК!K201</f>
        <v>2.625</v>
      </c>
      <c r="K201" s="44">
        <f t="shared" si="12"/>
        <v>2.644407198300146</v>
      </c>
      <c r="L201" s="44">
        <f t="shared" si="11"/>
        <v>2.644407198300146</v>
      </c>
      <c r="M201" s="32"/>
      <c r="N201" s="15">
        <v>1.05</v>
      </c>
      <c r="O201" s="45">
        <v>2.5</v>
      </c>
      <c r="Q201" s="223"/>
      <c r="R201" s="15" t="s">
        <v>74</v>
      </c>
      <c r="T201" s="15">
        <v>6.5</v>
      </c>
    </row>
    <row r="202" spans="1:20" s="15" customFormat="1" ht="19.5">
      <c r="A202" s="16">
        <f>МРСК!A202</f>
        <v>123</v>
      </c>
      <c r="B202" s="6" t="s">
        <v>216</v>
      </c>
      <c r="C202" s="45" t="s">
        <v>74</v>
      </c>
      <c r="D202" s="133">
        <f t="shared" si="13"/>
        <v>0.08</v>
      </c>
      <c r="E202" s="17">
        <f>D202+МРСК!F202</f>
        <v>1.290157014605956</v>
      </c>
      <c r="F202" s="44">
        <v>0.6781782133174243</v>
      </c>
      <c r="G202" s="18">
        <v>120</v>
      </c>
      <c r="H202" s="44">
        <f t="shared" si="10"/>
        <v>0.6119788012885317</v>
      </c>
      <c r="I202" s="17">
        <v>0</v>
      </c>
      <c r="J202" s="46">
        <f>МРСК!K202</f>
        <v>2.625</v>
      </c>
      <c r="K202" s="44">
        <f t="shared" si="12"/>
        <v>2.0130211987114683</v>
      </c>
      <c r="L202" s="44">
        <f t="shared" si="11"/>
        <v>2.0130211987114683</v>
      </c>
      <c r="M202" s="32"/>
      <c r="N202" s="15">
        <v>1.05</v>
      </c>
      <c r="O202" s="45">
        <v>2.5</v>
      </c>
      <c r="Q202" s="223">
        <f>0.05+0.03</f>
        <v>0.08</v>
      </c>
      <c r="R202" s="15" t="s">
        <v>74</v>
      </c>
      <c r="T202" s="15">
        <v>6.5</v>
      </c>
    </row>
    <row r="203" spans="1:20" s="15" customFormat="1" ht="19.5">
      <c r="A203" s="16">
        <f>МРСК!A203</f>
        <v>124</v>
      </c>
      <c r="B203" s="2" t="s">
        <v>217</v>
      </c>
      <c r="C203" s="45" t="s">
        <v>71</v>
      </c>
      <c r="D203" s="133">
        <f t="shared" si="13"/>
        <v>0.77</v>
      </c>
      <c r="E203" s="17">
        <f>D203+МРСК!F203</f>
        <v>3.8755253983826954</v>
      </c>
      <c r="F203" s="44">
        <v>1.7970144010193758</v>
      </c>
      <c r="G203" s="18">
        <v>80</v>
      </c>
      <c r="H203" s="44">
        <f aca="true" t="shared" si="14" ref="H203:H257">E203-F203</f>
        <v>2.0785109973633196</v>
      </c>
      <c r="I203" s="17">
        <v>0</v>
      </c>
      <c r="J203" s="46">
        <f>МРСК!K203</f>
        <v>4.2</v>
      </c>
      <c r="K203" s="44">
        <f t="shared" si="12"/>
        <v>2.1214890026366806</v>
      </c>
      <c r="L203" s="44">
        <f t="shared" si="11"/>
        <v>2.1214890026366806</v>
      </c>
      <c r="M203" s="32"/>
      <c r="N203" s="15">
        <v>1.05</v>
      </c>
      <c r="O203" s="45">
        <v>4</v>
      </c>
      <c r="Q203" s="223">
        <f>0.4+0.37</f>
        <v>0.77</v>
      </c>
      <c r="R203" s="15" t="s">
        <v>71</v>
      </c>
      <c r="T203" s="15">
        <v>8</v>
      </c>
    </row>
    <row r="204" spans="1:20" s="15" customFormat="1" ht="19.5">
      <c r="A204" s="16">
        <f>МРСК!A204</f>
        <v>125</v>
      </c>
      <c r="B204" s="6" t="s">
        <v>218</v>
      </c>
      <c r="C204" s="45" t="s">
        <v>72</v>
      </c>
      <c r="D204" s="133">
        <f t="shared" si="13"/>
        <v>0.25</v>
      </c>
      <c r="E204" s="17">
        <f>D204+МРСК!F204</f>
        <v>4.2518876795832234</v>
      </c>
      <c r="F204" s="44">
        <v>0.581</v>
      </c>
      <c r="G204" s="18">
        <v>120</v>
      </c>
      <c r="H204" s="44">
        <f t="shared" si="14"/>
        <v>3.6708876795832235</v>
      </c>
      <c r="I204" s="17">
        <v>0</v>
      </c>
      <c r="J204" s="46">
        <f>МРСК!K204</f>
        <v>4.2</v>
      </c>
      <c r="K204" s="44">
        <f t="shared" si="12"/>
        <v>0.5291123204167767</v>
      </c>
      <c r="L204" s="44">
        <f t="shared" si="11"/>
        <v>0.5291123204167767</v>
      </c>
      <c r="M204" s="32"/>
      <c r="N204" s="15">
        <v>1.05</v>
      </c>
      <c r="O204" s="45">
        <v>4</v>
      </c>
      <c r="Q204" s="223">
        <f>0.12+0.03+0.1</f>
        <v>0.25</v>
      </c>
      <c r="R204" s="15" t="s">
        <v>72</v>
      </c>
      <c r="T204" s="15">
        <v>9.6</v>
      </c>
    </row>
    <row r="205" spans="1:20" s="15" customFormat="1" ht="19.5">
      <c r="A205" s="16">
        <f>МРСК!A205</f>
        <v>126</v>
      </c>
      <c r="B205" s="2" t="s">
        <v>219</v>
      </c>
      <c r="C205" s="45" t="s">
        <v>71</v>
      </c>
      <c r="D205" s="133">
        <f t="shared" si="13"/>
        <v>0.03</v>
      </c>
      <c r="E205" s="17">
        <f>D205+МРСК!F205</f>
        <v>2.8381169847426224</v>
      </c>
      <c r="F205" s="44">
        <v>1.321</v>
      </c>
      <c r="G205" s="18">
        <v>80</v>
      </c>
      <c r="H205" s="44">
        <f t="shared" si="14"/>
        <v>1.5171169847426225</v>
      </c>
      <c r="I205" s="17">
        <v>0</v>
      </c>
      <c r="J205" s="46">
        <f>МРСК!K205</f>
        <v>4.2</v>
      </c>
      <c r="K205" s="44">
        <f t="shared" si="12"/>
        <v>2.682883015257378</v>
      </c>
      <c r="L205" s="44">
        <f t="shared" si="11"/>
        <v>2.682883015257378</v>
      </c>
      <c r="M205" s="32"/>
      <c r="N205" s="15">
        <v>1.05</v>
      </c>
      <c r="O205" s="45">
        <v>4</v>
      </c>
      <c r="Q205" s="223">
        <f>0.03</f>
        <v>0.03</v>
      </c>
      <c r="R205" s="15" t="s">
        <v>71</v>
      </c>
      <c r="T205" s="15">
        <v>8</v>
      </c>
    </row>
    <row r="206" spans="1:20" s="15" customFormat="1" ht="19.5">
      <c r="A206" s="16">
        <f>МРСК!A206</f>
        <v>127</v>
      </c>
      <c r="B206" s="6" t="s">
        <v>220</v>
      </c>
      <c r="C206" s="45" t="s">
        <v>71</v>
      </c>
      <c r="D206" s="133">
        <f t="shared" si="13"/>
        <v>0.63</v>
      </c>
      <c r="E206" s="17">
        <f>D206+МРСК!F206</f>
        <v>4.579805058480735</v>
      </c>
      <c r="F206" s="44">
        <v>1.541</v>
      </c>
      <c r="G206" s="18">
        <v>120</v>
      </c>
      <c r="H206" s="44">
        <f t="shared" si="14"/>
        <v>3.0388050584807353</v>
      </c>
      <c r="I206" s="17">
        <v>0</v>
      </c>
      <c r="J206" s="46">
        <f>МРСК!K206</f>
        <v>4.2</v>
      </c>
      <c r="K206" s="44">
        <f t="shared" si="12"/>
        <v>1.1611949415192648</v>
      </c>
      <c r="L206" s="44">
        <f t="shared" si="11"/>
        <v>1.1611949415192648</v>
      </c>
      <c r="M206" s="32"/>
      <c r="N206" s="15">
        <v>1.05</v>
      </c>
      <c r="O206" s="45">
        <v>4</v>
      </c>
      <c r="Q206" s="223">
        <v>0.63</v>
      </c>
      <c r="R206" s="15" t="s">
        <v>71</v>
      </c>
      <c r="T206" s="15">
        <v>8</v>
      </c>
    </row>
    <row r="207" spans="1:20" s="15" customFormat="1" ht="19.5">
      <c r="A207" s="16">
        <f>МРСК!A207</f>
        <v>128</v>
      </c>
      <c r="B207" s="2" t="s">
        <v>221</v>
      </c>
      <c r="C207" s="45" t="s">
        <v>70</v>
      </c>
      <c r="D207" s="133">
        <f t="shared" si="13"/>
        <v>0</v>
      </c>
      <c r="E207" s="17">
        <f>D207+МРСК!F207</f>
        <v>0.8335466393669883</v>
      </c>
      <c r="F207" s="44">
        <v>0.6667165227139484</v>
      </c>
      <c r="G207" s="18">
        <v>80</v>
      </c>
      <c r="H207" s="44">
        <f t="shared" si="14"/>
        <v>0.16683011665303982</v>
      </c>
      <c r="I207" s="17">
        <v>0</v>
      </c>
      <c r="J207" s="46">
        <f>МРСК!K207</f>
        <v>2.625</v>
      </c>
      <c r="K207" s="44">
        <f t="shared" si="12"/>
        <v>2.4581698833469603</v>
      </c>
      <c r="L207" s="44">
        <f t="shared" si="11"/>
        <v>2.4581698833469603</v>
      </c>
      <c r="M207" s="32"/>
      <c r="N207" s="15">
        <v>1.05</v>
      </c>
      <c r="O207" s="45">
        <v>2.5</v>
      </c>
      <c r="Q207" s="223"/>
      <c r="R207" s="15" t="s">
        <v>70</v>
      </c>
      <c r="T207" s="15">
        <v>5</v>
      </c>
    </row>
    <row r="208" spans="1:20" s="15" customFormat="1" ht="19.5">
      <c r="A208" s="16">
        <f>МРСК!A208</f>
        <v>129</v>
      </c>
      <c r="B208" s="6" t="s">
        <v>222</v>
      </c>
      <c r="C208" s="45" t="s">
        <v>73</v>
      </c>
      <c r="D208" s="133">
        <f t="shared" si="13"/>
        <v>0.15000000000000002</v>
      </c>
      <c r="E208" s="17">
        <f>D208+МРСК!F208</f>
        <v>7.695509923126469</v>
      </c>
      <c r="F208" s="44">
        <v>1.81</v>
      </c>
      <c r="G208" s="18">
        <v>45</v>
      </c>
      <c r="H208" s="44">
        <f t="shared" si="14"/>
        <v>5.8855099231264685</v>
      </c>
      <c r="I208" s="17">
        <v>0</v>
      </c>
      <c r="J208" s="46">
        <f>МРСК!K208</f>
        <v>6.615</v>
      </c>
      <c r="K208" s="44">
        <f t="shared" si="12"/>
        <v>0.7294900768735317</v>
      </c>
      <c r="L208" s="44">
        <f t="shared" si="11"/>
        <v>0.7294900768735317</v>
      </c>
      <c r="M208" s="32"/>
      <c r="N208" s="15">
        <v>1.05</v>
      </c>
      <c r="O208" s="45">
        <v>6.3</v>
      </c>
      <c r="Q208" s="223">
        <f>0.1+0.05</f>
        <v>0.15000000000000002</v>
      </c>
      <c r="R208" s="15" t="s">
        <v>73</v>
      </c>
      <c r="T208" s="15">
        <v>12.6</v>
      </c>
    </row>
    <row r="209" spans="1:20" s="15" customFormat="1" ht="19.5">
      <c r="A209" s="16">
        <f>МРСК!A209</f>
        <v>130</v>
      </c>
      <c r="B209" s="2" t="s">
        <v>223</v>
      </c>
      <c r="C209" s="45" t="s">
        <v>70</v>
      </c>
      <c r="D209" s="133">
        <f t="shared" si="13"/>
        <v>0</v>
      </c>
      <c r="E209" s="17">
        <f>D209+МРСК!F209</f>
        <v>0.8603255197888762</v>
      </c>
      <c r="F209" s="44">
        <v>0.6071607971904307</v>
      </c>
      <c r="G209" s="18">
        <v>80</v>
      </c>
      <c r="H209" s="44">
        <f t="shared" si="14"/>
        <v>0.25316472259844547</v>
      </c>
      <c r="I209" s="17">
        <v>0</v>
      </c>
      <c r="J209" s="46">
        <f>МРСК!K209</f>
        <v>2.625</v>
      </c>
      <c r="K209" s="44">
        <f t="shared" si="12"/>
        <v>2.3718352774015545</v>
      </c>
      <c r="L209" s="44">
        <f t="shared" si="11"/>
        <v>2.3718352774015545</v>
      </c>
      <c r="M209" s="32"/>
      <c r="N209" s="15">
        <v>1.05</v>
      </c>
      <c r="O209" s="45">
        <v>2.5</v>
      </c>
      <c r="Q209" s="223"/>
      <c r="R209" s="15" t="s">
        <v>70</v>
      </c>
      <c r="T209" s="15">
        <v>5</v>
      </c>
    </row>
    <row r="210" spans="1:20" s="15" customFormat="1" ht="19.5">
      <c r="A210" s="16">
        <f>МРСК!A210</f>
        <v>131</v>
      </c>
      <c r="B210" s="2" t="s">
        <v>224</v>
      </c>
      <c r="C210" s="45" t="s">
        <v>64</v>
      </c>
      <c r="D210" s="133">
        <f t="shared" si="13"/>
        <v>2.03</v>
      </c>
      <c r="E210" s="17">
        <f>D210+МРСК!F210</f>
        <v>9.436617581595529</v>
      </c>
      <c r="F210" s="44">
        <v>1.357</v>
      </c>
      <c r="G210" s="18">
        <v>120</v>
      </c>
      <c r="H210" s="44">
        <f t="shared" si="14"/>
        <v>8.07961758159553</v>
      </c>
      <c r="I210" s="17">
        <v>0</v>
      </c>
      <c r="J210" s="46">
        <f>МРСК!K210</f>
        <v>10.5</v>
      </c>
      <c r="K210" s="44">
        <f t="shared" si="12"/>
        <v>2.42038241840447</v>
      </c>
      <c r="L210" s="44">
        <f t="shared" si="11"/>
        <v>2.42038241840447</v>
      </c>
      <c r="M210" s="32"/>
      <c r="N210" s="15">
        <v>1.05</v>
      </c>
      <c r="O210" s="45">
        <v>10</v>
      </c>
      <c r="Q210" s="223">
        <f>0.53+1.4+0.1</f>
        <v>2.03</v>
      </c>
      <c r="R210" s="15" t="s">
        <v>64</v>
      </c>
      <c r="T210" s="15">
        <v>20</v>
      </c>
    </row>
    <row r="211" spans="1:20" s="15" customFormat="1" ht="19.5">
      <c r="A211" s="16">
        <f>МРСК!A211</f>
        <v>132</v>
      </c>
      <c r="B211" s="2" t="s">
        <v>225</v>
      </c>
      <c r="C211" s="45" t="s">
        <v>70</v>
      </c>
      <c r="D211" s="133">
        <f t="shared" si="13"/>
        <v>0</v>
      </c>
      <c r="E211" s="17">
        <f>D211+МРСК!F211</f>
        <v>1.1874544201778863</v>
      </c>
      <c r="F211" s="44">
        <v>0.6556492964992795</v>
      </c>
      <c r="G211" s="18">
        <v>80</v>
      </c>
      <c r="H211" s="44">
        <f t="shared" si="14"/>
        <v>0.5318051236786068</v>
      </c>
      <c r="I211" s="17">
        <v>0</v>
      </c>
      <c r="J211" s="46">
        <f>МРСК!K211</f>
        <v>2.625</v>
      </c>
      <c r="K211" s="44">
        <f t="shared" si="12"/>
        <v>2.0931948763213932</v>
      </c>
      <c r="L211" s="44">
        <f t="shared" si="11"/>
        <v>2.0931948763213932</v>
      </c>
      <c r="M211" s="32"/>
      <c r="N211" s="15">
        <v>1.05</v>
      </c>
      <c r="O211" s="45">
        <v>2.5</v>
      </c>
      <c r="Q211" s="223"/>
      <c r="R211" s="15" t="s">
        <v>70</v>
      </c>
      <c r="T211" s="15">
        <v>5</v>
      </c>
    </row>
    <row r="212" spans="1:20" s="15" customFormat="1" ht="19.5">
      <c r="A212" s="16">
        <f>МРСК!A212</f>
        <v>133</v>
      </c>
      <c r="B212" s="2" t="s">
        <v>226</v>
      </c>
      <c r="C212" s="45" t="s">
        <v>70</v>
      </c>
      <c r="D212" s="133">
        <f t="shared" si="13"/>
        <v>0.1</v>
      </c>
      <c r="E212" s="17">
        <f>D212+МРСК!F212</f>
        <v>1.4195226409577064</v>
      </c>
      <c r="F212" s="44">
        <v>0.643</v>
      </c>
      <c r="G212" s="18">
        <v>80</v>
      </c>
      <c r="H212" s="44">
        <f t="shared" si="14"/>
        <v>0.7765226409577064</v>
      </c>
      <c r="I212" s="17">
        <v>0</v>
      </c>
      <c r="J212" s="46">
        <f>МРСК!K212</f>
        <v>2.625</v>
      </c>
      <c r="K212" s="44">
        <f t="shared" si="12"/>
        <v>1.8484773590422936</v>
      </c>
      <c r="L212" s="44">
        <f t="shared" si="11"/>
        <v>1.8484773590422936</v>
      </c>
      <c r="M212" s="32"/>
      <c r="N212" s="15">
        <v>1.05</v>
      </c>
      <c r="O212" s="45">
        <v>2.5</v>
      </c>
      <c r="Q212" s="223">
        <f>0.1</f>
        <v>0.1</v>
      </c>
      <c r="R212" s="15" t="s">
        <v>70</v>
      </c>
      <c r="T212" s="15">
        <v>5</v>
      </c>
    </row>
    <row r="213" spans="1:20" s="15" customFormat="1" ht="19.5">
      <c r="A213" s="16">
        <f>МРСК!A213</f>
        <v>134</v>
      </c>
      <c r="B213" s="2" t="s">
        <v>227</v>
      </c>
      <c r="C213" s="45" t="s">
        <v>70</v>
      </c>
      <c r="D213" s="133">
        <f t="shared" si="13"/>
        <v>0</v>
      </c>
      <c r="E213" s="17">
        <f>D213+МРСК!F213</f>
        <v>1.274770567592459</v>
      </c>
      <c r="F213" s="44">
        <v>0.5931509082855728</v>
      </c>
      <c r="G213" s="18">
        <v>120</v>
      </c>
      <c r="H213" s="44">
        <f t="shared" si="14"/>
        <v>0.6816196593068862</v>
      </c>
      <c r="I213" s="17">
        <v>0</v>
      </c>
      <c r="J213" s="46">
        <f>МРСК!K213</f>
        <v>2.625</v>
      </c>
      <c r="K213" s="44">
        <f t="shared" si="12"/>
        <v>1.9433803406931138</v>
      </c>
      <c r="L213" s="44">
        <f t="shared" si="11"/>
        <v>1.9433803406931138</v>
      </c>
      <c r="M213" s="32"/>
      <c r="N213" s="15">
        <v>1.05</v>
      </c>
      <c r="O213" s="45">
        <v>2.5</v>
      </c>
      <c r="Q213" s="223"/>
      <c r="R213" s="15" t="s">
        <v>70</v>
      </c>
      <c r="T213" s="15">
        <v>5</v>
      </c>
    </row>
    <row r="214" spans="1:20" s="15" customFormat="1" ht="19.5">
      <c r="A214" s="16">
        <f>МРСК!A214</f>
        <v>135</v>
      </c>
      <c r="B214" s="2" t="s">
        <v>229</v>
      </c>
      <c r="C214" s="45" t="s">
        <v>73</v>
      </c>
      <c r="D214" s="133">
        <f t="shared" si="13"/>
        <v>0.85</v>
      </c>
      <c r="E214" s="17">
        <f>D214+МРСК!F214</f>
        <v>1.5227614733321164</v>
      </c>
      <c r="F214" s="44">
        <v>2.78</v>
      </c>
      <c r="G214" s="18">
        <v>120</v>
      </c>
      <c r="H214" s="44">
        <f t="shared" si="14"/>
        <v>-1.2572385266678834</v>
      </c>
      <c r="I214" s="17">
        <v>0</v>
      </c>
      <c r="J214" s="46">
        <f>МРСК!K214</f>
        <v>6.615</v>
      </c>
      <c r="K214" s="44">
        <f t="shared" si="12"/>
        <v>7.872238526667884</v>
      </c>
      <c r="L214" s="44">
        <f t="shared" si="11"/>
        <v>7.872238526667884</v>
      </c>
      <c r="M214" s="32"/>
      <c r="N214" s="15">
        <v>1.05</v>
      </c>
      <c r="O214" s="23">
        <v>4</v>
      </c>
      <c r="Q214" s="223">
        <f>0.35+0.1+0.4</f>
        <v>0.85</v>
      </c>
      <c r="R214" s="15" t="s">
        <v>73</v>
      </c>
      <c r="T214" s="15">
        <v>12.6</v>
      </c>
    </row>
    <row r="215" spans="1:20" s="15" customFormat="1" ht="19.5">
      <c r="A215" s="16">
        <f>МРСК!A215</f>
        <v>136</v>
      </c>
      <c r="B215" s="2" t="s">
        <v>230</v>
      </c>
      <c r="C215" s="45" t="s">
        <v>73</v>
      </c>
      <c r="D215" s="133">
        <f t="shared" si="13"/>
        <v>2.09</v>
      </c>
      <c r="E215" s="17">
        <f>D215+МРСК!F215</f>
        <v>5.629328749918549</v>
      </c>
      <c r="F215" s="44">
        <v>0.842</v>
      </c>
      <c r="G215" s="18">
        <v>45</v>
      </c>
      <c r="H215" s="44">
        <f t="shared" si="14"/>
        <v>4.787328749918549</v>
      </c>
      <c r="I215" s="17">
        <v>0</v>
      </c>
      <c r="J215" s="46">
        <f>МРСК!K215</f>
        <v>6.615</v>
      </c>
      <c r="K215" s="44">
        <f t="shared" si="12"/>
        <v>1.8276712500814511</v>
      </c>
      <c r="L215" s="44">
        <f t="shared" si="11"/>
        <v>1.8276712500814511</v>
      </c>
      <c r="M215" s="32"/>
      <c r="N215" s="15">
        <v>1.05</v>
      </c>
      <c r="O215" s="23" t="s">
        <v>89</v>
      </c>
      <c r="Q215" s="223">
        <f>1.68+0.31+0.1</f>
        <v>2.09</v>
      </c>
      <c r="R215" s="15" t="s">
        <v>73</v>
      </c>
      <c r="T215" s="15">
        <v>12.6</v>
      </c>
    </row>
    <row r="216" spans="1:20" s="15" customFormat="1" ht="19.5">
      <c r="A216" s="16">
        <f>МРСК!A216</f>
        <v>137</v>
      </c>
      <c r="B216" s="2" t="s">
        <v>231</v>
      </c>
      <c r="C216" s="45" t="s">
        <v>74</v>
      </c>
      <c r="D216" s="133">
        <f t="shared" si="13"/>
        <v>0.02</v>
      </c>
      <c r="E216" s="17">
        <f>D216+МРСК!F216</f>
        <v>1.5687078484982246</v>
      </c>
      <c r="F216" s="44">
        <v>0.57</v>
      </c>
      <c r="G216" s="18">
        <v>80</v>
      </c>
      <c r="H216" s="44">
        <f t="shared" si="14"/>
        <v>0.9987078484982247</v>
      </c>
      <c r="I216" s="17">
        <v>0</v>
      </c>
      <c r="J216" s="46">
        <f>МРСК!K216</f>
        <v>2.625</v>
      </c>
      <c r="K216" s="44">
        <f t="shared" si="12"/>
        <v>1.6262921515017754</v>
      </c>
      <c r="L216" s="44">
        <f t="shared" si="11"/>
        <v>1.6262921515017754</v>
      </c>
      <c r="M216" s="32"/>
      <c r="N216" s="15">
        <v>1.05</v>
      </c>
      <c r="O216" s="23" t="s">
        <v>88</v>
      </c>
      <c r="Q216" s="223">
        <f>0.02</f>
        <v>0.02</v>
      </c>
      <c r="R216" s="15" t="s">
        <v>74</v>
      </c>
      <c r="T216" s="15">
        <v>6.5</v>
      </c>
    </row>
    <row r="217" spans="1:20" s="15" customFormat="1" ht="19.5">
      <c r="A217" s="16">
        <f>МРСК!A217</f>
        <v>138</v>
      </c>
      <c r="B217" s="2" t="s">
        <v>232</v>
      </c>
      <c r="C217" s="45" t="s">
        <v>76</v>
      </c>
      <c r="D217" s="133">
        <f t="shared" si="13"/>
        <v>0.45</v>
      </c>
      <c r="E217" s="17">
        <f>D217+МРСК!F217</f>
        <v>0.7460439156611736</v>
      </c>
      <c r="F217" s="44">
        <v>0.19</v>
      </c>
      <c r="G217" s="18">
        <v>80</v>
      </c>
      <c r="H217" s="44">
        <f t="shared" si="14"/>
        <v>0.5560439156611736</v>
      </c>
      <c r="I217" s="17">
        <v>0</v>
      </c>
      <c r="J217" s="46">
        <f>МРСК!K217</f>
        <v>2.625</v>
      </c>
      <c r="K217" s="44">
        <f t="shared" si="12"/>
        <v>2.0689560843388266</v>
      </c>
      <c r="L217" s="44">
        <f t="shared" si="11"/>
        <v>2.0689560843388266</v>
      </c>
      <c r="M217" s="32"/>
      <c r="N217" s="15">
        <v>1.05</v>
      </c>
      <c r="O217" s="23" t="s">
        <v>88</v>
      </c>
      <c r="Q217" s="223">
        <f>0.45</f>
        <v>0.45</v>
      </c>
      <c r="R217" s="15" t="s">
        <v>76</v>
      </c>
      <c r="T217" s="15">
        <v>6.5</v>
      </c>
    </row>
    <row r="218" spans="1:20" s="15" customFormat="1" ht="19.5">
      <c r="A218" s="16">
        <f>МРСК!A218</f>
        <v>139</v>
      </c>
      <c r="B218" s="2" t="s">
        <v>233</v>
      </c>
      <c r="C218" s="45" t="s">
        <v>70</v>
      </c>
      <c r="D218" s="133">
        <f t="shared" si="13"/>
        <v>0.17</v>
      </c>
      <c r="E218" s="17">
        <f>D218+МРСК!F218</f>
        <v>1.93518440962977</v>
      </c>
      <c r="F218" s="44">
        <v>0.6514729199979921</v>
      </c>
      <c r="G218" s="18">
        <v>80</v>
      </c>
      <c r="H218" s="44">
        <f t="shared" si="14"/>
        <v>1.2837114896317778</v>
      </c>
      <c r="I218" s="17">
        <v>0</v>
      </c>
      <c r="J218" s="46">
        <f>МРСК!K218</f>
        <v>2.625</v>
      </c>
      <c r="K218" s="44">
        <f t="shared" si="12"/>
        <v>1.3412885103682222</v>
      </c>
      <c r="L218" s="44">
        <f t="shared" si="11"/>
        <v>1.3412885103682222</v>
      </c>
      <c r="M218" s="32"/>
      <c r="N218" s="15">
        <v>1.05</v>
      </c>
      <c r="O218" s="23" t="s">
        <v>90</v>
      </c>
      <c r="Q218" s="223">
        <f>0.17</f>
        <v>0.17</v>
      </c>
      <c r="R218" s="15" t="s">
        <v>70</v>
      </c>
      <c r="T218" s="15">
        <v>5</v>
      </c>
    </row>
    <row r="219" spans="1:20" s="15" customFormat="1" ht="19.5">
      <c r="A219" s="16">
        <f>МРСК!A219</f>
        <v>140</v>
      </c>
      <c r="B219" s="2" t="s">
        <v>234</v>
      </c>
      <c r="C219" s="45" t="s">
        <v>71</v>
      </c>
      <c r="D219" s="133">
        <f t="shared" si="13"/>
        <v>0.8500000000000001</v>
      </c>
      <c r="E219" s="17">
        <f>D219+МРСК!F219</f>
        <v>2.218748333332319</v>
      </c>
      <c r="F219" s="44">
        <v>0.451</v>
      </c>
      <c r="G219" s="18">
        <v>120</v>
      </c>
      <c r="H219" s="44">
        <f t="shared" si="14"/>
        <v>1.7677483333323187</v>
      </c>
      <c r="I219" s="17">
        <v>0</v>
      </c>
      <c r="J219" s="46">
        <f>МРСК!K219</f>
        <v>4.2</v>
      </c>
      <c r="K219" s="44">
        <f t="shared" si="12"/>
        <v>2.4322516666676814</v>
      </c>
      <c r="L219" s="44">
        <f t="shared" si="11"/>
        <v>2.4322516666676814</v>
      </c>
      <c r="M219" s="32"/>
      <c r="N219" s="15">
        <v>1.05</v>
      </c>
      <c r="O219" s="23" t="s">
        <v>87</v>
      </c>
      <c r="Q219" s="223">
        <f>0.45+0.4</f>
        <v>0.8500000000000001</v>
      </c>
      <c r="R219" s="15" t="s">
        <v>71</v>
      </c>
      <c r="T219" s="15">
        <v>8</v>
      </c>
    </row>
    <row r="220" spans="1:20" s="15" customFormat="1" ht="19.5">
      <c r="A220" s="16">
        <f>МРСК!A220</f>
        <v>141</v>
      </c>
      <c r="B220" s="2" t="s">
        <v>235</v>
      </c>
      <c r="C220" s="45" t="s">
        <v>70</v>
      </c>
      <c r="D220" s="133">
        <f t="shared" si="13"/>
        <v>0.01</v>
      </c>
      <c r="E220" s="17">
        <f>D220+МРСК!F220</f>
        <v>1.9758687646941238</v>
      </c>
      <c r="F220" s="44">
        <v>1.435432922178513</v>
      </c>
      <c r="G220" s="18">
        <v>80</v>
      </c>
      <c r="H220" s="44">
        <f t="shared" si="14"/>
        <v>0.5404358425156108</v>
      </c>
      <c r="I220" s="17">
        <v>0</v>
      </c>
      <c r="J220" s="46">
        <f>МРСК!K220</f>
        <v>2.625</v>
      </c>
      <c r="K220" s="44">
        <f t="shared" si="12"/>
        <v>2.0845641574843894</v>
      </c>
      <c r="L220" s="44">
        <f t="shared" si="11"/>
        <v>2.0845641574843894</v>
      </c>
      <c r="M220" s="32"/>
      <c r="N220" s="15">
        <v>1.05</v>
      </c>
      <c r="O220" s="23" t="s">
        <v>88</v>
      </c>
      <c r="Q220" s="223">
        <f>0.01</f>
        <v>0.01</v>
      </c>
      <c r="R220" s="15" t="s">
        <v>70</v>
      </c>
      <c r="T220" s="15">
        <v>5</v>
      </c>
    </row>
    <row r="221" spans="1:20" s="15" customFormat="1" ht="19.5">
      <c r="A221" s="16">
        <f>МРСК!A221</f>
        <v>142</v>
      </c>
      <c r="B221" s="2" t="s">
        <v>236</v>
      </c>
      <c r="C221" s="45" t="s">
        <v>71</v>
      </c>
      <c r="D221" s="133">
        <f t="shared" si="13"/>
        <v>0</v>
      </c>
      <c r="E221" s="17">
        <f>D221+МРСК!F221</f>
        <v>2.1417600239055727</v>
      </c>
      <c r="F221" s="44">
        <v>1.7332102024177531</v>
      </c>
      <c r="G221" s="18">
        <v>80</v>
      </c>
      <c r="H221" s="44">
        <f t="shared" si="14"/>
        <v>0.4085498214878196</v>
      </c>
      <c r="I221" s="17">
        <v>0</v>
      </c>
      <c r="J221" s="46">
        <f>МРСК!K221</f>
        <v>4.2</v>
      </c>
      <c r="K221" s="44">
        <f t="shared" si="12"/>
        <v>3.7914501785121804</v>
      </c>
      <c r="L221" s="44">
        <f aca="true" t="shared" si="15" ref="L221:L235">K221</f>
        <v>3.7914501785121804</v>
      </c>
      <c r="M221" s="32"/>
      <c r="N221" s="15">
        <v>1.05</v>
      </c>
      <c r="O221" s="23" t="s">
        <v>87</v>
      </c>
      <c r="Q221" s="223"/>
      <c r="R221" s="15" t="s">
        <v>71</v>
      </c>
      <c r="T221" s="15">
        <v>8</v>
      </c>
    </row>
    <row r="222" spans="1:20" s="15" customFormat="1" ht="19.5">
      <c r="A222" s="16">
        <f>МРСК!A222</f>
        <v>143</v>
      </c>
      <c r="B222" s="2" t="s">
        <v>237</v>
      </c>
      <c r="C222" s="45" t="s">
        <v>73</v>
      </c>
      <c r="D222" s="133">
        <f t="shared" si="13"/>
        <v>2.42</v>
      </c>
      <c r="E222" s="17">
        <f>D222+МРСК!F222</f>
        <v>8.922873211127524</v>
      </c>
      <c r="F222" s="44">
        <v>0.872</v>
      </c>
      <c r="G222" s="18">
        <v>80</v>
      </c>
      <c r="H222" s="44">
        <f t="shared" si="14"/>
        <v>8.050873211127524</v>
      </c>
      <c r="I222" s="17">
        <v>0</v>
      </c>
      <c r="J222" s="46">
        <f>МРСК!K222</f>
        <v>6.615</v>
      </c>
      <c r="K222" s="44">
        <f t="shared" si="12"/>
        <v>-1.4358732111275234</v>
      </c>
      <c r="L222" s="44">
        <f t="shared" si="15"/>
        <v>-1.4358732111275234</v>
      </c>
      <c r="M222" s="32"/>
      <c r="N222" s="15">
        <v>1.05</v>
      </c>
      <c r="O222" s="23" t="s">
        <v>89</v>
      </c>
      <c r="Q222" s="223">
        <f>2.1+0.02+0.3</f>
        <v>2.42</v>
      </c>
      <c r="R222" s="15" t="s">
        <v>73</v>
      </c>
      <c r="T222" s="15">
        <v>12.6</v>
      </c>
    </row>
    <row r="223" spans="1:20" s="15" customFormat="1" ht="19.5">
      <c r="A223" s="16">
        <f>МРСК!A223</f>
        <v>144</v>
      </c>
      <c r="B223" s="2" t="s">
        <v>238</v>
      </c>
      <c r="C223" s="45" t="s">
        <v>71</v>
      </c>
      <c r="D223" s="133">
        <f t="shared" si="13"/>
        <v>0</v>
      </c>
      <c r="E223" s="17">
        <f>D223+МРСК!F223</f>
        <v>1.9855558415718253</v>
      </c>
      <c r="F223" s="44">
        <v>0.553</v>
      </c>
      <c r="G223" s="18">
        <v>80</v>
      </c>
      <c r="H223" s="44">
        <f t="shared" si="14"/>
        <v>1.4325558415718254</v>
      </c>
      <c r="I223" s="17">
        <v>0</v>
      </c>
      <c r="J223" s="46">
        <f>МРСК!K223</f>
        <v>4.2</v>
      </c>
      <c r="K223" s="44">
        <f t="shared" si="12"/>
        <v>2.767444158428175</v>
      </c>
      <c r="L223" s="44">
        <f t="shared" si="15"/>
        <v>2.767444158428175</v>
      </c>
      <c r="M223" s="32"/>
      <c r="N223" s="15">
        <v>1.05</v>
      </c>
      <c r="O223" s="23" t="s">
        <v>87</v>
      </c>
      <c r="Q223" s="223"/>
      <c r="R223" s="15" t="s">
        <v>71</v>
      </c>
      <c r="T223" s="15">
        <v>8</v>
      </c>
    </row>
    <row r="224" spans="1:20" s="15" customFormat="1" ht="19.5">
      <c r="A224" s="16">
        <f>МРСК!A224</f>
        <v>145</v>
      </c>
      <c r="B224" s="2" t="s">
        <v>239</v>
      </c>
      <c r="C224" s="45" t="s">
        <v>70</v>
      </c>
      <c r="D224" s="133">
        <f t="shared" si="13"/>
        <v>0.87</v>
      </c>
      <c r="E224" s="17">
        <f>D224+МРСК!F224</f>
        <v>3.0341303103094326</v>
      </c>
      <c r="F224" s="44">
        <v>1.1224919242012794</v>
      </c>
      <c r="G224" s="18">
        <v>45</v>
      </c>
      <c r="H224" s="44">
        <f t="shared" si="14"/>
        <v>1.9116383861081532</v>
      </c>
      <c r="I224" s="17">
        <v>0</v>
      </c>
      <c r="J224" s="46">
        <f>МРСК!K224</f>
        <v>2.625</v>
      </c>
      <c r="K224" s="44">
        <f t="shared" si="12"/>
        <v>0.7133616138918468</v>
      </c>
      <c r="L224" s="44">
        <f t="shared" si="15"/>
        <v>0.7133616138918468</v>
      </c>
      <c r="M224" s="32"/>
      <c r="N224" s="15">
        <v>1.05</v>
      </c>
      <c r="O224" s="23" t="s">
        <v>88</v>
      </c>
      <c r="Q224" s="223">
        <f>0.1+0.77</f>
        <v>0.87</v>
      </c>
      <c r="R224" s="15" t="s">
        <v>70</v>
      </c>
      <c r="T224" s="15">
        <v>5</v>
      </c>
    </row>
    <row r="225" spans="1:20" s="15" customFormat="1" ht="19.5">
      <c r="A225" s="16">
        <f>МРСК!A225</f>
        <v>146</v>
      </c>
      <c r="B225" s="2" t="s">
        <v>240</v>
      </c>
      <c r="C225" s="45" t="s">
        <v>78</v>
      </c>
      <c r="D225" s="133">
        <f t="shared" si="13"/>
        <v>0</v>
      </c>
      <c r="E225" s="17">
        <f>D225+МРСК!F225</f>
        <v>1.2689081921084755</v>
      </c>
      <c r="F225" s="44">
        <v>0.6463610983551401</v>
      </c>
      <c r="G225" s="18">
        <v>80</v>
      </c>
      <c r="H225" s="44">
        <f t="shared" si="14"/>
        <v>0.6225470937533354</v>
      </c>
      <c r="I225" s="17">
        <v>0</v>
      </c>
      <c r="J225" s="46">
        <f>МРСК!K225</f>
        <v>4.2</v>
      </c>
      <c r="K225" s="44">
        <f aca="true" t="shared" si="16" ref="K225:K235">J225-I225-H225</f>
        <v>3.577452906246665</v>
      </c>
      <c r="L225" s="44">
        <f t="shared" si="15"/>
        <v>3.577452906246665</v>
      </c>
      <c r="M225" s="32"/>
      <c r="N225" s="15">
        <v>1.05</v>
      </c>
      <c r="O225" s="23" t="s">
        <v>87</v>
      </c>
      <c r="Q225" s="223"/>
      <c r="R225" s="15" t="s">
        <v>78</v>
      </c>
      <c r="T225" s="15">
        <v>10.4</v>
      </c>
    </row>
    <row r="226" spans="1:20" s="15" customFormat="1" ht="19.5">
      <c r="A226" s="16">
        <f>МРСК!A226</f>
        <v>147</v>
      </c>
      <c r="B226" s="2" t="s">
        <v>228</v>
      </c>
      <c r="C226" s="45" t="s">
        <v>71</v>
      </c>
      <c r="D226" s="133">
        <f t="shared" si="13"/>
        <v>0</v>
      </c>
      <c r="E226" s="17">
        <f>D226+МРСК!F226</f>
        <v>4.299183178232814</v>
      </c>
      <c r="F226" s="44">
        <v>0</v>
      </c>
      <c r="G226" s="18"/>
      <c r="H226" s="44">
        <f t="shared" si="14"/>
        <v>4.299183178232814</v>
      </c>
      <c r="I226" s="17">
        <v>0</v>
      </c>
      <c r="J226" s="46">
        <f>МРСК!K226</f>
        <v>4.2</v>
      </c>
      <c r="K226" s="44">
        <f t="shared" si="16"/>
        <v>-0.09918317823281342</v>
      </c>
      <c r="L226" s="44">
        <f t="shared" si="15"/>
        <v>-0.09918317823281342</v>
      </c>
      <c r="M226" s="32"/>
      <c r="N226" s="15">
        <v>1.05</v>
      </c>
      <c r="O226" s="23" t="s">
        <v>89</v>
      </c>
      <c r="Q226" s="223"/>
      <c r="R226" s="15" t="s">
        <v>71</v>
      </c>
      <c r="T226" s="15">
        <v>8</v>
      </c>
    </row>
    <row r="227" spans="1:20" s="15" customFormat="1" ht="19.5">
      <c r="A227" s="16">
        <f>МРСК!A227</f>
        <v>148</v>
      </c>
      <c r="B227" s="2" t="s">
        <v>241</v>
      </c>
      <c r="C227" s="45" t="s">
        <v>73</v>
      </c>
      <c r="D227" s="133">
        <f t="shared" si="13"/>
        <v>0</v>
      </c>
      <c r="E227" s="17">
        <f>D227+МРСК!F227</f>
        <v>5.804190555107577</v>
      </c>
      <c r="F227" s="44">
        <v>0</v>
      </c>
      <c r="G227" s="18"/>
      <c r="H227" s="44">
        <f t="shared" si="14"/>
        <v>5.804190555107577</v>
      </c>
      <c r="I227" s="17">
        <v>0</v>
      </c>
      <c r="J227" s="46">
        <f>МРСК!K227</f>
        <v>6.615</v>
      </c>
      <c r="K227" s="44">
        <f t="shared" si="16"/>
        <v>0.8108094448924232</v>
      </c>
      <c r="L227" s="44">
        <f t="shared" si="15"/>
        <v>0.8108094448924232</v>
      </c>
      <c r="M227" s="32"/>
      <c r="N227" s="15">
        <v>1.05</v>
      </c>
      <c r="O227" s="45">
        <v>6.3</v>
      </c>
      <c r="Q227" s="223"/>
      <c r="R227" s="15" t="s">
        <v>73</v>
      </c>
      <c r="T227" s="15">
        <v>12.6</v>
      </c>
    </row>
    <row r="228" spans="1:20" s="15" customFormat="1" ht="19.5">
      <c r="A228" s="16">
        <f>МРСК!A228</f>
        <v>149</v>
      </c>
      <c r="B228" s="2" t="s">
        <v>242</v>
      </c>
      <c r="C228" s="45" t="s">
        <v>70</v>
      </c>
      <c r="D228" s="133">
        <f t="shared" si="13"/>
        <v>0</v>
      </c>
      <c r="E228" s="17">
        <f>D228+МРСК!F228</f>
        <v>0.7091431449291462</v>
      </c>
      <c r="F228" s="44">
        <v>0.3763754343811262</v>
      </c>
      <c r="G228" s="18">
        <v>80</v>
      </c>
      <c r="H228" s="44">
        <f t="shared" si="14"/>
        <v>0.33276771054802</v>
      </c>
      <c r="I228" s="17">
        <v>0</v>
      </c>
      <c r="J228" s="46">
        <f>МРСК!K228</f>
        <v>2.625</v>
      </c>
      <c r="K228" s="44">
        <f t="shared" si="16"/>
        <v>2.29223228945198</v>
      </c>
      <c r="L228" s="44">
        <f t="shared" si="15"/>
        <v>2.29223228945198</v>
      </c>
      <c r="M228" s="32"/>
      <c r="N228" s="15">
        <v>1.05</v>
      </c>
      <c r="O228" s="45">
        <v>2.5</v>
      </c>
      <c r="Q228" s="223"/>
      <c r="R228" s="15" t="s">
        <v>70</v>
      </c>
      <c r="T228" s="15">
        <v>5</v>
      </c>
    </row>
    <row r="229" spans="1:20" s="15" customFormat="1" ht="19.5">
      <c r="A229" s="16">
        <f>МРСК!A229</f>
        <v>150</v>
      </c>
      <c r="B229" s="2" t="s">
        <v>244</v>
      </c>
      <c r="C229" s="45" t="s">
        <v>70</v>
      </c>
      <c r="D229" s="133">
        <f t="shared" si="13"/>
        <v>0.09</v>
      </c>
      <c r="E229" s="17">
        <f>D229+МРСК!F229</f>
        <v>1.8281185230012367</v>
      </c>
      <c r="F229" s="44">
        <v>0.352</v>
      </c>
      <c r="G229" s="18">
        <v>120</v>
      </c>
      <c r="H229" s="44">
        <f t="shared" si="14"/>
        <v>1.4761185230012366</v>
      </c>
      <c r="I229" s="17">
        <v>0</v>
      </c>
      <c r="J229" s="46">
        <f>МРСК!K229</f>
        <v>2.625</v>
      </c>
      <c r="K229" s="44">
        <f t="shared" si="16"/>
        <v>1.1488814769987634</v>
      </c>
      <c r="L229" s="44">
        <f t="shared" si="15"/>
        <v>1.1488814769987634</v>
      </c>
      <c r="M229" s="32"/>
      <c r="N229" s="15">
        <v>1.05</v>
      </c>
      <c r="O229" s="45">
        <v>2.5</v>
      </c>
      <c r="Q229" s="223">
        <v>0.09</v>
      </c>
      <c r="R229" s="15" t="s">
        <v>70</v>
      </c>
      <c r="T229" s="15">
        <v>5</v>
      </c>
    </row>
    <row r="230" spans="1:20" s="15" customFormat="1" ht="19.5">
      <c r="A230" s="16">
        <f>МРСК!A230</f>
        <v>151</v>
      </c>
      <c r="B230" s="2" t="s">
        <v>245</v>
      </c>
      <c r="C230" s="45" t="s">
        <v>73</v>
      </c>
      <c r="D230" s="133">
        <f t="shared" si="13"/>
        <v>0.02</v>
      </c>
      <c r="E230" s="17">
        <f>D230+МРСК!F230</f>
        <v>5.118454667838089</v>
      </c>
      <c r="F230" s="44">
        <v>0.164</v>
      </c>
      <c r="G230" s="18">
        <v>45</v>
      </c>
      <c r="H230" s="44">
        <f t="shared" si="14"/>
        <v>4.954454667838089</v>
      </c>
      <c r="I230" s="17">
        <v>0</v>
      </c>
      <c r="J230" s="46">
        <f>МРСК!K230</f>
        <v>6.615</v>
      </c>
      <c r="K230" s="44">
        <f t="shared" si="16"/>
        <v>1.6605453321619112</v>
      </c>
      <c r="L230" s="44">
        <f t="shared" si="15"/>
        <v>1.6605453321619112</v>
      </c>
      <c r="M230" s="32"/>
      <c r="N230" s="15">
        <v>1.05</v>
      </c>
      <c r="O230" s="45">
        <v>4</v>
      </c>
      <c r="Q230" s="223">
        <f>0.02</f>
        <v>0.02</v>
      </c>
      <c r="R230" s="15" t="s">
        <v>73</v>
      </c>
      <c r="T230" s="15">
        <v>12.6</v>
      </c>
    </row>
    <row r="231" spans="1:20" s="15" customFormat="1" ht="19.5">
      <c r="A231" s="16">
        <f>МРСК!A231</f>
        <v>152</v>
      </c>
      <c r="B231" s="2" t="s">
        <v>246</v>
      </c>
      <c r="C231" s="45" t="s">
        <v>70</v>
      </c>
      <c r="D231" s="133">
        <f t="shared" si="13"/>
        <v>0</v>
      </c>
      <c r="E231" s="17">
        <f>D231+МРСК!F231</f>
        <v>1.4495309586207534</v>
      </c>
      <c r="F231" s="44">
        <v>0.662</v>
      </c>
      <c r="G231" s="18">
        <v>80</v>
      </c>
      <c r="H231" s="44">
        <f t="shared" si="14"/>
        <v>0.7875309586207534</v>
      </c>
      <c r="I231" s="17">
        <v>0</v>
      </c>
      <c r="J231" s="46">
        <f>МРСК!K231</f>
        <v>2.625</v>
      </c>
      <c r="K231" s="44">
        <f t="shared" si="16"/>
        <v>1.8374690413792467</v>
      </c>
      <c r="L231" s="44">
        <f t="shared" si="15"/>
        <v>1.8374690413792467</v>
      </c>
      <c r="M231" s="32"/>
      <c r="N231" s="15">
        <v>1.05</v>
      </c>
      <c r="O231" s="45">
        <v>2.5</v>
      </c>
      <c r="Q231" s="223"/>
      <c r="R231" s="15" t="s">
        <v>70</v>
      </c>
      <c r="T231" s="15">
        <v>5</v>
      </c>
    </row>
    <row r="232" spans="1:20" s="15" customFormat="1" ht="19.5">
      <c r="A232" s="16">
        <f>МРСК!A232</f>
        <v>153</v>
      </c>
      <c r="B232" s="2" t="s">
        <v>247</v>
      </c>
      <c r="C232" s="45" t="s">
        <v>70</v>
      </c>
      <c r="D232" s="133">
        <f t="shared" si="13"/>
        <v>0.07</v>
      </c>
      <c r="E232" s="17">
        <f>D232+МРСК!F232</f>
        <v>1.7767020829658584</v>
      </c>
      <c r="F232" s="44">
        <v>0.8849109793349925</v>
      </c>
      <c r="G232" s="18">
        <v>80</v>
      </c>
      <c r="H232" s="44">
        <f t="shared" si="14"/>
        <v>0.8917911036308659</v>
      </c>
      <c r="I232" s="17">
        <v>0</v>
      </c>
      <c r="J232" s="46">
        <f>МРСК!K232</f>
        <v>2.625</v>
      </c>
      <c r="K232" s="44">
        <f t="shared" si="16"/>
        <v>1.7332088963691341</v>
      </c>
      <c r="L232" s="44">
        <f t="shared" si="15"/>
        <v>1.7332088963691341</v>
      </c>
      <c r="M232" s="32"/>
      <c r="N232" s="15">
        <v>1.05</v>
      </c>
      <c r="O232" s="45">
        <v>2.5</v>
      </c>
      <c r="Q232" s="223">
        <f>0.03+0.04</f>
        <v>0.07</v>
      </c>
      <c r="R232" s="15" t="s">
        <v>70</v>
      </c>
      <c r="T232" s="15">
        <v>5</v>
      </c>
    </row>
    <row r="233" spans="1:20" s="15" customFormat="1" ht="19.5">
      <c r="A233" s="16">
        <f>МРСК!A233</f>
        <v>154</v>
      </c>
      <c r="B233" s="2" t="s">
        <v>248</v>
      </c>
      <c r="C233" s="45" t="s">
        <v>64</v>
      </c>
      <c r="D233" s="133">
        <f t="shared" si="13"/>
        <v>0.1</v>
      </c>
      <c r="E233" s="17">
        <f>D233+МРСК!F233</f>
        <v>6.424444007183555</v>
      </c>
      <c r="F233" s="44">
        <v>2.53</v>
      </c>
      <c r="G233" s="18">
        <v>45</v>
      </c>
      <c r="H233" s="44">
        <f t="shared" si="14"/>
        <v>3.8944440071835555</v>
      </c>
      <c r="I233" s="17">
        <v>0</v>
      </c>
      <c r="J233" s="46">
        <f>МРСК!K233</f>
        <v>10.5</v>
      </c>
      <c r="K233" s="44">
        <f t="shared" si="16"/>
        <v>6.605555992816445</v>
      </c>
      <c r="L233" s="44">
        <f t="shared" si="15"/>
        <v>6.605555992816445</v>
      </c>
      <c r="M233" s="32"/>
      <c r="N233" s="15">
        <v>1.05</v>
      </c>
      <c r="O233" s="45">
        <v>6.3</v>
      </c>
      <c r="Q233" s="223">
        <f>0.1</f>
        <v>0.1</v>
      </c>
      <c r="R233" s="15" t="s">
        <v>64</v>
      </c>
      <c r="T233" s="15">
        <v>20</v>
      </c>
    </row>
    <row r="234" spans="1:20" s="15" customFormat="1" ht="19.5">
      <c r="A234" s="16">
        <f>МРСК!A234</f>
        <v>155</v>
      </c>
      <c r="B234" s="2" t="s">
        <v>249</v>
      </c>
      <c r="C234" s="45" t="s">
        <v>71</v>
      </c>
      <c r="D234" s="133">
        <f t="shared" si="13"/>
        <v>0.03</v>
      </c>
      <c r="E234" s="17">
        <f>D234+МРСК!F234</f>
        <v>3.2566614325026415</v>
      </c>
      <c r="F234" s="44">
        <v>1.7392964094713703</v>
      </c>
      <c r="G234" s="18">
        <v>120</v>
      </c>
      <c r="H234" s="44">
        <f t="shared" si="14"/>
        <v>1.5173650230312712</v>
      </c>
      <c r="I234" s="17">
        <v>0</v>
      </c>
      <c r="J234" s="46">
        <f>МРСК!K234</f>
        <v>4.2</v>
      </c>
      <c r="K234" s="44">
        <f t="shared" si="16"/>
        <v>2.682634976968729</v>
      </c>
      <c r="L234" s="44">
        <f t="shared" si="15"/>
        <v>2.682634976968729</v>
      </c>
      <c r="M234" s="32"/>
      <c r="N234" s="15">
        <v>1.05</v>
      </c>
      <c r="O234" s="45">
        <v>4</v>
      </c>
      <c r="Q234" s="223">
        <f>0.01+0.02</f>
        <v>0.03</v>
      </c>
      <c r="R234" s="15" t="s">
        <v>71</v>
      </c>
      <c r="T234" s="15">
        <v>8</v>
      </c>
    </row>
    <row r="235" spans="1:20" s="15" customFormat="1" ht="19.5">
      <c r="A235" s="16">
        <f>МРСК!A235</f>
        <v>156</v>
      </c>
      <c r="B235" s="2" t="s">
        <v>250</v>
      </c>
      <c r="C235" s="45" t="s">
        <v>71</v>
      </c>
      <c r="D235" s="133">
        <f t="shared" si="13"/>
        <v>0</v>
      </c>
      <c r="E235" s="17">
        <f>D235+МРСК!F235</f>
        <v>1.8048822676285565</v>
      </c>
      <c r="F235" s="44">
        <v>0</v>
      </c>
      <c r="G235" s="18"/>
      <c r="H235" s="44">
        <f t="shared" si="14"/>
        <v>1.8048822676285565</v>
      </c>
      <c r="I235" s="17">
        <v>0</v>
      </c>
      <c r="J235" s="46">
        <f>МРСК!K235</f>
        <v>2.625</v>
      </c>
      <c r="K235" s="44">
        <f t="shared" si="16"/>
        <v>0.8201177323714435</v>
      </c>
      <c r="L235" s="44">
        <f t="shared" si="15"/>
        <v>0.8201177323714435</v>
      </c>
      <c r="M235" s="32"/>
      <c r="N235" s="15">
        <v>1.05</v>
      </c>
      <c r="O235" s="45">
        <v>2.5</v>
      </c>
      <c r="Q235" s="223"/>
      <c r="R235" s="15" t="s">
        <v>71</v>
      </c>
      <c r="T235" s="15">
        <v>5</v>
      </c>
    </row>
    <row r="236" spans="1:20" s="15" customFormat="1" ht="19.5">
      <c r="A236" s="16">
        <f>МРСК!A236</f>
        <v>157</v>
      </c>
      <c r="B236" s="2" t="s">
        <v>293</v>
      </c>
      <c r="C236" s="45" t="s">
        <v>70</v>
      </c>
      <c r="D236" s="133">
        <f t="shared" si="13"/>
        <v>0</v>
      </c>
      <c r="E236" s="17"/>
      <c r="F236" s="44">
        <v>0</v>
      </c>
      <c r="G236" s="18">
        <v>0</v>
      </c>
      <c r="H236" s="44">
        <f t="shared" si="14"/>
        <v>0</v>
      </c>
      <c r="I236" s="17">
        <v>0</v>
      </c>
      <c r="J236" s="46">
        <f>МРСК!K236</f>
        <v>2.625</v>
      </c>
      <c r="K236" s="44">
        <f aca="true" t="shared" si="17" ref="K236:K257">J236-I236-H236</f>
        <v>2.625</v>
      </c>
      <c r="L236" s="44">
        <f aca="true" t="shared" si="18" ref="L236:L257">K236</f>
        <v>2.625</v>
      </c>
      <c r="M236" s="32"/>
      <c r="O236" s="45"/>
      <c r="Q236" s="223"/>
      <c r="R236" s="15" t="s">
        <v>70</v>
      </c>
      <c r="T236" s="15">
        <v>5</v>
      </c>
    </row>
    <row r="237" spans="1:20" s="15" customFormat="1" ht="19.5">
      <c r="A237" s="16">
        <f>МРСК!A237</f>
        <v>158</v>
      </c>
      <c r="B237" s="2" t="s">
        <v>243</v>
      </c>
      <c r="C237" s="45" t="s">
        <v>70</v>
      </c>
      <c r="D237" s="133">
        <f t="shared" si="13"/>
        <v>0</v>
      </c>
      <c r="E237" s="17">
        <f>D237+МРСК!F237</f>
        <v>0.3256501189927619</v>
      </c>
      <c r="F237" s="44">
        <v>0.2275127113166862</v>
      </c>
      <c r="G237" s="18">
        <v>120</v>
      </c>
      <c r="H237" s="44">
        <f t="shared" si="14"/>
        <v>0.0981374076760757</v>
      </c>
      <c r="I237" s="17">
        <v>0</v>
      </c>
      <c r="J237" s="46">
        <f>МРСК!K237</f>
        <v>2.625</v>
      </c>
      <c r="K237" s="44">
        <f t="shared" si="17"/>
        <v>2.5268625923239245</v>
      </c>
      <c r="L237" s="44">
        <f t="shared" si="18"/>
        <v>2.5268625923239245</v>
      </c>
      <c r="M237" s="32"/>
      <c r="N237" s="15">
        <v>1.05</v>
      </c>
      <c r="O237" s="45">
        <v>2.5</v>
      </c>
      <c r="Q237" s="223"/>
      <c r="R237" s="15" t="s">
        <v>70</v>
      </c>
      <c r="T237" s="15">
        <v>5</v>
      </c>
    </row>
    <row r="238" spans="1:20" s="15" customFormat="1" ht="19.5">
      <c r="A238" s="16">
        <f>МРСК!A238</f>
        <v>159</v>
      </c>
      <c r="B238" s="2" t="s">
        <v>251</v>
      </c>
      <c r="C238" s="45" t="s">
        <v>73</v>
      </c>
      <c r="D238" s="133">
        <f t="shared" si="13"/>
        <v>0.01</v>
      </c>
      <c r="E238" s="17">
        <f>D238+МРСК!F238</f>
        <v>6.569503411082275</v>
      </c>
      <c r="F238" s="44">
        <v>4.804906036985494</v>
      </c>
      <c r="G238" s="18">
        <v>120</v>
      </c>
      <c r="H238" s="44">
        <f t="shared" si="14"/>
        <v>1.7645973740967813</v>
      </c>
      <c r="I238" s="17">
        <v>0</v>
      </c>
      <c r="J238" s="46">
        <f>МРСК!K238</f>
        <v>6.615</v>
      </c>
      <c r="K238" s="44">
        <f t="shared" si="17"/>
        <v>4.850402625903219</v>
      </c>
      <c r="L238" s="44">
        <f t="shared" si="18"/>
        <v>4.850402625903219</v>
      </c>
      <c r="M238" s="32"/>
      <c r="N238" s="15">
        <v>1.05</v>
      </c>
      <c r="O238" s="45">
        <v>6.3</v>
      </c>
      <c r="Q238" s="223">
        <f>0.01</f>
        <v>0.01</v>
      </c>
      <c r="R238" s="15" t="s">
        <v>73</v>
      </c>
      <c r="T238" s="15">
        <v>12.6</v>
      </c>
    </row>
    <row r="239" spans="1:20" s="15" customFormat="1" ht="19.5">
      <c r="A239" s="16">
        <f>МРСК!A239</f>
        <v>160</v>
      </c>
      <c r="B239" s="2" t="s">
        <v>252</v>
      </c>
      <c r="C239" s="45" t="s">
        <v>70</v>
      </c>
      <c r="D239" s="133">
        <f aca="true" t="shared" si="19" ref="D239:D257">Q239</f>
        <v>0.02</v>
      </c>
      <c r="E239" s="17">
        <f>D239+МРСК!F239</f>
        <v>1.9770774128787036</v>
      </c>
      <c r="F239" s="44">
        <v>1.062118637441223</v>
      </c>
      <c r="G239" s="18">
        <v>80</v>
      </c>
      <c r="H239" s="44">
        <f t="shared" si="14"/>
        <v>0.9149587754374806</v>
      </c>
      <c r="I239" s="17">
        <v>0</v>
      </c>
      <c r="J239" s="46">
        <f>МРСК!K239</f>
        <v>2.625</v>
      </c>
      <c r="K239" s="44">
        <f t="shared" si="17"/>
        <v>1.7100412245625194</v>
      </c>
      <c r="L239" s="44">
        <f t="shared" si="18"/>
        <v>1.7100412245625194</v>
      </c>
      <c r="M239" s="32"/>
      <c r="N239" s="15">
        <v>1.05</v>
      </c>
      <c r="O239" s="45">
        <v>2.5</v>
      </c>
      <c r="Q239" s="223">
        <f>0.02</f>
        <v>0.02</v>
      </c>
      <c r="R239" s="15" t="s">
        <v>70</v>
      </c>
      <c r="T239" s="15">
        <v>5</v>
      </c>
    </row>
    <row r="240" spans="1:20" s="15" customFormat="1" ht="19.5">
      <c r="A240" s="16">
        <f>МРСК!A240</f>
        <v>161</v>
      </c>
      <c r="B240" s="2" t="s">
        <v>253</v>
      </c>
      <c r="C240" s="45" t="s">
        <v>71</v>
      </c>
      <c r="D240" s="133">
        <f t="shared" si="19"/>
        <v>0.95</v>
      </c>
      <c r="E240" s="17">
        <f>D240+МРСК!F240</f>
        <v>3.5261987500967384</v>
      </c>
      <c r="F240" s="44">
        <v>1.1305772892533212</v>
      </c>
      <c r="G240" s="18">
        <v>120</v>
      </c>
      <c r="H240" s="44">
        <f t="shared" si="14"/>
        <v>2.395621460843417</v>
      </c>
      <c r="I240" s="17">
        <v>0</v>
      </c>
      <c r="J240" s="46">
        <f>МРСК!K240</f>
        <v>4.2</v>
      </c>
      <c r="K240" s="44">
        <f t="shared" si="17"/>
        <v>1.8043785391565832</v>
      </c>
      <c r="L240" s="44">
        <f t="shared" si="18"/>
        <v>1.8043785391565832</v>
      </c>
      <c r="M240" s="32"/>
      <c r="N240" s="15">
        <v>1.05</v>
      </c>
      <c r="O240" s="45">
        <v>4</v>
      </c>
      <c r="Q240" s="223">
        <f>0.1+0.85</f>
        <v>0.95</v>
      </c>
      <c r="R240" s="15" t="s">
        <v>71</v>
      </c>
      <c r="T240" s="15">
        <v>8</v>
      </c>
    </row>
    <row r="241" spans="1:20" s="15" customFormat="1" ht="19.5">
      <c r="A241" s="16">
        <f>МРСК!A241</f>
        <v>162</v>
      </c>
      <c r="B241" s="2" t="s">
        <v>254</v>
      </c>
      <c r="C241" s="45" t="s">
        <v>61</v>
      </c>
      <c r="D241" s="133">
        <f t="shared" si="19"/>
        <v>0.34</v>
      </c>
      <c r="E241" s="17">
        <f>D241+МРСК!F241</f>
        <v>12.052420245192707</v>
      </c>
      <c r="F241" s="44">
        <v>1.21</v>
      </c>
      <c r="G241" s="18">
        <v>80</v>
      </c>
      <c r="H241" s="44">
        <f t="shared" si="14"/>
        <v>10.842420245192706</v>
      </c>
      <c r="I241" s="17">
        <v>0</v>
      </c>
      <c r="J241" s="46">
        <f>МРСК!K241</f>
        <v>16.8</v>
      </c>
      <c r="K241" s="44">
        <f t="shared" si="17"/>
        <v>5.957579754807295</v>
      </c>
      <c r="L241" s="44">
        <f t="shared" si="18"/>
        <v>5.957579754807295</v>
      </c>
      <c r="M241" s="32"/>
      <c r="N241" s="15">
        <v>1.05</v>
      </c>
      <c r="O241" s="45">
        <v>16</v>
      </c>
      <c r="Q241" s="223">
        <f>0.07+0.22+0.05</f>
        <v>0.34</v>
      </c>
      <c r="R241" s="15" t="s">
        <v>61</v>
      </c>
      <c r="T241" s="15">
        <v>32</v>
      </c>
    </row>
    <row r="242" spans="1:20" s="15" customFormat="1" ht="19.5">
      <c r="A242" s="16">
        <f>МРСК!A242</f>
        <v>163</v>
      </c>
      <c r="B242" s="2" t="s">
        <v>255</v>
      </c>
      <c r="C242" s="45" t="s">
        <v>71</v>
      </c>
      <c r="D242" s="133">
        <f t="shared" si="19"/>
        <v>0</v>
      </c>
      <c r="E242" s="17">
        <f>D242+МРСК!F242</f>
        <v>2.1402429768603377</v>
      </c>
      <c r="F242" s="44">
        <v>1.3453007325017299</v>
      </c>
      <c r="G242" s="18">
        <v>45</v>
      </c>
      <c r="H242" s="44">
        <f t="shared" si="14"/>
        <v>0.7949422443586078</v>
      </c>
      <c r="I242" s="17">
        <v>0</v>
      </c>
      <c r="J242" s="46">
        <f>МРСК!K242</f>
        <v>4.2</v>
      </c>
      <c r="K242" s="44">
        <f t="shared" si="17"/>
        <v>3.4050577556413923</v>
      </c>
      <c r="L242" s="44">
        <f t="shared" si="18"/>
        <v>3.4050577556413923</v>
      </c>
      <c r="M242" s="32"/>
      <c r="N242" s="15">
        <v>1.05</v>
      </c>
      <c r="O242" s="45">
        <v>2.5</v>
      </c>
      <c r="Q242" s="223"/>
      <c r="R242" s="15" t="s">
        <v>71</v>
      </c>
      <c r="T242" s="15">
        <v>8</v>
      </c>
    </row>
    <row r="243" spans="1:20" s="15" customFormat="1" ht="19.5">
      <c r="A243" s="16">
        <f>МРСК!A243</f>
        <v>164</v>
      </c>
      <c r="B243" s="2" t="s">
        <v>256</v>
      </c>
      <c r="C243" s="45" t="s">
        <v>64</v>
      </c>
      <c r="D243" s="133">
        <f t="shared" si="19"/>
        <v>2.45</v>
      </c>
      <c r="E243" s="17">
        <f>D243+МРСК!F243</f>
        <v>11.200131427584388</v>
      </c>
      <c r="F243" s="44">
        <v>0.531</v>
      </c>
      <c r="G243" s="18">
        <v>45</v>
      </c>
      <c r="H243" s="44">
        <f t="shared" si="14"/>
        <v>10.669131427584388</v>
      </c>
      <c r="I243" s="17">
        <v>0</v>
      </c>
      <c r="J243" s="46">
        <f>МРСК!K243</f>
        <v>10.5</v>
      </c>
      <c r="K243" s="44">
        <f t="shared" si="17"/>
        <v>-0.1691314275843876</v>
      </c>
      <c r="L243" s="44">
        <f t="shared" si="18"/>
        <v>-0.1691314275843876</v>
      </c>
      <c r="M243" s="32"/>
      <c r="N243" s="15">
        <v>1.05</v>
      </c>
      <c r="O243" s="45">
        <v>10</v>
      </c>
      <c r="Q243" s="223">
        <f>0.29+0.09+0.07+2</f>
        <v>2.45</v>
      </c>
      <c r="R243" s="15" t="s">
        <v>64</v>
      </c>
      <c r="T243" s="15">
        <v>20</v>
      </c>
    </row>
    <row r="244" spans="1:20" s="15" customFormat="1" ht="19.5">
      <c r="A244" s="16">
        <f>МРСК!A244</f>
        <v>165</v>
      </c>
      <c r="B244" s="2" t="s">
        <v>257</v>
      </c>
      <c r="C244" s="45" t="s">
        <v>70</v>
      </c>
      <c r="D244" s="133">
        <f t="shared" si="19"/>
        <v>0</v>
      </c>
      <c r="E244" s="17">
        <f>D244+МРСК!F244</f>
        <v>1.0842582718153455</v>
      </c>
      <c r="F244" s="44">
        <v>0.4497830700715363</v>
      </c>
      <c r="G244" s="18">
        <v>80</v>
      </c>
      <c r="H244" s="44">
        <f t="shared" si="14"/>
        <v>0.6344752017438092</v>
      </c>
      <c r="I244" s="17">
        <v>0</v>
      </c>
      <c r="J244" s="46">
        <f>МРСК!K244</f>
        <v>2.625</v>
      </c>
      <c r="K244" s="44">
        <f t="shared" si="17"/>
        <v>1.9905247982561907</v>
      </c>
      <c r="L244" s="44">
        <f t="shared" si="18"/>
        <v>1.9905247982561907</v>
      </c>
      <c r="M244" s="32"/>
      <c r="N244" s="15">
        <v>1.05</v>
      </c>
      <c r="O244" s="45">
        <v>2.5</v>
      </c>
      <c r="Q244" s="223"/>
      <c r="R244" s="15" t="s">
        <v>70</v>
      </c>
      <c r="T244" s="15">
        <v>5</v>
      </c>
    </row>
    <row r="245" spans="1:20" s="15" customFormat="1" ht="19.5">
      <c r="A245" s="16">
        <f>МРСК!A245</f>
        <v>166</v>
      </c>
      <c r="B245" s="2" t="s">
        <v>258</v>
      </c>
      <c r="C245" s="45" t="s">
        <v>73</v>
      </c>
      <c r="D245" s="133">
        <f t="shared" si="19"/>
        <v>0.06</v>
      </c>
      <c r="E245" s="17">
        <f>D245+МРСК!F245</f>
        <v>4.330954928350333</v>
      </c>
      <c r="F245" s="44">
        <v>1.39</v>
      </c>
      <c r="G245" s="18">
        <v>120</v>
      </c>
      <c r="H245" s="44">
        <f t="shared" si="14"/>
        <v>2.940954928350333</v>
      </c>
      <c r="I245" s="17">
        <v>0</v>
      </c>
      <c r="J245" s="46">
        <f>МРСК!K245</f>
        <v>6.615</v>
      </c>
      <c r="K245" s="44">
        <f t="shared" si="17"/>
        <v>3.674045071649667</v>
      </c>
      <c r="L245" s="44">
        <f t="shared" si="18"/>
        <v>3.674045071649667</v>
      </c>
      <c r="M245" s="32"/>
      <c r="N245" s="15">
        <v>1.05</v>
      </c>
      <c r="O245" s="45">
        <v>6.3</v>
      </c>
      <c r="Q245" s="223">
        <f>0.04+0.02</f>
        <v>0.06</v>
      </c>
      <c r="R245" s="15" t="s">
        <v>73</v>
      </c>
      <c r="T245" s="15">
        <v>12.6</v>
      </c>
    </row>
    <row r="246" spans="1:20" s="15" customFormat="1" ht="19.5">
      <c r="A246" s="16">
        <f>МРСК!A246</f>
        <v>167</v>
      </c>
      <c r="B246" s="2" t="s">
        <v>259</v>
      </c>
      <c r="C246" s="45" t="s">
        <v>79</v>
      </c>
      <c r="D246" s="133">
        <f t="shared" si="19"/>
        <v>0</v>
      </c>
      <c r="E246" s="17">
        <f>D246+МРСК!F246</f>
        <v>0.7814345781957694</v>
      </c>
      <c r="F246" s="44">
        <v>0.4724167338631652</v>
      </c>
      <c r="G246" s="18">
        <v>80</v>
      </c>
      <c r="H246" s="44">
        <f t="shared" si="14"/>
        <v>0.30901784433260426</v>
      </c>
      <c r="I246" s="17">
        <v>0</v>
      </c>
      <c r="J246" s="46">
        <f>МРСК!K246</f>
        <v>1.6800000000000002</v>
      </c>
      <c r="K246" s="44">
        <f t="shared" si="17"/>
        <v>1.370982155667396</v>
      </c>
      <c r="L246" s="44">
        <f t="shared" si="18"/>
        <v>1.370982155667396</v>
      </c>
      <c r="M246" s="32"/>
      <c r="N246" s="15">
        <v>1.05</v>
      </c>
      <c r="O246" s="45">
        <v>1.6</v>
      </c>
      <c r="Q246" s="223"/>
      <c r="R246" s="15" t="s">
        <v>79</v>
      </c>
      <c r="T246" s="15">
        <v>4.1</v>
      </c>
    </row>
    <row r="247" spans="1:20" s="15" customFormat="1" ht="19.5">
      <c r="A247" s="16">
        <f>МРСК!A247</f>
        <v>168</v>
      </c>
      <c r="B247" s="2" t="s">
        <v>260</v>
      </c>
      <c r="C247" s="45" t="s">
        <v>71</v>
      </c>
      <c r="D247" s="133">
        <f t="shared" si="19"/>
        <v>0.14</v>
      </c>
      <c r="E247" s="17">
        <f>D247+МРСК!F247</f>
        <v>2.046691899599933</v>
      </c>
      <c r="F247" s="44">
        <v>0</v>
      </c>
      <c r="G247" s="18"/>
      <c r="H247" s="44">
        <f t="shared" si="14"/>
        <v>2.046691899599933</v>
      </c>
      <c r="I247" s="17">
        <v>0</v>
      </c>
      <c r="J247" s="46">
        <f>МРСК!K247</f>
        <v>4.2</v>
      </c>
      <c r="K247" s="44">
        <f t="shared" si="17"/>
        <v>2.1533081004000674</v>
      </c>
      <c r="L247" s="44">
        <f t="shared" si="18"/>
        <v>2.1533081004000674</v>
      </c>
      <c r="M247" s="32"/>
      <c r="N247" s="15">
        <v>1.05</v>
      </c>
      <c r="O247" s="45">
        <v>4</v>
      </c>
      <c r="Q247" s="223">
        <v>0.14</v>
      </c>
      <c r="R247" s="15" t="s">
        <v>71</v>
      </c>
      <c r="T247" s="15">
        <v>8</v>
      </c>
    </row>
    <row r="248" spans="1:20" s="15" customFormat="1" ht="19.5">
      <c r="A248" s="16">
        <f>МРСК!A248</f>
        <v>169</v>
      </c>
      <c r="B248" s="2" t="s">
        <v>261</v>
      </c>
      <c r="C248" s="45" t="s">
        <v>79</v>
      </c>
      <c r="D248" s="133">
        <f t="shared" si="19"/>
        <v>0.01</v>
      </c>
      <c r="E248" s="17">
        <f>D248+МРСК!F248</f>
        <v>0.9660585756113481</v>
      </c>
      <c r="F248" s="44">
        <v>0.7868064298244878</v>
      </c>
      <c r="G248" s="18">
        <v>45</v>
      </c>
      <c r="H248" s="44">
        <f t="shared" si="14"/>
        <v>0.17925214578686033</v>
      </c>
      <c r="I248" s="17">
        <v>0</v>
      </c>
      <c r="J248" s="46">
        <f>МРСК!K248</f>
        <v>1.6800000000000002</v>
      </c>
      <c r="K248" s="44">
        <f t="shared" si="17"/>
        <v>1.5007478542131398</v>
      </c>
      <c r="L248" s="44">
        <f t="shared" si="18"/>
        <v>1.5007478542131398</v>
      </c>
      <c r="M248" s="32"/>
      <c r="N248" s="15">
        <v>1.05</v>
      </c>
      <c r="O248" s="45">
        <v>1.6</v>
      </c>
      <c r="Q248" s="223">
        <f>0.01</f>
        <v>0.01</v>
      </c>
      <c r="R248" s="15" t="s">
        <v>79</v>
      </c>
      <c r="T248" s="15">
        <v>4.1</v>
      </c>
    </row>
    <row r="249" spans="1:20" s="15" customFormat="1" ht="19.5">
      <c r="A249" s="16">
        <f>МРСК!A249</f>
        <v>170</v>
      </c>
      <c r="B249" s="2" t="s">
        <v>262</v>
      </c>
      <c r="C249" s="45" t="s">
        <v>71</v>
      </c>
      <c r="D249" s="133">
        <f t="shared" si="19"/>
        <v>0.37</v>
      </c>
      <c r="E249" s="17">
        <f>D249+МРСК!F249</f>
        <v>2.2500936146905026</v>
      </c>
      <c r="F249" s="44">
        <v>0</v>
      </c>
      <c r="G249" s="18"/>
      <c r="H249" s="44">
        <f t="shared" si="14"/>
        <v>2.2500936146905026</v>
      </c>
      <c r="I249" s="17">
        <v>0</v>
      </c>
      <c r="J249" s="46">
        <f>МРСК!K249</f>
        <v>4.2</v>
      </c>
      <c r="K249" s="44">
        <f t="shared" si="17"/>
        <v>1.9499063853094976</v>
      </c>
      <c r="L249" s="44">
        <f t="shared" si="18"/>
        <v>1.9499063853094976</v>
      </c>
      <c r="M249" s="32"/>
      <c r="N249" s="15">
        <v>1.05</v>
      </c>
      <c r="O249" s="45">
        <v>2.5</v>
      </c>
      <c r="Q249" s="223">
        <v>0.37</v>
      </c>
      <c r="R249" s="15" t="s">
        <v>71</v>
      </c>
      <c r="T249" s="15">
        <v>8</v>
      </c>
    </row>
    <row r="250" spans="1:20" s="15" customFormat="1" ht="24" customHeight="1">
      <c r="A250" s="16">
        <f>МРСК!A250</f>
        <v>171</v>
      </c>
      <c r="B250" s="6" t="s">
        <v>263</v>
      </c>
      <c r="C250" s="45" t="s">
        <v>77</v>
      </c>
      <c r="D250" s="133">
        <f t="shared" si="19"/>
        <v>0.19</v>
      </c>
      <c r="E250" s="17">
        <f>D250+МРСК!F250</f>
        <v>2.819752840097335</v>
      </c>
      <c r="F250" s="44">
        <v>1.3512660729848878</v>
      </c>
      <c r="G250" s="18">
        <v>20</v>
      </c>
      <c r="H250" s="44">
        <f t="shared" si="14"/>
        <v>1.4684867671124473</v>
      </c>
      <c r="I250" s="17">
        <v>0</v>
      </c>
      <c r="J250" s="46">
        <f>МРСК!K250</f>
        <v>6.615</v>
      </c>
      <c r="K250" s="44">
        <f t="shared" si="17"/>
        <v>5.146513232887553</v>
      </c>
      <c r="L250" s="44">
        <f t="shared" si="18"/>
        <v>5.146513232887553</v>
      </c>
      <c r="M250" s="32"/>
      <c r="N250" s="15">
        <v>1.05</v>
      </c>
      <c r="O250" s="45">
        <v>6.3</v>
      </c>
      <c r="Q250" s="223">
        <f>0.03+0.02+0.14</f>
        <v>0.19</v>
      </c>
      <c r="R250" s="15" t="s">
        <v>77</v>
      </c>
      <c r="T250" s="15">
        <v>13.8</v>
      </c>
    </row>
    <row r="251" spans="1:20" s="15" customFormat="1" ht="19.5">
      <c r="A251" s="16">
        <f>МРСК!A251</f>
        <v>172</v>
      </c>
      <c r="B251" s="25" t="s">
        <v>123</v>
      </c>
      <c r="C251" s="111" t="s">
        <v>70</v>
      </c>
      <c r="D251" s="131">
        <f t="shared" si="19"/>
        <v>0.45</v>
      </c>
      <c r="E251" s="112">
        <f>D251+МРСК!F251</f>
        <v>0.45</v>
      </c>
      <c r="F251" s="27">
        <v>1</v>
      </c>
      <c r="G251" s="110">
        <v>80</v>
      </c>
      <c r="H251" s="44">
        <f t="shared" si="14"/>
        <v>-0.55</v>
      </c>
      <c r="I251" s="17">
        <v>0</v>
      </c>
      <c r="J251" s="27">
        <f>F251</f>
        <v>1</v>
      </c>
      <c r="K251" s="44">
        <f t="shared" si="17"/>
        <v>1.55</v>
      </c>
      <c r="L251" s="44">
        <f t="shared" si="18"/>
        <v>1.55</v>
      </c>
      <c r="M251" s="40"/>
      <c r="Q251" s="223">
        <f>0.45</f>
        <v>0.45</v>
      </c>
      <c r="R251" s="15" t="s">
        <v>70</v>
      </c>
      <c r="T251" s="15">
        <v>5</v>
      </c>
    </row>
    <row r="252" spans="1:20" s="15" customFormat="1" ht="19.5">
      <c r="A252" s="16">
        <f>МРСК!A252</f>
        <v>173</v>
      </c>
      <c r="B252" s="2" t="s">
        <v>264</v>
      </c>
      <c r="C252" s="45" t="s">
        <v>73</v>
      </c>
      <c r="D252" s="133">
        <f t="shared" si="19"/>
        <v>0</v>
      </c>
      <c r="E252" s="17">
        <f>D252+МРСК!F252</f>
        <v>1.8593418190316702</v>
      </c>
      <c r="F252" s="44">
        <v>0</v>
      </c>
      <c r="G252" s="18"/>
      <c r="H252" s="44">
        <f t="shared" si="14"/>
        <v>1.8593418190316702</v>
      </c>
      <c r="I252" s="17">
        <v>0</v>
      </c>
      <c r="J252" s="46">
        <f>МРСК!K252</f>
        <v>6.615</v>
      </c>
      <c r="K252" s="44">
        <f t="shared" si="17"/>
        <v>4.7556581809683305</v>
      </c>
      <c r="L252" s="44">
        <f t="shared" si="18"/>
        <v>4.7556581809683305</v>
      </c>
      <c r="M252" s="32"/>
      <c r="N252" s="15">
        <v>1.05</v>
      </c>
      <c r="O252" s="45">
        <v>6.3</v>
      </c>
      <c r="Q252" s="223"/>
      <c r="R252" s="15" t="s">
        <v>73</v>
      </c>
      <c r="T252" s="15">
        <v>12.6</v>
      </c>
    </row>
    <row r="253" spans="1:20" s="15" customFormat="1" ht="19.5">
      <c r="A253" s="16">
        <f>МРСК!A253</f>
        <v>174</v>
      </c>
      <c r="B253" s="2" t="s">
        <v>265</v>
      </c>
      <c r="C253" s="45" t="s">
        <v>70</v>
      </c>
      <c r="D253" s="133">
        <f t="shared" si="19"/>
        <v>1.5000000000000002</v>
      </c>
      <c r="E253" s="17">
        <f>D253+МРСК!F253</f>
        <v>3.2666205025415054</v>
      </c>
      <c r="F253" s="44">
        <v>0.7906646371233466</v>
      </c>
      <c r="G253" s="18">
        <v>80</v>
      </c>
      <c r="H253" s="44">
        <f t="shared" si="14"/>
        <v>2.475955865418159</v>
      </c>
      <c r="I253" s="17">
        <v>0</v>
      </c>
      <c r="J253" s="46">
        <f>МРСК!K253</f>
        <v>2.625</v>
      </c>
      <c r="K253" s="44">
        <f t="shared" si="17"/>
        <v>0.14904413458184118</v>
      </c>
      <c r="L253" s="44">
        <f t="shared" si="18"/>
        <v>0.14904413458184118</v>
      </c>
      <c r="M253" s="32"/>
      <c r="N253" s="15">
        <v>1.05</v>
      </c>
      <c r="O253" s="45">
        <v>2.5</v>
      </c>
      <c r="Q253" s="223">
        <f>1.34+0.06+0.1</f>
        <v>1.5000000000000002</v>
      </c>
      <c r="R253" s="15" t="s">
        <v>70</v>
      </c>
      <c r="T253" s="15">
        <v>5</v>
      </c>
    </row>
    <row r="254" spans="1:20" s="15" customFormat="1" ht="19.5">
      <c r="A254" s="16">
        <f>МРСК!A254</f>
        <v>175</v>
      </c>
      <c r="B254" s="2" t="s">
        <v>266</v>
      </c>
      <c r="C254" s="45" t="s">
        <v>73</v>
      </c>
      <c r="D254" s="133">
        <f t="shared" si="19"/>
        <v>1.1300000000000001</v>
      </c>
      <c r="E254" s="17">
        <f>D254+МРСК!F254</f>
        <v>4.635497396946687</v>
      </c>
      <c r="F254" s="44">
        <v>1.03</v>
      </c>
      <c r="G254" s="18">
        <v>80</v>
      </c>
      <c r="H254" s="44">
        <f t="shared" si="14"/>
        <v>3.605497396946687</v>
      </c>
      <c r="I254" s="17">
        <v>0</v>
      </c>
      <c r="J254" s="46">
        <f>МРСК!K254</f>
        <v>4.2</v>
      </c>
      <c r="K254" s="44">
        <f t="shared" si="17"/>
        <v>0.5945026030533134</v>
      </c>
      <c r="L254" s="44">
        <f t="shared" si="18"/>
        <v>0.5945026030533134</v>
      </c>
      <c r="M254" s="32"/>
      <c r="N254" s="15">
        <v>1.05</v>
      </c>
      <c r="O254" s="45">
        <v>2.5</v>
      </c>
      <c r="Q254" s="223">
        <f>0.46+0.37+0.3</f>
        <v>1.1300000000000001</v>
      </c>
      <c r="R254" s="15" t="s">
        <v>73</v>
      </c>
      <c r="T254" s="15">
        <v>10.3</v>
      </c>
    </row>
    <row r="255" spans="1:20" s="15" customFormat="1" ht="19.5">
      <c r="A255" s="16">
        <f>МРСК!A255</f>
        <v>176</v>
      </c>
      <c r="B255" s="2" t="s">
        <v>291</v>
      </c>
      <c r="C255" s="45" t="s">
        <v>292</v>
      </c>
      <c r="D255" s="133">
        <f t="shared" si="19"/>
        <v>0</v>
      </c>
      <c r="E255" s="17"/>
      <c r="F255" s="44">
        <v>0</v>
      </c>
      <c r="G255" s="18">
        <v>0</v>
      </c>
      <c r="H255" s="44">
        <f t="shared" si="14"/>
        <v>0</v>
      </c>
      <c r="I255" s="17">
        <v>0</v>
      </c>
      <c r="J255" s="46">
        <f>МРСК!K255</f>
        <v>1.6800000000000002</v>
      </c>
      <c r="K255" s="44">
        <f t="shared" si="17"/>
        <v>1.6800000000000002</v>
      </c>
      <c r="L255" s="44">
        <f t="shared" si="18"/>
        <v>1.6800000000000002</v>
      </c>
      <c r="M255" s="32"/>
      <c r="O255" s="45"/>
      <c r="Q255" s="223"/>
      <c r="R255" s="15" t="s">
        <v>292</v>
      </c>
      <c r="T255" s="15">
        <v>3.2</v>
      </c>
    </row>
    <row r="256" spans="1:20" s="15" customFormat="1" ht="19.5">
      <c r="A256" s="16">
        <f>МРСК!A256</f>
        <v>177</v>
      </c>
      <c r="B256" s="2" t="s">
        <v>267</v>
      </c>
      <c r="C256" s="45" t="s">
        <v>71</v>
      </c>
      <c r="D256" s="133">
        <f t="shared" si="19"/>
        <v>0.46</v>
      </c>
      <c r="E256" s="17">
        <f>D256+МРСК!F256</f>
        <v>2.029387141530094</v>
      </c>
      <c r="F256" s="44">
        <v>1.1284260177094108</v>
      </c>
      <c r="G256" s="18">
        <v>80</v>
      </c>
      <c r="H256" s="44">
        <f t="shared" si="14"/>
        <v>0.9009611238206834</v>
      </c>
      <c r="I256" s="17">
        <v>0</v>
      </c>
      <c r="J256" s="46">
        <f>МРСК!K256</f>
        <v>4.2</v>
      </c>
      <c r="K256" s="44">
        <f t="shared" si="17"/>
        <v>3.299038876179317</v>
      </c>
      <c r="L256" s="44">
        <f t="shared" si="18"/>
        <v>3.299038876179317</v>
      </c>
      <c r="M256" s="32"/>
      <c r="N256" s="15">
        <v>1.05</v>
      </c>
      <c r="O256" s="45">
        <v>4</v>
      </c>
      <c r="Q256" s="223">
        <v>0.46</v>
      </c>
      <c r="R256" s="15" t="s">
        <v>71</v>
      </c>
      <c r="T256" s="15">
        <v>8</v>
      </c>
    </row>
    <row r="257" spans="1:20" s="15" customFormat="1" ht="20.25" thickBot="1">
      <c r="A257" s="16">
        <f>МРСК!A257</f>
        <v>178</v>
      </c>
      <c r="B257" s="3" t="s">
        <v>268</v>
      </c>
      <c r="C257" s="19" t="s">
        <v>70</v>
      </c>
      <c r="D257" s="134">
        <f t="shared" si="19"/>
        <v>0</v>
      </c>
      <c r="E257" s="21">
        <f>D257+МРСК!F257</f>
        <v>0.5326161845081315</v>
      </c>
      <c r="F257" s="20">
        <v>0.14647866738880444</v>
      </c>
      <c r="G257" s="22">
        <v>80</v>
      </c>
      <c r="H257" s="44">
        <f t="shared" si="14"/>
        <v>0.3861375171193271</v>
      </c>
      <c r="I257" s="17">
        <v>0</v>
      </c>
      <c r="J257" s="47">
        <f>МРСК!K257</f>
        <v>2.625</v>
      </c>
      <c r="K257" s="44">
        <f t="shared" si="17"/>
        <v>2.238862482880673</v>
      </c>
      <c r="L257" s="44">
        <f t="shared" si="18"/>
        <v>2.238862482880673</v>
      </c>
      <c r="M257" s="33"/>
      <c r="N257" s="15">
        <v>1.05</v>
      </c>
      <c r="O257" s="26">
        <v>2.5</v>
      </c>
      <c r="Q257" s="223"/>
      <c r="R257" s="15" t="s">
        <v>70</v>
      </c>
      <c r="T257" s="15">
        <v>5</v>
      </c>
    </row>
    <row r="258" spans="1:20" s="54" customFormat="1" ht="19.5">
      <c r="A258" s="88"/>
      <c r="B258" s="89" t="s">
        <v>270</v>
      </c>
      <c r="C258" s="96">
        <f>T260</f>
        <v>3271.0999999999985</v>
      </c>
      <c r="D258" s="121">
        <f>#VALUE!</f>
        <v>246.93000000000004</v>
      </c>
      <c r="E258" s="94" t="e">
        <f>#VALUE!</f>
        <v>#VALUE!</v>
      </c>
      <c r="F258" s="94">
        <f>#VALUE!</f>
        <v>1077.731049525352</v>
      </c>
      <c r="G258" s="95"/>
      <c r="H258" s="94" t="e">
        <f>#VALUE!</f>
        <v>#VALUE!</v>
      </c>
      <c r="I258" s="90"/>
      <c r="J258" s="90"/>
      <c r="K258" s="90"/>
      <c r="L258" s="90"/>
      <c r="M258" s="91"/>
      <c r="Q258" s="224"/>
      <c r="T258" s="54">
        <f>SUM(T47:T257)</f>
        <v>3160.8999999999987</v>
      </c>
    </row>
    <row r="259" spans="1:17" s="54" customFormat="1" ht="20.25">
      <c r="A259" s="55"/>
      <c r="B259" s="56" t="s">
        <v>271</v>
      </c>
      <c r="C259" s="57"/>
      <c r="D259" s="135"/>
      <c r="E259" s="97"/>
      <c r="F259" s="57"/>
      <c r="G259" s="57"/>
      <c r="H259" s="57"/>
      <c r="I259" s="92"/>
      <c r="J259" s="92"/>
      <c r="K259" s="92"/>
      <c r="L259" s="66">
        <f>L226+L222+L152+L74+L41+L39+L38+L36+L33+L32+L31+L30+L29+L27+L26+L25+L24+L15+L12</f>
        <v>-29.38069366304312</v>
      </c>
      <c r="M259" s="102"/>
      <c r="Q259" s="224"/>
    </row>
    <row r="260" spans="1:20" s="54" customFormat="1" ht="26.25" thickBot="1">
      <c r="A260" s="59"/>
      <c r="B260" s="60" t="s">
        <v>272</v>
      </c>
      <c r="C260" s="61"/>
      <c r="D260" s="136"/>
      <c r="E260" s="61"/>
      <c r="F260" s="61"/>
      <c r="G260" s="61"/>
      <c r="H260" s="61"/>
      <c r="I260" s="93"/>
      <c r="J260" s="93"/>
      <c r="K260" s="93"/>
      <c r="L260" s="68">
        <f>SUM(L9:L257)</f>
        <v>835.3443305521192</v>
      </c>
      <c r="M260" s="62"/>
      <c r="Q260" s="224">
        <f>SUM(Q9:Q259)</f>
        <v>106.86999999999996</v>
      </c>
      <c r="T260" s="115">
        <f>T258+R46</f>
        <v>3271.0999999999985</v>
      </c>
    </row>
    <row r="261" spans="3:10" ht="15.75">
      <c r="C261" s="5"/>
      <c r="D261" s="137"/>
      <c r="E261" s="5"/>
      <c r="F261" s="5"/>
      <c r="G261" s="5"/>
      <c r="H261" s="5"/>
      <c r="I261" s="5"/>
      <c r="J261" s="5"/>
    </row>
    <row r="262" spans="3:10" ht="20.25">
      <c r="C262" s="360"/>
      <c r="D262" s="360"/>
      <c r="E262" s="360"/>
      <c r="F262" s="360"/>
      <c r="G262" s="360"/>
      <c r="H262" s="360"/>
      <c r="I262" s="360"/>
      <c r="J262" s="360"/>
    </row>
  </sheetData>
  <sheetProtection/>
  <mergeCells count="50">
    <mergeCell ref="L134:L136"/>
    <mergeCell ref="L153:L155"/>
    <mergeCell ref="C262:J262"/>
    <mergeCell ref="L138:L140"/>
    <mergeCell ref="L143:L145"/>
    <mergeCell ref="L146:L148"/>
    <mergeCell ref="L149:L151"/>
    <mergeCell ref="L121:L123"/>
    <mergeCell ref="L124:L126"/>
    <mergeCell ref="L128:L130"/>
    <mergeCell ref="L131:L133"/>
    <mergeCell ref="L86:L88"/>
    <mergeCell ref="L90:L92"/>
    <mergeCell ref="L93:L95"/>
    <mergeCell ref="L96:L98"/>
    <mergeCell ref="L71:L73"/>
    <mergeCell ref="L74:L76"/>
    <mergeCell ref="L77:L79"/>
    <mergeCell ref="L81:L83"/>
    <mergeCell ref="L102:L104"/>
    <mergeCell ref="L107:L109"/>
    <mergeCell ref="L110:L112"/>
    <mergeCell ref="L99:L101"/>
    <mergeCell ref="L67:L69"/>
    <mergeCell ref="L115:L117"/>
    <mergeCell ref="L18:L20"/>
    <mergeCell ref="L21:L23"/>
    <mergeCell ref="L48:L50"/>
    <mergeCell ref="L51:L53"/>
    <mergeCell ref="L54:L56"/>
    <mergeCell ref="L57:L59"/>
    <mergeCell ref="L61:L63"/>
    <mergeCell ref="L64:L66"/>
    <mergeCell ref="C4:L4"/>
    <mergeCell ref="L15:L17"/>
    <mergeCell ref="A2:M2"/>
    <mergeCell ref="L9:L11"/>
    <mergeCell ref="L12:L14"/>
    <mergeCell ref="A4:A6"/>
    <mergeCell ref="B4:B6"/>
    <mergeCell ref="N4:N6"/>
    <mergeCell ref="C5:C6"/>
    <mergeCell ref="D5:D6"/>
    <mergeCell ref="E5:E6"/>
    <mergeCell ref="H5:H6"/>
    <mergeCell ref="I5:I6"/>
    <mergeCell ref="J5:J6"/>
    <mergeCell ref="F5:G5"/>
    <mergeCell ref="K5:L6"/>
    <mergeCell ref="M4:M6"/>
  </mergeCells>
  <conditionalFormatting sqref="L260 M105 L9:L45 L47:L257">
    <cfRule type="cellIs" priority="5" dxfId="0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59"/>
  <sheetViews>
    <sheetView tabSelected="1" zoomScale="55" zoomScaleNormal="55" zoomScalePageLayoutView="0" workbookViewId="0" topLeftCell="A206">
      <selection activeCell="B257" sqref="B153:B257"/>
    </sheetView>
  </sheetViews>
  <sheetFormatPr defaultColWidth="9.140625" defaultRowHeight="15"/>
  <cols>
    <col min="1" max="1" width="9.140625" style="338" customWidth="1"/>
    <col min="2" max="2" width="44.7109375" style="339" customWidth="1"/>
    <col min="3" max="3" width="23.140625" style="338" customWidth="1"/>
    <col min="4" max="5" width="23.140625" style="338" hidden="1" customWidth="1"/>
    <col min="6" max="6" width="22.00390625" style="342" customWidth="1"/>
    <col min="7" max="7" width="15.7109375" style="343" customWidth="1"/>
    <col min="8" max="8" width="11.00390625" style="343" customWidth="1"/>
    <col min="9" max="9" width="16.421875" style="338" customWidth="1"/>
    <col min="10" max="10" width="19.140625" style="338" customWidth="1"/>
    <col min="11" max="11" width="16.00390625" style="338" customWidth="1"/>
    <col min="12" max="13" width="14.00390625" style="338" customWidth="1"/>
    <col min="14" max="14" width="17.57421875" style="338" customWidth="1"/>
    <col min="15" max="15" width="2.00390625" style="147" customWidth="1"/>
    <col min="16" max="16" width="9.140625" style="338" customWidth="1"/>
    <col min="17" max="17" width="43.28125" style="339" customWidth="1"/>
    <col min="18" max="18" width="23.140625" style="338" customWidth="1"/>
    <col min="19" max="19" width="21.57421875" style="338" customWidth="1"/>
    <col min="20" max="20" width="19.00390625" style="338" customWidth="1"/>
    <col min="21" max="21" width="16.28125" style="343" customWidth="1"/>
    <col min="22" max="22" width="11.00390625" style="343" customWidth="1"/>
    <col min="23" max="23" width="16.421875" style="338" customWidth="1"/>
    <col min="24" max="24" width="19.140625" style="338" customWidth="1"/>
    <col min="25" max="25" width="16.00390625" style="338" customWidth="1"/>
    <col min="26" max="27" width="13.00390625" style="338" customWidth="1"/>
    <col min="28" max="28" width="18.8515625" style="338" customWidth="1"/>
    <col min="29" max="16384" width="9.140625" style="148" customWidth="1"/>
  </cols>
  <sheetData>
    <row r="1" spans="1:28" ht="20.25" customHeight="1" thickBot="1">
      <c r="A1" s="397" t="s">
        <v>308</v>
      </c>
      <c r="B1" s="422" t="s">
        <v>309</v>
      </c>
      <c r="C1" s="424" t="s">
        <v>307</v>
      </c>
      <c r="D1" s="412"/>
      <c r="E1" s="412"/>
      <c r="F1" s="412"/>
      <c r="G1" s="412"/>
      <c r="H1" s="412"/>
      <c r="I1" s="412"/>
      <c r="J1" s="412"/>
      <c r="K1" s="412"/>
      <c r="L1" s="412"/>
      <c r="M1" s="425"/>
      <c r="N1" s="426" t="s">
        <v>306</v>
      </c>
      <c r="P1" s="397" t="s">
        <v>308</v>
      </c>
      <c r="Q1" s="400" t="s">
        <v>309</v>
      </c>
      <c r="R1" s="403" t="s">
        <v>311</v>
      </c>
      <c r="S1" s="404"/>
      <c r="T1" s="404"/>
      <c r="U1" s="404"/>
      <c r="V1" s="404"/>
      <c r="W1" s="404"/>
      <c r="X1" s="404"/>
      <c r="Y1" s="404"/>
      <c r="Z1" s="404"/>
      <c r="AA1" s="405"/>
      <c r="AB1" s="406" t="s">
        <v>306</v>
      </c>
    </row>
    <row r="2" spans="1:28" ht="137.25" customHeight="1" thickBot="1">
      <c r="A2" s="398"/>
      <c r="B2" s="423"/>
      <c r="C2" s="429" t="s">
        <v>305</v>
      </c>
      <c r="D2" s="225" t="s">
        <v>286</v>
      </c>
      <c r="E2" s="226" t="s">
        <v>287</v>
      </c>
      <c r="F2" s="344" t="s">
        <v>297</v>
      </c>
      <c r="G2" s="424" t="s">
        <v>298</v>
      </c>
      <c r="H2" s="431"/>
      <c r="I2" s="413" t="s">
        <v>299</v>
      </c>
      <c r="J2" s="409" t="s">
        <v>300</v>
      </c>
      <c r="K2" s="415" t="s">
        <v>301</v>
      </c>
      <c r="L2" s="432" t="s">
        <v>302</v>
      </c>
      <c r="M2" s="433"/>
      <c r="N2" s="427"/>
      <c r="P2" s="398"/>
      <c r="Q2" s="401"/>
      <c r="R2" s="409" t="s">
        <v>305</v>
      </c>
      <c r="S2" s="409" t="s">
        <v>312</v>
      </c>
      <c r="T2" s="410" t="s">
        <v>313</v>
      </c>
      <c r="U2" s="411" t="s">
        <v>298</v>
      </c>
      <c r="V2" s="412"/>
      <c r="W2" s="413" t="s">
        <v>299</v>
      </c>
      <c r="X2" s="409" t="s">
        <v>300</v>
      </c>
      <c r="Y2" s="415" t="s">
        <v>301</v>
      </c>
      <c r="Z2" s="417" t="s">
        <v>302</v>
      </c>
      <c r="AA2" s="418"/>
      <c r="AB2" s="407"/>
    </row>
    <row r="3" spans="1:28" ht="20.25" thickBot="1">
      <c r="A3" s="399"/>
      <c r="B3" s="416"/>
      <c r="C3" s="430"/>
      <c r="D3" s="227"/>
      <c r="E3" s="228"/>
      <c r="F3" s="345" t="s">
        <v>303</v>
      </c>
      <c r="G3" s="346" t="s">
        <v>303</v>
      </c>
      <c r="H3" s="346" t="s">
        <v>304</v>
      </c>
      <c r="I3" s="414"/>
      <c r="J3" s="399"/>
      <c r="K3" s="416"/>
      <c r="L3" s="434"/>
      <c r="M3" s="435"/>
      <c r="N3" s="428"/>
      <c r="P3" s="399"/>
      <c r="Q3" s="402"/>
      <c r="R3" s="399"/>
      <c r="S3" s="399"/>
      <c r="T3" s="402"/>
      <c r="U3" s="347" t="s">
        <v>303</v>
      </c>
      <c r="V3" s="346" t="s">
        <v>304</v>
      </c>
      <c r="W3" s="414"/>
      <c r="X3" s="399"/>
      <c r="Y3" s="416"/>
      <c r="Z3" s="419"/>
      <c r="AA3" s="420"/>
      <c r="AB3" s="408"/>
    </row>
    <row r="4" spans="1:28" ht="20.25" thickBot="1">
      <c r="A4" s="229">
        <v>1</v>
      </c>
      <c r="B4" s="230">
        <v>2</v>
      </c>
      <c r="C4" s="231">
        <v>4</v>
      </c>
      <c r="D4" s="231"/>
      <c r="E4" s="231"/>
      <c r="F4" s="232">
        <v>5</v>
      </c>
      <c r="G4" s="233">
        <v>6</v>
      </c>
      <c r="H4" s="233">
        <v>7</v>
      </c>
      <c r="I4" s="233">
        <v>8</v>
      </c>
      <c r="J4" s="233">
        <v>9</v>
      </c>
      <c r="K4" s="233">
        <v>10</v>
      </c>
      <c r="L4" s="436">
        <v>11</v>
      </c>
      <c r="M4" s="436"/>
      <c r="N4" s="229">
        <v>12</v>
      </c>
      <c r="P4" s="229">
        <v>1</v>
      </c>
      <c r="Q4" s="233">
        <v>2</v>
      </c>
      <c r="R4" s="229">
        <v>3</v>
      </c>
      <c r="S4" s="233">
        <v>4</v>
      </c>
      <c r="T4" s="229">
        <v>5</v>
      </c>
      <c r="U4" s="229">
        <v>6</v>
      </c>
      <c r="V4" s="233">
        <v>7</v>
      </c>
      <c r="W4" s="229">
        <v>8</v>
      </c>
      <c r="X4" s="233">
        <v>9</v>
      </c>
      <c r="Y4" s="229">
        <v>10</v>
      </c>
      <c r="Z4" s="229">
        <v>11</v>
      </c>
      <c r="AA4" s="234">
        <v>12</v>
      </c>
      <c r="AB4" s="229">
        <v>13</v>
      </c>
    </row>
    <row r="5" spans="1:28" ht="20.25" thickBot="1">
      <c r="A5" s="235" t="s">
        <v>310</v>
      </c>
      <c r="B5" s="236"/>
      <c r="C5" s="236"/>
      <c r="D5" s="236"/>
      <c r="E5" s="236"/>
      <c r="F5" s="237"/>
      <c r="G5" s="236"/>
      <c r="H5" s="236"/>
      <c r="I5" s="236"/>
      <c r="J5" s="236"/>
      <c r="K5" s="236"/>
      <c r="L5" s="236"/>
      <c r="M5" s="236"/>
      <c r="N5" s="238"/>
      <c r="P5" s="235" t="s">
        <v>310</v>
      </c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8"/>
    </row>
    <row r="6" spans="1:28" ht="20.25" thickBot="1">
      <c r="A6" s="239">
        <v>1</v>
      </c>
      <c r="B6" s="4" t="s">
        <v>314</v>
      </c>
      <c r="C6" s="240">
        <f>МРСК!C9</f>
        <v>6.3</v>
      </c>
      <c r="D6" s="240">
        <f>МРСК!D9</f>
        <v>262</v>
      </c>
      <c r="E6" s="240">
        <f>МРСК!E9</f>
        <v>185</v>
      </c>
      <c r="F6" s="241">
        <f>МРСК!F9</f>
        <v>0.32073197533142844</v>
      </c>
      <c r="G6" s="240">
        <f>МРСК!G9</f>
        <v>1.457</v>
      </c>
      <c r="H6" s="240">
        <f>МРСК!H9</f>
        <v>45</v>
      </c>
      <c r="I6" s="240">
        <f>МРСК!I9</f>
        <v>1.457</v>
      </c>
      <c r="J6" s="240">
        <f>МРСК!J9</f>
        <v>0</v>
      </c>
      <c r="K6" s="240">
        <f>МРСК!K9</f>
        <v>1.457</v>
      </c>
      <c r="L6" s="242">
        <f>МРСК!L9</f>
        <v>1.1362680246685717</v>
      </c>
      <c r="M6" s="437">
        <f>MIN(L6:L8)</f>
        <v>0.20864676685113365</v>
      </c>
      <c r="N6" s="243"/>
      <c r="P6" s="239">
        <v>1</v>
      </c>
      <c r="Q6" s="4" t="s">
        <v>314</v>
      </c>
      <c r="R6" s="240">
        <f>'МРСК 2'!C9</f>
        <v>6.3</v>
      </c>
      <c r="S6" s="240">
        <f>'МРСК 2'!D9</f>
        <v>0</v>
      </c>
      <c r="T6" s="241">
        <f>'МРСК 2'!E9</f>
        <v>0.32073197533142844</v>
      </c>
      <c r="U6" s="244">
        <f>'МРСК 2'!F9</f>
        <v>1.457</v>
      </c>
      <c r="V6" s="245">
        <f>'МРСК 2'!G9</f>
        <v>45</v>
      </c>
      <c r="W6" s="246">
        <f>'МРСК 2'!H9</f>
        <v>-1.1362680246685717</v>
      </c>
      <c r="X6" s="246">
        <f>'МРСК 2'!I9</f>
        <v>0</v>
      </c>
      <c r="Y6" s="246">
        <f>'МРСК 2'!J9</f>
        <v>1.457</v>
      </c>
      <c r="Z6" s="247">
        <f>'МРСК 2'!K9</f>
        <v>1.1362680246685717</v>
      </c>
      <c r="AA6" s="421">
        <f>MIN(Z6:Z8)</f>
        <v>0.20864676685113365</v>
      </c>
      <c r="AB6" s="243"/>
    </row>
    <row r="7" spans="1:28" ht="20.25" thickBot="1">
      <c r="A7" s="248"/>
      <c r="B7" s="2" t="s">
        <v>315</v>
      </c>
      <c r="C7" s="249">
        <f>МРСК!C10</f>
        <v>6.3</v>
      </c>
      <c r="D7" s="249">
        <f>МРСК!D10</f>
        <v>6</v>
      </c>
      <c r="E7" s="249">
        <f>МРСК!E10</f>
        <v>48</v>
      </c>
      <c r="F7" s="244">
        <f>МРСК!F10</f>
        <v>0.048373546489791294</v>
      </c>
      <c r="G7" s="250">
        <f>МРСК!G10</f>
        <v>0.958</v>
      </c>
      <c r="H7" s="251">
        <f>МРСК!H10</f>
        <v>0</v>
      </c>
      <c r="I7" s="252">
        <f>МРСК!I10</f>
        <v>0.958</v>
      </c>
      <c r="J7" s="252">
        <f>МРСК!J10</f>
        <v>0</v>
      </c>
      <c r="K7" s="253">
        <f>МРСК!K10</f>
        <v>0.958</v>
      </c>
      <c r="L7" s="254">
        <f>МРСК!L10</f>
        <v>0.9096264535102087</v>
      </c>
      <c r="M7" s="395"/>
      <c r="N7" s="255"/>
      <c r="P7" s="248"/>
      <c r="Q7" s="2" t="s">
        <v>315</v>
      </c>
      <c r="R7" s="249">
        <f>'МРСК 2'!C10</f>
        <v>6.3</v>
      </c>
      <c r="S7" s="249">
        <f>'МРСК 2'!D10</f>
        <v>0</v>
      </c>
      <c r="T7" s="256">
        <f>'МРСК 2'!E10</f>
        <v>0.048373546489791294</v>
      </c>
      <c r="U7" s="250">
        <f>'МРСК 2'!F10</f>
        <v>0.958</v>
      </c>
      <c r="V7" s="251">
        <f>'МРСК 2'!G10</f>
        <v>0</v>
      </c>
      <c r="W7" s="252">
        <f>'МРСК 2'!H10</f>
        <v>-0.9096264535102087</v>
      </c>
      <c r="X7" s="252">
        <f>'МРСК 2'!I10</f>
        <v>0</v>
      </c>
      <c r="Y7" s="252">
        <f>'МРСК 2'!J10</f>
        <v>0.958</v>
      </c>
      <c r="Z7" s="254">
        <f>'МРСК 2'!K10</f>
        <v>0.9096264535102087</v>
      </c>
      <c r="AA7" s="392"/>
      <c r="AB7" s="255"/>
    </row>
    <row r="8" spans="1:28" ht="20.25" thickBot="1">
      <c r="A8" s="257"/>
      <c r="B8" s="73" t="s">
        <v>316</v>
      </c>
      <c r="C8" s="258">
        <f>МРСК!C11</f>
        <v>6.3</v>
      </c>
      <c r="D8" s="258">
        <f>МРСК!D11</f>
        <v>256</v>
      </c>
      <c r="E8" s="258">
        <f>МРСК!E11</f>
        <v>137</v>
      </c>
      <c r="F8" s="244">
        <f>МРСК!F11</f>
        <v>0.29035323314886646</v>
      </c>
      <c r="G8" s="259">
        <f>МРСК!G11</f>
        <v>0.4990000000000001</v>
      </c>
      <c r="H8" s="260">
        <f>МРСК!H11</f>
        <v>0</v>
      </c>
      <c r="I8" s="261">
        <f>МРСК!I11</f>
        <v>0.4990000000000001</v>
      </c>
      <c r="J8" s="261">
        <f>МРСК!J11</f>
        <v>0</v>
      </c>
      <c r="K8" s="262">
        <f>МРСК!K11</f>
        <v>0.4990000000000001</v>
      </c>
      <c r="L8" s="263">
        <f>МРСК!L11</f>
        <v>0.20864676685113365</v>
      </c>
      <c r="M8" s="396"/>
      <c r="N8" s="264"/>
      <c r="P8" s="257"/>
      <c r="Q8" s="73" t="s">
        <v>316</v>
      </c>
      <c r="R8" s="258">
        <f>'МРСК 2'!C11</f>
        <v>6.3</v>
      </c>
      <c r="S8" s="258">
        <f>'МРСК 2'!D11</f>
        <v>0</v>
      </c>
      <c r="T8" s="265">
        <f>'МРСК 2'!E11</f>
        <v>0.29035323314886646</v>
      </c>
      <c r="U8" s="259">
        <f>'МРСК 2'!F11</f>
        <v>0.4990000000000001</v>
      </c>
      <c r="V8" s="260">
        <f>'МРСК 2'!G11</f>
        <v>0</v>
      </c>
      <c r="W8" s="261">
        <f>'МРСК 2'!H11</f>
        <v>-0.20864676685113365</v>
      </c>
      <c r="X8" s="261">
        <f>'МРСК 2'!I11</f>
        <v>0</v>
      </c>
      <c r="Y8" s="261">
        <f>'МРСК 2'!J11</f>
        <v>0.4990000000000001</v>
      </c>
      <c r="Z8" s="263">
        <f>'МРСК 2'!K11</f>
        <v>0.20864676685113365</v>
      </c>
      <c r="AA8" s="393"/>
      <c r="AB8" s="264"/>
    </row>
    <row r="9" spans="1:28" ht="21" thickBot="1" thickTop="1">
      <c r="A9" s="266">
        <v>2</v>
      </c>
      <c r="B9" s="82" t="s">
        <v>317</v>
      </c>
      <c r="C9" s="267">
        <f>МРСК!C12</f>
        <v>6.3</v>
      </c>
      <c r="D9" s="267">
        <f>МРСК!D12</f>
        <v>349</v>
      </c>
      <c r="E9" s="267">
        <f>МРСК!E12</f>
        <v>215</v>
      </c>
      <c r="F9" s="244">
        <f>МРСК!F12</f>
        <v>0.40990974616371345</v>
      </c>
      <c r="G9" s="268">
        <f>МРСК!G12</f>
        <v>0.39</v>
      </c>
      <c r="H9" s="269">
        <f>МРСК!H12</f>
        <v>20</v>
      </c>
      <c r="I9" s="270">
        <f>МРСК!I12</f>
        <v>0.39</v>
      </c>
      <c r="J9" s="270">
        <f>МРСК!J12</f>
        <v>0</v>
      </c>
      <c r="K9" s="270">
        <f>МРСК!K12</f>
        <v>0.39</v>
      </c>
      <c r="L9" s="271">
        <f>МРСК!L12</f>
        <v>-0.019909746163713438</v>
      </c>
      <c r="M9" s="394">
        <f>MIN(L9:L11)</f>
        <v>-0.019909746163713438</v>
      </c>
      <c r="N9" s="272"/>
      <c r="P9" s="266">
        <v>2</v>
      </c>
      <c r="Q9" s="82" t="s">
        <v>317</v>
      </c>
      <c r="R9" s="267">
        <f>'МРСК 2'!C12</f>
        <v>6.3</v>
      </c>
      <c r="S9" s="267">
        <f>'МРСК 2'!D12</f>
        <v>0</v>
      </c>
      <c r="T9" s="273">
        <f>'МРСК 2'!E12</f>
        <v>0.40990974616371345</v>
      </c>
      <c r="U9" s="268">
        <f>'МРСК 2'!F12</f>
        <v>0.39</v>
      </c>
      <c r="V9" s="269">
        <f>'МРСК 2'!G12</f>
        <v>20</v>
      </c>
      <c r="W9" s="270">
        <f>'МРСК 2'!H12</f>
        <v>0.019909746163713438</v>
      </c>
      <c r="X9" s="270">
        <f>'МРСК 2'!I12</f>
        <v>0</v>
      </c>
      <c r="Y9" s="270">
        <f>'МРСК 2'!J12</f>
        <v>0.39</v>
      </c>
      <c r="Z9" s="271">
        <f>'МРСК 2'!K12</f>
        <v>-0.019909746163713438</v>
      </c>
      <c r="AA9" s="391">
        <f>MIN(Z9:Z11)</f>
        <v>-0.019909746163713438</v>
      </c>
      <c r="AB9" s="272"/>
    </row>
    <row r="10" spans="1:28" ht="20.25" thickBot="1">
      <c r="A10" s="248"/>
      <c r="B10" s="2" t="s">
        <v>315</v>
      </c>
      <c r="C10" s="249">
        <f>МРСК!C13</f>
        <v>6.3</v>
      </c>
      <c r="D10" s="249">
        <f>МРСК!D13</f>
        <v>0</v>
      </c>
      <c r="E10" s="249">
        <f>МРСК!E13</f>
        <v>0</v>
      </c>
      <c r="F10" s="244">
        <f>МРСК!F13</f>
        <v>0</v>
      </c>
      <c r="G10" s="250">
        <f>МРСК!G13</f>
        <v>0</v>
      </c>
      <c r="H10" s="251">
        <f>МРСК!H13</f>
        <v>0</v>
      </c>
      <c r="I10" s="252">
        <f>МРСК!I13</f>
        <v>0</v>
      </c>
      <c r="J10" s="252">
        <f>МРСК!J13</f>
        <v>0</v>
      </c>
      <c r="K10" s="253">
        <f>МРСК!K13</f>
        <v>0</v>
      </c>
      <c r="L10" s="254">
        <f>МРСК!L13</f>
        <v>0</v>
      </c>
      <c r="M10" s="395"/>
      <c r="N10" s="255"/>
      <c r="P10" s="248"/>
      <c r="Q10" s="2" t="s">
        <v>315</v>
      </c>
      <c r="R10" s="249">
        <f>'МРСК 2'!C13</f>
        <v>6.3</v>
      </c>
      <c r="S10" s="249">
        <f>'МРСК 2'!D13</f>
        <v>0</v>
      </c>
      <c r="T10" s="256">
        <f>'МРСК 2'!E13</f>
        <v>0</v>
      </c>
      <c r="U10" s="250">
        <f>'МРСК 2'!F13</f>
        <v>0</v>
      </c>
      <c r="V10" s="251">
        <f>'МРСК 2'!G13</f>
        <v>0</v>
      </c>
      <c r="W10" s="252">
        <f>'МРСК 2'!H13</f>
        <v>0</v>
      </c>
      <c r="X10" s="252">
        <f>'МРСК 2'!I13</f>
        <v>0</v>
      </c>
      <c r="Y10" s="252">
        <f>'МРСК 2'!J13</f>
        <v>0</v>
      </c>
      <c r="Z10" s="254">
        <f>'МРСК 2'!K13</f>
        <v>0</v>
      </c>
      <c r="AA10" s="392"/>
      <c r="AB10" s="255"/>
    </row>
    <row r="11" spans="1:28" ht="20.25" thickBot="1">
      <c r="A11" s="257"/>
      <c r="B11" s="73" t="s">
        <v>316</v>
      </c>
      <c r="C11" s="258">
        <f>МРСК!C14</f>
        <v>6.3</v>
      </c>
      <c r="D11" s="258">
        <f>МРСК!D14</f>
        <v>349</v>
      </c>
      <c r="E11" s="258">
        <f>МРСК!E14</f>
        <v>215</v>
      </c>
      <c r="F11" s="244">
        <f>МРСК!F14</f>
        <v>0.40990974616371345</v>
      </c>
      <c r="G11" s="259">
        <f>МРСК!G14</f>
        <v>0.39</v>
      </c>
      <c r="H11" s="260">
        <f>МРСК!H14</f>
        <v>0</v>
      </c>
      <c r="I11" s="261">
        <f>МРСК!I14</f>
        <v>0.39</v>
      </c>
      <c r="J11" s="261">
        <f>МРСК!J14</f>
        <v>0</v>
      </c>
      <c r="K11" s="262">
        <f>МРСК!K14</f>
        <v>0.39</v>
      </c>
      <c r="L11" s="263">
        <f>МРСК!L14</f>
        <v>-0.019909746163713438</v>
      </c>
      <c r="M11" s="396"/>
      <c r="N11" s="264"/>
      <c r="P11" s="257"/>
      <c r="Q11" s="73" t="s">
        <v>316</v>
      </c>
      <c r="R11" s="258">
        <f>'МРСК 2'!C14</f>
        <v>6.3</v>
      </c>
      <c r="S11" s="258">
        <f>'МРСК 2'!D14</f>
        <v>0</v>
      </c>
      <c r="T11" s="265">
        <f>'МРСК 2'!E14</f>
        <v>0.40990974616371345</v>
      </c>
      <c r="U11" s="259">
        <f>'МРСК 2'!F14</f>
        <v>0.39</v>
      </c>
      <c r="V11" s="260">
        <f>'МРСК 2'!G14</f>
        <v>0</v>
      </c>
      <c r="W11" s="261">
        <f>'МРСК 2'!H14</f>
        <v>0.019909746163713438</v>
      </c>
      <c r="X11" s="261">
        <f>'МРСК 2'!I14</f>
        <v>0</v>
      </c>
      <c r="Y11" s="261">
        <f>'МРСК 2'!J14</f>
        <v>0.39</v>
      </c>
      <c r="Z11" s="263">
        <f>'МРСК 2'!K14</f>
        <v>-0.019909746163713438</v>
      </c>
      <c r="AA11" s="393"/>
      <c r="AB11" s="264"/>
    </row>
    <row r="12" spans="1:28" ht="21" thickBot="1" thickTop="1">
      <c r="A12" s="266">
        <v>3</v>
      </c>
      <c r="B12" s="82" t="s">
        <v>318</v>
      </c>
      <c r="C12" s="274">
        <f>МРСК!C15</f>
        <v>16</v>
      </c>
      <c r="D12" s="274">
        <f>МРСК!D15</f>
        <v>13836</v>
      </c>
      <c r="E12" s="274">
        <f>МРСК!E15</f>
        <v>4805</v>
      </c>
      <c r="F12" s="244">
        <f>МРСК!F15</f>
        <v>14.646601005011368</v>
      </c>
      <c r="G12" s="275">
        <f>МРСК!G15</f>
        <v>11.607</v>
      </c>
      <c r="H12" s="276">
        <f>МРСК!H15</f>
        <v>120</v>
      </c>
      <c r="I12" s="253">
        <f>МРСК!I15</f>
        <v>11.607</v>
      </c>
      <c r="J12" s="253">
        <f>МРСК!J15</f>
        <v>0</v>
      </c>
      <c r="K12" s="253">
        <f>МРСК!K15</f>
        <v>11.607</v>
      </c>
      <c r="L12" s="277">
        <f>МРСК!L15</f>
        <v>-3.0396010050113684</v>
      </c>
      <c r="M12" s="438">
        <f>MIN(L12:L14)</f>
        <v>-3.0396010050113684</v>
      </c>
      <c r="N12" s="278"/>
      <c r="P12" s="266">
        <v>3</v>
      </c>
      <c r="Q12" s="82" t="s">
        <v>318</v>
      </c>
      <c r="R12" s="267">
        <f>'МРСК 2'!C15</f>
        <v>16</v>
      </c>
      <c r="S12" s="267">
        <f>'МРСК 2'!D15</f>
        <v>0.1</v>
      </c>
      <c r="T12" s="273">
        <f>'МРСК 2'!E15</f>
        <v>14.746601005011367</v>
      </c>
      <c r="U12" s="268">
        <f>'МРСК 2'!F15</f>
        <v>11.607</v>
      </c>
      <c r="V12" s="269">
        <f>'МРСК 2'!G15</f>
        <v>120</v>
      </c>
      <c r="W12" s="270">
        <f>'МРСК 2'!H15</f>
        <v>3.139601005011368</v>
      </c>
      <c r="X12" s="270">
        <f>'МРСК 2'!I15</f>
        <v>0</v>
      </c>
      <c r="Y12" s="270">
        <f>'МРСК 2'!J15</f>
        <v>11.607</v>
      </c>
      <c r="Z12" s="271">
        <f>'МРСК 2'!K15</f>
        <v>-3.139601005011368</v>
      </c>
      <c r="AA12" s="391">
        <f>MIN(Z12:Z14)</f>
        <v>-3.139601005011368</v>
      </c>
      <c r="AB12" s="272"/>
    </row>
    <row r="13" spans="1:28" ht="20.25" thickBot="1">
      <c r="A13" s="248"/>
      <c r="B13" s="2" t="s">
        <v>315</v>
      </c>
      <c r="C13" s="249">
        <f>МРСК!C16</f>
        <v>16</v>
      </c>
      <c r="D13" s="249">
        <f>МРСК!D16</f>
        <v>8659</v>
      </c>
      <c r="E13" s="249">
        <f>МРСК!E16</f>
        <v>2940</v>
      </c>
      <c r="F13" s="244">
        <f>МРСК!F16</f>
        <v>9.144500041008255</v>
      </c>
      <c r="G13" s="250">
        <f>МРСК!G16</f>
        <v>8.606</v>
      </c>
      <c r="H13" s="251">
        <f>МРСК!H16</f>
        <v>0</v>
      </c>
      <c r="I13" s="252">
        <f>МРСК!I16</f>
        <v>8.606</v>
      </c>
      <c r="J13" s="252">
        <f>МРСК!J16</f>
        <v>0</v>
      </c>
      <c r="K13" s="253">
        <f>МРСК!K16</f>
        <v>8.606</v>
      </c>
      <c r="L13" s="254">
        <f>МРСК!L16</f>
        <v>-0.5385000410082554</v>
      </c>
      <c r="M13" s="395"/>
      <c r="N13" s="255"/>
      <c r="P13" s="248"/>
      <c r="Q13" s="2" t="s">
        <v>315</v>
      </c>
      <c r="R13" s="249">
        <f>'МРСК 2'!C16</f>
        <v>16</v>
      </c>
      <c r="S13" s="249">
        <f>'МРСК 2'!D16</f>
        <v>0</v>
      </c>
      <c r="T13" s="256">
        <f>'МРСК 2'!E16</f>
        <v>9.144500041008255</v>
      </c>
      <c r="U13" s="250">
        <f>'МРСК 2'!F16</f>
        <v>8.606</v>
      </c>
      <c r="V13" s="251">
        <f>'МРСК 2'!G16</f>
        <v>0</v>
      </c>
      <c r="W13" s="252">
        <f>'МРСК 2'!H16</f>
        <v>0.5385000410082554</v>
      </c>
      <c r="X13" s="252">
        <f>'МРСК 2'!I16</f>
        <v>0</v>
      </c>
      <c r="Y13" s="252">
        <f>'МРСК 2'!J16</f>
        <v>8.606</v>
      </c>
      <c r="Z13" s="254">
        <f>'МРСК 2'!K16</f>
        <v>-0.5385000410082554</v>
      </c>
      <c r="AA13" s="392"/>
      <c r="AB13" s="255"/>
    </row>
    <row r="14" spans="1:28" ht="20.25" thickBot="1">
      <c r="A14" s="257"/>
      <c r="B14" s="73" t="s">
        <v>316</v>
      </c>
      <c r="C14" s="279">
        <f>МРСК!C17</f>
        <v>16</v>
      </c>
      <c r="D14" s="279">
        <f>МРСК!D17</f>
        <v>5177</v>
      </c>
      <c r="E14" s="279">
        <f>МРСК!E17</f>
        <v>1865</v>
      </c>
      <c r="F14" s="244">
        <f>МРСК!F17</f>
        <v>5.502686071365511</v>
      </c>
      <c r="G14" s="280">
        <f>МРСК!G17</f>
        <v>3.0009999999999994</v>
      </c>
      <c r="H14" s="281">
        <f>МРСК!H17</f>
        <v>0</v>
      </c>
      <c r="I14" s="282">
        <f>МРСК!I17</f>
        <v>3.0009999999999994</v>
      </c>
      <c r="J14" s="282">
        <f>МРСК!J17</f>
        <v>0</v>
      </c>
      <c r="K14" s="283">
        <f>МРСК!K17</f>
        <v>3.0009999999999994</v>
      </c>
      <c r="L14" s="284">
        <f>МРСК!L17</f>
        <v>-2.501686071365511</v>
      </c>
      <c r="M14" s="439"/>
      <c r="N14" s="285"/>
      <c r="P14" s="257"/>
      <c r="Q14" s="73" t="s">
        <v>316</v>
      </c>
      <c r="R14" s="258">
        <f>'МРСК 2'!C17</f>
        <v>16</v>
      </c>
      <c r="S14" s="258">
        <f>'МРСК 2'!D17</f>
        <v>0.1</v>
      </c>
      <c r="T14" s="265">
        <f>'МРСК 2'!E17</f>
        <v>5.60268607136551</v>
      </c>
      <c r="U14" s="259">
        <f>'МРСК 2'!F17</f>
        <v>3.0009999999999994</v>
      </c>
      <c r="V14" s="260">
        <f>'МРСК 2'!G17</f>
        <v>0</v>
      </c>
      <c r="W14" s="261">
        <f>'МРСК 2'!H17</f>
        <v>2.6016860713655108</v>
      </c>
      <c r="X14" s="261">
        <f>'МРСК 2'!I17</f>
        <v>0</v>
      </c>
      <c r="Y14" s="261">
        <f>'МРСК 2'!J17</f>
        <v>3.0009999999999994</v>
      </c>
      <c r="Z14" s="263">
        <f>'МРСК 2'!K17</f>
        <v>-2.6016860713655108</v>
      </c>
      <c r="AA14" s="393"/>
      <c r="AB14" s="264"/>
    </row>
    <row r="15" spans="1:28" ht="21" thickBot="1" thickTop="1">
      <c r="A15" s="266">
        <v>4</v>
      </c>
      <c r="B15" s="82" t="s">
        <v>319</v>
      </c>
      <c r="C15" s="240">
        <f>МРСК!C18</f>
        <v>16</v>
      </c>
      <c r="D15" s="240">
        <f>МРСК!D18</f>
        <v>2189</v>
      </c>
      <c r="E15" s="240">
        <f>МРСК!E18</f>
        <v>988</v>
      </c>
      <c r="F15" s="244">
        <f>МРСК!F18</f>
        <v>2.4016379827109664</v>
      </c>
      <c r="G15" s="244">
        <f>МРСК!G18</f>
        <v>3.44</v>
      </c>
      <c r="H15" s="245">
        <f>МРСК!H18</f>
        <v>120</v>
      </c>
      <c r="I15" s="246">
        <f>МРСК!I18</f>
        <v>3.44</v>
      </c>
      <c r="J15" s="246">
        <f>МРСК!J18</f>
        <v>0</v>
      </c>
      <c r="K15" s="246">
        <f>МРСК!K18</f>
        <v>3.44</v>
      </c>
      <c r="L15" s="247">
        <f>МРСК!L18</f>
        <v>1.0383620172890335</v>
      </c>
      <c r="M15" s="437">
        <f>MIN(L15:L17)</f>
        <v>1.0383620172890335</v>
      </c>
      <c r="N15" s="243"/>
      <c r="P15" s="266">
        <v>4</v>
      </c>
      <c r="Q15" s="82" t="s">
        <v>319</v>
      </c>
      <c r="R15" s="267">
        <f>'МРСК 2'!C18</f>
        <v>16</v>
      </c>
      <c r="S15" s="267">
        <f>'МРСК 2'!D18</f>
        <v>0.1</v>
      </c>
      <c r="T15" s="273">
        <f>'МРСК 2'!E18</f>
        <v>2.5016379827109665</v>
      </c>
      <c r="U15" s="268">
        <f>'МРСК 2'!F18</f>
        <v>3.44</v>
      </c>
      <c r="V15" s="269">
        <f>'МРСК 2'!G18</f>
        <v>120</v>
      </c>
      <c r="W15" s="270">
        <f>'МРСК 2'!H18</f>
        <v>-0.9383620172890335</v>
      </c>
      <c r="X15" s="270">
        <f>'МРСК 2'!I18</f>
        <v>0</v>
      </c>
      <c r="Y15" s="270">
        <f>'МРСК 2'!J18</f>
        <v>3.44</v>
      </c>
      <c r="Z15" s="271">
        <f>'МРСК 2'!K18</f>
        <v>0.9383620172890335</v>
      </c>
      <c r="AA15" s="391">
        <f>MIN(Z15:Z17)</f>
        <v>0.9383620172890335</v>
      </c>
      <c r="AB15" s="272"/>
    </row>
    <row r="16" spans="1:28" ht="20.25" thickBot="1">
      <c r="A16" s="248"/>
      <c r="B16" s="2" t="s">
        <v>315</v>
      </c>
      <c r="C16" s="249">
        <f>МРСК!C19</f>
        <v>16</v>
      </c>
      <c r="D16" s="249">
        <f>МРСК!D19</f>
        <v>2</v>
      </c>
      <c r="E16" s="249">
        <f>МРСК!E19</f>
        <v>34</v>
      </c>
      <c r="F16" s="244">
        <f>МРСК!F19</f>
        <v>0.03405877273185281</v>
      </c>
      <c r="G16" s="250">
        <f>МРСК!G19</f>
        <v>4</v>
      </c>
      <c r="H16" s="251">
        <f>МРСК!H19</f>
        <v>0</v>
      </c>
      <c r="I16" s="252">
        <f>МРСК!I19</f>
        <v>4</v>
      </c>
      <c r="J16" s="252">
        <f>МРСК!J19</f>
        <v>0</v>
      </c>
      <c r="K16" s="253">
        <f>МРСК!K19</f>
        <v>4</v>
      </c>
      <c r="L16" s="254">
        <f>МРСК!L19</f>
        <v>3.9659412272681474</v>
      </c>
      <c r="M16" s="395"/>
      <c r="N16" s="255"/>
      <c r="P16" s="248"/>
      <c r="Q16" s="2" t="s">
        <v>315</v>
      </c>
      <c r="R16" s="249">
        <f>'МРСК 2'!C19</f>
        <v>16</v>
      </c>
      <c r="S16" s="249">
        <f>'МРСК 2'!D19</f>
        <v>0</v>
      </c>
      <c r="T16" s="256">
        <f>'МРСК 2'!E19</f>
        <v>0.03405877273185281</v>
      </c>
      <c r="U16" s="250">
        <f>'МРСК 2'!F19</f>
        <v>4</v>
      </c>
      <c r="V16" s="251">
        <f>'МРСК 2'!G19</f>
        <v>0</v>
      </c>
      <c r="W16" s="252">
        <f>'МРСК 2'!H19</f>
        <v>-3.9659412272681474</v>
      </c>
      <c r="X16" s="252">
        <f>'МРСК 2'!I19</f>
        <v>0</v>
      </c>
      <c r="Y16" s="252">
        <f>'МРСК 2'!J19</f>
        <v>4</v>
      </c>
      <c r="Z16" s="254">
        <f>'МРСК 2'!K19</f>
        <v>3.9659412272681474</v>
      </c>
      <c r="AA16" s="392"/>
      <c r="AB16" s="255"/>
    </row>
    <row r="17" spans="1:28" ht="20.25" thickBot="1">
      <c r="A17" s="257"/>
      <c r="B17" s="73" t="s">
        <v>316</v>
      </c>
      <c r="C17" s="279">
        <f>МРСК!C20</f>
        <v>16</v>
      </c>
      <c r="D17" s="279">
        <f>МРСК!D20</f>
        <v>2187</v>
      </c>
      <c r="E17" s="279">
        <f>МРСК!E20</f>
        <v>954</v>
      </c>
      <c r="F17" s="244">
        <f>МРСК!F20</f>
        <v>2.3860186503881313</v>
      </c>
      <c r="G17" s="280">
        <f>МРСК!G20</f>
        <v>3.44</v>
      </c>
      <c r="H17" s="281">
        <f>МРСК!H20</f>
        <v>0</v>
      </c>
      <c r="I17" s="282">
        <f>МРСК!I20</f>
        <v>3.44</v>
      </c>
      <c r="J17" s="282">
        <f>МРСК!J20</f>
        <v>0</v>
      </c>
      <c r="K17" s="283">
        <f>МРСК!K20</f>
        <v>3.44</v>
      </c>
      <c r="L17" s="284">
        <f>МРСК!L20</f>
        <v>1.0539813496118686</v>
      </c>
      <c r="M17" s="439"/>
      <c r="N17" s="285"/>
      <c r="P17" s="257"/>
      <c r="Q17" s="73" t="s">
        <v>316</v>
      </c>
      <c r="R17" s="258">
        <f>'МРСК 2'!C20</f>
        <v>16</v>
      </c>
      <c r="S17" s="258">
        <f>'МРСК 2'!D20</f>
        <v>0.1</v>
      </c>
      <c r="T17" s="265">
        <f>'МРСК 2'!E20</f>
        <v>2.4860186503881314</v>
      </c>
      <c r="U17" s="259">
        <f>'МРСК 2'!F20</f>
        <v>3.44</v>
      </c>
      <c r="V17" s="260">
        <f>'МРСК 2'!G20</f>
        <v>0</v>
      </c>
      <c r="W17" s="261">
        <f>'МРСК 2'!H20</f>
        <v>-0.9539813496118685</v>
      </c>
      <c r="X17" s="261">
        <f>'МРСК 2'!I20</f>
        <v>0</v>
      </c>
      <c r="Y17" s="261">
        <f>'МРСК 2'!J20</f>
        <v>3.44</v>
      </c>
      <c r="Z17" s="263">
        <f>'МРСК 2'!K20</f>
        <v>0.9539813496118685</v>
      </c>
      <c r="AA17" s="393"/>
      <c r="AB17" s="264"/>
    </row>
    <row r="18" spans="1:28" ht="21" thickBot="1" thickTop="1">
      <c r="A18" s="266">
        <v>5</v>
      </c>
      <c r="B18" s="82" t="s">
        <v>320</v>
      </c>
      <c r="C18" s="267">
        <f>МРСК!C21</f>
        <v>10</v>
      </c>
      <c r="D18" s="267">
        <f>МРСК!D21</f>
        <v>966</v>
      </c>
      <c r="E18" s="267">
        <f>МРСК!E21</f>
        <v>389</v>
      </c>
      <c r="F18" s="244">
        <f>МРСК!F21</f>
        <v>1.0413822545060003</v>
      </c>
      <c r="G18" s="268">
        <f>МРСК!G21</f>
        <v>1.78</v>
      </c>
      <c r="H18" s="269">
        <f>МРСК!H21</f>
        <v>45</v>
      </c>
      <c r="I18" s="270">
        <f>МРСК!I21</f>
        <v>1.78</v>
      </c>
      <c r="J18" s="270">
        <f>МРСК!J21</f>
        <v>0</v>
      </c>
      <c r="K18" s="270">
        <f>МРСК!K21</f>
        <v>1.78</v>
      </c>
      <c r="L18" s="271">
        <f>МРСК!L21</f>
        <v>0.7386177454939997</v>
      </c>
      <c r="M18" s="394">
        <f>MIN(L18:L20)</f>
        <v>0</v>
      </c>
      <c r="N18" s="272"/>
      <c r="P18" s="266">
        <v>5</v>
      </c>
      <c r="Q18" s="82" t="s">
        <v>320</v>
      </c>
      <c r="R18" s="267">
        <f>'МРСК 2'!C21</f>
        <v>10</v>
      </c>
      <c r="S18" s="267">
        <f>'МРСК 2'!D21</f>
        <v>0.3</v>
      </c>
      <c r="T18" s="273">
        <f>'МРСК 2'!E21</f>
        <v>1.3413822545060003</v>
      </c>
      <c r="U18" s="268">
        <f>'МРСК 2'!F21</f>
        <v>1.78</v>
      </c>
      <c r="V18" s="269">
        <f>'МРСК 2'!G21</f>
        <v>45</v>
      </c>
      <c r="W18" s="270">
        <f>'МРСК 2'!H21</f>
        <v>-0.4386177454939997</v>
      </c>
      <c r="X18" s="270">
        <f>'МРСК 2'!I21</f>
        <v>0</v>
      </c>
      <c r="Y18" s="270">
        <f>'МРСК 2'!J21</f>
        <v>1.78</v>
      </c>
      <c r="Z18" s="271">
        <f>'МРСК 2'!K21</f>
        <v>0.4386177454939997</v>
      </c>
      <c r="AA18" s="391">
        <f>MIN(Z18:Z20)</f>
        <v>0</v>
      </c>
      <c r="AB18" s="272"/>
    </row>
    <row r="19" spans="1:28" ht="20.25" thickBot="1">
      <c r="A19" s="248"/>
      <c r="B19" s="2" t="s">
        <v>315</v>
      </c>
      <c r="C19" s="249">
        <f>МРСК!C22</f>
        <v>10</v>
      </c>
      <c r="D19" s="249">
        <f>МРСК!D22</f>
        <v>0</v>
      </c>
      <c r="E19" s="249">
        <f>МРСК!E22</f>
        <v>0</v>
      </c>
      <c r="F19" s="244">
        <f>МРСК!F22</f>
        <v>0</v>
      </c>
      <c r="G19" s="250">
        <f>МРСК!G22</f>
        <v>0</v>
      </c>
      <c r="H19" s="251">
        <f>МРСК!H22</f>
        <v>0</v>
      </c>
      <c r="I19" s="252">
        <f>МРСК!I22</f>
        <v>0</v>
      </c>
      <c r="J19" s="252">
        <f>МРСК!J22</f>
        <v>0</v>
      </c>
      <c r="K19" s="253">
        <f>МРСК!K22</f>
        <v>0</v>
      </c>
      <c r="L19" s="254">
        <f>МРСК!L22</f>
        <v>0</v>
      </c>
      <c r="M19" s="395"/>
      <c r="N19" s="255"/>
      <c r="P19" s="248"/>
      <c r="Q19" s="2" t="s">
        <v>315</v>
      </c>
      <c r="R19" s="249">
        <f>'МРСК 2'!C22</f>
        <v>10</v>
      </c>
      <c r="S19" s="249">
        <f>'МРСК 2'!D22</f>
        <v>0</v>
      </c>
      <c r="T19" s="256">
        <f>'МРСК 2'!E22</f>
        <v>0</v>
      </c>
      <c r="U19" s="250">
        <f>'МРСК 2'!F22</f>
        <v>0</v>
      </c>
      <c r="V19" s="251">
        <f>'МРСК 2'!G22</f>
        <v>0</v>
      </c>
      <c r="W19" s="252">
        <f>'МРСК 2'!H22</f>
        <v>0</v>
      </c>
      <c r="X19" s="252">
        <f>'МРСК 2'!I22</f>
        <v>0</v>
      </c>
      <c r="Y19" s="252">
        <f>'МРСК 2'!J22</f>
        <v>0</v>
      </c>
      <c r="Z19" s="254">
        <f>'МРСК 2'!K22</f>
        <v>0</v>
      </c>
      <c r="AA19" s="392"/>
      <c r="AB19" s="255"/>
    </row>
    <row r="20" spans="1:28" ht="20.25" thickBot="1">
      <c r="A20" s="257"/>
      <c r="B20" s="73" t="s">
        <v>321</v>
      </c>
      <c r="C20" s="258">
        <f>МРСК!C23</f>
        <v>10</v>
      </c>
      <c r="D20" s="258">
        <f>МРСК!D23</f>
        <v>966</v>
      </c>
      <c r="E20" s="258">
        <f>МРСК!E23</f>
        <v>389</v>
      </c>
      <c r="F20" s="244">
        <f>МРСК!F23</f>
        <v>1.0413822545060003</v>
      </c>
      <c r="G20" s="259">
        <f>МРСК!G23</f>
        <v>1.78</v>
      </c>
      <c r="H20" s="260">
        <f>МРСК!H23</f>
        <v>0</v>
      </c>
      <c r="I20" s="261">
        <f>МРСК!I23</f>
        <v>1.78</v>
      </c>
      <c r="J20" s="261">
        <f>МРСК!J23</f>
        <v>0</v>
      </c>
      <c r="K20" s="262">
        <f>МРСК!K23</f>
        <v>1.78</v>
      </c>
      <c r="L20" s="263">
        <f>МРСК!L23</f>
        <v>0.7386177454939997</v>
      </c>
      <c r="M20" s="396"/>
      <c r="N20" s="264"/>
      <c r="P20" s="257"/>
      <c r="Q20" s="73" t="s">
        <v>321</v>
      </c>
      <c r="R20" s="258">
        <f>'МРСК 2'!C23</f>
        <v>10</v>
      </c>
      <c r="S20" s="258">
        <f>'МРСК 2'!D23</f>
        <v>0.3</v>
      </c>
      <c r="T20" s="265">
        <f>'МРСК 2'!E23</f>
        <v>1.3413822545060003</v>
      </c>
      <c r="U20" s="259">
        <f>'МРСК 2'!F23</f>
        <v>1.78</v>
      </c>
      <c r="V20" s="260">
        <f>'МРСК 2'!G23</f>
        <v>0</v>
      </c>
      <c r="W20" s="261">
        <f>'МРСК 2'!H23</f>
        <v>-0.4386177454939997</v>
      </c>
      <c r="X20" s="261">
        <f>'МРСК 2'!I23</f>
        <v>0</v>
      </c>
      <c r="Y20" s="261">
        <f>'МРСК 2'!J23</f>
        <v>1.78</v>
      </c>
      <c r="Z20" s="263">
        <f>'МРСК 2'!K23</f>
        <v>0.4386177454939997</v>
      </c>
      <c r="AA20" s="393"/>
      <c r="AB20" s="264"/>
    </row>
    <row r="21" spans="1:28" ht="21" thickBot="1" thickTop="1">
      <c r="A21" s="248">
        <v>6</v>
      </c>
      <c r="B21" s="2" t="s">
        <v>322</v>
      </c>
      <c r="C21" s="251">
        <f>МРСК!C24</f>
        <v>1.6</v>
      </c>
      <c r="D21" s="251">
        <f>МРСК!D24</f>
        <v>784</v>
      </c>
      <c r="E21" s="251">
        <f>МРСК!E24</f>
        <v>288</v>
      </c>
      <c r="F21" s="244">
        <f>МРСК!F24</f>
        <v>0.8352245207128439</v>
      </c>
      <c r="G21" s="252">
        <f>МРСК!G24</f>
        <v>0.6464</v>
      </c>
      <c r="H21" s="286">
        <f>МРСК!H24</f>
        <v>45</v>
      </c>
      <c r="I21" s="252">
        <f>МРСК!I24</f>
        <v>0.6464</v>
      </c>
      <c r="J21" s="252">
        <f>МРСК!J24</f>
        <v>0</v>
      </c>
      <c r="K21" s="253">
        <f>МРСК!K24</f>
        <v>0.6464</v>
      </c>
      <c r="L21" s="254">
        <f>МРСК!L24</f>
        <v>-0.18882452071284395</v>
      </c>
      <c r="M21" s="254">
        <f>L21</f>
        <v>-0.18882452071284395</v>
      </c>
      <c r="N21" s="255"/>
      <c r="P21" s="248">
        <v>6</v>
      </c>
      <c r="Q21" s="2" t="s">
        <v>322</v>
      </c>
      <c r="R21" s="249">
        <f>'МРСК 2'!C24</f>
        <v>1.6</v>
      </c>
      <c r="S21" s="249">
        <f>'МРСК 2'!D24</f>
        <v>0.33</v>
      </c>
      <c r="T21" s="256">
        <f>'МРСК 2'!E24</f>
        <v>1.165224520712844</v>
      </c>
      <c r="U21" s="252">
        <f>'МРСК 2'!F24</f>
        <v>0.6464</v>
      </c>
      <c r="V21" s="286">
        <f>'МРСК 2'!G24</f>
        <v>45</v>
      </c>
      <c r="W21" s="252">
        <f>'МРСК 2'!H24</f>
        <v>0.518824520712844</v>
      </c>
      <c r="X21" s="252">
        <f>'МРСК 2'!I24</f>
        <v>0</v>
      </c>
      <c r="Y21" s="252">
        <f>'МРСК 2'!J24</f>
        <v>0.6464</v>
      </c>
      <c r="Z21" s="254">
        <f>'МРСК 2'!K24</f>
        <v>-0.518824520712844</v>
      </c>
      <c r="AA21" s="254">
        <f>Z21</f>
        <v>-0.518824520712844</v>
      </c>
      <c r="AB21" s="255"/>
    </row>
    <row r="22" spans="1:28" ht="20.25" thickBot="1">
      <c r="A22" s="248">
        <v>7</v>
      </c>
      <c r="B22" s="2" t="s">
        <v>323</v>
      </c>
      <c r="C22" s="251">
        <f>МРСК!C25</f>
        <v>1.6</v>
      </c>
      <c r="D22" s="251">
        <f>МРСК!D25</f>
        <v>776</v>
      </c>
      <c r="E22" s="251">
        <f>МРСК!E25</f>
        <v>224</v>
      </c>
      <c r="F22" s="244">
        <f>МРСК!F25</f>
        <v>0.8076831061746927</v>
      </c>
      <c r="G22" s="252">
        <f>МРСК!G25</f>
        <v>0.6835</v>
      </c>
      <c r="H22" s="286">
        <f>МРСК!H25</f>
        <v>45</v>
      </c>
      <c r="I22" s="252">
        <f>МРСК!I25</f>
        <v>0.6835</v>
      </c>
      <c r="J22" s="252">
        <f>МРСК!J25</f>
        <v>0</v>
      </c>
      <c r="K22" s="253">
        <f>МРСК!K25</f>
        <v>0.6835</v>
      </c>
      <c r="L22" s="254">
        <f>МРСК!L25</f>
        <v>-0.12418310617469275</v>
      </c>
      <c r="M22" s="254">
        <f aca="true" t="shared" si="0" ref="M22:M42">L22</f>
        <v>-0.12418310617469275</v>
      </c>
      <c r="N22" s="255"/>
      <c r="P22" s="248">
        <v>7</v>
      </c>
      <c r="Q22" s="2" t="s">
        <v>323</v>
      </c>
      <c r="R22" s="249">
        <f>'МРСК 2'!C25</f>
        <v>1.6</v>
      </c>
      <c r="S22" s="249">
        <f>'МРСК 2'!D25</f>
        <v>0</v>
      </c>
      <c r="T22" s="256">
        <f>'МРСК 2'!E25</f>
        <v>0.8076831061746927</v>
      </c>
      <c r="U22" s="252">
        <f>'МРСК 2'!F25</f>
        <v>0.6835</v>
      </c>
      <c r="V22" s="286">
        <f>'МРСК 2'!G25</f>
        <v>45</v>
      </c>
      <c r="W22" s="252">
        <f>'МРСК 2'!H25</f>
        <v>0.12418310617469275</v>
      </c>
      <c r="X22" s="252">
        <f>'МРСК 2'!I25</f>
        <v>0</v>
      </c>
      <c r="Y22" s="252">
        <f>'МРСК 2'!J25</f>
        <v>0.6835</v>
      </c>
      <c r="Z22" s="254">
        <f>'МРСК 2'!K25</f>
        <v>-0.12418310617469275</v>
      </c>
      <c r="AA22" s="254">
        <f aca="true" t="shared" si="1" ref="AA22:AA42">Z22</f>
        <v>-0.12418310617469275</v>
      </c>
      <c r="AB22" s="255"/>
    </row>
    <row r="23" spans="1:28" ht="20.25" thickBot="1">
      <c r="A23" s="248">
        <v>8</v>
      </c>
      <c r="B23" s="2" t="s">
        <v>324</v>
      </c>
      <c r="C23" s="251">
        <f>МРСК!C26</f>
        <v>1.6</v>
      </c>
      <c r="D23" s="251">
        <f>МРСК!D26</f>
        <v>780</v>
      </c>
      <c r="E23" s="251">
        <f>МРСК!E26</f>
        <v>360</v>
      </c>
      <c r="F23" s="244">
        <f>МРСК!F26</f>
        <v>0.8590692637965811</v>
      </c>
      <c r="G23" s="252">
        <f>МРСК!G26</f>
        <v>0</v>
      </c>
      <c r="H23" s="286">
        <f>МРСК!H26</f>
        <v>20</v>
      </c>
      <c r="I23" s="252">
        <f>МРСК!I26</f>
        <v>0</v>
      </c>
      <c r="J23" s="252">
        <f>МРСК!J26</f>
        <v>0</v>
      </c>
      <c r="K23" s="253">
        <f>МРСК!K26</f>
        <v>0</v>
      </c>
      <c r="L23" s="254">
        <f>МРСК!L26</f>
        <v>-0.8590692637965811</v>
      </c>
      <c r="M23" s="254">
        <f t="shared" si="0"/>
        <v>-0.8590692637965811</v>
      </c>
      <c r="N23" s="255"/>
      <c r="P23" s="248">
        <v>8</v>
      </c>
      <c r="Q23" s="2" t="s">
        <v>324</v>
      </c>
      <c r="R23" s="249">
        <f>'МРСК 2'!C26</f>
        <v>1.6</v>
      </c>
      <c r="S23" s="249">
        <f>'МРСК 2'!D26</f>
        <v>0</v>
      </c>
      <c r="T23" s="256">
        <f>'МРСК 2'!E26</f>
        <v>0.8590692637965811</v>
      </c>
      <c r="U23" s="252">
        <f>'МРСК 2'!F26</f>
        <v>0</v>
      </c>
      <c r="V23" s="286">
        <f>'МРСК 2'!G26</f>
        <v>20</v>
      </c>
      <c r="W23" s="252">
        <f>'МРСК 2'!H26</f>
        <v>0.8590692637965811</v>
      </c>
      <c r="X23" s="252">
        <f>'МРСК 2'!I26</f>
        <v>0</v>
      </c>
      <c r="Y23" s="252">
        <f>'МРСК 2'!J26</f>
        <v>0</v>
      </c>
      <c r="Z23" s="254">
        <f>'МРСК 2'!K26</f>
        <v>-0.8590692637965811</v>
      </c>
      <c r="AA23" s="254">
        <f t="shared" si="1"/>
        <v>-0.8590692637965811</v>
      </c>
      <c r="AB23" s="255"/>
    </row>
    <row r="24" spans="1:28" ht="20.25" thickBot="1">
      <c r="A24" s="248">
        <v>9</v>
      </c>
      <c r="B24" s="2" t="s">
        <v>325</v>
      </c>
      <c r="C24" s="251">
        <f>МРСК!C27</f>
        <v>4</v>
      </c>
      <c r="D24" s="251">
        <f>МРСК!D27</f>
        <v>2984</v>
      </c>
      <c r="E24" s="251">
        <f>МРСК!E27</f>
        <v>1184</v>
      </c>
      <c r="F24" s="244">
        <f>МРСК!F27</f>
        <v>3.210313380341552</v>
      </c>
      <c r="G24" s="252">
        <f>МРСК!G27</f>
        <v>2.64</v>
      </c>
      <c r="H24" s="286">
        <f>МРСК!H27</f>
        <v>80</v>
      </c>
      <c r="I24" s="252">
        <f>МРСК!I27</f>
        <v>2.64</v>
      </c>
      <c r="J24" s="252">
        <f>МРСК!J27</f>
        <v>0</v>
      </c>
      <c r="K24" s="253">
        <f>МРСК!K27</f>
        <v>2.64</v>
      </c>
      <c r="L24" s="254">
        <f>МРСК!L27</f>
        <v>-0.5703133803415517</v>
      </c>
      <c r="M24" s="254">
        <f t="shared" si="0"/>
        <v>-0.5703133803415517</v>
      </c>
      <c r="N24" s="255"/>
      <c r="P24" s="248">
        <v>9</v>
      </c>
      <c r="Q24" s="2" t="s">
        <v>325</v>
      </c>
      <c r="R24" s="249">
        <f>'МРСК 2'!C27</f>
        <v>4</v>
      </c>
      <c r="S24" s="249">
        <f>'МРСК 2'!D27</f>
        <v>1.21</v>
      </c>
      <c r="T24" s="256">
        <f>'МРСК 2'!E27</f>
        <v>4.420313380341552</v>
      </c>
      <c r="U24" s="252">
        <f>'МРСК 2'!F27</f>
        <v>2.64</v>
      </c>
      <c r="V24" s="286">
        <f>'МРСК 2'!G27</f>
        <v>80</v>
      </c>
      <c r="W24" s="252">
        <f>'МРСК 2'!H27</f>
        <v>1.780313380341552</v>
      </c>
      <c r="X24" s="252">
        <f>'МРСК 2'!I27</f>
        <v>0</v>
      </c>
      <c r="Y24" s="252">
        <f>'МРСК 2'!J27</f>
        <v>2.64</v>
      </c>
      <c r="Z24" s="254">
        <f>'МРСК 2'!K27</f>
        <v>-1.780313380341552</v>
      </c>
      <c r="AA24" s="254">
        <f t="shared" si="1"/>
        <v>-1.780313380341552</v>
      </c>
      <c r="AB24" s="255"/>
    </row>
    <row r="25" spans="1:28" ht="20.25" thickBot="1">
      <c r="A25" s="248">
        <v>10</v>
      </c>
      <c r="B25" s="2" t="s">
        <v>326</v>
      </c>
      <c r="C25" s="251">
        <f>МРСК!C28</f>
        <v>1.6</v>
      </c>
      <c r="D25" s="251">
        <f>МРСК!D28</f>
        <v>684</v>
      </c>
      <c r="E25" s="251">
        <f>МРСК!E28</f>
        <v>330</v>
      </c>
      <c r="F25" s="244">
        <f>МРСК!F28</f>
        <v>0.7594445338535264</v>
      </c>
      <c r="G25" s="252">
        <f>МРСК!G28</f>
        <v>1.05</v>
      </c>
      <c r="H25" s="286">
        <f>МРСК!H28</f>
        <v>80</v>
      </c>
      <c r="I25" s="252">
        <f>МРСК!I28</f>
        <v>1.05</v>
      </c>
      <c r="J25" s="252">
        <f>МРСК!J28</f>
        <v>0</v>
      </c>
      <c r="K25" s="253">
        <f>МРСК!K28</f>
        <v>1.05</v>
      </c>
      <c r="L25" s="254">
        <f>МРСК!L28</f>
        <v>0.29055546614647365</v>
      </c>
      <c r="M25" s="254">
        <f t="shared" si="0"/>
        <v>0.29055546614647365</v>
      </c>
      <c r="N25" s="255"/>
      <c r="P25" s="248">
        <v>10</v>
      </c>
      <c r="Q25" s="2" t="s">
        <v>326</v>
      </c>
      <c r="R25" s="249">
        <f>'МРСК 2'!C28</f>
        <v>1.6</v>
      </c>
      <c r="S25" s="249">
        <f>'МРСК 2'!D28</f>
        <v>0</v>
      </c>
      <c r="T25" s="256">
        <f>'МРСК 2'!E28</f>
        <v>0.7594445338535264</v>
      </c>
      <c r="U25" s="252">
        <f>'МРСК 2'!F28</f>
        <v>1.05</v>
      </c>
      <c r="V25" s="286">
        <f>'МРСК 2'!G28</f>
        <v>80</v>
      </c>
      <c r="W25" s="252">
        <f>'МРСК 2'!H28</f>
        <v>-0.29055546614647365</v>
      </c>
      <c r="X25" s="252">
        <f>'МРСК 2'!I28</f>
        <v>0</v>
      </c>
      <c r="Y25" s="252">
        <f>'МРСК 2'!J28</f>
        <v>1.05</v>
      </c>
      <c r="Z25" s="254">
        <f>'МРСК 2'!K28</f>
        <v>0.29055546614647365</v>
      </c>
      <c r="AA25" s="254">
        <f t="shared" si="1"/>
        <v>0.29055546614647365</v>
      </c>
      <c r="AB25" s="255"/>
    </row>
    <row r="26" spans="1:28" ht="20.25" thickBot="1">
      <c r="A26" s="248">
        <v>11</v>
      </c>
      <c r="B26" s="2" t="s">
        <v>327</v>
      </c>
      <c r="C26" s="251">
        <f>МРСК!C29</f>
        <v>1</v>
      </c>
      <c r="D26" s="251">
        <f>МРСК!D29</f>
        <v>14</v>
      </c>
      <c r="E26" s="251">
        <f>МРСК!E29</f>
        <v>19</v>
      </c>
      <c r="F26" s="244">
        <f>МРСК!F29</f>
        <v>0.023600847442411893</v>
      </c>
      <c r="G26" s="252">
        <f>МРСК!G29</f>
        <v>0</v>
      </c>
      <c r="H26" s="286">
        <f>МРСК!H29</f>
        <v>0</v>
      </c>
      <c r="I26" s="252">
        <f>МРСК!I29</f>
        <v>0</v>
      </c>
      <c r="J26" s="252">
        <f>МРСК!J29</f>
        <v>0</v>
      </c>
      <c r="K26" s="253">
        <f>МРСК!K29</f>
        <v>0</v>
      </c>
      <c r="L26" s="254">
        <f>МРСК!L29</f>
        <v>-0.023600847442411893</v>
      </c>
      <c r="M26" s="254">
        <f t="shared" si="0"/>
        <v>-0.023600847442411893</v>
      </c>
      <c r="N26" s="255"/>
      <c r="P26" s="248">
        <v>11</v>
      </c>
      <c r="Q26" s="2" t="s">
        <v>327</v>
      </c>
      <c r="R26" s="249">
        <f>'МРСК 2'!C29</f>
        <v>1.6</v>
      </c>
      <c r="S26" s="249">
        <f>'МРСК 2'!D29</f>
        <v>0.19</v>
      </c>
      <c r="T26" s="256">
        <f>'МРСК 2'!E29</f>
        <v>0.2136008474424119</v>
      </c>
      <c r="U26" s="252">
        <f>'МРСК 2'!F29</f>
        <v>0</v>
      </c>
      <c r="V26" s="286">
        <f>'МРСК 2'!G29</f>
        <v>0</v>
      </c>
      <c r="W26" s="252">
        <f>'МРСК 2'!H29</f>
        <v>0.2136008474424119</v>
      </c>
      <c r="X26" s="252">
        <f>'МРСК 2'!I29</f>
        <v>0</v>
      </c>
      <c r="Y26" s="252">
        <f>'МРСК 2'!J29</f>
        <v>0</v>
      </c>
      <c r="Z26" s="254">
        <f>'МРСК 2'!K29</f>
        <v>-0.2136008474424119</v>
      </c>
      <c r="AA26" s="254">
        <f t="shared" si="1"/>
        <v>-0.2136008474424119</v>
      </c>
      <c r="AB26" s="255"/>
    </row>
    <row r="27" spans="1:28" ht="20.25" thickBot="1">
      <c r="A27" s="248">
        <v>12</v>
      </c>
      <c r="B27" s="2" t="s">
        <v>328</v>
      </c>
      <c r="C27" s="251">
        <f>МРСК!C30</f>
        <v>2.5</v>
      </c>
      <c r="D27" s="251">
        <f>МРСК!D30</f>
        <v>324</v>
      </c>
      <c r="E27" s="251">
        <f>МРСК!E30</f>
        <v>132</v>
      </c>
      <c r="F27" s="244">
        <f>МРСК!F30</f>
        <v>0.34985711369071804</v>
      </c>
      <c r="G27" s="252">
        <f>МРСК!G30</f>
        <v>0</v>
      </c>
      <c r="H27" s="286">
        <f>МРСК!H30</f>
        <v>0</v>
      </c>
      <c r="I27" s="252">
        <f>МРСК!I30</f>
        <v>0</v>
      </c>
      <c r="J27" s="252">
        <f>МРСК!J30</f>
        <v>0</v>
      </c>
      <c r="K27" s="253">
        <f>МРСК!K30</f>
        <v>0</v>
      </c>
      <c r="L27" s="254">
        <f>МРСК!L30</f>
        <v>-0.34985711369071804</v>
      </c>
      <c r="M27" s="254">
        <f t="shared" si="0"/>
        <v>-0.34985711369071804</v>
      </c>
      <c r="N27" s="255"/>
      <c r="P27" s="248">
        <v>12</v>
      </c>
      <c r="Q27" s="2" t="s">
        <v>328</v>
      </c>
      <c r="R27" s="249">
        <f>'МРСК 2'!C30</f>
        <v>2.5</v>
      </c>
      <c r="S27" s="249">
        <f>'МРСК 2'!D30</f>
        <v>0</v>
      </c>
      <c r="T27" s="256">
        <f>'МРСК 2'!E30</f>
        <v>0.34985711369071804</v>
      </c>
      <c r="U27" s="252">
        <f>'МРСК 2'!F30</f>
        <v>0</v>
      </c>
      <c r="V27" s="286">
        <f>'МРСК 2'!G30</f>
        <v>0</v>
      </c>
      <c r="W27" s="252">
        <f>'МРСК 2'!H30</f>
        <v>0.34985711369071804</v>
      </c>
      <c r="X27" s="252">
        <f>'МРСК 2'!I30</f>
        <v>0</v>
      </c>
      <c r="Y27" s="252">
        <f>'МРСК 2'!J30</f>
        <v>0</v>
      </c>
      <c r="Z27" s="254">
        <f>'МРСК 2'!K30</f>
        <v>-0.34985711369071804</v>
      </c>
      <c r="AA27" s="254">
        <f t="shared" si="1"/>
        <v>-0.34985711369071804</v>
      </c>
      <c r="AB27" s="255"/>
    </row>
    <row r="28" spans="1:28" ht="20.25" thickBot="1">
      <c r="A28" s="248">
        <v>13</v>
      </c>
      <c r="B28" s="2" t="s">
        <v>329</v>
      </c>
      <c r="C28" s="251">
        <f>МРСК!C31</f>
        <v>2.5</v>
      </c>
      <c r="D28" s="251">
        <f>МРСК!D31</f>
        <v>880</v>
      </c>
      <c r="E28" s="251">
        <f>МРСК!E31</f>
        <v>376</v>
      </c>
      <c r="F28" s="244">
        <f>МРСК!F31</f>
        <v>0.95696185921906</v>
      </c>
      <c r="G28" s="252">
        <f>МРСК!G31</f>
        <v>0.541</v>
      </c>
      <c r="H28" s="286">
        <f>МРСК!H31</f>
        <v>45</v>
      </c>
      <c r="I28" s="252">
        <f>МРСК!I31</f>
        <v>0.541</v>
      </c>
      <c r="J28" s="252">
        <f>МРСК!J31</f>
        <v>0</v>
      </c>
      <c r="K28" s="253">
        <f>МРСК!K31</f>
        <v>0.541</v>
      </c>
      <c r="L28" s="254">
        <f>МРСК!L31</f>
        <v>-0.4159618592190599</v>
      </c>
      <c r="M28" s="254">
        <f t="shared" si="0"/>
        <v>-0.4159618592190599</v>
      </c>
      <c r="N28" s="255"/>
      <c r="P28" s="248">
        <v>13</v>
      </c>
      <c r="Q28" s="2" t="s">
        <v>329</v>
      </c>
      <c r="R28" s="249">
        <f>'МРСК 2'!C31</f>
        <v>2.5</v>
      </c>
      <c r="S28" s="249">
        <f>'МРСК 2'!D31</f>
        <v>0</v>
      </c>
      <c r="T28" s="256">
        <f>'МРСК 2'!E31</f>
        <v>0.95696185921906</v>
      </c>
      <c r="U28" s="252">
        <f>'МРСК 2'!F31</f>
        <v>0.541</v>
      </c>
      <c r="V28" s="286">
        <f>'МРСК 2'!G31</f>
        <v>45</v>
      </c>
      <c r="W28" s="252">
        <f>'МРСК 2'!H31</f>
        <v>0.4159618592190599</v>
      </c>
      <c r="X28" s="252">
        <f>'МРСК 2'!I31</f>
        <v>0</v>
      </c>
      <c r="Y28" s="252">
        <f>'МРСК 2'!J31</f>
        <v>0.541</v>
      </c>
      <c r="Z28" s="254">
        <f>'МРСК 2'!K31</f>
        <v>-0.4159618592190599</v>
      </c>
      <c r="AA28" s="254">
        <f t="shared" si="1"/>
        <v>-0.4159618592190599</v>
      </c>
      <c r="AB28" s="255"/>
    </row>
    <row r="29" spans="1:28" ht="20.25" thickBot="1">
      <c r="A29" s="248">
        <v>14</v>
      </c>
      <c r="B29" s="2" t="s">
        <v>330</v>
      </c>
      <c r="C29" s="251">
        <f>МРСК!C32</f>
        <v>2.5</v>
      </c>
      <c r="D29" s="251">
        <f>МРСК!D32</f>
        <v>1600</v>
      </c>
      <c r="E29" s="251">
        <f>МРСК!E32</f>
        <v>512</v>
      </c>
      <c r="F29" s="244">
        <f>МРСК!F32</f>
        <v>1.679923807796056</v>
      </c>
      <c r="G29" s="252">
        <f>МРСК!G32</f>
        <v>1.6626</v>
      </c>
      <c r="H29" s="286">
        <f>МРСК!H32</f>
        <v>45</v>
      </c>
      <c r="I29" s="252">
        <f>МРСК!I32</f>
        <v>1.6626</v>
      </c>
      <c r="J29" s="252">
        <f>МРСК!J32</f>
        <v>0</v>
      </c>
      <c r="K29" s="253">
        <f>МРСК!K32</f>
        <v>1.6626</v>
      </c>
      <c r="L29" s="254">
        <f>МРСК!L32</f>
        <v>-0.017323807796056023</v>
      </c>
      <c r="M29" s="254">
        <f t="shared" si="0"/>
        <v>-0.017323807796056023</v>
      </c>
      <c r="N29" s="255"/>
      <c r="P29" s="248">
        <v>14</v>
      </c>
      <c r="Q29" s="2" t="s">
        <v>330</v>
      </c>
      <c r="R29" s="249">
        <f>'МРСК 2'!C32</f>
        <v>2.5</v>
      </c>
      <c r="S29" s="249">
        <f>'МРСК 2'!D32</f>
        <v>0.08</v>
      </c>
      <c r="T29" s="256">
        <f>'МРСК 2'!E32</f>
        <v>1.7599238077960562</v>
      </c>
      <c r="U29" s="252">
        <f>'МРСК 2'!F32</f>
        <v>1.6626</v>
      </c>
      <c r="V29" s="286">
        <f>'МРСК 2'!G32</f>
        <v>45</v>
      </c>
      <c r="W29" s="252">
        <f>'МРСК 2'!H32</f>
        <v>0.0973238077960561</v>
      </c>
      <c r="X29" s="252">
        <f>'МРСК 2'!I32</f>
        <v>0</v>
      </c>
      <c r="Y29" s="252">
        <f>'МРСК 2'!J32</f>
        <v>1.6626</v>
      </c>
      <c r="Z29" s="254">
        <f>'МРСК 2'!K32</f>
        <v>-0.0973238077960561</v>
      </c>
      <c r="AA29" s="254">
        <f t="shared" si="1"/>
        <v>-0.0973238077960561</v>
      </c>
      <c r="AB29" s="255"/>
    </row>
    <row r="30" spans="1:28" ht="20.25" thickBot="1">
      <c r="A30" s="248">
        <v>15</v>
      </c>
      <c r="B30" s="2" t="s">
        <v>331</v>
      </c>
      <c r="C30" s="251">
        <f>МРСК!C33</f>
        <v>2.5</v>
      </c>
      <c r="D30" s="251">
        <f>МРСК!D33</f>
        <v>1560</v>
      </c>
      <c r="E30" s="251">
        <f>МРСК!E33</f>
        <v>492</v>
      </c>
      <c r="F30" s="244">
        <f>МРСК!F33</f>
        <v>1.6357457015074195</v>
      </c>
      <c r="G30" s="252">
        <f>МРСК!G33</f>
        <v>1.55</v>
      </c>
      <c r="H30" s="286">
        <f>МРСК!H33</f>
        <v>45</v>
      </c>
      <c r="I30" s="252">
        <f>МРСК!I33</f>
        <v>1.55</v>
      </c>
      <c r="J30" s="252">
        <f>МРСК!J33</f>
        <v>0</v>
      </c>
      <c r="K30" s="253">
        <f>МРСК!K33</f>
        <v>1.55</v>
      </c>
      <c r="L30" s="254">
        <f>МРСК!L33</f>
        <v>-0.08574570150741945</v>
      </c>
      <c r="M30" s="254">
        <f t="shared" si="0"/>
        <v>-0.08574570150741945</v>
      </c>
      <c r="N30" s="255"/>
      <c r="P30" s="248">
        <v>15</v>
      </c>
      <c r="Q30" s="2" t="s">
        <v>331</v>
      </c>
      <c r="R30" s="249">
        <f>'МРСК 2'!C33</f>
        <v>2.5</v>
      </c>
      <c r="S30" s="249">
        <f>'МРСК 2'!D33</f>
        <v>0</v>
      </c>
      <c r="T30" s="256">
        <f>'МРСК 2'!E33</f>
        <v>1.6357457015074195</v>
      </c>
      <c r="U30" s="252">
        <f>'МРСК 2'!F33</f>
        <v>1.55</v>
      </c>
      <c r="V30" s="286">
        <f>'МРСК 2'!G33</f>
        <v>45</v>
      </c>
      <c r="W30" s="252">
        <f>'МРСК 2'!H33</f>
        <v>0.08574570150741945</v>
      </c>
      <c r="X30" s="252">
        <f>'МРСК 2'!I33</f>
        <v>0</v>
      </c>
      <c r="Y30" s="252">
        <f>'МРСК 2'!J33</f>
        <v>1.55</v>
      </c>
      <c r="Z30" s="254">
        <f>'МРСК 2'!K33</f>
        <v>-0.08574570150741945</v>
      </c>
      <c r="AA30" s="254">
        <f t="shared" si="1"/>
        <v>-0.08574570150741945</v>
      </c>
      <c r="AB30" s="255"/>
    </row>
    <row r="31" spans="1:28" ht="20.25" thickBot="1">
      <c r="A31" s="248">
        <v>16</v>
      </c>
      <c r="B31" s="2" t="s">
        <v>332</v>
      </c>
      <c r="C31" s="251">
        <f>МРСК!C34</f>
        <v>1.6</v>
      </c>
      <c r="D31" s="251">
        <f>МРСК!D34</f>
        <v>336</v>
      </c>
      <c r="E31" s="251">
        <f>МРСК!E34</f>
        <v>108</v>
      </c>
      <c r="F31" s="244">
        <f>МРСК!F34</f>
        <v>0.3529305880764658</v>
      </c>
      <c r="G31" s="252">
        <f>МРСК!G34</f>
        <v>0.4101</v>
      </c>
      <c r="H31" s="286">
        <f>МРСК!H34</f>
        <v>80</v>
      </c>
      <c r="I31" s="252">
        <f>МРСК!I34</f>
        <v>0.4101</v>
      </c>
      <c r="J31" s="252">
        <f>МРСК!J34</f>
        <v>0</v>
      </c>
      <c r="K31" s="253">
        <f>МРСК!K34</f>
        <v>0.4101</v>
      </c>
      <c r="L31" s="254">
        <f>МРСК!L34</f>
        <v>0.0571694119235342</v>
      </c>
      <c r="M31" s="254">
        <f t="shared" si="0"/>
        <v>0.0571694119235342</v>
      </c>
      <c r="N31" s="255"/>
      <c r="P31" s="248">
        <v>16</v>
      </c>
      <c r="Q31" s="2" t="s">
        <v>332</v>
      </c>
      <c r="R31" s="249">
        <f>'МРСК 2'!C34</f>
        <v>1.6</v>
      </c>
      <c r="S31" s="249">
        <f>'МРСК 2'!D34</f>
        <v>0</v>
      </c>
      <c r="T31" s="256">
        <f>'МРСК 2'!E34</f>
        <v>0.3529305880764658</v>
      </c>
      <c r="U31" s="252">
        <f>'МРСК 2'!F34</f>
        <v>0.4101</v>
      </c>
      <c r="V31" s="286">
        <f>'МРСК 2'!G34</f>
        <v>80</v>
      </c>
      <c r="W31" s="252">
        <f>'МРСК 2'!H34</f>
        <v>-0.0571694119235342</v>
      </c>
      <c r="X31" s="252">
        <f>'МРСК 2'!I34</f>
        <v>0</v>
      </c>
      <c r="Y31" s="252">
        <f>'МРСК 2'!J34</f>
        <v>0.4101</v>
      </c>
      <c r="Z31" s="254">
        <f>'МРСК 2'!K34</f>
        <v>0.0571694119235342</v>
      </c>
      <c r="AA31" s="254">
        <f t="shared" si="1"/>
        <v>0.0571694119235342</v>
      </c>
      <c r="AB31" s="255"/>
    </row>
    <row r="32" spans="1:28" ht="20.25" thickBot="1">
      <c r="A32" s="248">
        <v>17</v>
      </c>
      <c r="B32" s="2" t="s">
        <v>333</v>
      </c>
      <c r="C32" s="251">
        <f>МРСК!C35</f>
        <v>2.5</v>
      </c>
      <c r="D32" s="251">
        <f>МРСК!D35</f>
        <v>304</v>
      </c>
      <c r="E32" s="251">
        <f>МРСК!E35</f>
        <v>144</v>
      </c>
      <c r="F32" s="244">
        <f>МРСК!F35</f>
        <v>0.3363807366660582</v>
      </c>
      <c r="G32" s="252">
        <f>МРСК!G35</f>
        <v>0.407</v>
      </c>
      <c r="H32" s="286">
        <f>МРСК!H35</f>
        <v>20</v>
      </c>
      <c r="I32" s="252">
        <f>МРСК!I35</f>
        <v>0.407</v>
      </c>
      <c r="J32" s="252">
        <f>МРСК!J35</f>
        <v>0</v>
      </c>
      <c r="K32" s="253">
        <f>МРСК!K35</f>
        <v>0.407</v>
      </c>
      <c r="L32" s="254">
        <f>МРСК!L35</f>
        <v>0.07061926333394175</v>
      </c>
      <c r="M32" s="254">
        <f t="shared" si="0"/>
        <v>0.07061926333394175</v>
      </c>
      <c r="N32" s="255"/>
      <c r="P32" s="248">
        <v>17</v>
      </c>
      <c r="Q32" s="2" t="s">
        <v>333</v>
      </c>
      <c r="R32" s="249">
        <f>'МРСК 2'!C35</f>
        <v>2.5</v>
      </c>
      <c r="S32" s="249">
        <f>'МРСК 2'!D35</f>
        <v>0</v>
      </c>
      <c r="T32" s="256">
        <f>'МРСК 2'!E35</f>
        <v>0.3363807366660582</v>
      </c>
      <c r="U32" s="252">
        <f>'МРСК 2'!F35</f>
        <v>0.407</v>
      </c>
      <c r="V32" s="286">
        <f>'МРСК 2'!G35</f>
        <v>20</v>
      </c>
      <c r="W32" s="252">
        <f>'МРСК 2'!H35</f>
        <v>-0.07061926333394175</v>
      </c>
      <c r="X32" s="252">
        <f>'МРСК 2'!I35</f>
        <v>0</v>
      </c>
      <c r="Y32" s="252">
        <f>'МРСК 2'!J35</f>
        <v>0.407</v>
      </c>
      <c r="Z32" s="254">
        <f>'МРСК 2'!K35</f>
        <v>0.07061926333394175</v>
      </c>
      <c r="AA32" s="254">
        <f t="shared" si="1"/>
        <v>0.07061926333394175</v>
      </c>
      <c r="AB32" s="255"/>
    </row>
    <row r="33" spans="1:28" ht="20.25" thickBot="1">
      <c r="A33" s="248">
        <v>18</v>
      </c>
      <c r="B33" s="2" t="s">
        <v>334</v>
      </c>
      <c r="C33" s="251">
        <f>МРСК!C36</f>
        <v>2.5</v>
      </c>
      <c r="D33" s="251">
        <f>МРСК!D36</f>
        <v>1164</v>
      </c>
      <c r="E33" s="251">
        <f>МРСК!E36</f>
        <v>600</v>
      </c>
      <c r="F33" s="244">
        <f>МРСК!F36</f>
        <v>1.3095403773843708</v>
      </c>
      <c r="G33" s="252">
        <f>МРСК!G36</f>
        <v>1.38</v>
      </c>
      <c r="H33" s="286">
        <f>МРСК!H36</f>
        <v>120</v>
      </c>
      <c r="I33" s="252">
        <f>МРСК!I36</f>
        <v>1.38</v>
      </c>
      <c r="J33" s="252">
        <f>МРСК!J36</f>
        <v>0</v>
      </c>
      <c r="K33" s="253">
        <f>МРСК!K36</f>
        <v>1.38</v>
      </c>
      <c r="L33" s="254">
        <f>МРСК!L36</f>
        <v>0.0704596226156291</v>
      </c>
      <c r="M33" s="254">
        <f t="shared" si="0"/>
        <v>0.0704596226156291</v>
      </c>
      <c r="N33" s="255"/>
      <c r="P33" s="248">
        <v>18</v>
      </c>
      <c r="Q33" s="2" t="s">
        <v>334</v>
      </c>
      <c r="R33" s="249">
        <f>'МРСК 2'!C36</f>
        <v>2.5</v>
      </c>
      <c r="S33" s="249">
        <f>'МРСК 2'!D36</f>
        <v>0.35</v>
      </c>
      <c r="T33" s="256">
        <f>'МРСК 2'!E36</f>
        <v>1.6595403773843707</v>
      </c>
      <c r="U33" s="252">
        <f>'МРСК 2'!F36</f>
        <v>1.38</v>
      </c>
      <c r="V33" s="286">
        <f>'МРСК 2'!G36</f>
        <v>120</v>
      </c>
      <c r="W33" s="252">
        <f>'МРСК 2'!H36</f>
        <v>0.27954037738437076</v>
      </c>
      <c r="X33" s="252">
        <f>'МРСК 2'!I36</f>
        <v>0</v>
      </c>
      <c r="Y33" s="252">
        <f>'МРСК 2'!J36</f>
        <v>1.38</v>
      </c>
      <c r="Z33" s="254">
        <f>'МРСК 2'!K36</f>
        <v>-0.27954037738437076</v>
      </c>
      <c r="AA33" s="254">
        <f t="shared" si="1"/>
        <v>-0.27954037738437076</v>
      </c>
      <c r="AB33" s="255"/>
    </row>
    <row r="34" spans="1:28" ht="20.25" thickBot="1">
      <c r="A34" s="248">
        <v>19</v>
      </c>
      <c r="B34" s="2" t="s">
        <v>335</v>
      </c>
      <c r="C34" s="251">
        <f>МРСК!C37</f>
        <v>2.5</v>
      </c>
      <c r="D34" s="251">
        <f>МРСК!D37</f>
        <v>920</v>
      </c>
      <c r="E34" s="251">
        <f>МРСК!E37</f>
        <v>256</v>
      </c>
      <c r="F34" s="244">
        <f>МРСК!F37</f>
        <v>0.9549534020045166</v>
      </c>
      <c r="G34" s="252">
        <f>МРСК!G37</f>
        <v>1.54</v>
      </c>
      <c r="H34" s="286">
        <f>МРСК!H37</f>
        <v>45</v>
      </c>
      <c r="I34" s="252">
        <f>МРСК!I37</f>
        <v>1.54</v>
      </c>
      <c r="J34" s="252">
        <f>МРСК!J37</f>
        <v>0</v>
      </c>
      <c r="K34" s="253">
        <f>МРСК!K37</f>
        <v>1.54</v>
      </c>
      <c r="L34" s="254">
        <f>МРСК!L37</f>
        <v>0.5850465979954834</v>
      </c>
      <c r="M34" s="254">
        <f t="shared" si="0"/>
        <v>0.5850465979954834</v>
      </c>
      <c r="N34" s="255"/>
      <c r="P34" s="248">
        <v>19</v>
      </c>
      <c r="Q34" s="2" t="s">
        <v>335</v>
      </c>
      <c r="R34" s="249">
        <f>'МРСК 2'!C37</f>
        <v>2.5</v>
      </c>
      <c r="S34" s="249">
        <f>'МРСК 2'!D37</f>
        <v>0.8800000000000001</v>
      </c>
      <c r="T34" s="256">
        <f>'МРСК 2'!E37</f>
        <v>1.8349534020045168</v>
      </c>
      <c r="U34" s="252">
        <f>'МРСК 2'!F37</f>
        <v>1.54</v>
      </c>
      <c r="V34" s="286">
        <f>'МРСК 2'!G37</f>
        <v>45</v>
      </c>
      <c r="W34" s="252">
        <f>'МРСК 2'!H37</f>
        <v>0.2949534020045168</v>
      </c>
      <c r="X34" s="252">
        <f>'МРСК 2'!I37</f>
        <v>0</v>
      </c>
      <c r="Y34" s="252">
        <f>'МРСК 2'!J37</f>
        <v>1.54</v>
      </c>
      <c r="Z34" s="254">
        <f>'МРСК 2'!K37</f>
        <v>-0.2949534020045168</v>
      </c>
      <c r="AA34" s="254">
        <f t="shared" si="1"/>
        <v>-0.2949534020045168</v>
      </c>
      <c r="AB34" s="255"/>
    </row>
    <row r="35" spans="1:28" ht="20.25" thickBot="1">
      <c r="A35" s="248">
        <v>20</v>
      </c>
      <c r="B35" s="2" t="s">
        <v>336</v>
      </c>
      <c r="C35" s="251">
        <f>МРСК!C38</f>
        <v>2.5</v>
      </c>
      <c r="D35" s="251">
        <f>МРСК!D38</f>
        <v>656</v>
      </c>
      <c r="E35" s="251">
        <f>МРСК!E38</f>
        <v>288</v>
      </c>
      <c r="F35" s="244">
        <f>МРСК!F38</f>
        <v>0.7164356216716196</v>
      </c>
      <c r="G35" s="252">
        <f>МРСК!G38</f>
        <v>0.6647</v>
      </c>
      <c r="H35" s="286">
        <f>МРСК!H38</f>
        <v>45</v>
      </c>
      <c r="I35" s="252">
        <f>МРСК!I38</f>
        <v>0.6647</v>
      </c>
      <c r="J35" s="252">
        <f>МРСК!J38</f>
        <v>0</v>
      </c>
      <c r="K35" s="253">
        <f>МРСК!K38</f>
        <v>0.6647</v>
      </c>
      <c r="L35" s="254">
        <f>МРСК!L38</f>
        <v>-0.0517356216716196</v>
      </c>
      <c r="M35" s="254">
        <f t="shared" si="0"/>
        <v>-0.0517356216716196</v>
      </c>
      <c r="N35" s="255"/>
      <c r="P35" s="248">
        <v>20</v>
      </c>
      <c r="Q35" s="2" t="s">
        <v>336</v>
      </c>
      <c r="R35" s="249">
        <f>'МРСК 2'!C38</f>
        <v>2.5</v>
      </c>
      <c r="S35" s="249">
        <f>'МРСК 2'!D38</f>
        <v>0.19</v>
      </c>
      <c r="T35" s="256">
        <f>'МРСК 2'!E38</f>
        <v>0.9064356216716196</v>
      </c>
      <c r="U35" s="252">
        <f>'МРСК 2'!F38</f>
        <v>0.6647</v>
      </c>
      <c r="V35" s="286">
        <f>'МРСК 2'!G38</f>
        <v>45</v>
      </c>
      <c r="W35" s="252">
        <f>'МРСК 2'!H38</f>
        <v>0.24173562167161966</v>
      </c>
      <c r="X35" s="252">
        <f>'МРСК 2'!I38</f>
        <v>0</v>
      </c>
      <c r="Y35" s="252">
        <f>'МРСК 2'!J38</f>
        <v>0.6647</v>
      </c>
      <c r="Z35" s="254">
        <f>'МРСК 2'!K38</f>
        <v>-0.24173562167161966</v>
      </c>
      <c r="AA35" s="254">
        <f t="shared" si="1"/>
        <v>-0.24173562167161966</v>
      </c>
      <c r="AB35" s="255"/>
    </row>
    <row r="36" spans="1:28" ht="20.25" thickBot="1">
      <c r="A36" s="248">
        <v>21</v>
      </c>
      <c r="B36" s="2" t="s">
        <v>337</v>
      </c>
      <c r="C36" s="251">
        <f>МРСК!C39</f>
        <v>4</v>
      </c>
      <c r="D36" s="251">
        <f>МРСК!D39</f>
        <v>1536</v>
      </c>
      <c r="E36" s="251">
        <f>МРСК!E39</f>
        <v>384</v>
      </c>
      <c r="F36" s="244">
        <f>МРСК!F39</f>
        <v>1.5832725602371815</v>
      </c>
      <c r="G36" s="252">
        <f>МРСК!G39</f>
        <v>0.78</v>
      </c>
      <c r="H36" s="286">
        <f>МРСК!H39</f>
        <v>120</v>
      </c>
      <c r="I36" s="252">
        <f>МРСК!I39</f>
        <v>0.78</v>
      </c>
      <c r="J36" s="252">
        <f>МРСК!J39</f>
        <v>0</v>
      </c>
      <c r="K36" s="253">
        <f>МРСК!K39</f>
        <v>0.78</v>
      </c>
      <c r="L36" s="254">
        <f>МРСК!L39</f>
        <v>-0.8032725602371815</v>
      </c>
      <c r="M36" s="254">
        <f t="shared" si="0"/>
        <v>-0.8032725602371815</v>
      </c>
      <c r="N36" s="255"/>
      <c r="P36" s="248">
        <v>21</v>
      </c>
      <c r="Q36" s="2" t="s">
        <v>337</v>
      </c>
      <c r="R36" s="249">
        <f>'МРСК 2'!C39</f>
        <v>4</v>
      </c>
      <c r="S36" s="249">
        <f>'МРСК 2'!D39</f>
        <v>0.13</v>
      </c>
      <c r="T36" s="256">
        <f>'МРСК 2'!E39</f>
        <v>1.7132725602371814</v>
      </c>
      <c r="U36" s="252">
        <f>'МРСК 2'!F39</f>
        <v>0.78</v>
      </c>
      <c r="V36" s="286">
        <f>'МРСК 2'!G39</f>
        <v>120</v>
      </c>
      <c r="W36" s="252">
        <f>'МРСК 2'!H39</f>
        <v>0.9332725602371814</v>
      </c>
      <c r="X36" s="252">
        <f>'МРСК 2'!I39</f>
        <v>0</v>
      </c>
      <c r="Y36" s="252">
        <f>'МРСК 2'!J39</f>
        <v>0.78</v>
      </c>
      <c r="Z36" s="254">
        <f>'МРСК 2'!K39</f>
        <v>-0.9332725602371814</v>
      </c>
      <c r="AA36" s="254">
        <f t="shared" si="1"/>
        <v>-0.9332725602371814</v>
      </c>
      <c r="AB36" s="255"/>
    </row>
    <row r="37" spans="1:28" ht="20.25" thickBot="1">
      <c r="A37" s="248">
        <v>22</v>
      </c>
      <c r="B37" s="2" t="s">
        <v>338</v>
      </c>
      <c r="C37" s="251">
        <f>МРСК!C40</f>
        <v>2.5</v>
      </c>
      <c r="D37" s="251">
        <f>МРСК!D40</f>
        <v>576</v>
      </c>
      <c r="E37" s="251">
        <f>МРСК!E40</f>
        <v>276</v>
      </c>
      <c r="F37" s="244">
        <f>МРСК!F40</f>
        <v>0.6387112023442206</v>
      </c>
      <c r="G37" s="252">
        <f>МРСК!G40</f>
        <v>0.722</v>
      </c>
      <c r="H37" s="286">
        <f>МРСК!H40</f>
        <v>45</v>
      </c>
      <c r="I37" s="252">
        <f>МРСК!I40</f>
        <v>0.722</v>
      </c>
      <c r="J37" s="252">
        <f>МРСК!J40</f>
        <v>0</v>
      </c>
      <c r="K37" s="253">
        <f>МРСК!K40</f>
        <v>0.722</v>
      </c>
      <c r="L37" s="254">
        <f>МРСК!L40</f>
        <v>0.08328879765577935</v>
      </c>
      <c r="M37" s="254">
        <f t="shared" si="0"/>
        <v>0.08328879765577935</v>
      </c>
      <c r="N37" s="255"/>
      <c r="P37" s="248">
        <v>22</v>
      </c>
      <c r="Q37" s="2" t="s">
        <v>338</v>
      </c>
      <c r="R37" s="249">
        <f>'МРСК 2'!C40</f>
        <v>4</v>
      </c>
      <c r="S37" s="249">
        <f>'МРСК 2'!D40</f>
        <v>0</v>
      </c>
      <c r="T37" s="256">
        <f>'МРСК 2'!E40</f>
        <v>0.6387112023442206</v>
      </c>
      <c r="U37" s="252">
        <f>'МРСК 2'!F40</f>
        <v>0.722</v>
      </c>
      <c r="V37" s="286">
        <f>'МРСК 2'!G40</f>
        <v>45</v>
      </c>
      <c r="W37" s="252">
        <f>'МРСК 2'!H40</f>
        <v>-0.08328879765577935</v>
      </c>
      <c r="X37" s="252">
        <f>'МРСК 2'!I40</f>
        <v>0</v>
      </c>
      <c r="Y37" s="252">
        <f>'МРСК 2'!J40</f>
        <v>0.722</v>
      </c>
      <c r="Z37" s="254">
        <f>'МРСК 2'!K40</f>
        <v>0.08328879765577935</v>
      </c>
      <c r="AA37" s="254">
        <f t="shared" si="1"/>
        <v>0.08328879765577935</v>
      </c>
      <c r="AB37" s="255"/>
    </row>
    <row r="38" spans="1:28" ht="20.25" thickBot="1">
      <c r="A38" s="248">
        <v>23</v>
      </c>
      <c r="B38" s="2" t="s">
        <v>339</v>
      </c>
      <c r="C38" s="251">
        <f>МРСК!C41</f>
        <v>4</v>
      </c>
      <c r="D38" s="251">
        <f>МРСК!D41</f>
        <v>2305</v>
      </c>
      <c r="E38" s="251">
        <f>МРСК!E41</f>
        <v>974</v>
      </c>
      <c r="F38" s="244">
        <f>МРСК!F41</f>
        <v>2.502339105716889</v>
      </c>
      <c r="G38" s="252">
        <f>МРСК!G41</f>
        <v>1.84</v>
      </c>
      <c r="H38" s="286">
        <f>МРСК!H41</f>
        <v>80</v>
      </c>
      <c r="I38" s="252">
        <f>МРСК!I41</f>
        <v>1.84</v>
      </c>
      <c r="J38" s="252">
        <f>МРСК!J41</f>
        <v>0</v>
      </c>
      <c r="K38" s="253">
        <f>МРСК!K41</f>
        <v>1.84</v>
      </c>
      <c r="L38" s="254">
        <f>МРСК!L41</f>
        <v>-0.662339105716889</v>
      </c>
      <c r="M38" s="254">
        <f t="shared" si="0"/>
        <v>-0.662339105716889</v>
      </c>
      <c r="N38" s="255"/>
      <c r="P38" s="248">
        <v>23</v>
      </c>
      <c r="Q38" s="2" t="s">
        <v>339</v>
      </c>
      <c r="R38" s="249">
        <f>'МРСК 2'!C41</f>
        <v>4</v>
      </c>
      <c r="S38" s="249">
        <f>'МРСК 2'!D41</f>
        <v>0.08</v>
      </c>
      <c r="T38" s="256">
        <f>'МРСК 2'!E41</f>
        <v>2.582339105716889</v>
      </c>
      <c r="U38" s="252">
        <f>'МРСК 2'!F41</f>
        <v>1.84</v>
      </c>
      <c r="V38" s="286">
        <f>'МРСК 2'!G41</f>
        <v>80</v>
      </c>
      <c r="W38" s="252">
        <f>'МРСК 2'!H41</f>
        <v>0.7423391057168891</v>
      </c>
      <c r="X38" s="252">
        <f>'МРСК 2'!I41</f>
        <v>0</v>
      </c>
      <c r="Y38" s="252">
        <f>'МРСК 2'!J41</f>
        <v>1.84</v>
      </c>
      <c r="Z38" s="254">
        <f>'МРСК 2'!K41</f>
        <v>-0.7423391057168891</v>
      </c>
      <c r="AA38" s="254">
        <f t="shared" si="1"/>
        <v>-0.7423391057168891</v>
      </c>
      <c r="AB38" s="255"/>
    </row>
    <row r="39" spans="1:28" ht="20.25" thickBot="1">
      <c r="A39" s="248">
        <v>24</v>
      </c>
      <c r="B39" s="2" t="s">
        <v>340</v>
      </c>
      <c r="C39" s="251">
        <f>МРСК!C42</f>
        <v>2.5</v>
      </c>
      <c r="D39" s="251">
        <f>МРСК!D42</f>
        <v>122</v>
      </c>
      <c r="E39" s="251">
        <f>МРСК!E42</f>
        <v>72</v>
      </c>
      <c r="F39" s="244">
        <f>МРСК!F42</f>
        <v>0.14166156853571826</v>
      </c>
      <c r="G39" s="252">
        <f>МРСК!G42</f>
        <v>1.676</v>
      </c>
      <c r="H39" s="286">
        <f>МРСК!H42</f>
        <v>80</v>
      </c>
      <c r="I39" s="252">
        <f>МРСК!I42</f>
        <v>1.676</v>
      </c>
      <c r="J39" s="252">
        <f>МРСК!J42</f>
        <v>0</v>
      </c>
      <c r="K39" s="253">
        <f>МРСК!K42</f>
        <v>1.676</v>
      </c>
      <c r="L39" s="254">
        <f>МРСК!L42</f>
        <v>1.5343384314642816</v>
      </c>
      <c r="M39" s="254">
        <f t="shared" si="0"/>
        <v>1.5343384314642816</v>
      </c>
      <c r="N39" s="255"/>
      <c r="P39" s="248">
        <v>24</v>
      </c>
      <c r="Q39" s="2" t="s">
        <v>340</v>
      </c>
      <c r="R39" s="249">
        <f>'МРСК 2'!C42</f>
        <v>2.5</v>
      </c>
      <c r="S39" s="249">
        <f>'МРСК 2'!D42</f>
        <v>0</v>
      </c>
      <c r="T39" s="256">
        <f>'МРСК 2'!E42</f>
        <v>0.14166156853571826</v>
      </c>
      <c r="U39" s="252">
        <f>'МРСК 2'!F42</f>
        <v>1.676</v>
      </c>
      <c r="V39" s="286">
        <f>'МРСК 2'!G42</f>
        <v>80</v>
      </c>
      <c r="W39" s="252">
        <f>'МРСК 2'!H42</f>
        <v>-1.5343384314642816</v>
      </c>
      <c r="X39" s="252">
        <f>'МРСК 2'!I42</f>
        <v>0</v>
      </c>
      <c r="Y39" s="252">
        <f>'МРСК 2'!J42</f>
        <v>1.676</v>
      </c>
      <c r="Z39" s="254">
        <f>'МРСК 2'!K42</f>
        <v>1.5343384314642816</v>
      </c>
      <c r="AA39" s="254">
        <f t="shared" si="1"/>
        <v>1.5343384314642816</v>
      </c>
      <c r="AB39" s="255"/>
    </row>
    <row r="40" spans="1:28" ht="20.25" thickBot="1">
      <c r="A40" s="248">
        <v>25</v>
      </c>
      <c r="B40" s="2" t="s">
        <v>341</v>
      </c>
      <c r="C40" s="251">
        <f>МРСК!C43</f>
        <v>2.5</v>
      </c>
      <c r="D40" s="251">
        <f>МРСК!D43</f>
        <v>504</v>
      </c>
      <c r="E40" s="251">
        <f>МРСК!E43</f>
        <v>224</v>
      </c>
      <c r="F40" s="244">
        <f>МРСК!F43</f>
        <v>0.5515360369005818</v>
      </c>
      <c r="G40" s="252">
        <f>МРСК!G43</f>
        <v>0.6872</v>
      </c>
      <c r="H40" s="286">
        <f>МРСК!H43</f>
        <v>45</v>
      </c>
      <c r="I40" s="252">
        <f>МРСК!I43</f>
        <v>0.6872</v>
      </c>
      <c r="J40" s="252">
        <f>МРСК!J43</f>
        <v>0</v>
      </c>
      <c r="K40" s="253">
        <f>МРСК!K43</f>
        <v>0.6872</v>
      </c>
      <c r="L40" s="254">
        <f>МРСК!L43</f>
        <v>0.1356639630994182</v>
      </c>
      <c r="M40" s="254">
        <f t="shared" si="0"/>
        <v>0.1356639630994182</v>
      </c>
      <c r="N40" s="255"/>
      <c r="P40" s="248">
        <v>25</v>
      </c>
      <c r="Q40" s="2" t="s">
        <v>341</v>
      </c>
      <c r="R40" s="249">
        <f>'МРСК 2'!C43</f>
        <v>2.5</v>
      </c>
      <c r="S40" s="249">
        <f>'МРСК 2'!D43</f>
        <v>0.02</v>
      </c>
      <c r="T40" s="256">
        <f>'МРСК 2'!E43</f>
        <v>0.5715360369005819</v>
      </c>
      <c r="U40" s="252">
        <f>'МРСК 2'!F43</f>
        <v>0.6872</v>
      </c>
      <c r="V40" s="286">
        <f>'МРСК 2'!G43</f>
        <v>45</v>
      </c>
      <c r="W40" s="252">
        <f>'МРСК 2'!H43</f>
        <v>-0.11566396309941818</v>
      </c>
      <c r="X40" s="252">
        <f>'МРСК 2'!I43</f>
        <v>0</v>
      </c>
      <c r="Y40" s="252">
        <f>'МРСК 2'!J43</f>
        <v>0.6872</v>
      </c>
      <c r="Z40" s="254">
        <f>'МРСК 2'!K43</f>
        <v>0.11566396309941818</v>
      </c>
      <c r="AA40" s="254">
        <f t="shared" si="1"/>
        <v>0.11566396309941818</v>
      </c>
      <c r="AB40" s="255"/>
    </row>
    <row r="41" spans="1:28" ht="20.25" thickBot="1">
      <c r="A41" s="248">
        <v>26</v>
      </c>
      <c r="B41" s="2" t="s">
        <v>342</v>
      </c>
      <c r="C41" s="251">
        <f>МРСК!C44</f>
        <v>2.5</v>
      </c>
      <c r="D41" s="251">
        <f>МРСК!D44</f>
        <v>572</v>
      </c>
      <c r="E41" s="251">
        <f>МРСК!E44</f>
        <v>180</v>
      </c>
      <c r="F41" s="244">
        <f>МРСК!F44</f>
        <v>0.59965323312728</v>
      </c>
      <c r="G41" s="252">
        <f>МРСК!G44</f>
        <v>0.7238</v>
      </c>
      <c r="H41" s="286">
        <f>МРСК!H44</f>
        <v>120</v>
      </c>
      <c r="I41" s="252">
        <f>МРСК!I44</f>
        <v>0.7238</v>
      </c>
      <c r="J41" s="252">
        <f>МРСК!J44</f>
        <v>0</v>
      </c>
      <c r="K41" s="253">
        <f>МРСК!K44</f>
        <v>0.7238</v>
      </c>
      <c r="L41" s="254">
        <f>МРСК!L44</f>
        <v>0.12414676687271997</v>
      </c>
      <c r="M41" s="254">
        <f t="shared" si="0"/>
        <v>0.12414676687271997</v>
      </c>
      <c r="N41" s="255"/>
      <c r="P41" s="248">
        <v>26</v>
      </c>
      <c r="Q41" s="2" t="s">
        <v>342</v>
      </c>
      <c r="R41" s="249">
        <f>'МРСК 2'!C44</f>
        <v>2.5</v>
      </c>
      <c r="S41" s="249">
        <f>'МРСК 2'!D44</f>
        <v>0</v>
      </c>
      <c r="T41" s="256">
        <f>'МРСК 2'!E44</f>
        <v>0.59965323312728</v>
      </c>
      <c r="U41" s="252">
        <f>'МРСК 2'!F44</f>
        <v>0.7238</v>
      </c>
      <c r="V41" s="286">
        <f>'МРСК 2'!G44</f>
        <v>120</v>
      </c>
      <c r="W41" s="252">
        <f>'МРСК 2'!H44</f>
        <v>-0.12414676687271997</v>
      </c>
      <c r="X41" s="252">
        <f>'МРСК 2'!I44</f>
        <v>0</v>
      </c>
      <c r="Y41" s="252">
        <f>'МРСК 2'!J44</f>
        <v>0.7238</v>
      </c>
      <c r="Z41" s="254">
        <f>'МРСК 2'!K44</f>
        <v>0.12414676687271997</v>
      </c>
      <c r="AA41" s="254">
        <f t="shared" si="1"/>
        <v>0.12414676687271997</v>
      </c>
      <c r="AB41" s="255"/>
    </row>
    <row r="42" spans="1:28" ht="20.25" thickBot="1">
      <c r="A42" s="248">
        <v>27</v>
      </c>
      <c r="B42" s="2" t="s">
        <v>343</v>
      </c>
      <c r="C42" s="251">
        <f>МРСК!C45</f>
        <v>2.5</v>
      </c>
      <c r="D42" s="251">
        <f>МРСК!D45</f>
        <v>552</v>
      </c>
      <c r="E42" s="251">
        <f>МРСК!E45</f>
        <v>236</v>
      </c>
      <c r="F42" s="244">
        <f>МРСК!F45</f>
        <v>0.6003332407921453</v>
      </c>
      <c r="G42" s="252">
        <f>МРСК!G45</f>
        <v>0.6797</v>
      </c>
      <c r="H42" s="286">
        <f>МРСК!H45</f>
        <v>120</v>
      </c>
      <c r="I42" s="252">
        <f>МРСК!I45</f>
        <v>0.6797</v>
      </c>
      <c r="J42" s="252">
        <f>МРСК!J45</f>
        <v>0</v>
      </c>
      <c r="K42" s="253">
        <f>МРСК!K45</f>
        <v>0.6797</v>
      </c>
      <c r="L42" s="254">
        <f>МРСК!L45</f>
        <v>0.07936675920785463</v>
      </c>
      <c r="M42" s="254">
        <f t="shared" si="0"/>
        <v>0.07936675920785463</v>
      </c>
      <c r="N42" s="255"/>
      <c r="P42" s="248">
        <v>27</v>
      </c>
      <c r="Q42" s="2" t="s">
        <v>343</v>
      </c>
      <c r="R42" s="249">
        <f>'МРСК 2'!C45</f>
        <v>2.5</v>
      </c>
      <c r="S42" s="249">
        <f>'МРСК 2'!D45</f>
        <v>0</v>
      </c>
      <c r="T42" s="256">
        <f>'МРСК 2'!E45</f>
        <v>0.6003332407921453</v>
      </c>
      <c r="U42" s="252">
        <f>'МРСК 2'!F45</f>
        <v>0.6797</v>
      </c>
      <c r="V42" s="286">
        <f>'МРСК 2'!G45</f>
        <v>120</v>
      </c>
      <c r="W42" s="252">
        <f>'МРСК 2'!H45</f>
        <v>-0.07936675920785463</v>
      </c>
      <c r="X42" s="252">
        <f>'МРСК 2'!I45</f>
        <v>0</v>
      </c>
      <c r="Y42" s="252">
        <f>'МРСК 2'!J45</f>
        <v>0.6797</v>
      </c>
      <c r="Z42" s="254">
        <f>'МРСК 2'!K45</f>
        <v>0.07936675920785463</v>
      </c>
      <c r="AA42" s="254">
        <f t="shared" si="1"/>
        <v>0.07936675920785463</v>
      </c>
      <c r="AB42" s="255"/>
    </row>
    <row r="43" spans="1:28" ht="20.25" thickBot="1">
      <c r="A43" s="235" t="s">
        <v>344</v>
      </c>
      <c r="B43" s="236"/>
      <c r="C43" s="236"/>
      <c r="D43" s="236"/>
      <c r="E43" s="236"/>
      <c r="F43" s="237"/>
      <c r="G43" s="236"/>
      <c r="H43" s="236"/>
      <c r="I43" s="236"/>
      <c r="J43" s="236"/>
      <c r="K43" s="236"/>
      <c r="L43" s="236"/>
      <c r="M43" s="236"/>
      <c r="N43" s="238"/>
      <c r="P43" s="235" t="s">
        <v>344</v>
      </c>
      <c r="Q43" s="236"/>
      <c r="R43" s="236"/>
      <c r="S43" s="236"/>
      <c r="T43" s="237"/>
      <c r="U43" s="236"/>
      <c r="V43" s="236"/>
      <c r="W43" s="236"/>
      <c r="X43" s="236"/>
      <c r="Y43" s="236"/>
      <c r="Z43" s="236"/>
      <c r="AA43" s="236"/>
      <c r="AB43" s="238"/>
    </row>
    <row r="44" spans="1:28" ht="39.75" thickBot="1">
      <c r="A44" s="287">
        <v>28</v>
      </c>
      <c r="B44" s="34" t="s">
        <v>345</v>
      </c>
      <c r="C44" s="276" t="str">
        <f>МРСК!C47</f>
        <v>16+16</v>
      </c>
      <c r="D44" s="276">
        <f>МРСК!D47</f>
        <v>11143</v>
      </c>
      <c r="E44" s="276">
        <f>МРСК!E47</f>
        <v>5340</v>
      </c>
      <c r="F44" s="253">
        <f>МРСК!F47</f>
        <v>12.356457785304006</v>
      </c>
      <c r="G44" s="277">
        <f>МРСК!G47</f>
        <v>3.561</v>
      </c>
      <c r="H44" s="288">
        <f>МРСК!H47</f>
        <v>45</v>
      </c>
      <c r="I44" s="277">
        <f>МРСК!I47</f>
        <v>8.795457785304006</v>
      </c>
      <c r="J44" s="253">
        <f>МРСК!J47</f>
        <v>0</v>
      </c>
      <c r="K44" s="289">
        <f>МРСК!K47</f>
        <v>16.8</v>
      </c>
      <c r="L44" s="277">
        <f>МРСК!L47</f>
        <v>8.004542214695995</v>
      </c>
      <c r="M44" s="277">
        <f>L44</f>
        <v>8.004542214695995</v>
      </c>
      <c r="N44" s="278"/>
      <c r="P44" s="287">
        <v>28</v>
      </c>
      <c r="Q44" s="34" t="s">
        <v>345</v>
      </c>
      <c r="R44" s="276" t="str">
        <f>'МРСК 2'!C47</f>
        <v>16+16</v>
      </c>
      <c r="S44" s="276">
        <f>'МРСК 2'!D47</f>
        <v>0.72</v>
      </c>
      <c r="T44" s="253">
        <f>'МРСК 2'!E47</f>
        <v>13.076457785304006</v>
      </c>
      <c r="U44" s="277">
        <f>'МРСК 2'!F47</f>
        <v>3.561</v>
      </c>
      <c r="V44" s="288">
        <f>'МРСК 2'!G47</f>
        <v>45</v>
      </c>
      <c r="W44" s="254">
        <f>'МРСК 2'!H47</f>
        <v>9.515457785304006</v>
      </c>
      <c r="X44" s="253">
        <f>'МРСК 2'!I47</f>
        <v>0</v>
      </c>
      <c r="Y44" s="289">
        <f>'МРСК 2'!J47</f>
        <v>16.8</v>
      </c>
      <c r="Z44" s="277">
        <f>'МРСК 2'!K47</f>
        <v>7.284542214695994</v>
      </c>
      <c r="AA44" s="277">
        <f>Z44</f>
        <v>7.284542214695994</v>
      </c>
      <c r="AB44" s="278"/>
    </row>
    <row r="45" spans="1:28" ht="20.25" thickTop="1">
      <c r="A45" s="266">
        <v>29</v>
      </c>
      <c r="B45" s="82" t="s">
        <v>346</v>
      </c>
      <c r="C45" s="267" t="str">
        <f>МРСК!C48</f>
        <v>16+10</v>
      </c>
      <c r="D45" s="267">
        <f>МРСК!D48</f>
        <v>8156</v>
      </c>
      <c r="E45" s="267">
        <f>МРСК!E48</f>
        <v>3395</v>
      </c>
      <c r="F45" s="253">
        <f>МРСК!F48</f>
        <v>8.834385151214542</v>
      </c>
      <c r="G45" s="268">
        <f>МРСК!G48</f>
        <v>8.95</v>
      </c>
      <c r="H45" s="269">
        <f>МРСК!H48</f>
        <v>120</v>
      </c>
      <c r="I45" s="270">
        <f>МРСК!I48</f>
        <v>-0.11561484878545691</v>
      </c>
      <c r="J45" s="270">
        <f>МРСК!J48</f>
        <v>0</v>
      </c>
      <c r="K45" s="270">
        <f>МРСК!K48</f>
        <v>10.5</v>
      </c>
      <c r="L45" s="271">
        <f>МРСК!L48</f>
        <v>10.615614848785457</v>
      </c>
      <c r="M45" s="394">
        <f>MIN(L45:L47)</f>
        <v>10.391611999901599</v>
      </c>
      <c r="N45" s="272"/>
      <c r="P45" s="266">
        <v>29</v>
      </c>
      <c r="Q45" s="82" t="s">
        <v>346</v>
      </c>
      <c r="R45" s="267" t="str">
        <f>'МРСК 2'!C48</f>
        <v>16+10</v>
      </c>
      <c r="S45" s="267">
        <f>'МРСК 2'!D48</f>
        <v>0</v>
      </c>
      <c r="T45" s="273">
        <f>'МРСК 2'!E48</f>
        <v>8.834385151214542</v>
      </c>
      <c r="U45" s="268">
        <f>'МРСК 2'!F48</f>
        <v>8.95</v>
      </c>
      <c r="V45" s="269">
        <f>'МРСК 2'!G48</f>
        <v>120</v>
      </c>
      <c r="W45" s="270">
        <f>'МРСК 2'!H48</f>
        <v>-0.11561484878545691</v>
      </c>
      <c r="X45" s="270">
        <f>'МРСК 2'!I48</f>
        <v>0</v>
      </c>
      <c r="Y45" s="270">
        <f>'МРСК 2'!J48</f>
        <v>10.5</v>
      </c>
      <c r="Z45" s="271">
        <f>'МРСК 2'!K48</f>
        <v>10.615614848785457</v>
      </c>
      <c r="AA45" s="391">
        <f>MIN(Z45:Z47)</f>
        <v>10.391611999901599</v>
      </c>
      <c r="AB45" s="272"/>
    </row>
    <row r="46" spans="1:28" ht="19.5">
      <c r="A46" s="248"/>
      <c r="B46" s="2" t="s">
        <v>315</v>
      </c>
      <c r="C46" s="249" t="str">
        <f>МРСК!C49</f>
        <v>16+10</v>
      </c>
      <c r="D46" s="249">
        <f>МРСК!D49</f>
        <v>6832</v>
      </c>
      <c r="E46" s="249">
        <f>МРСК!E49</f>
        <v>2839</v>
      </c>
      <c r="F46" s="253">
        <f>МРСК!F49</f>
        <v>7.3983880000984</v>
      </c>
      <c r="G46" s="250">
        <f>МРСК!G49</f>
        <v>7.29</v>
      </c>
      <c r="H46" s="251">
        <f>МРСК!H49</f>
        <v>0</v>
      </c>
      <c r="I46" s="252">
        <f>МРСК!I49</f>
        <v>0.1083880000984001</v>
      </c>
      <c r="J46" s="252">
        <f>МРСК!J49</f>
        <v>0</v>
      </c>
      <c r="K46" s="253">
        <f>МРСК!K49</f>
        <v>10.5</v>
      </c>
      <c r="L46" s="254">
        <f>МРСК!L49</f>
        <v>10.391611999901599</v>
      </c>
      <c r="M46" s="395"/>
      <c r="N46" s="255"/>
      <c r="P46" s="248"/>
      <c r="Q46" s="2" t="s">
        <v>315</v>
      </c>
      <c r="R46" s="249" t="str">
        <f>'МРСК 2'!C49</f>
        <v>16+10</v>
      </c>
      <c r="S46" s="249">
        <f>'МРСК 2'!D49</f>
        <v>0</v>
      </c>
      <c r="T46" s="256">
        <f>'МРСК 2'!E49</f>
        <v>7.3983880000984</v>
      </c>
      <c r="U46" s="250">
        <f>'МРСК 2'!F49</f>
        <v>7.29</v>
      </c>
      <c r="V46" s="251">
        <f>'МРСК 2'!G49</f>
        <v>0</v>
      </c>
      <c r="W46" s="252">
        <f>'МРСК 2'!H49</f>
        <v>0.1083880000984001</v>
      </c>
      <c r="X46" s="252">
        <f>'МРСК 2'!I49</f>
        <v>0</v>
      </c>
      <c r="Y46" s="252">
        <f>'МРСК 2'!J49</f>
        <v>10.5</v>
      </c>
      <c r="Z46" s="254">
        <f>'МРСК 2'!K49</f>
        <v>10.391611999901599</v>
      </c>
      <c r="AA46" s="392"/>
      <c r="AB46" s="255"/>
    </row>
    <row r="47" spans="1:28" ht="20.25" thickBot="1">
      <c r="A47" s="257"/>
      <c r="B47" s="73" t="s">
        <v>316</v>
      </c>
      <c r="C47" s="258" t="str">
        <f>МРСК!C50</f>
        <v>16+10</v>
      </c>
      <c r="D47" s="258">
        <f>МРСК!D50</f>
        <v>1324</v>
      </c>
      <c r="E47" s="258">
        <f>МРСК!E50</f>
        <v>556</v>
      </c>
      <c r="F47" s="253">
        <f>МРСК!F50</f>
        <v>1.4360055710198343</v>
      </c>
      <c r="G47" s="259">
        <f>МРСК!G50</f>
        <v>1.6599999999999993</v>
      </c>
      <c r="H47" s="260">
        <f>МРСК!H50</f>
        <v>0</v>
      </c>
      <c r="I47" s="261">
        <f>МРСК!I50</f>
        <v>-0.22399442898016497</v>
      </c>
      <c r="J47" s="261">
        <f>МРСК!J50</f>
        <v>0</v>
      </c>
      <c r="K47" s="262">
        <f>МРСК!K50</f>
        <v>10.5</v>
      </c>
      <c r="L47" s="263">
        <f>МРСК!L50</f>
        <v>10.723994428980165</v>
      </c>
      <c r="M47" s="396"/>
      <c r="N47" s="264"/>
      <c r="P47" s="257"/>
      <c r="Q47" s="73" t="s">
        <v>316</v>
      </c>
      <c r="R47" s="258" t="str">
        <f>'МРСК 2'!C50</f>
        <v>16+10</v>
      </c>
      <c r="S47" s="258">
        <f>'МРСК 2'!D50</f>
        <v>0</v>
      </c>
      <c r="T47" s="265">
        <f>'МРСК 2'!E50</f>
        <v>1.4360055710198343</v>
      </c>
      <c r="U47" s="259">
        <f>'МРСК 2'!F50</f>
        <v>1.6599999999999993</v>
      </c>
      <c r="V47" s="260">
        <f>'МРСК 2'!G50</f>
        <v>0</v>
      </c>
      <c r="W47" s="261">
        <f>'МРСК 2'!H50</f>
        <v>-0.22399442898016497</v>
      </c>
      <c r="X47" s="261">
        <f>'МРСК 2'!I50</f>
        <v>0</v>
      </c>
      <c r="Y47" s="261">
        <f>'МРСК 2'!J50</f>
        <v>10.5</v>
      </c>
      <c r="Z47" s="263">
        <f>'МРСК 2'!K50</f>
        <v>10.723994428980165</v>
      </c>
      <c r="AA47" s="393"/>
      <c r="AB47" s="264"/>
    </row>
    <row r="48" spans="1:28" ht="20.25" thickTop="1">
      <c r="A48" s="266">
        <v>30</v>
      </c>
      <c r="B48" s="82" t="s">
        <v>347</v>
      </c>
      <c r="C48" s="267" t="str">
        <f>МРСК!C51</f>
        <v>25+25</v>
      </c>
      <c r="D48" s="267">
        <f>МРСК!D51</f>
        <v>7539</v>
      </c>
      <c r="E48" s="267">
        <f>МРСК!E51</f>
        <v>3956</v>
      </c>
      <c r="F48" s="253">
        <f>МРСК!F51</f>
        <v>8.513897873477225</v>
      </c>
      <c r="G48" s="268">
        <f>МРСК!G51</f>
        <v>8.37</v>
      </c>
      <c r="H48" s="269">
        <f>МРСК!H51</f>
        <v>80</v>
      </c>
      <c r="I48" s="270">
        <f>МРСК!I51</f>
        <v>0.1438978734772256</v>
      </c>
      <c r="J48" s="270">
        <f>МРСК!J51</f>
        <v>0</v>
      </c>
      <c r="K48" s="270">
        <f>МРСК!K51</f>
        <v>26.25</v>
      </c>
      <c r="L48" s="271">
        <f>МРСК!L51</f>
        <v>26.106102126522774</v>
      </c>
      <c r="M48" s="394">
        <f>MIN(L48:L50)</f>
        <v>25.164854730217378</v>
      </c>
      <c r="N48" s="272"/>
      <c r="P48" s="266">
        <v>30</v>
      </c>
      <c r="Q48" s="82" t="s">
        <v>347</v>
      </c>
      <c r="R48" s="267" t="str">
        <f>'МРСК 2'!C51</f>
        <v>25+25</v>
      </c>
      <c r="S48" s="267">
        <f>'МРСК 2'!D51</f>
        <v>13.06</v>
      </c>
      <c r="T48" s="273">
        <f>'МРСК 2'!E51</f>
        <v>21.573897873477225</v>
      </c>
      <c r="U48" s="268">
        <f>'МРСК 2'!F51</f>
        <v>8.37</v>
      </c>
      <c r="V48" s="269">
        <f>'МРСК 2'!G51</f>
        <v>80</v>
      </c>
      <c r="W48" s="270">
        <f>'МРСК 2'!H51</f>
        <v>13.203897873477226</v>
      </c>
      <c r="X48" s="270">
        <f>'МРСК 2'!I51</f>
        <v>0</v>
      </c>
      <c r="Y48" s="270">
        <f>'МРСК 2'!J51</f>
        <v>26.25</v>
      </c>
      <c r="Z48" s="271">
        <f>'МРСК 2'!K51</f>
        <v>13.046102126522774</v>
      </c>
      <c r="AA48" s="391">
        <f>MIN(Z48:Z50)</f>
        <v>13.046102126522774</v>
      </c>
      <c r="AB48" s="272"/>
    </row>
    <row r="49" spans="1:28" ht="19.5">
      <c r="A49" s="248"/>
      <c r="B49" s="2" t="s">
        <v>315</v>
      </c>
      <c r="C49" s="249" t="str">
        <f>МРСК!C52</f>
        <v>25+25</v>
      </c>
      <c r="D49" s="249">
        <f>МРСК!D52</f>
        <v>7157</v>
      </c>
      <c r="E49" s="249">
        <f>МРСК!E52</f>
        <v>3056</v>
      </c>
      <c r="F49" s="253">
        <f>МРСК!F52</f>
        <v>7.78214526978262</v>
      </c>
      <c r="G49" s="250">
        <f>МРСК!G52</f>
        <v>6.697</v>
      </c>
      <c r="H49" s="251">
        <f>МРСК!H52</f>
        <v>0</v>
      </c>
      <c r="I49" s="252">
        <f>МРСК!I52</f>
        <v>1.08514526978262</v>
      </c>
      <c r="J49" s="252">
        <f>МРСК!J52</f>
        <v>0</v>
      </c>
      <c r="K49" s="253">
        <f>МРСК!K52</f>
        <v>26.25</v>
      </c>
      <c r="L49" s="254">
        <f>МРСК!L52</f>
        <v>25.164854730217378</v>
      </c>
      <c r="M49" s="395"/>
      <c r="N49" s="255"/>
      <c r="P49" s="248"/>
      <c r="Q49" s="2" t="s">
        <v>315</v>
      </c>
      <c r="R49" s="249" t="str">
        <f>'МРСК 2'!C52</f>
        <v>25+25</v>
      </c>
      <c r="S49" s="249">
        <f>'МРСК 2'!D52</f>
        <v>0</v>
      </c>
      <c r="T49" s="256">
        <f>'МРСК 2'!E52</f>
        <v>7.78214526978262</v>
      </c>
      <c r="U49" s="250">
        <f>'МРСК 2'!F52</f>
        <v>6.697</v>
      </c>
      <c r="V49" s="251">
        <f>'МРСК 2'!G52</f>
        <v>0</v>
      </c>
      <c r="W49" s="252">
        <f>'МРСК 2'!H52</f>
        <v>1.08514526978262</v>
      </c>
      <c r="X49" s="252">
        <f>'МРСК 2'!I52</f>
        <v>0</v>
      </c>
      <c r="Y49" s="252">
        <f>'МРСК 2'!J52</f>
        <v>26.25</v>
      </c>
      <c r="Z49" s="254">
        <f>'МРСК 2'!K52</f>
        <v>25.164854730217378</v>
      </c>
      <c r="AA49" s="392"/>
      <c r="AB49" s="255"/>
    </row>
    <row r="50" spans="1:28" ht="20.25" thickBot="1">
      <c r="A50" s="257"/>
      <c r="B50" s="73" t="s">
        <v>316</v>
      </c>
      <c r="C50" s="258" t="str">
        <f>МРСК!C53</f>
        <v>25+25</v>
      </c>
      <c r="D50" s="249">
        <f>МРСК!D53</f>
        <v>382</v>
      </c>
      <c r="E50" s="249">
        <f>МРСК!E53</f>
        <v>900</v>
      </c>
      <c r="F50" s="253">
        <f>МРСК!F53</f>
        <v>0.9777136595138681</v>
      </c>
      <c r="G50" s="259">
        <f>МРСК!G53</f>
        <v>1.6729999999999992</v>
      </c>
      <c r="H50" s="260">
        <f>МРСК!H53</f>
        <v>0</v>
      </c>
      <c r="I50" s="261">
        <f>МРСК!I53</f>
        <v>-0.695286340486131</v>
      </c>
      <c r="J50" s="261">
        <f>МРСК!J53</f>
        <v>0</v>
      </c>
      <c r="K50" s="262">
        <f>МРСК!K53</f>
        <v>26.25</v>
      </c>
      <c r="L50" s="263">
        <f>МРСК!L53</f>
        <v>26.94528634048613</v>
      </c>
      <c r="M50" s="396"/>
      <c r="N50" s="264"/>
      <c r="P50" s="257"/>
      <c r="Q50" s="73" t="s">
        <v>316</v>
      </c>
      <c r="R50" s="258" t="str">
        <f>'МРСК 2'!C53</f>
        <v>25+25</v>
      </c>
      <c r="S50" s="258">
        <f>'МРСК 2'!D53</f>
        <v>13.06</v>
      </c>
      <c r="T50" s="265">
        <f>'МРСК 2'!E53</f>
        <v>14.03771365951387</v>
      </c>
      <c r="U50" s="259">
        <f>'МРСК 2'!F53</f>
        <v>1.6729999999999992</v>
      </c>
      <c r="V50" s="260">
        <f>'МРСК 2'!G53</f>
        <v>0</v>
      </c>
      <c r="W50" s="261">
        <f>'МРСК 2'!H53</f>
        <v>12.364713659513871</v>
      </c>
      <c r="X50" s="261">
        <f>'МРСК 2'!I53</f>
        <v>0</v>
      </c>
      <c r="Y50" s="261">
        <f>'МРСК 2'!J53</f>
        <v>26.25</v>
      </c>
      <c r="Z50" s="263">
        <f>'МРСК 2'!K53</f>
        <v>13.885286340486129</v>
      </c>
      <c r="AA50" s="393"/>
      <c r="AB50" s="264"/>
    </row>
    <row r="51" spans="1:28" ht="21" thickBot="1" thickTop="1">
      <c r="A51" s="266">
        <v>31</v>
      </c>
      <c r="B51" s="82" t="s">
        <v>348</v>
      </c>
      <c r="C51" s="267" t="str">
        <f>МРСК!C54</f>
        <v>25+25+25</v>
      </c>
      <c r="D51" s="267">
        <f>МРСК!D54</f>
        <v>40243</v>
      </c>
      <c r="E51" s="267">
        <f>МРСК!E54</f>
        <v>18062</v>
      </c>
      <c r="F51" s="253">
        <f>МРСК!F54</f>
        <v>44.11048506874528</v>
      </c>
      <c r="G51" s="268">
        <f>МРСК!G54</f>
        <v>5.322</v>
      </c>
      <c r="H51" s="269">
        <f>МРСК!H54</f>
        <v>120</v>
      </c>
      <c r="I51" s="270">
        <f>МРСК!I54</f>
        <v>38.788485068745274</v>
      </c>
      <c r="J51" s="270">
        <f>МРСК!J54</f>
        <v>0</v>
      </c>
      <c r="K51" s="270">
        <f>МРСК!K54</f>
        <v>52.5</v>
      </c>
      <c r="L51" s="271">
        <f>МРСК!L54</f>
        <v>13.711514931254726</v>
      </c>
      <c r="M51" s="394">
        <f>MIN(L51:L53)</f>
        <v>13.711514931254726</v>
      </c>
      <c r="N51" s="272"/>
      <c r="P51" s="266">
        <v>31</v>
      </c>
      <c r="Q51" s="82" t="s">
        <v>348</v>
      </c>
      <c r="R51" s="267" t="str">
        <f>'МРСК 2'!C54</f>
        <v>25+25+25</v>
      </c>
      <c r="S51" s="267">
        <f>'МРСК 2'!D54</f>
        <v>0.54</v>
      </c>
      <c r="T51" s="273">
        <f>'МРСК 2'!E54</f>
        <v>44.650485068745276</v>
      </c>
      <c r="U51" s="268">
        <f>'МРСК 2'!F54</f>
        <v>5.322</v>
      </c>
      <c r="V51" s="269">
        <f>'МРСК 2'!G54</f>
        <v>120</v>
      </c>
      <c r="W51" s="270">
        <f>'МРСК 2'!H54</f>
        <v>39.32848506874527</v>
      </c>
      <c r="X51" s="270">
        <f>'МРСК 2'!I54</f>
        <v>0</v>
      </c>
      <c r="Y51" s="270">
        <f>'МРСК 2'!J54</f>
        <v>52.5</v>
      </c>
      <c r="Z51" s="271">
        <f>'МРСК 2'!K54</f>
        <v>13.171514931254727</v>
      </c>
      <c r="AA51" s="391">
        <f>MIN(Z51:Z53)</f>
        <v>13.171514931254727</v>
      </c>
      <c r="AB51" s="272"/>
    </row>
    <row r="52" spans="1:28" ht="21" thickBot="1" thickTop="1">
      <c r="A52" s="248"/>
      <c r="B52" s="2" t="s">
        <v>315</v>
      </c>
      <c r="C52" s="249" t="str">
        <f>МРСК!C55</f>
        <v>25+25+25</v>
      </c>
      <c r="D52" s="249">
        <f>МРСК!D55</f>
        <v>17603</v>
      </c>
      <c r="E52" s="249">
        <f>МРСК!E55</f>
        <v>7822</v>
      </c>
      <c r="F52" s="253">
        <f>МРСК!F55</f>
        <v>19.262639824281614</v>
      </c>
      <c r="G52" s="250">
        <f>МРСК!G55</f>
        <v>3.102</v>
      </c>
      <c r="H52" s="251">
        <f>МРСК!H55</f>
        <v>0</v>
      </c>
      <c r="I52" s="252">
        <f>МРСК!I55</f>
        <v>16.160639824281613</v>
      </c>
      <c r="J52" s="252">
        <f>МРСК!J55</f>
        <v>0</v>
      </c>
      <c r="K52" s="253">
        <f>МРСК!K55</f>
        <v>52.5</v>
      </c>
      <c r="L52" s="254">
        <f>МРСК!L55</f>
        <v>36.33936017571838</v>
      </c>
      <c r="M52" s="395"/>
      <c r="N52" s="255"/>
      <c r="P52" s="248"/>
      <c r="Q52" s="2" t="s">
        <v>315</v>
      </c>
      <c r="R52" s="267" t="str">
        <f>'МРСК 2'!C55</f>
        <v>25+25+25</v>
      </c>
      <c r="S52" s="249">
        <f>'МРСК 2'!D55</f>
        <v>0</v>
      </c>
      <c r="T52" s="256">
        <f>'МРСК 2'!E55</f>
        <v>19.262639824281614</v>
      </c>
      <c r="U52" s="250">
        <f>'МРСК 2'!F55</f>
        <v>3.102</v>
      </c>
      <c r="V52" s="251">
        <f>'МРСК 2'!G55</f>
        <v>0</v>
      </c>
      <c r="W52" s="252">
        <f>'МРСК 2'!H55</f>
        <v>16.160639824281613</v>
      </c>
      <c r="X52" s="252">
        <f>'МРСК 2'!I55</f>
        <v>0</v>
      </c>
      <c r="Y52" s="252">
        <f>'МРСК 2'!J55</f>
        <v>52.5</v>
      </c>
      <c r="Z52" s="254">
        <f>'МРСК 2'!K55</f>
        <v>36.33936017571838</v>
      </c>
      <c r="AA52" s="392"/>
      <c r="AB52" s="255"/>
    </row>
    <row r="53" spans="1:28" ht="21" thickBot="1" thickTop="1">
      <c r="A53" s="257"/>
      <c r="B53" s="73" t="s">
        <v>316</v>
      </c>
      <c r="C53" s="258" t="str">
        <f>МРСК!C56</f>
        <v>25+25+25</v>
      </c>
      <c r="D53" s="258">
        <f>МРСК!D56</f>
        <v>22640</v>
      </c>
      <c r="E53" s="258">
        <f>МРСК!E56</f>
        <v>10240</v>
      </c>
      <c r="F53" s="253">
        <f>МРСК!F56</f>
        <v>24.848082420983715</v>
      </c>
      <c r="G53" s="259">
        <f>МРСК!G56</f>
        <v>2.22</v>
      </c>
      <c r="H53" s="260">
        <f>МРСК!H56</f>
        <v>0</v>
      </c>
      <c r="I53" s="261">
        <f>МРСК!I56</f>
        <v>22.628082420983716</v>
      </c>
      <c r="J53" s="261">
        <f>МРСК!J56</f>
        <v>0</v>
      </c>
      <c r="K53" s="262">
        <f>МРСК!K56</f>
        <v>52.5</v>
      </c>
      <c r="L53" s="263">
        <f>МРСК!L56</f>
        <v>29.871917579016284</v>
      </c>
      <c r="M53" s="396"/>
      <c r="N53" s="264"/>
      <c r="P53" s="257"/>
      <c r="Q53" s="73" t="s">
        <v>316</v>
      </c>
      <c r="R53" s="267" t="str">
        <f>'МРСК 2'!C56</f>
        <v>25+25+25</v>
      </c>
      <c r="S53" s="258">
        <f>'МРСК 2'!D56</f>
        <v>0.54</v>
      </c>
      <c r="T53" s="265">
        <f>'МРСК 2'!E56</f>
        <v>25.388082420983714</v>
      </c>
      <c r="U53" s="259">
        <f>'МРСК 2'!F56</f>
        <v>2.22</v>
      </c>
      <c r="V53" s="260">
        <f>'МРСК 2'!G56</f>
        <v>0</v>
      </c>
      <c r="W53" s="261">
        <f>'МРСК 2'!H56</f>
        <v>23.168082420983716</v>
      </c>
      <c r="X53" s="261">
        <f>'МРСК 2'!I56</f>
        <v>0</v>
      </c>
      <c r="Y53" s="261">
        <f>'МРСК 2'!J56</f>
        <v>52.5</v>
      </c>
      <c r="Z53" s="263">
        <f>'МРСК 2'!K56</f>
        <v>29.331917579016284</v>
      </c>
      <c r="AA53" s="393"/>
      <c r="AB53" s="264"/>
    </row>
    <row r="54" spans="1:28" ht="20.25" thickTop="1">
      <c r="A54" s="266">
        <v>32</v>
      </c>
      <c r="B54" s="82" t="s">
        <v>349</v>
      </c>
      <c r="C54" s="267" t="str">
        <f>МРСК!C57</f>
        <v>10+16</v>
      </c>
      <c r="D54" s="267">
        <f>МРСК!D57</f>
        <v>9058</v>
      </c>
      <c r="E54" s="267">
        <f>МРСК!E57</f>
        <v>3808</v>
      </c>
      <c r="F54" s="253">
        <f>МРСК!F57</f>
        <v>9.825895786135735</v>
      </c>
      <c r="G54" s="268">
        <f>МРСК!G57</f>
        <v>8.87</v>
      </c>
      <c r="H54" s="269">
        <f>МРСК!H57</f>
        <v>45</v>
      </c>
      <c r="I54" s="270">
        <f>МРСК!I57</f>
        <v>0.955895786135736</v>
      </c>
      <c r="J54" s="270">
        <f>МРСК!J57</f>
        <v>0</v>
      </c>
      <c r="K54" s="270">
        <f>МРСК!K57</f>
        <v>10.5</v>
      </c>
      <c r="L54" s="271">
        <f>МРСК!L57</f>
        <v>9.544104213864264</v>
      </c>
      <c r="M54" s="394">
        <f>MIN(L54:L56)</f>
        <v>9.544104213864264</v>
      </c>
      <c r="N54" s="272"/>
      <c r="P54" s="266">
        <v>32</v>
      </c>
      <c r="Q54" s="82" t="s">
        <v>349</v>
      </c>
      <c r="R54" s="267" t="str">
        <f>'МРСК 2'!C57</f>
        <v>10+16</v>
      </c>
      <c r="S54" s="267">
        <f>'МРСК 2'!D57</f>
        <v>0.05</v>
      </c>
      <c r="T54" s="273">
        <f>'МРСК 2'!E57</f>
        <v>9.875895786135736</v>
      </c>
      <c r="U54" s="268">
        <f>'МРСК 2'!F57</f>
        <v>8.87</v>
      </c>
      <c r="V54" s="269">
        <f>'МРСК 2'!G57</f>
        <v>45</v>
      </c>
      <c r="W54" s="270">
        <f>'МРСК 2'!H57</f>
        <v>1.0058957861357367</v>
      </c>
      <c r="X54" s="270">
        <f>'МРСК 2'!I57</f>
        <v>0</v>
      </c>
      <c r="Y54" s="270">
        <f>'МРСК 2'!J57</f>
        <v>10.5</v>
      </c>
      <c r="Z54" s="271">
        <f>'МРСК 2'!K57</f>
        <v>9.494104213864263</v>
      </c>
      <c r="AA54" s="391">
        <f>MIN(Z54:Z56)</f>
        <v>9.494104213864263</v>
      </c>
      <c r="AB54" s="272"/>
    </row>
    <row r="55" spans="1:28" ht="19.5">
      <c r="A55" s="248"/>
      <c r="B55" s="2" t="s">
        <v>315</v>
      </c>
      <c r="C55" s="249" t="str">
        <f>МРСК!C58</f>
        <v>10+16</v>
      </c>
      <c r="D55" s="249">
        <f>МРСК!D58</f>
        <v>8537</v>
      </c>
      <c r="E55" s="249">
        <f>МРСК!E58</f>
        <v>3612</v>
      </c>
      <c r="F55" s="253">
        <f>МРСК!F58</f>
        <v>9.269677070966388</v>
      </c>
      <c r="G55" s="250">
        <f>МРСК!G58</f>
        <v>8.867</v>
      </c>
      <c r="H55" s="251">
        <f>МРСК!H58</f>
        <v>0</v>
      </c>
      <c r="I55" s="252">
        <f>МРСК!I58</f>
        <v>0.40267707096638716</v>
      </c>
      <c r="J55" s="252">
        <f>МРСК!J58</f>
        <v>0</v>
      </c>
      <c r="K55" s="253">
        <f>МРСК!K58</f>
        <v>10.5</v>
      </c>
      <c r="L55" s="254">
        <f>МРСК!L58</f>
        <v>10.097322929033613</v>
      </c>
      <c r="M55" s="395"/>
      <c r="N55" s="255"/>
      <c r="P55" s="248"/>
      <c r="Q55" s="2" t="s">
        <v>315</v>
      </c>
      <c r="R55" s="249" t="str">
        <f>'МРСК 2'!C58</f>
        <v>10+16</v>
      </c>
      <c r="S55" s="249">
        <f>'МРСК 2'!D58</f>
        <v>0</v>
      </c>
      <c r="T55" s="256">
        <f>'МРСК 2'!E58</f>
        <v>9.269677070966388</v>
      </c>
      <c r="U55" s="250">
        <f>'МРСК 2'!F58</f>
        <v>8.867</v>
      </c>
      <c r="V55" s="251">
        <f>'МРСК 2'!G58</f>
        <v>0</v>
      </c>
      <c r="W55" s="252">
        <f>'МРСК 2'!H58</f>
        <v>0.40267707096638716</v>
      </c>
      <c r="X55" s="252">
        <f>'МРСК 2'!I58</f>
        <v>0</v>
      </c>
      <c r="Y55" s="252">
        <f>'МРСК 2'!J58</f>
        <v>10.5</v>
      </c>
      <c r="Z55" s="254">
        <f>'МРСК 2'!K58</f>
        <v>10.097322929033613</v>
      </c>
      <c r="AA55" s="392"/>
      <c r="AB55" s="255"/>
    </row>
    <row r="56" spans="1:28" ht="20.25" thickBot="1">
      <c r="A56" s="257"/>
      <c r="B56" s="73" t="s">
        <v>316</v>
      </c>
      <c r="C56" s="258" t="str">
        <f>МРСК!C59</f>
        <v>10+16</v>
      </c>
      <c r="D56" s="258">
        <f>МРСК!D59</f>
        <v>521</v>
      </c>
      <c r="E56" s="258">
        <f>МРСК!E59</f>
        <v>196</v>
      </c>
      <c r="F56" s="253">
        <f>МРСК!F59</f>
        <v>0.5566480036791653</v>
      </c>
      <c r="G56" s="259">
        <f>МРСК!G59</f>
        <v>0</v>
      </c>
      <c r="H56" s="260">
        <f>МРСК!H59</f>
        <v>0</v>
      </c>
      <c r="I56" s="261">
        <f>МРСК!I59</f>
        <v>0.5566480036791653</v>
      </c>
      <c r="J56" s="261">
        <f>МРСК!J59</f>
        <v>0</v>
      </c>
      <c r="K56" s="262">
        <f>МРСК!K59</f>
        <v>10.5</v>
      </c>
      <c r="L56" s="263">
        <f>МРСК!L59</f>
        <v>9.943351996320835</v>
      </c>
      <c r="M56" s="396"/>
      <c r="N56" s="264"/>
      <c r="P56" s="257"/>
      <c r="Q56" s="73" t="s">
        <v>316</v>
      </c>
      <c r="R56" s="258" t="str">
        <f>'МРСК 2'!C59</f>
        <v>10+16</v>
      </c>
      <c r="S56" s="258">
        <f>'МРСК 2'!D59</f>
        <v>0.05</v>
      </c>
      <c r="T56" s="265">
        <f>'МРСК 2'!E59</f>
        <v>0.6066480036791654</v>
      </c>
      <c r="U56" s="259">
        <f>'МРСК 2'!F59</f>
        <v>0</v>
      </c>
      <c r="V56" s="260">
        <f>'МРСК 2'!G59</f>
        <v>0</v>
      </c>
      <c r="W56" s="261">
        <f>'МРСК 2'!H59</f>
        <v>0.6066480036791654</v>
      </c>
      <c r="X56" s="261">
        <f>'МРСК 2'!I59</f>
        <v>0</v>
      </c>
      <c r="Y56" s="261">
        <f>'МРСК 2'!J59</f>
        <v>10.5</v>
      </c>
      <c r="Z56" s="263">
        <f>'МРСК 2'!K59</f>
        <v>9.893351996320835</v>
      </c>
      <c r="AA56" s="393"/>
      <c r="AB56" s="264"/>
    </row>
    <row r="57" spans="1:28" ht="21" thickBot="1" thickTop="1">
      <c r="A57" s="248">
        <v>33</v>
      </c>
      <c r="B57" s="2" t="s">
        <v>350</v>
      </c>
      <c r="C57" s="251" t="str">
        <f>МРСК!C60</f>
        <v>40+48</v>
      </c>
      <c r="D57" s="251">
        <f>МРСК!D60</f>
        <v>38071</v>
      </c>
      <c r="E57" s="251">
        <f>МРСК!E60</f>
        <v>13708</v>
      </c>
      <c r="F57" s="253">
        <f>МРСК!F60</f>
        <v>40.4636911934638</v>
      </c>
      <c r="G57" s="254">
        <f>МРСК!G60</f>
        <v>0</v>
      </c>
      <c r="H57" s="286">
        <f>МРСК!H60</f>
        <v>120</v>
      </c>
      <c r="I57" s="254">
        <f>МРСК!I60</f>
        <v>40.4636911934638</v>
      </c>
      <c r="J57" s="252">
        <f>МРСК!J60</f>
        <v>0</v>
      </c>
      <c r="K57" s="289">
        <f>МРСК!K60</f>
        <v>42</v>
      </c>
      <c r="L57" s="277">
        <f>МРСК!L60</f>
        <v>1.5363088065361978</v>
      </c>
      <c r="M57" s="254">
        <f>MIN(L57:L57)</f>
        <v>1.5363088065361978</v>
      </c>
      <c r="N57" s="255"/>
      <c r="P57" s="248">
        <v>33</v>
      </c>
      <c r="Q57" s="2" t="s">
        <v>350</v>
      </c>
      <c r="R57" s="251" t="str">
        <f>'МРСК 2'!C60</f>
        <v>40+48</v>
      </c>
      <c r="S57" s="251">
        <f>'МРСК 2'!D60</f>
        <v>2.25</v>
      </c>
      <c r="T57" s="252">
        <f>'МРСК 2'!E60</f>
        <v>42.7136911934638</v>
      </c>
      <c r="U57" s="254">
        <f>'МРСК 2'!F60</f>
        <v>0</v>
      </c>
      <c r="V57" s="286">
        <f>'МРСК 2'!G60</f>
        <v>120</v>
      </c>
      <c r="W57" s="254">
        <f>'МРСК 2'!H60</f>
        <v>42.7136911934638</v>
      </c>
      <c r="X57" s="252">
        <f>'МРСК 2'!I60</f>
        <v>0</v>
      </c>
      <c r="Y57" s="290">
        <f>'МРСК 2'!J60</f>
        <v>42</v>
      </c>
      <c r="Z57" s="254">
        <f>'МРСК 2'!K60</f>
        <v>-0.7136911934638022</v>
      </c>
      <c r="AA57" s="254">
        <f>MIN(Z57:Z57)</f>
        <v>-0.7136911934638022</v>
      </c>
      <c r="AB57" s="255"/>
    </row>
    <row r="58" spans="1:28" ht="21" thickBot="1" thickTop="1">
      <c r="A58" s="266">
        <v>34</v>
      </c>
      <c r="B58" s="82" t="s">
        <v>351</v>
      </c>
      <c r="C58" s="267" t="str">
        <f>МРСК!C61</f>
        <v>16+16</v>
      </c>
      <c r="D58" s="267">
        <f>МРСК!D61</f>
        <v>11357</v>
      </c>
      <c r="E58" s="267">
        <f>МРСК!E61</f>
        <v>4974</v>
      </c>
      <c r="F58" s="253">
        <f>МРСК!F61</f>
        <v>12.398472688198334</v>
      </c>
      <c r="G58" s="268">
        <f>МРСК!G61</f>
        <v>11.433</v>
      </c>
      <c r="H58" s="269">
        <f>МРСК!H61</f>
        <v>120</v>
      </c>
      <c r="I58" s="270">
        <f>МРСК!I61</f>
        <v>0.965472688198334</v>
      </c>
      <c r="J58" s="270">
        <f>МРСК!J61</f>
        <v>0</v>
      </c>
      <c r="K58" s="270">
        <f>МРСК!K61</f>
        <v>16.8</v>
      </c>
      <c r="L58" s="271">
        <f>МРСК!L61</f>
        <v>15.834527311801667</v>
      </c>
      <c r="M58" s="394">
        <f>MIN(L58:L60)</f>
        <v>5.489938486617062</v>
      </c>
      <c r="N58" s="272"/>
      <c r="P58" s="266">
        <v>34</v>
      </c>
      <c r="Q58" s="82" t="s">
        <v>351</v>
      </c>
      <c r="R58" s="267" t="str">
        <f>'МРСК 2'!C61</f>
        <v>16+16</v>
      </c>
      <c r="S58" s="267">
        <f>'МРСК 2'!D61</f>
        <v>1.78</v>
      </c>
      <c r="T58" s="273">
        <f>'МРСК 2'!E61</f>
        <v>14.178472688198333</v>
      </c>
      <c r="U58" s="268">
        <f>'МРСК 2'!F61</f>
        <v>11.433</v>
      </c>
      <c r="V58" s="269">
        <f>'МРСК 2'!G61</f>
        <v>120</v>
      </c>
      <c r="W58" s="270">
        <f>'МРСК 2'!H61</f>
        <v>2.7454726881983333</v>
      </c>
      <c r="X58" s="270">
        <f>'МРСК 2'!I61</f>
        <v>0</v>
      </c>
      <c r="Y58" s="270">
        <f>'МРСК 2'!J61</f>
        <v>16.8</v>
      </c>
      <c r="Z58" s="271">
        <f>'МРСК 2'!K61</f>
        <v>14.054527311801667</v>
      </c>
      <c r="AA58" s="391">
        <f>MIN(Z58:Z60)</f>
        <v>3.7099384866170615</v>
      </c>
      <c r="AB58" s="272"/>
    </row>
    <row r="59" spans="1:28" ht="21" thickBot="1" thickTop="1">
      <c r="A59" s="248"/>
      <c r="B59" s="2" t="s">
        <v>315</v>
      </c>
      <c r="C59" s="267" t="str">
        <f>МРСК!C62</f>
        <v>16+8</v>
      </c>
      <c r="D59" s="249">
        <f>МРСК!D62</f>
        <v>5565</v>
      </c>
      <c r="E59" s="249">
        <f>МРСК!E62</f>
        <v>2734</v>
      </c>
      <c r="F59" s="253">
        <f>МРСК!F62</f>
        <v>6.200321040075264</v>
      </c>
      <c r="G59" s="250">
        <f>МРСК!G62</f>
        <v>8.133</v>
      </c>
      <c r="H59" s="251">
        <f>МРСК!H62</f>
        <v>0</v>
      </c>
      <c r="I59" s="252">
        <f>МРСК!I62</f>
        <v>-1.9326789599247354</v>
      </c>
      <c r="J59" s="252">
        <f>МРСК!J62</f>
        <v>0</v>
      </c>
      <c r="K59" s="253">
        <f>МРСК!K62</f>
        <v>8.4</v>
      </c>
      <c r="L59" s="254">
        <f>МРСК!L62</f>
        <v>10.332678959924735</v>
      </c>
      <c r="M59" s="395"/>
      <c r="N59" s="255"/>
      <c r="P59" s="248"/>
      <c r="Q59" s="2" t="s">
        <v>315</v>
      </c>
      <c r="R59" s="267" t="str">
        <f>'МРСК 2'!C62</f>
        <v>16+8</v>
      </c>
      <c r="S59" s="249">
        <f>'МРСК 2'!D62</f>
        <v>0</v>
      </c>
      <c r="T59" s="256">
        <f>'МРСК 2'!E62</f>
        <v>6.200321040075264</v>
      </c>
      <c r="U59" s="250">
        <f>'МРСК 2'!F62</f>
        <v>8.133</v>
      </c>
      <c r="V59" s="251">
        <f>'МРСК 2'!G62</f>
        <v>0</v>
      </c>
      <c r="W59" s="252">
        <f>'МРСК 2'!H62</f>
        <v>-1.9326789599247354</v>
      </c>
      <c r="X59" s="252">
        <f>'МРСК 2'!I62</f>
        <v>0</v>
      </c>
      <c r="Y59" s="252">
        <f>'МРСК 2'!J62</f>
        <v>8.4</v>
      </c>
      <c r="Z59" s="254">
        <f>'МРСК 2'!K62</f>
        <v>10.332678959924735</v>
      </c>
      <c r="AA59" s="392"/>
      <c r="AB59" s="255"/>
    </row>
    <row r="60" spans="1:28" ht="21" thickBot="1" thickTop="1">
      <c r="A60" s="257"/>
      <c r="B60" s="73" t="s">
        <v>316</v>
      </c>
      <c r="C60" s="267" t="str">
        <f>МРСК!C63</f>
        <v>16+8</v>
      </c>
      <c r="D60" s="258">
        <f>МРСК!D63</f>
        <v>5792</v>
      </c>
      <c r="E60" s="258">
        <f>МРСК!E63</f>
        <v>2240</v>
      </c>
      <c r="F60" s="253">
        <f>МРСК!F63</f>
        <v>6.210061513382938</v>
      </c>
      <c r="G60" s="259">
        <f>МРСК!G63</f>
        <v>3.3</v>
      </c>
      <c r="H60" s="260">
        <f>МРСК!H63</f>
        <v>0</v>
      </c>
      <c r="I60" s="261">
        <f>МРСК!I63</f>
        <v>2.9100615133829386</v>
      </c>
      <c r="J60" s="261">
        <f>МРСК!J63</f>
        <v>0</v>
      </c>
      <c r="K60" s="262">
        <f>МРСК!K63</f>
        <v>8.4</v>
      </c>
      <c r="L60" s="263">
        <f>МРСК!L63</f>
        <v>5.489938486617062</v>
      </c>
      <c r="M60" s="396"/>
      <c r="N60" s="264"/>
      <c r="P60" s="257"/>
      <c r="Q60" s="73" t="s">
        <v>316</v>
      </c>
      <c r="R60" s="267" t="str">
        <f>'МРСК 2'!C63</f>
        <v>16+8</v>
      </c>
      <c r="S60" s="258">
        <f>'МРСК 2'!D63</f>
        <v>1.78</v>
      </c>
      <c r="T60" s="265">
        <f>'МРСК 2'!E63</f>
        <v>7.990061513382939</v>
      </c>
      <c r="U60" s="259">
        <f>'МРСК 2'!F63</f>
        <v>3.3</v>
      </c>
      <c r="V60" s="260">
        <f>'МРСК 2'!G63</f>
        <v>0</v>
      </c>
      <c r="W60" s="261">
        <f>'МРСК 2'!H63</f>
        <v>4.690061513382939</v>
      </c>
      <c r="X60" s="261">
        <f>'МРСК 2'!I63</f>
        <v>0</v>
      </c>
      <c r="Y60" s="261">
        <f>'МРСК 2'!J63</f>
        <v>8.4</v>
      </c>
      <c r="Z60" s="263">
        <f>'МРСК 2'!K63</f>
        <v>3.7099384866170615</v>
      </c>
      <c r="AA60" s="393"/>
      <c r="AB60" s="264"/>
    </row>
    <row r="61" spans="1:28" ht="20.25" thickTop="1">
      <c r="A61" s="266">
        <v>35</v>
      </c>
      <c r="B61" s="82" t="s">
        <v>352</v>
      </c>
      <c r="C61" s="267" t="str">
        <f>МРСК!C64</f>
        <v>10+10</v>
      </c>
      <c r="D61" s="267">
        <f>МРСК!D64</f>
        <v>9454</v>
      </c>
      <c r="E61" s="267">
        <f>МРСК!E64</f>
        <v>3886</v>
      </c>
      <c r="F61" s="253">
        <f>МРСК!F64</f>
        <v>10.221502433595562</v>
      </c>
      <c r="G61" s="268">
        <f>МРСК!G64</f>
        <v>11.5</v>
      </c>
      <c r="H61" s="269">
        <f>МРСК!H64</f>
        <v>120</v>
      </c>
      <c r="I61" s="270">
        <f>МРСК!I64</f>
        <v>-1.2784975664044378</v>
      </c>
      <c r="J61" s="270">
        <f>МРСК!J64</f>
        <v>0</v>
      </c>
      <c r="K61" s="270">
        <f>МРСК!K64</f>
        <v>10.5</v>
      </c>
      <c r="L61" s="271">
        <f>МРСК!L64</f>
        <v>11.778497566404438</v>
      </c>
      <c r="M61" s="394">
        <f>MIN(L61:L63)</f>
        <v>9.223725654212519</v>
      </c>
      <c r="N61" s="272"/>
      <c r="P61" s="266">
        <v>35</v>
      </c>
      <c r="Q61" s="82" t="s">
        <v>352</v>
      </c>
      <c r="R61" s="267" t="str">
        <f>'МРСК 2'!C64</f>
        <v>10+10</v>
      </c>
      <c r="S61" s="267">
        <f>'МРСК 2'!D64</f>
        <v>0.01</v>
      </c>
      <c r="T61" s="273">
        <f>'МРСК 2'!E64</f>
        <v>10.231502433595562</v>
      </c>
      <c r="U61" s="268">
        <f>'МРСК 2'!F64</f>
        <v>11.5</v>
      </c>
      <c r="V61" s="269">
        <f>'МРСК 2'!G64</f>
        <v>120</v>
      </c>
      <c r="W61" s="270">
        <f>'МРСК 2'!H64</f>
        <v>-1.268497566404438</v>
      </c>
      <c r="X61" s="270">
        <f>'МРСК 2'!I64</f>
        <v>0</v>
      </c>
      <c r="Y61" s="270">
        <f>'МРСК 2'!J64</f>
        <v>10.5</v>
      </c>
      <c r="Z61" s="271">
        <f>'МРСК 2'!K64</f>
        <v>11.768497566404438</v>
      </c>
      <c r="AA61" s="391">
        <f>MIN(Z61:Z63)</f>
        <v>9.223725654212519</v>
      </c>
      <c r="AB61" s="272"/>
    </row>
    <row r="62" spans="1:28" ht="19.5">
      <c r="A62" s="248"/>
      <c r="B62" s="2" t="s">
        <v>315</v>
      </c>
      <c r="C62" s="249" t="str">
        <f>МРСК!C65</f>
        <v>10+10</v>
      </c>
      <c r="D62" s="249">
        <f>МРСК!D65</f>
        <v>8360</v>
      </c>
      <c r="E62" s="249">
        <f>МРСК!E65</f>
        <v>3534</v>
      </c>
      <c r="F62" s="253">
        <f>МРСК!F65</f>
        <v>9.076274345787482</v>
      </c>
      <c r="G62" s="250">
        <f>МРСК!G65</f>
        <v>7.8</v>
      </c>
      <c r="H62" s="251">
        <f>МРСК!H65</f>
        <v>0</v>
      </c>
      <c r="I62" s="252">
        <f>МРСК!I65</f>
        <v>1.2762743457874821</v>
      </c>
      <c r="J62" s="252">
        <f>МРСК!J65</f>
        <v>0</v>
      </c>
      <c r="K62" s="253">
        <f>МРСК!K65</f>
        <v>10.5</v>
      </c>
      <c r="L62" s="254">
        <f>МРСК!L65</f>
        <v>9.223725654212519</v>
      </c>
      <c r="M62" s="395"/>
      <c r="N62" s="255"/>
      <c r="P62" s="248"/>
      <c r="Q62" s="2" t="s">
        <v>315</v>
      </c>
      <c r="R62" s="249" t="str">
        <f>'МРСК 2'!C65</f>
        <v>10+10</v>
      </c>
      <c r="S62" s="249">
        <f>'МРСК 2'!D65</f>
        <v>0</v>
      </c>
      <c r="T62" s="256">
        <f>'МРСК 2'!E65</f>
        <v>9.076274345787482</v>
      </c>
      <c r="U62" s="250">
        <f>'МРСК 2'!F65</f>
        <v>7.8</v>
      </c>
      <c r="V62" s="251">
        <f>'МРСК 2'!G65</f>
        <v>0</v>
      </c>
      <c r="W62" s="252">
        <f>'МРСК 2'!H65</f>
        <v>1.2762743457874821</v>
      </c>
      <c r="X62" s="252">
        <f>'МРСК 2'!I65</f>
        <v>0</v>
      </c>
      <c r="Y62" s="252">
        <f>'МРСК 2'!J65</f>
        <v>10.5</v>
      </c>
      <c r="Z62" s="254">
        <f>'МРСК 2'!K65</f>
        <v>9.223725654212519</v>
      </c>
      <c r="AA62" s="392"/>
      <c r="AB62" s="255"/>
    </row>
    <row r="63" spans="1:28" ht="20.25" thickBot="1">
      <c r="A63" s="257"/>
      <c r="B63" s="73" t="s">
        <v>316</v>
      </c>
      <c r="C63" s="258" t="str">
        <f>МРСК!C66</f>
        <v>10+10</v>
      </c>
      <c r="D63" s="258">
        <f>МРСК!D66</f>
        <v>1094</v>
      </c>
      <c r="E63" s="258">
        <f>МРСК!E66</f>
        <v>352</v>
      </c>
      <c r="F63" s="253">
        <f>МРСК!F66</f>
        <v>1.1492345278488634</v>
      </c>
      <c r="G63" s="259">
        <f>МРСК!G66</f>
        <v>3.7</v>
      </c>
      <c r="H63" s="260">
        <f>МРСК!H66</f>
        <v>0</v>
      </c>
      <c r="I63" s="261">
        <f>МРСК!I66</f>
        <v>-2.550765472151137</v>
      </c>
      <c r="J63" s="261">
        <f>МРСК!J66</f>
        <v>0</v>
      </c>
      <c r="K63" s="262">
        <f>МРСК!K66</f>
        <v>10.5</v>
      </c>
      <c r="L63" s="263">
        <f>МРСК!L66</f>
        <v>13.050765472151138</v>
      </c>
      <c r="M63" s="396"/>
      <c r="N63" s="264"/>
      <c r="P63" s="257"/>
      <c r="Q63" s="73" t="s">
        <v>316</v>
      </c>
      <c r="R63" s="258" t="str">
        <f>'МРСК 2'!C66</f>
        <v>10+10</v>
      </c>
      <c r="S63" s="258">
        <f>'МРСК 2'!D66</f>
        <v>0.01</v>
      </c>
      <c r="T63" s="265">
        <f>'МРСК 2'!E66</f>
        <v>1.1592345278488634</v>
      </c>
      <c r="U63" s="259">
        <f>'МРСК 2'!F66</f>
        <v>3.7</v>
      </c>
      <c r="V63" s="260">
        <f>'МРСК 2'!G66</f>
        <v>0</v>
      </c>
      <c r="W63" s="261">
        <f>'МРСК 2'!H66</f>
        <v>-2.540765472151137</v>
      </c>
      <c r="X63" s="261">
        <f>'МРСК 2'!I66</f>
        <v>0</v>
      </c>
      <c r="Y63" s="261">
        <f>'МРСК 2'!J66</f>
        <v>10.5</v>
      </c>
      <c r="Z63" s="263">
        <f>'МРСК 2'!K66</f>
        <v>13.040765472151136</v>
      </c>
      <c r="AA63" s="393"/>
      <c r="AB63" s="264"/>
    </row>
    <row r="64" spans="1:28" ht="20.25" thickTop="1">
      <c r="A64" s="266">
        <v>36</v>
      </c>
      <c r="B64" s="82" t="s">
        <v>353</v>
      </c>
      <c r="C64" s="267" t="str">
        <f>МРСК!C67</f>
        <v>10+10</v>
      </c>
      <c r="D64" s="267">
        <f>МРСК!D67</f>
        <v>8214</v>
      </c>
      <c r="E64" s="267">
        <f>МРСК!E67</f>
        <v>3266</v>
      </c>
      <c r="F64" s="253">
        <f>МРСК!F67</f>
        <v>8.839488220479735</v>
      </c>
      <c r="G64" s="268">
        <f>МРСК!G67</f>
        <v>8.83</v>
      </c>
      <c r="H64" s="269">
        <f>МРСК!H67</f>
        <v>120</v>
      </c>
      <c r="I64" s="270">
        <f>МРСК!I67</f>
        <v>0.009488220479735077</v>
      </c>
      <c r="J64" s="270">
        <f>МРСК!J67</f>
        <v>0</v>
      </c>
      <c r="K64" s="270">
        <f>МРСК!K67</f>
        <v>10.5</v>
      </c>
      <c r="L64" s="271">
        <f>МРСК!L67</f>
        <v>10.490511779520265</v>
      </c>
      <c r="M64" s="394">
        <f>MIN(L64:L66)</f>
        <v>9.674953452109488</v>
      </c>
      <c r="N64" s="272"/>
      <c r="P64" s="266">
        <v>36</v>
      </c>
      <c r="Q64" s="82" t="s">
        <v>353</v>
      </c>
      <c r="R64" s="267" t="str">
        <f>'МРСК 2'!C67</f>
        <v>10+10</v>
      </c>
      <c r="S64" s="267">
        <f>'МРСК 2'!D67</f>
        <v>0.99</v>
      </c>
      <c r="T64" s="273">
        <f>'МРСК 2'!E67</f>
        <v>9.829488220479735</v>
      </c>
      <c r="U64" s="268">
        <f>'МРСК 2'!F67</f>
        <v>8.83</v>
      </c>
      <c r="V64" s="269">
        <f>'МРСК 2'!G67</f>
        <v>120</v>
      </c>
      <c r="W64" s="270">
        <f>'МРСК 2'!H67</f>
        <v>0.9994882204797353</v>
      </c>
      <c r="X64" s="270">
        <f>'МРСК 2'!I67</f>
        <v>0</v>
      </c>
      <c r="Y64" s="270">
        <f>'МРСК 2'!J67</f>
        <v>10.5</v>
      </c>
      <c r="Z64" s="271">
        <f>'МРСК 2'!K67</f>
        <v>9.500511779520265</v>
      </c>
      <c r="AA64" s="391">
        <f>MIN(Z64:Z66)</f>
        <v>9.500511779520265</v>
      </c>
      <c r="AB64" s="272"/>
    </row>
    <row r="65" spans="1:28" ht="19.5">
      <c r="A65" s="248"/>
      <c r="B65" s="2" t="s">
        <v>315</v>
      </c>
      <c r="C65" s="249" t="str">
        <f>МРСК!C68</f>
        <v>10+10</v>
      </c>
      <c r="D65" s="249">
        <f>МРСК!D68</f>
        <v>4429</v>
      </c>
      <c r="E65" s="249">
        <f>МРСК!E68</f>
        <v>1798</v>
      </c>
      <c r="F65" s="253">
        <f>МРСК!F68</f>
        <v>4.780046547890512</v>
      </c>
      <c r="G65" s="250">
        <f>МРСК!G68</f>
        <v>3.955</v>
      </c>
      <c r="H65" s="251">
        <f>МРСК!H68</f>
        <v>0</v>
      </c>
      <c r="I65" s="252">
        <f>МРСК!I68</f>
        <v>0.825046547890512</v>
      </c>
      <c r="J65" s="252">
        <f>МРСК!J68</f>
        <v>0</v>
      </c>
      <c r="K65" s="253">
        <f>МРСК!K68</f>
        <v>10.5</v>
      </c>
      <c r="L65" s="254">
        <f>МРСК!L68</f>
        <v>9.674953452109488</v>
      </c>
      <c r="M65" s="395"/>
      <c r="N65" s="255"/>
      <c r="P65" s="248"/>
      <c r="Q65" s="2" t="s">
        <v>315</v>
      </c>
      <c r="R65" s="249" t="str">
        <f>'МРСК 2'!C68</f>
        <v>10+10</v>
      </c>
      <c r="S65" s="249">
        <f>'МРСК 2'!D68</f>
        <v>0</v>
      </c>
      <c r="T65" s="256">
        <f>'МРСК 2'!E68</f>
        <v>4.780046547890512</v>
      </c>
      <c r="U65" s="250">
        <f>'МРСК 2'!F68</f>
        <v>3.955</v>
      </c>
      <c r="V65" s="251">
        <f>'МРСК 2'!G68</f>
        <v>0</v>
      </c>
      <c r="W65" s="252">
        <f>'МРСК 2'!H68</f>
        <v>0.825046547890512</v>
      </c>
      <c r="X65" s="252">
        <f>'МРСК 2'!I68</f>
        <v>0</v>
      </c>
      <c r="Y65" s="252">
        <f>'МРСК 2'!J68</f>
        <v>10.5</v>
      </c>
      <c r="Z65" s="254">
        <f>'МРСК 2'!K68</f>
        <v>9.674953452109488</v>
      </c>
      <c r="AA65" s="392"/>
      <c r="AB65" s="255"/>
    </row>
    <row r="66" spans="1:28" ht="20.25" thickBot="1">
      <c r="A66" s="257"/>
      <c r="B66" s="73" t="s">
        <v>316</v>
      </c>
      <c r="C66" s="258" t="str">
        <f>МРСК!C69</f>
        <v>10+10</v>
      </c>
      <c r="D66" s="258">
        <f>МРСК!D69</f>
        <v>3785</v>
      </c>
      <c r="E66" s="258">
        <f>МРСК!E69</f>
        <v>1468</v>
      </c>
      <c r="F66" s="253">
        <f>МРСК!F69</f>
        <v>4.059710457655817</v>
      </c>
      <c r="G66" s="259">
        <f>МРСК!G69</f>
        <v>4.875</v>
      </c>
      <c r="H66" s="260">
        <f>МРСК!H69</f>
        <v>0</v>
      </c>
      <c r="I66" s="261">
        <f>МРСК!I69</f>
        <v>-0.8152895423441828</v>
      </c>
      <c r="J66" s="261">
        <f>МРСК!J69</f>
        <v>0</v>
      </c>
      <c r="K66" s="262">
        <f>МРСК!K69</f>
        <v>10.5</v>
      </c>
      <c r="L66" s="263">
        <f>МРСК!L69</f>
        <v>11.315289542344182</v>
      </c>
      <c r="M66" s="396"/>
      <c r="N66" s="264"/>
      <c r="P66" s="257"/>
      <c r="Q66" s="73" t="s">
        <v>316</v>
      </c>
      <c r="R66" s="258" t="str">
        <f>'МРСК 2'!C69</f>
        <v>10+10</v>
      </c>
      <c r="S66" s="258">
        <f>'МРСК 2'!D69</f>
        <v>0.99</v>
      </c>
      <c r="T66" s="265">
        <f>'МРСК 2'!E69</f>
        <v>5.049710457655817</v>
      </c>
      <c r="U66" s="259">
        <f>'МРСК 2'!F69</f>
        <v>4.875</v>
      </c>
      <c r="V66" s="260">
        <f>'МРСК 2'!G69</f>
        <v>0</v>
      </c>
      <c r="W66" s="261">
        <f>'МРСК 2'!H69</f>
        <v>0.17471045765581739</v>
      </c>
      <c r="X66" s="261">
        <f>'МРСК 2'!I69</f>
        <v>0</v>
      </c>
      <c r="Y66" s="261">
        <f>'МРСК 2'!J69</f>
        <v>10.5</v>
      </c>
      <c r="Z66" s="263">
        <f>'МРСК 2'!K69</f>
        <v>10.325289542344184</v>
      </c>
      <c r="AA66" s="393"/>
      <c r="AB66" s="264"/>
    </row>
    <row r="67" spans="1:28" ht="21" thickBot="1" thickTop="1">
      <c r="A67" s="248">
        <v>37</v>
      </c>
      <c r="B67" s="2" t="s">
        <v>354</v>
      </c>
      <c r="C67" s="251" t="str">
        <f>МРСК!C70</f>
        <v>25+25</v>
      </c>
      <c r="D67" s="251">
        <f>МРСК!D70</f>
        <v>14250</v>
      </c>
      <c r="E67" s="251">
        <f>МРСК!E70</f>
        <v>6848</v>
      </c>
      <c r="F67" s="253">
        <f>МРСК!F70</f>
        <v>15.810047564760835</v>
      </c>
      <c r="G67" s="254">
        <f>МРСК!G70</f>
        <v>1.46</v>
      </c>
      <c r="H67" s="286">
        <f>МРСК!H70</f>
        <v>45</v>
      </c>
      <c r="I67" s="254">
        <f>МРСК!I70</f>
        <v>14.350047564760835</v>
      </c>
      <c r="J67" s="252">
        <f>МРСК!J70</f>
        <v>0</v>
      </c>
      <c r="K67" s="289">
        <f>МРСК!K70</f>
        <v>26.25</v>
      </c>
      <c r="L67" s="277">
        <f>МРСК!L70</f>
        <v>11.899952435239165</v>
      </c>
      <c r="M67" s="254">
        <f>MIN(L67:L67)</f>
        <v>11.899952435239165</v>
      </c>
      <c r="N67" s="255"/>
      <c r="P67" s="248">
        <v>37</v>
      </c>
      <c r="Q67" s="2" t="s">
        <v>354</v>
      </c>
      <c r="R67" s="251" t="str">
        <f>'МРСК 2'!C70</f>
        <v>25+25</v>
      </c>
      <c r="S67" s="251">
        <f>'МРСК 2'!D70</f>
        <v>2.96</v>
      </c>
      <c r="T67" s="252">
        <f>'МРСК 2'!E70</f>
        <v>18.770047564760834</v>
      </c>
      <c r="U67" s="254">
        <f>'МРСК 2'!F70</f>
        <v>1.46</v>
      </c>
      <c r="V67" s="286">
        <f>'МРСК 2'!G70</f>
        <v>45</v>
      </c>
      <c r="W67" s="254">
        <f>'МРСК 2'!H70</f>
        <v>17.310047564760833</v>
      </c>
      <c r="X67" s="252">
        <f>'МРСК 2'!I70</f>
        <v>0</v>
      </c>
      <c r="Y67" s="290">
        <f>'МРСК 2'!J70</f>
        <v>26.25</v>
      </c>
      <c r="Z67" s="254">
        <f>'МРСК 2'!K70</f>
        <v>8.939952435239167</v>
      </c>
      <c r="AA67" s="254">
        <f>MIN(Z67:Z67)</f>
        <v>8.939952435239167</v>
      </c>
      <c r="AB67" s="255"/>
    </row>
    <row r="68" spans="1:28" ht="20.25" thickTop="1">
      <c r="A68" s="266">
        <v>38</v>
      </c>
      <c r="B68" s="82" t="s">
        <v>355</v>
      </c>
      <c r="C68" s="267" t="str">
        <f>МРСК!C71</f>
        <v>25+25</v>
      </c>
      <c r="D68" s="267">
        <f>МРСК!D71</f>
        <v>17621</v>
      </c>
      <c r="E68" s="267">
        <f>МРСК!E71</f>
        <v>8868</v>
      </c>
      <c r="F68" s="253">
        <f>МРСК!F71</f>
        <v>19.726658738874153</v>
      </c>
      <c r="G68" s="268">
        <f>МРСК!G71</f>
        <v>10.651</v>
      </c>
      <c r="H68" s="269">
        <f>МРСК!H71</f>
        <v>120</v>
      </c>
      <c r="I68" s="270">
        <f>МРСК!I71</f>
        <v>9.075658738874154</v>
      </c>
      <c r="J68" s="270">
        <f>МРСК!J71</f>
        <v>0</v>
      </c>
      <c r="K68" s="270">
        <f>МРСК!K71</f>
        <v>26.25</v>
      </c>
      <c r="L68" s="271">
        <f>МРСК!L71</f>
        <v>17.174341261125846</v>
      </c>
      <c r="M68" s="394">
        <f>MIN(L68:L70)</f>
        <v>17.174341261125846</v>
      </c>
      <c r="N68" s="272"/>
      <c r="P68" s="266">
        <v>38</v>
      </c>
      <c r="Q68" s="82" t="s">
        <v>355</v>
      </c>
      <c r="R68" s="267" t="str">
        <f>'МРСК 2'!C71</f>
        <v>25+25</v>
      </c>
      <c r="S68" s="267">
        <f>'МРСК 2'!D71</f>
        <v>0.32000000000000006</v>
      </c>
      <c r="T68" s="273">
        <f>'МРСК 2'!E71</f>
        <v>20.046658738874154</v>
      </c>
      <c r="U68" s="268">
        <f>'МРСК 2'!F71</f>
        <v>10.651</v>
      </c>
      <c r="V68" s="269">
        <f>'МРСК 2'!G71</f>
        <v>120</v>
      </c>
      <c r="W68" s="270">
        <f>'МРСК 2'!H71</f>
        <v>9.395658738874154</v>
      </c>
      <c r="X68" s="270">
        <f>'МРСК 2'!I71</f>
        <v>0</v>
      </c>
      <c r="Y68" s="270">
        <f>'МРСК 2'!J71</f>
        <v>26.25</v>
      </c>
      <c r="Z68" s="271">
        <f>'МРСК 2'!K71</f>
        <v>16.854341261125846</v>
      </c>
      <c r="AA68" s="391">
        <f>MIN(Z68:Z70)</f>
        <v>16.854341261125846</v>
      </c>
      <c r="AB68" s="272"/>
    </row>
    <row r="69" spans="1:28" ht="19.5">
      <c r="A69" s="248"/>
      <c r="B69" s="2" t="s">
        <v>315</v>
      </c>
      <c r="C69" s="249" t="str">
        <f>МРСК!C72</f>
        <v>25+25</v>
      </c>
      <c r="D69" s="249">
        <f>МРСК!D72</f>
        <v>9620</v>
      </c>
      <c r="E69" s="249">
        <f>МРСК!E72</f>
        <v>4914</v>
      </c>
      <c r="F69" s="253">
        <f>МРСК!F72</f>
        <v>10.802397696807871</v>
      </c>
      <c r="G69" s="250">
        <f>МРСК!G72</f>
        <v>8.576</v>
      </c>
      <c r="H69" s="251">
        <f>МРСК!H72</f>
        <v>0</v>
      </c>
      <c r="I69" s="252">
        <f>МРСК!I72</f>
        <v>2.2263976968078705</v>
      </c>
      <c r="J69" s="252">
        <f>МРСК!J72</f>
        <v>0</v>
      </c>
      <c r="K69" s="253">
        <f>МРСК!K72</f>
        <v>26.25</v>
      </c>
      <c r="L69" s="254">
        <f>МРСК!L72</f>
        <v>24.023602303192128</v>
      </c>
      <c r="M69" s="395"/>
      <c r="N69" s="255"/>
      <c r="P69" s="248"/>
      <c r="Q69" s="2" t="s">
        <v>315</v>
      </c>
      <c r="R69" s="249" t="str">
        <f>'МРСК 2'!C72</f>
        <v>25+25</v>
      </c>
      <c r="S69" s="249">
        <f>'МРСК 2'!D72</f>
        <v>0</v>
      </c>
      <c r="T69" s="256">
        <f>'МРСК 2'!E72</f>
        <v>10.802397696807871</v>
      </c>
      <c r="U69" s="250">
        <f>'МРСК 2'!F72</f>
        <v>8.576</v>
      </c>
      <c r="V69" s="251">
        <f>'МРСК 2'!G72</f>
        <v>0</v>
      </c>
      <c r="W69" s="252">
        <f>'МРСК 2'!H72</f>
        <v>2.2263976968078705</v>
      </c>
      <c r="X69" s="252">
        <f>'МРСК 2'!I72</f>
        <v>0</v>
      </c>
      <c r="Y69" s="252">
        <f>'МРСК 2'!J72</f>
        <v>26.25</v>
      </c>
      <c r="Z69" s="254">
        <f>'МРСК 2'!K72</f>
        <v>24.023602303192128</v>
      </c>
      <c r="AA69" s="392"/>
      <c r="AB69" s="255"/>
    </row>
    <row r="70" spans="1:28" ht="20.25" thickBot="1">
      <c r="A70" s="257"/>
      <c r="B70" s="73" t="s">
        <v>316</v>
      </c>
      <c r="C70" s="258" t="str">
        <f>МРСК!C73</f>
        <v>25+25</v>
      </c>
      <c r="D70" s="258">
        <f>МРСК!D73</f>
        <v>8001</v>
      </c>
      <c r="E70" s="258">
        <f>МРСК!E73</f>
        <v>3954</v>
      </c>
      <c r="F70" s="253">
        <f>МРСК!F73</f>
        <v>8.924691423236997</v>
      </c>
      <c r="G70" s="259">
        <f>МРСК!G73</f>
        <v>2.075</v>
      </c>
      <c r="H70" s="260">
        <f>МРСК!H73</f>
        <v>0</v>
      </c>
      <c r="I70" s="261">
        <f>МРСК!I73</f>
        <v>6.8496914232369965</v>
      </c>
      <c r="J70" s="261">
        <f>МРСК!J73</f>
        <v>0</v>
      </c>
      <c r="K70" s="262">
        <f>МРСК!K73</f>
        <v>26.25</v>
      </c>
      <c r="L70" s="263">
        <f>МРСК!L73</f>
        <v>19.400308576763003</v>
      </c>
      <c r="M70" s="396"/>
      <c r="N70" s="264"/>
      <c r="P70" s="257"/>
      <c r="Q70" s="73" t="s">
        <v>316</v>
      </c>
      <c r="R70" s="258" t="str">
        <f>'МРСК 2'!C73</f>
        <v>25+25</v>
      </c>
      <c r="S70" s="258">
        <f>'МРСК 2'!D73</f>
        <v>0.32000000000000006</v>
      </c>
      <c r="T70" s="265">
        <f>'МРСК 2'!E73</f>
        <v>9.244691423236997</v>
      </c>
      <c r="U70" s="259">
        <f>'МРСК 2'!F73</f>
        <v>2.075</v>
      </c>
      <c r="V70" s="260">
        <f>'МРСК 2'!G73</f>
        <v>0</v>
      </c>
      <c r="W70" s="261">
        <f>'МРСК 2'!H73</f>
        <v>7.169691423236997</v>
      </c>
      <c r="X70" s="261">
        <f>'МРСК 2'!I73</f>
        <v>0</v>
      </c>
      <c r="Y70" s="261">
        <f>'МРСК 2'!J73</f>
        <v>26.25</v>
      </c>
      <c r="Z70" s="263">
        <f>'МРСК 2'!K73</f>
        <v>19.080308576763002</v>
      </c>
      <c r="AA70" s="393"/>
      <c r="AB70" s="264"/>
    </row>
    <row r="71" spans="1:28" ht="20.25" thickTop="1">
      <c r="A71" s="266">
        <v>39</v>
      </c>
      <c r="B71" s="82" t="s">
        <v>356</v>
      </c>
      <c r="C71" s="267" t="str">
        <f>МРСК!C74</f>
        <v>25+25</v>
      </c>
      <c r="D71" s="267">
        <f>МРСК!D74</f>
        <v>36574</v>
      </c>
      <c r="E71" s="267">
        <f>МРСК!E74</f>
        <v>16648</v>
      </c>
      <c r="F71" s="253">
        <f>МРСК!F74</f>
        <v>40.18474063621663</v>
      </c>
      <c r="G71" s="268">
        <f>МРСК!G74</f>
        <v>0</v>
      </c>
      <c r="H71" s="269">
        <f>МРСК!H74</f>
        <v>120</v>
      </c>
      <c r="I71" s="270">
        <f>МРСК!I74</f>
        <v>40.18474063621663</v>
      </c>
      <c r="J71" s="270">
        <f>МРСК!J74</f>
        <v>0</v>
      </c>
      <c r="K71" s="270">
        <f>МРСК!K74</f>
        <v>26.25</v>
      </c>
      <c r="L71" s="271">
        <f>МРСК!L74</f>
        <v>-13.934740636216631</v>
      </c>
      <c r="M71" s="394">
        <f>MIN(L71:L73)</f>
        <v>-13.934740636216631</v>
      </c>
      <c r="N71" s="272"/>
      <c r="P71" s="266">
        <v>39</v>
      </c>
      <c r="Q71" s="82" t="s">
        <v>356</v>
      </c>
      <c r="R71" s="267" t="str">
        <f>'МРСК 2'!C74</f>
        <v>25+25</v>
      </c>
      <c r="S71" s="267">
        <f>'МРСК 2'!D74</f>
        <v>3.869999999999999</v>
      </c>
      <c r="T71" s="273">
        <f>'МРСК 2'!E74</f>
        <v>44.05474063621663</v>
      </c>
      <c r="U71" s="268">
        <f>'МРСК 2'!F74</f>
        <v>0</v>
      </c>
      <c r="V71" s="269">
        <f>'МРСК 2'!G74</f>
        <v>120</v>
      </c>
      <c r="W71" s="270">
        <f>'МРСК 2'!H74</f>
        <v>44.05474063621663</v>
      </c>
      <c r="X71" s="270">
        <f>'МРСК 2'!I74</f>
        <v>0</v>
      </c>
      <c r="Y71" s="270">
        <f>'МРСК 2'!J74</f>
        <v>26.25</v>
      </c>
      <c r="Z71" s="271">
        <f>'МРСК 2'!K74</f>
        <v>-17.80474063621663</v>
      </c>
      <c r="AA71" s="391">
        <f>MIN(Z71:Z73)</f>
        <v>-17.80474063621663</v>
      </c>
      <c r="AB71" s="272"/>
    </row>
    <row r="72" spans="1:28" ht="19.5">
      <c r="A72" s="248"/>
      <c r="B72" s="2" t="s">
        <v>315</v>
      </c>
      <c r="C72" s="249" t="str">
        <f>МРСК!C75</f>
        <v>25+25</v>
      </c>
      <c r="D72" s="249">
        <f>МРСК!D75</f>
        <v>15809</v>
      </c>
      <c r="E72" s="249">
        <f>МРСК!E75</f>
        <v>5210</v>
      </c>
      <c r="F72" s="253">
        <f>МРСК!F75</f>
        <v>16.645377166048235</v>
      </c>
      <c r="G72" s="250">
        <f>МРСК!G75</f>
        <v>0</v>
      </c>
      <c r="H72" s="251">
        <f>МРСК!H75</f>
        <v>0</v>
      </c>
      <c r="I72" s="252">
        <f>МРСК!I75</f>
        <v>16.645377166048235</v>
      </c>
      <c r="J72" s="252">
        <f>МРСК!J75</f>
        <v>0</v>
      </c>
      <c r="K72" s="253">
        <f>МРСК!K75</f>
        <v>26.25</v>
      </c>
      <c r="L72" s="254">
        <f>МРСК!L75</f>
        <v>9.604622833951765</v>
      </c>
      <c r="M72" s="395"/>
      <c r="N72" s="255"/>
      <c r="P72" s="248"/>
      <c r="Q72" s="2" t="s">
        <v>315</v>
      </c>
      <c r="R72" s="249" t="str">
        <f>'МРСК 2'!C75</f>
        <v>25+25</v>
      </c>
      <c r="S72" s="249">
        <f>'МРСК 2'!D75</f>
        <v>0</v>
      </c>
      <c r="T72" s="256">
        <f>'МРСК 2'!E75</f>
        <v>16.645377166048235</v>
      </c>
      <c r="U72" s="250">
        <f>'МРСК 2'!F75</f>
        <v>0</v>
      </c>
      <c r="V72" s="251">
        <f>'МРСК 2'!G75</f>
        <v>0</v>
      </c>
      <c r="W72" s="252">
        <f>'МРСК 2'!H75</f>
        <v>16.645377166048235</v>
      </c>
      <c r="X72" s="252">
        <f>'МРСК 2'!I75</f>
        <v>0</v>
      </c>
      <c r="Y72" s="252">
        <f>'МРСК 2'!J75</f>
        <v>26.25</v>
      </c>
      <c r="Z72" s="254">
        <f>'МРСК 2'!K75</f>
        <v>9.604622833951765</v>
      </c>
      <c r="AA72" s="392"/>
      <c r="AB72" s="255"/>
    </row>
    <row r="73" spans="1:28" ht="20.25" thickBot="1">
      <c r="A73" s="257"/>
      <c r="B73" s="73" t="s">
        <v>316</v>
      </c>
      <c r="C73" s="258" t="str">
        <f>МРСК!C76</f>
        <v>25+25</v>
      </c>
      <c r="D73" s="258">
        <f>МРСК!D76</f>
        <v>20765</v>
      </c>
      <c r="E73" s="258">
        <f>МРСК!E76</f>
        <v>11438</v>
      </c>
      <c r="F73" s="253">
        <f>МРСК!F76</f>
        <v>23.706814821903006</v>
      </c>
      <c r="G73" s="259">
        <f>МРСК!G76</f>
        <v>0</v>
      </c>
      <c r="H73" s="260">
        <f>МРСК!H76</f>
        <v>0</v>
      </c>
      <c r="I73" s="261">
        <f>МРСК!I76</f>
        <v>23.706814821903006</v>
      </c>
      <c r="J73" s="261">
        <f>МРСК!J76</f>
        <v>0</v>
      </c>
      <c r="K73" s="262">
        <f>МРСК!K76</f>
        <v>26.25</v>
      </c>
      <c r="L73" s="263">
        <f>МРСК!L76</f>
        <v>2.5431851780969943</v>
      </c>
      <c r="M73" s="396"/>
      <c r="N73" s="264"/>
      <c r="P73" s="257"/>
      <c r="Q73" s="73" t="s">
        <v>316</v>
      </c>
      <c r="R73" s="258" t="str">
        <f>'МРСК 2'!C76</f>
        <v>25+25</v>
      </c>
      <c r="S73" s="258">
        <f>'МРСК 2'!D76</f>
        <v>3.869999999999999</v>
      </c>
      <c r="T73" s="265">
        <f>'МРСК 2'!E76</f>
        <v>27.576814821903007</v>
      </c>
      <c r="U73" s="259">
        <f>'МРСК 2'!F76</f>
        <v>0</v>
      </c>
      <c r="V73" s="260">
        <f>'МРСК 2'!G76</f>
        <v>0</v>
      </c>
      <c r="W73" s="261">
        <f>'МРСК 2'!H76</f>
        <v>27.576814821903007</v>
      </c>
      <c r="X73" s="261">
        <f>'МРСК 2'!I76</f>
        <v>0</v>
      </c>
      <c r="Y73" s="261">
        <f>'МРСК 2'!J76</f>
        <v>26.25</v>
      </c>
      <c r="Z73" s="263">
        <f>'МРСК 2'!K76</f>
        <v>-1.3268148219030067</v>
      </c>
      <c r="AA73" s="393"/>
      <c r="AB73" s="264"/>
    </row>
    <row r="74" spans="1:28" ht="20.25" thickTop="1">
      <c r="A74" s="266">
        <v>40</v>
      </c>
      <c r="B74" s="82" t="s">
        <v>357</v>
      </c>
      <c r="C74" s="267" t="str">
        <f>МРСК!C77</f>
        <v>16+16</v>
      </c>
      <c r="D74" s="267">
        <f>МРСК!D77</f>
        <v>2038</v>
      </c>
      <c r="E74" s="267">
        <f>МРСК!E77</f>
        <v>882</v>
      </c>
      <c r="F74" s="253">
        <f>МРСК!F77</f>
        <v>2.220668367856849</v>
      </c>
      <c r="G74" s="268">
        <f>МРСК!G77</f>
        <v>0</v>
      </c>
      <c r="H74" s="269">
        <f>МРСК!H77</f>
        <v>0</v>
      </c>
      <c r="I74" s="270">
        <f>МРСК!I77</f>
        <v>2.220668367856849</v>
      </c>
      <c r="J74" s="270">
        <f>МРСК!J77</f>
        <v>0</v>
      </c>
      <c r="K74" s="270">
        <f>МРСК!K77</f>
        <v>26.25</v>
      </c>
      <c r="L74" s="271">
        <f>МРСК!L77</f>
        <v>24.02933163214315</v>
      </c>
      <c r="M74" s="394">
        <f>MIN(L74:L76)</f>
        <v>10.904331632143151</v>
      </c>
      <c r="N74" s="272"/>
      <c r="P74" s="266">
        <v>40</v>
      </c>
      <c r="Q74" s="82" t="s">
        <v>357</v>
      </c>
      <c r="R74" s="267" t="str">
        <f>'МРСК 2'!C77</f>
        <v>16+16</v>
      </c>
      <c r="S74" s="267">
        <f>'МРСК 2'!D77</f>
        <v>0</v>
      </c>
      <c r="T74" s="273">
        <f>'МРСК 2'!E77</f>
        <v>2.220668367856849</v>
      </c>
      <c r="U74" s="268">
        <f>'МРСК 2'!F77</f>
        <v>0</v>
      </c>
      <c r="V74" s="269">
        <f>'МРСК 2'!G77</f>
        <v>0</v>
      </c>
      <c r="W74" s="270">
        <f>'МРСК 2'!H77</f>
        <v>2.220668367856849</v>
      </c>
      <c r="X74" s="270">
        <f>'МРСК 2'!I77</f>
        <v>0</v>
      </c>
      <c r="Y74" s="270">
        <f>'МРСК 2'!J77</f>
        <v>26.25</v>
      </c>
      <c r="Z74" s="271">
        <f>'МРСК 2'!K77</f>
        <v>24.02933163214315</v>
      </c>
      <c r="AA74" s="391">
        <f>MIN(Z74:Z76)</f>
        <v>10.904331632143151</v>
      </c>
      <c r="AB74" s="272"/>
    </row>
    <row r="75" spans="1:28" ht="19.5">
      <c r="A75" s="248"/>
      <c r="B75" s="2" t="s">
        <v>315</v>
      </c>
      <c r="C75" s="249" t="str">
        <f>МРСК!C78</f>
        <v>16+16</v>
      </c>
      <c r="D75" s="249">
        <f>МРСК!D78</f>
        <v>0</v>
      </c>
      <c r="E75" s="249">
        <f>МРСК!E78</f>
        <v>0</v>
      </c>
      <c r="F75" s="253">
        <f>МРСК!F78</f>
        <v>0</v>
      </c>
      <c r="G75" s="250">
        <f>МРСК!G78</f>
        <v>0</v>
      </c>
      <c r="H75" s="251">
        <f>МРСК!H78</f>
        <v>0</v>
      </c>
      <c r="I75" s="252">
        <f>МРСК!I78</f>
        <v>0</v>
      </c>
      <c r="J75" s="252">
        <f>МРСК!J78</f>
        <v>0</v>
      </c>
      <c r="K75" s="253">
        <f>МРСК!K78</f>
        <v>13.125</v>
      </c>
      <c r="L75" s="254">
        <f>МРСК!L78</f>
        <v>13.125</v>
      </c>
      <c r="M75" s="395"/>
      <c r="N75" s="255"/>
      <c r="P75" s="248"/>
      <c r="Q75" s="2" t="s">
        <v>315</v>
      </c>
      <c r="R75" s="249" t="str">
        <f>'МРСК 2'!C78</f>
        <v>16+16</v>
      </c>
      <c r="S75" s="249">
        <f>'МРСК 2'!D78</f>
        <v>0</v>
      </c>
      <c r="T75" s="256">
        <f>'МРСК 2'!E78</f>
        <v>0</v>
      </c>
      <c r="U75" s="250">
        <f>'МРСК 2'!F78</f>
        <v>0</v>
      </c>
      <c r="V75" s="251">
        <f>'МРСК 2'!G78</f>
        <v>0</v>
      </c>
      <c r="W75" s="252">
        <f>'МРСК 2'!H78</f>
        <v>0</v>
      </c>
      <c r="X75" s="252">
        <f>'МРСК 2'!I78</f>
        <v>0</v>
      </c>
      <c r="Y75" s="252">
        <f>'МРСК 2'!J78</f>
        <v>13.125</v>
      </c>
      <c r="Z75" s="254">
        <f>'МРСК 2'!K78</f>
        <v>13.125</v>
      </c>
      <c r="AA75" s="392"/>
      <c r="AB75" s="255"/>
    </row>
    <row r="76" spans="1:28" ht="20.25" thickBot="1">
      <c r="A76" s="257"/>
      <c r="B76" s="73" t="s">
        <v>316</v>
      </c>
      <c r="C76" s="258" t="str">
        <f>МРСК!C79</f>
        <v>16+16</v>
      </c>
      <c r="D76" s="258">
        <f>МРСК!D79</f>
        <v>2038</v>
      </c>
      <c r="E76" s="258">
        <f>МРСК!E79</f>
        <v>882</v>
      </c>
      <c r="F76" s="253">
        <f>МРСК!F79</f>
        <v>2.220668367856849</v>
      </c>
      <c r="G76" s="259">
        <f>МРСК!G79</f>
        <v>0</v>
      </c>
      <c r="H76" s="260">
        <f>МРСК!H79</f>
        <v>0</v>
      </c>
      <c r="I76" s="261">
        <f>МРСК!I79</f>
        <v>2.220668367856849</v>
      </c>
      <c r="J76" s="261">
        <f>МРСК!J79</f>
        <v>0</v>
      </c>
      <c r="K76" s="262">
        <f>МРСК!K79</f>
        <v>13.125</v>
      </c>
      <c r="L76" s="263">
        <f>МРСК!L79</f>
        <v>10.904331632143151</v>
      </c>
      <c r="M76" s="396"/>
      <c r="N76" s="264"/>
      <c r="P76" s="257"/>
      <c r="Q76" s="73" t="s">
        <v>316</v>
      </c>
      <c r="R76" s="258" t="str">
        <f>'МРСК 2'!C79</f>
        <v>16+16</v>
      </c>
      <c r="S76" s="258">
        <f>'МРСК 2'!D79</f>
        <v>0</v>
      </c>
      <c r="T76" s="265">
        <f>'МРСК 2'!E79</f>
        <v>2.220668367856849</v>
      </c>
      <c r="U76" s="259">
        <f>'МРСК 2'!F79</f>
        <v>0</v>
      </c>
      <c r="V76" s="260">
        <f>'МРСК 2'!G79</f>
        <v>0</v>
      </c>
      <c r="W76" s="261">
        <f>'МРСК 2'!H79</f>
        <v>2.220668367856849</v>
      </c>
      <c r="X76" s="261">
        <f>'МРСК 2'!I79</f>
        <v>0</v>
      </c>
      <c r="Y76" s="261">
        <f>'МРСК 2'!J79</f>
        <v>13.125</v>
      </c>
      <c r="Z76" s="263">
        <f>'МРСК 2'!K79</f>
        <v>10.904331632143151</v>
      </c>
      <c r="AA76" s="393"/>
      <c r="AB76" s="264"/>
    </row>
    <row r="77" spans="1:28" ht="21" thickBot="1" thickTop="1">
      <c r="A77" s="248">
        <v>41</v>
      </c>
      <c r="B77" s="2" t="s">
        <v>358</v>
      </c>
      <c r="C77" s="251" t="str">
        <f>МРСК!C80</f>
        <v>16+16</v>
      </c>
      <c r="D77" s="251">
        <f>МРСК!D80</f>
        <v>8429</v>
      </c>
      <c r="E77" s="251">
        <f>МРСК!E80</f>
        <v>4606</v>
      </c>
      <c r="F77" s="253">
        <f>МРСК!F80</f>
        <v>9.605377504294143</v>
      </c>
      <c r="G77" s="254">
        <f>МРСК!G80</f>
        <v>6.43</v>
      </c>
      <c r="H77" s="286">
        <f>МРСК!H80</f>
        <v>120</v>
      </c>
      <c r="I77" s="254">
        <f>МРСК!I80</f>
        <v>3.1753775042941434</v>
      </c>
      <c r="J77" s="252">
        <f>МРСК!J80</f>
        <v>0</v>
      </c>
      <c r="K77" s="289">
        <f>МРСК!K80</f>
        <v>16.8</v>
      </c>
      <c r="L77" s="277">
        <f>МРСК!L80</f>
        <v>13.624622495705857</v>
      </c>
      <c r="M77" s="254">
        <f>L77</f>
        <v>13.624622495705857</v>
      </c>
      <c r="N77" s="255"/>
      <c r="P77" s="248">
        <v>41</v>
      </c>
      <c r="Q77" s="2" t="s">
        <v>358</v>
      </c>
      <c r="R77" s="251" t="str">
        <f>'МРСК 2'!C80</f>
        <v>16+16</v>
      </c>
      <c r="S77" s="251">
        <f>'МРСК 2'!D80</f>
        <v>0.55</v>
      </c>
      <c r="T77" s="252">
        <f>'МРСК 2'!E80</f>
        <v>10.155377504294144</v>
      </c>
      <c r="U77" s="254">
        <f>'МРСК 2'!F80</f>
        <v>6.43</v>
      </c>
      <c r="V77" s="286">
        <f>'МРСК 2'!G80</f>
        <v>120</v>
      </c>
      <c r="W77" s="254">
        <f>'МРСК 2'!H80</f>
        <v>3.725377504294144</v>
      </c>
      <c r="X77" s="252">
        <f>'МРСК 2'!I80</f>
        <v>0</v>
      </c>
      <c r="Y77" s="290">
        <f>'МРСК 2'!J80</f>
        <v>16.8</v>
      </c>
      <c r="Z77" s="254">
        <f>'МРСК 2'!K80</f>
        <v>13.074622495705857</v>
      </c>
      <c r="AA77" s="254">
        <f>Z77</f>
        <v>13.074622495705857</v>
      </c>
      <c r="AB77" s="255"/>
    </row>
    <row r="78" spans="1:28" ht="21" thickBot="1" thickTop="1">
      <c r="A78" s="266">
        <v>42</v>
      </c>
      <c r="B78" s="82" t="s">
        <v>359</v>
      </c>
      <c r="C78" s="267" t="str">
        <f>МРСК!C81</f>
        <v>16+16</v>
      </c>
      <c r="D78" s="267">
        <f>МРСК!D81</f>
        <v>15102</v>
      </c>
      <c r="E78" s="267">
        <f>МРСК!E81</f>
        <v>14219</v>
      </c>
      <c r="F78" s="253">
        <f>МРСК!F81</f>
        <v>20.742477311063887</v>
      </c>
      <c r="G78" s="268">
        <f>МРСК!G81</f>
        <v>13.953</v>
      </c>
      <c r="H78" s="269">
        <f>МРСК!H81</f>
        <v>80</v>
      </c>
      <c r="I78" s="270">
        <f>МРСК!I81</f>
        <v>6.789477311063887</v>
      </c>
      <c r="J78" s="270">
        <f>МРСК!J81</f>
        <v>0</v>
      </c>
      <c r="K78" s="270">
        <f>МРСК!K81</f>
        <v>16.8</v>
      </c>
      <c r="L78" s="271">
        <f>МРСК!L81</f>
        <v>10.010522688936113</v>
      </c>
      <c r="M78" s="394">
        <f>MIN(L78:L80)</f>
        <v>6.994424089135485</v>
      </c>
      <c r="N78" s="272"/>
      <c r="P78" s="266">
        <v>42</v>
      </c>
      <c r="Q78" s="82" t="s">
        <v>359</v>
      </c>
      <c r="R78" s="267" t="str">
        <f>'МРСК 2'!C81</f>
        <v>16+16</v>
      </c>
      <c r="S78" s="267">
        <f>'МРСК 2'!D81</f>
        <v>0.22</v>
      </c>
      <c r="T78" s="273">
        <f>'МРСК 2'!E81</f>
        <v>20.962477311063886</v>
      </c>
      <c r="U78" s="268">
        <f>'МРСК 2'!F81</f>
        <v>13.953</v>
      </c>
      <c r="V78" s="269">
        <f>'МРСК 2'!G81</f>
        <v>80</v>
      </c>
      <c r="W78" s="270">
        <f>'МРСК 2'!H81</f>
        <v>7.009477311063886</v>
      </c>
      <c r="X78" s="270">
        <f>'МРСК 2'!I81</f>
        <v>0</v>
      </c>
      <c r="Y78" s="270">
        <f>'МРСК 2'!J81</f>
        <v>16.8</v>
      </c>
      <c r="Z78" s="271">
        <f>'МРСК 2'!K81</f>
        <v>9.790522688936115</v>
      </c>
      <c r="AA78" s="391">
        <f>MIN(Z78:Z80)</f>
        <v>6.774424089135486</v>
      </c>
      <c r="AB78" s="272"/>
    </row>
    <row r="79" spans="1:28" ht="21" thickBot="1" thickTop="1">
      <c r="A79" s="248"/>
      <c r="B79" s="2" t="s">
        <v>315</v>
      </c>
      <c r="C79" s="249" t="str">
        <f>МРСК!C82</f>
        <v>16+16</v>
      </c>
      <c r="D79" s="249">
        <f>МРСК!D82</f>
        <v>7808</v>
      </c>
      <c r="E79" s="249">
        <f>МРСК!E82</f>
        <v>3633</v>
      </c>
      <c r="F79" s="253">
        <f>МРСК!F82</f>
        <v>8.61182634520692</v>
      </c>
      <c r="G79" s="250">
        <f>МРСК!G82</f>
        <v>10.903</v>
      </c>
      <c r="H79" s="251">
        <f>МРСК!H82</f>
        <v>0</v>
      </c>
      <c r="I79" s="252">
        <f>МРСК!I82</f>
        <v>-2.2911736547930808</v>
      </c>
      <c r="J79" s="252">
        <f>МРСК!J82</f>
        <v>0</v>
      </c>
      <c r="K79" s="253">
        <f>МРСК!K82</f>
        <v>16.8</v>
      </c>
      <c r="L79" s="254">
        <f>МРСК!L82</f>
        <v>19.09117365479308</v>
      </c>
      <c r="M79" s="395"/>
      <c r="N79" s="255"/>
      <c r="P79" s="248"/>
      <c r="Q79" s="2" t="s">
        <v>315</v>
      </c>
      <c r="R79" s="267" t="str">
        <f>'МРСК 2'!C82</f>
        <v>16+16</v>
      </c>
      <c r="S79" s="249">
        <f>'МРСК 2'!D82</f>
        <v>0</v>
      </c>
      <c r="T79" s="256">
        <f>'МРСК 2'!E82</f>
        <v>8.61182634520692</v>
      </c>
      <c r="U79" s="250">
        <f>'МРСК 2'!F82</f>
        <v>10.903</v>
      </c>
      <c r="V79" s="251">
        <f>'МРСК 2'!G82</f>
        <v>0</v>
      </c>
      <c r="W79" s="252">
        <f>'МРСК 2'!H82</f>
        <v>-2.2911736547930808</v>
      </c>
      <c r="X79" s="252">
        <f>'МРСК 2'!I82</f>
        <v>0</v>
      </c>
      <c r="Y79" s="252">
        <f>'МРСК 2'!J82</f>
        <v>16.8</v>
      </c>
      <c r="Z79" s="254">
        <f>'МРСК 2'!K82</f>
        <v>19.09117365479308</v>
      </c>
      <c r="AA79" s="392"/>
      <c r="AB79" s="255"/>
    </row>
    <row r="80" spans="1:28" ht="21" thickBot="1" thickTop="1">
      <c r="A80" s="257"/>
      <c r="B80" s="73" t="s">
        <v>316</v>
      </c>
      <c r="C80" s="258" t="str">
        <f>МРСК!C83</f>
        <v>16+16</v>
      </c>
      <c r="D80" s="258">
        <f>МРСК!D83</f>
        <v>7294</v>
      </c>
      <c r="E80" s="258">
        <f>МРСК!E83</f>
        <v>10586</v>
      </c>
      <c r="F80" s="253">
        <f>МРСК!F83</f>
        <v>12.855575910864514</v>
      </c>
      <c r="G80" s="259">
        <f>МРСК!G83</f>
        <v>3.05</v>
      </c>
      <c r="H80" s="260">
        <f>МРСК!H83</f>
        <v>0</v>
      </c>
      <c r="I80" s="261">
        <f>МРСК!I83</f>
        <v>9.805575910864516</v>
      </c>
      <c r="J80" s="261">
        <f>МРСК!J83</f>
        <v>0</v>
      </c>
      <c r="K80" s="262">
        <f>МРСК!K83</f>
        <v>16.8</v>
      </c>
      <c r="L80" s="263">
        <f>МРСК!L83</f>
        <v>6.994424089135485</v>
      </c>
      <c r="M80" s="396"/>
      <c r="N80" s="264"/>
      <c r="P80" s="257"/>
      <c r="Q80" s="73" t="s">
        <v>316</v>
      </c>
      <c r="R80" s="267" t="str">
        <f>'МРСК 2'!C83</f>
        <v>16+16</v>
      </c>
      <c r="S80" s="258">
        <f>'МРСК 2'!D83</f>
        <v>0.22</v>
      </c>
      <c r="T80" s="265">
        <f>'МРСК 2'!E83</f>
        <v>13.075575910864515</v>
      </c>
      <c r="U80" s="259">
        <f>'МРСК 2'!F83</f>
        <v>3.05</v>
      </c>
      <c r="V80" s="260">
        <f>'МРСК 2'!G83</f>
        <v>0</v>
      </c>
      <c r="W80" s="261">
        <f>'МРСК 2'!H83</f>
        <v>10.025575910864514</v>
      </c>
      <c r="X80" s="261">
        <f>'МРСК 2'!I83</f>
        <v>0</v>
      </c>
      <c r="Y80" s="261">
        <f>'МРСК 2'!J83</f>
        <v>16.8</v>
      </c>
      <c r="Z80" s="263">
        <f>'МРСК 2'!K83</f>
        <v>6.774424089135486</v>
      </c>
      <c r="AA80" s="393"/>
      <c r="AB80" s="264"/>
    </row>
    <row r="81" spans="1:28" ht="20.25" thickTop="1">
      <c r="A81" s="248">
        <v>43</v>
      </c>
      <c r="B81" s="2" t="s">
        <v>360</v>
      </c>
      <c r="C81" s="251" t="str">
        <f>МРСК!C84</f>
        <v>40+40</v>
      </c>
      <c r="D81" s="251">
        <f>МРСК!D84</f>
        <v>24528</v>
      </c>
      <c r="E81" s="251">
        <f>МРСК!E84</f>
        <v>8016</v>
      </c>
      <c r="F81" s="253">
        <f>МРСК!F84</f>
        <v>25.804632142311196</v>
      </c>
      <c r="G81" s="254">
        <f>МРСК!G84</f>
        <v>6.73</v>
      </c>
      <c r="H81" s="286">
        <f>МРСК!H84</f>
        <v>120</v>
      </c>
      <c r="I81" s="254">
        <f>МРСК!I84</f>
        <v>19.074632142311195</v>
      </c>
      <c r="J81" s="252">
        <f>МРСК!J84</f>
        <v>0</v>
      </c>
      <c r="K81" s="289">
        <f>МРСК!K84</f>
        <v>42</v>
      </c>
      <c r="L81" s="277">
        <f>МРСК!L84</f>
        <v>22.925367857688805</v>
      </c>
      <c r="M81" s="254">
        <f>MIN(L81:L81)</f>
        <v>22.925367857688805</v>
      </c>
      <c r="N81" s="255"/>
      <c r="P81" s="248">
        <v>43</v>
      </c>
      <c r="Q81" s="2" t="s">
        <v>360</v>
      </c>
      <c r="R81" s="251" t="str">
        <f>'МРСК 2'!C84</f>
        <v>40+40</v>
      </c>
      <c r="S81" s="251">
        <f>'МРСК 2'!D84</f>
        <v>2.73</v>
      </c>
      <c r="T81" s="252">
        <f>'МРСК 2'!E84</f>
        <v>28.534632142311196</v>
      </c>
      <c r="U81" s="254">
        <f>'МРСК 2'!F84</f>
        <v>6.73</v>
      </c>
      <c r="V81" s="286">
        <f>'МРСК 2'!G84</f>
        <v>120</v>
      </c>
      <c r="W81" s="254">
        <f>'МРСК 2'!H84</f>
        <v>21.804632142311196</v>
      </c>
      <c r="X81" s="252">
        <f>'МРСК 2'!I84</f>
        <v>0</v>
      </c>
      <c r="Y81" s="290">
        <f>'МРСК 2'!J84</f>
        <v>42</v>
      </c>
      <c r="Z81" s="254">
        <f>'МРСК 2'!K84</f>
        <v>20.195367857688804</v>
      </c>
      <c r="AA81" s="254">
        <f>MIN(Z81:Z81)</f>
        <v>20.195367857688804</v>
      </c>
      <c r="AB81" s="255"/>
    </row>
    <row r="82" spans="1:28" ht="20.25" thickBot="1">
      <c r="A82" s="248">
        <v>44</v>
      </c>
      <c r="B82" s="6" t="s">
        <v>361</v>
      </c>
      <c r="C82" s="251" t="str">
        <f>МРСК!C85</f>
        <v>40+40</v>
      </c>
      <c r="D82" s="251">
        <f>МРСК!D85</f>
        <v>22234</v>
      </c>
      <c r="E82" s="251">
        <f>МРСК!E85</f>
        <v>5735</v>
      </c>
      <c r="F82" s="253">
        <f>МРСК!F85</f>
        <v>22.961728615241494</v>
      </c>
      <c r="G82" s="254">
        <f>МРСК!G85</f>
        <v>11.23</v>
      </c>
      <c r="H82" s="286">
        <f>МРСК!H85</f>
        <v>120</v>
      </c>
      <c r="I82" s="254">
        <f>МРСК!I85</f>
        <v>11.731728615241494</v>
      </c>
      <c r="J82" s="252">
        <f>МРСК!J85</f>
        <v>0</v>
      </c>
      <c r="K82" s="289">
        <f>МРСК!K85</f>
        <v>42</v>
      </c>
      <c r="L82" s="277">
        <f>МРСК!L85</f>
        <v>30.268271384758506</v>
      </c>
      <c r="M82" s="254">
        <f>MIN(L82:L82)</f>
        <v>30.268271384758506</v>
      </c>
      <c r="N82" s="255"/>
      <c r="P82" s="248">
        <v>44</v>
      </c>
      <c r="Q82" s="6" t="s">
        <v>361</v>
      </c>
      <c r="R82" s="251" t="str">
        <f>'МРСК 2'!C85</f>
        <v>40+40</v>
      </c>
      <c r="S82" s="251">
        <f>'МРСК 2'!D85</f>
        <v>1.62</v>
      </c>
      <c r="T82" s="252">
        <f>'МРСК 2'!E85</f>
        <v>24.581728615241495</v>
      </c>
      <c r="U82" s="254">
        <f>'МРСК 2'!F85</f>
        <v>11.23</v>
      </c>
      <c r="V82" s="286">
        <f>'МРСК 2'!G85</f>
        <v>120</v>
      </c>
      <c r="W82" s="254">
        <f>'МРСК 2'!H85</f>
        <v>13.351728615241495</v>
      </c>
      <c r="X82" s="252">
        <f>'МРСК 2'!I85</f>
        <v>0</v>
      </c>
      <c r="Y82" s="290">
        <f>'МРСК 2'!J85</f>
        <v>42</v>
      </c>
      <c r="Z82" s="254">
        <f>'МРСК 2'!K85</f>
        <v>28.648271384758505</v>
      </c>
      <c r="AA82" s="254">
        <f>MIN(Z82:Z82)</f>
        <v>28.648271384758505</v>
      </c>
      <c r="AB82" s="255"/>
    </row>
    <row r="83" spans="1:28" ht="20.25" thickTop="1">
      <c r="A83" s="266">
        <v>45</v>
      </c>
      <c r="B83" s="82" t="s">
        <v>362</v>
      </c>
      <c r="C83" s="267" t="str">
        <f>МРСК!C86</f>
        <v>40+25</v>
      </c>
      <c r="D83" s="267">
        <f>МРСК!D86</f>
        <v>20132</v>
      </c>
      <c r="E83" s="267">
        <f>МРСК!E86</f>
        <v>7256</v>
      </c>
      <c r="F83" s="253">
        <f>МРСК!F86</f>
        <v>21.39969532493395</v>
      </c>
      <c r="G83" s="268">
        <f>МРСК!G86</f>
        <v>12.4</v>
      </c>
      <c r="H83" s="269">
        <f>МРСК!H86</f>
        <v>120</v>
      </c>
      <c r="I83" s="270">
        <f>МРСК!I86</f>
        <v>8.99969532493395</v>
      </c>
      <c r="J83" s="270">
        <f>МРСК!J86</f>
        <v>0</v>
      </c>
      <c r="K83" s="270">
        <f>МРСК!K86</f>
        <v>42</v>
      </c>
      <c r="L83" s="271">
        <f>МРСК!L86</f>
        <v>33.00030467506605</v>
      </c>
      <c r="M83" s="394">
        <f>MIN(L83:L85)</f>
        <v>32.260962733351775</v>
      </c>
      <c r="N83" s="272"/>
      <c r="P83" s="266">
        <v>45</v>
      </c>
      <c r="Q83" s="82" t="s">
        <v>362</v>
      </c>
      <c r="R83" s="267" t="str">
        <f>'МРСК 2'!C86</f>
        <v>40+25</v>
      </c>
      <c r="S83" s="267">
        <f>'МРСК 2'!D86</f>
        <v>0.13</v>
      </c>
      <c r="T83" s="273">
        <f>'МРСК 2'!E86</f>
        <v>21.52969532493395</v>
      </c>
      <c r="U83" s="268">
        <f>'МРСК 2'!F86</f>
        <v>12.4</v>
      </c>
      <c r="V83" s="269">
        <f>'МРСК 2'!G86</f>
        <v>120</v>
      </c>
      <c r="W83" s="270">
        <f>'МРСК 2'!H86</f>
        <v>9.12969532493395</v>
      </c>
      <c r="X83" s="270">
        <f>'МРСК 2'!I86</f>
        <v>0</v>
      </c>
      <c r="Y83" s="270">
        <f>'МРСК 2'!J86</f>
        <v>42</v>
      </c>
      <c r="Z83" s="271">
        <f>'МРСК 2'!K86</f>
        <v>32.87030467506605</v>
      </c>
      <c r="AA83" s="391">
        <f>MIN(Z83:Z85)</f>
        <v>32.260962733351775</v>
      </c>
      <c r="AB83" s="272"/>
    </row>
    <row r="84" spans="1:28" ht="19.5">
      <c r="A84" s="248"/>
      <c r="B84" s="2" t="s">
        <v>315</v>
      </c>
      <c r="C84" s="249" t="str">
        <f>МРСК!C87</f>
        <v>40+25</v>
      </c>
      <c r="D84" s="249">
        <f>МРСК!D87</f>
        <v>14761</v>
      </c>
      <c r="E84" s="249">
        <f>МРСК!E87</f>
        <v>6085</v>
      </c>
      <c r="F84" s="253">
        <f>МРСК!F87</f>
        <v>15.966037266648227</v>
      </c>
      <c r="G84" s="250">
        <f>МРСК!G87</f>
        <v>6.227</v>
      </c>
      <c r="H84" s="251">
        <f>МРСК!H87</f>
        <v>0</v>
      </c>
      <c r="I84" s="252">
        <f>МРСК!I87</f>
        <v>9.739037266648227</v>
      </c>
      <c r="J84" s="252">
        <f>МРСК!J87</f>
        <v>0</v>
      </c>
      <c r="K84" s="253">
        <f>МРСК!K87</f>
        <v>42</v>
      </c>
      <c r="L84" s="254">
        <f>МРСК!L87</f>
        <v>32.260962733351775</v>
      </c>
      <c r="M84" s="395"/>
      <c r="N84" s="255"/>
      <c r="P84" s="248"/>
      <c r="Q84" s="2" t="s">
        <v>315</v>
      </c>
      <c r="R84" s="249" t="str">
        <f>'МРСК 2'!C87</f>
        <v>40+25</v>
      </c>
      <c r="S84" s="249">
        <f>'МРСК 2'!D87</f>
        <v>0</v>
      </c>
      <c r="T84" s="256">
        <f>'МРСК 2'!E87</f>
        <v>15.966037266648227</v>
      </c>
      <c r="U84" s="250">
        <f>'МРСК 2'!F87</f>
        <v>6.227</v>
      </c>
      <c r="V84" s="251">
        <f>'МРСК 2'!G87</f>
        <v>0</v>
      </c>
      <c r="W84" s="252">
        <f>'МРСК 2'!H87</f>
        <v>9.739037266648227</v>
      </c>
      <c r="X84" s="252">
        <f>'МРСК 2'!I87</f>
        <v>0</v>
      </c>
      <c r="Y84" s="252">
        <f>'МРСК 2'!J87</f>
        <v>42</v>
      </c>
      <c r="Z84" s="254">
        <f>'МРСК 2'!K87</f>
        <v>32.260962733351775</v>
      </c>
      <c r="AA84" s="392"/>
      <c r="AB84" s="255"/>
    </row>
    <row r="85" spans="1:28" ht="20.25" thickBot="1">
      <c r="A85" s="257"/>
      <c r="B85" s="73" t="s">
        <v>316</v>
      </c>
      <c r="C85" s="258" t="str">
        <f>МРСК!C88</f>
        <v>40+25</v>
      </c>
      <c r="D85" s="258">
        <f>МРСК!D88</f>
        <v>5371</v>
      </c>
      <c r="E85" s="258">
        <f>МРСК!E88</f>
        <v>1171</v>
      </c>
      <c r="F85" s="253">
        <f>МРСК!F88</f>
        <v>5.497170363014048</v>
      </c>
      <c r="G85" s="259">
        <f>МРСК!G88</f>
        <v>6.173</v>
      </c>
      <c r="H85" s="260">
        <f>МРСК!H88</f>
        <v>0</v>
      </c>
      <c r="I85" s="261">
        <f>МРСК!I88</f>
        <v>-0.6758296369859522</v>
      </c>
      <c r="J85" s="261">
        <f>МРСК!J88</f>
        <v>0</v>
      </c>
      <c r="K85" s="262">
        <f>МРСК!K88</f>
        <v>42</v>
      </c>
      <c r="L85" s="263">
        <f>МРСК!L88</f>
        <v>42.67582963698595</v>
      </c>
      <c r="M85" s="396"/>
      <c r="N85" s="264"/>
      <c r="P85" s="257"/>
      <c r="Q85" s="73" t="s">
        <v>316</v>
      </c>
      <c r="R85" s="258" t="str">
        <f>'МРСК 2'!C88</f>
        <v>40+25</v>
      </c>
      <c r="S85" s="258">
        <f>'МРСК 2'!D88</f>
        <v>0.13</v>
      </c>
      <c r="T85" s="265">
        <f>'МРСК 2'!E88</f>
        <v>5.627170363014048</v>
      </c>
      <c r="U85" s="259">
        <f>'МРСК 2'!F88</f>
        <v>6.173</v>
      </c>
      <c r="V85" s="260">
        <f>'МРСК 2'!G88</f>
        <v>0</v>
      </c>
      <c r="W85" s="261">
        <f>'МРСК 2'!H88</f>
        <v>-0.5458296369859523</v>
      </c>
      <c r="X85" s="261">
        <f>'МРСК 2'!I88</f>
        <v>0</v>
      </c>
      <c r="Y85" s="261">
        <f>'МРСК 2'!J88</f>
        <v>42</v>
      </c>
      <c r="Z85" s="263">
        <f>'МРСК 2'!K88</f>
        <v>42.54582963698595</v>
      </c>
      <c r="AA85" s="393"/>
      <c r="AB85" s="264"/>
    </row>
    <row r="86" spans="1:28" ht="21" thickBot="1" thickTop="1">
      <c r="A86" s="248">
        <v>46</v>
      </c>
      <c r="B86" s="6" t="s">
        <v>363</v>
      </c>
      <c r="C86" s="251" t="str">
        <f>МРСК!C89</f>
        <v>16+16</v>
      </c>
      <c r="D86" s="251">
        <f>МРСК!D89</f>
        <v>15750</v>
      </c>
      <c r="E86" s="251">
        <f>МРСК!E89</f>
        <v>4520</v>
      </c>
      <c r="F86" s="253">
        <f>МРСК!F89</f>
        <v>16.385752957981516</v>
      </c>
      <c r="G86" s="254">
        <f>МРСК!G89</f>
        <v>1.249</v>
      </c>
      <c r="H86" s="286">
        <f>МРСК!H89</f>
        <v>80</v>
      </c>
      <c r="I86" s="254">
        <f>МРСК!I89</f>
        <v>15.136752957981516</v>
      </c>
      <c r="J86" s="252">
        <f>МРСК!J89</f>
        <v>0</v>
      </c>
      <c r="K86" s="289">
        <f>МРСК!K89</f>
        <v>16.8</v>
      </c>
      <c r="L86" s="277">
        <f>МРСК!L89</f>
        <v>1.6632470420184848</v>
      </c>
      <c r="M86" s="254">
        <f>L86</f>
        <v>1.6632470420184848</v>
      </c>
      <c r="N86" s="255"/>
      <c r="P86" s="248">
        <v>46</v>
      </c>
      <c r="Q86" s="6" t="s">
        <v>363</v>
      </c>
      <c r="R86" s="251" t="str">
        <f>'МРСК 2'!C89</f>
        <v>16+16</v>
      </c>
      <c r="S86" s="251">
        <f>'МРСК 2'!D89</f>
        <v>1.52</v>
      </c>
      <c r="T86" s="252">
        <f>'МРСК 2'!E89</f>
        <v>17.905752957981516</v>
      </c>
      <c r="U86" s="254">
        <f>'МРСК 2'!F89</f>
        <v>1.249</v>
      </c>
      <c r="V86" s="286">
        <f>'МРСК 2'!G89</f>
        <v>80</v>
      </c>
      <c r="W86" s="254">
        <f>'МРСК 2'!H89</f>
        <v>16.656752957981517</v>
      </c>
      <c r="X86" s="252">
        <f>'МРСК 2'!I89</f>
        <v>0</v>
      </c>
      <c r="Y86" s="290">
        <f>'МРСК 2'!J89</f>
        <v>16.8</v>
      </c>
      <c r="Z86" s="254">
        <f>'МРСК 2'!K89</f>
        <v>0.14324704201848348</v>
      </c>
      <c r="AA86" s="254">
        <f>Z86</f>
        <v>0.14324704201848348</v>
      </c>
      <c r="AB86" s="255"/>
    </row>
    <row r="87" spans="1:28" ht="21" thickBot="1" thickTop="1">
      <c r="A87" s="266">
        <v>47</v>
      </c>
      <c r="B87" s="82" t="s">
        <v>364</v>
      </c>
      <c r="C87" s="267" t="str">
        <f>МРСК!C90</f>
        <v>10+10</v>
      </c>
      <c r="D87" s="267">
        <f>МРСК!D90</f>
        <v>11674</v>
      </c>
      <c r="E87" s="267">
        <f>МРСК!E90</f>
        <v>4784</v>
      </c>
      <c r="F87" s="253">
        <f>МРСК!F90</f>
        <v>12.616217024132075</v>
      </c>
      <c r="G87" s="268">
        <f>МРСК!G90</f>
        <v>6.16</v>
      </c>
      <c r="H87" s="269">
        <f>МРСК!H90</f>
        <v>80</v>
      </c>
      <c r="I87" s="270">
        <f>МРСК!I90</f>
        <v>6.456217024132075</v>
      </c>
      <c r="J87" s="270">
        <f>МРСК!J90</f>
        <v>0</v>
      </c>
      <c r="K87" s="270">
        <f>МРСК!K90</f>
        <v>10.5</v>
      </c>
      <c r="L87" s="271">
        <f>МРСК!L90</f>
        <v>4.043782975867925</v>
      </c>
      <c r="M87" s="394">
        <f>MIN(L87:L89)</f>
        <v>3.8937446311776664</v>
      </c>
      <c r="N87" s="272"/>
      <c r="P87" s="266">
        <v>47</v>
      </c>
      <c r="Q87" s="82" t="s">
        <v>364</v>
      </c>
      <c r="R87" s="267" t="str">
        <f>'МРСК 2'!C90</f>
        <v>10+10</v>
      </c>
      <c r="S87" s="267">
        <f>'МРСК 2'!D90</f>
        <v>0</v>
      </c>
      <c r="T87" s="273">
        <f>'МРСК 2'!E90</f>
        <v>12.616217024132075</v>
      </c>
      <c r="U87" s="268">
        <f>'МРСК 2'!F90</f>
        <v>6.16</v>
      </c>
      <c r="V87" s="269">
        <f>'МРСК 2'!G90</f>
        <v>80</v>
      </c>
      <c r="W87" s="270">
        <f>'МРСК 2'!H90</f>
        <v>6.456217024132075</v>
      </c>
      <c r="X87" s="270">
        <f>'МРСК 2'!I90</f>
        <v>0</v>
      </c>
      <c r="Y87" s="270">
        <f>'МРСК 2'!J90</f>
        <v>10.5</v>
      </c>
      <c r="Z87" s="271">
        <f>'МРСК 2'!K90</f>
        <v>4.043782975867925</v>
      </c>
      <c r="AA87" s="391">
        <f>MIN(Z87:Z89)</f>
        <v>3.8937446311776664</v>
      </c>
      <c r="AB87" s="272"/>
    </row>
    <row r="88" spans="1:28" ht="21" thickBot="1" thickTop="1">
      <c r="A88" s="248"/>
      <c r="B88" s="2" t="s">
        <v>315</v>
      </c>
      <c r="C88" s="249" t="str">
        <f>МРСК!C91</f>
        <v>10+10</v>
      </c>
      <c r="D88" s="249">
        <f>МРСК!D91</f>
        <v>8312</v>
      </c>
      <c r="E88" s="249">
        <f>МРСК!E91</f>
        <v>3402</v>
      </c>
      <c r="F88" s="253">
        <f>МРСК!F91</f>
        <v>8.981255368822334</v>
      </c>
      <c r="G88" s="250">
        <f>МРСК!G91</f>
        <v>2.375</v>
      </c>
      <c r="H88" s="251">
        <f>МРСК!H91</f>
        <v>0</v>
      </c>
      <c r="I88" s="252">
        <f>МРСК!I91</f>
        <v>6.6062553688223336</v>
      </c>
      <c r="J88" s="252">
        <f>МРСК!J91</f>
        <v>0</v>
      </c>
      <c r="K88" s="253">
        <f>МРСК!K91</f>
        <v>10.5</v>
      </c>
      <c r="L88" s="254">
        <f>МРСК!L91</f>
        <v>3.8937446311776664</v>
      </c>
      <c r="M88" s="395"/>
      <c r="N88" s="255"/>
      <c r="P88" s="248"/>
      <c r="Q88" s="2" t="s">
        <v>315</v>
      </c>
      <c r="R88" s="267" t="str">
        <f>'МРСК 2'!C91</f>
        <v>10+10</v>
      </c>
      <c r="S88" s="249">
        <f>'МРСК 2'!D91</f>
        <v>0</v>
      </c>
      <c r="T88" s="256">
        <f>'МРСК 2'!E91</f>
        <v>8.981255368822334</v>
      </c>
      <c r="U88" s="250">
        <f>'МРСК 2'!F91</f>
        <v>2.375</v>
      </c>
      <c r="V88" s="251">
        <f>'МРСК 2'!G91</f>
        <v>0</v>
      </c>
      <c r="W88" s="252">
        <f>'МРСК 2'!H91</f>
        <v>6.6062553688223336</v>
      </c>
      <c r="X88" s="252">
        <f>'МРСК 2'!I91</f>
        <v>0</v>
      </c>
      <c r="Y88" s="252">
        <f>'МРСК 2'!J91</f>
        <v>10.5</v>
      </c>
      <c r="Z88" s="254">
        <f>'МРСК 2'!K91</f>
        <v>3.8937446311776664</v>
      </c>
      <c r="AA88" s="392"/>
      <c r="AB88" s="255"/>
    </row>
    <row r="89" spans="1:28" ht="21" thickBot="1" thickTop="1">
      <c r="A89" s="257"/>
      <c r="B89" s="73" t="s">
        <v>316</v>
      </c>
      <c r="C89" s="258" t="str">
        <f>МРСК!C92</f>
        <v>10+10</v>
      </c>
      <c r="D89" s="258">
        <f>МРСК!D92</f>
        <v>3362</v>
      </c>
      <c r="E89" s="258">
        <f>МРСК!E92</f>
        <v>1382</v>
      </c>
      <c r="F89" s="253">
        <f>МРСК!F92</f>
        <v>3.6349646490715695</v>
      </c>
      <c r="G89" s="259">
        <f>МРСК!G92</f>
        <v>3.785</v>
      </c>
      <c r="H89" s="260">
        <f>МРСК!H92</f>
        <v>0</v>
      </c>
      <c r="I89" s="261">
        <f>МРСК!I92</f>
        <v>-0.15003535092843068</v>
      </c>
      <c r="J89" s="261">
        <f>МРСК!J92</f>
        <v>0</v>
      </c>
      <c r="K89" s="262">
        <f>МРСК!K92</f>
        <v>10.5</v>
      </c>
      <c r="L89" s="263">
        <f>МРСК!L92</f>
        <v>10.65003535092843</v>
      </c>
      <c r="M89" s="396"/>
      <c r="N89" s="264"/>
      <c r="P89" s="257"/>
      <c r="Q89" s="73" t="s">
        <v>316</v>
      </c>
      <c r="R89" s="267" t="str">
        <f>'МРСК 2'!C92</f>
        <v>10+10</v>
      </c>
      <c r="S89" s="258">
        <f>'МРСК 2'!D92</f>
        <v>0</v>
      </c>
      <c r="T89" s="265">
        <f>'МРСК 2'!E92</f>
        <v>3.6349646490715695</v>
      </c>
      <c r="U89" s="259">
        <f>'МРСК 2'!F92</f>
        <v>3.785</v>
      </c>
      <c r="V89" s="260">
        <f>'МРСК 2'!G92</f>
        <v>0</v>
      </c>
      <c r="W89" s="261">
        <f>'МРСК 2'!H92</f>
        <v>-0.15003535092843068</v>
      </c>
      <c r="X89" s="261">
        <f>'МРСК 2'!I92</f>
        <v>0</v>
      </c>
      <c r="Y89" s="261">
        <f>'МРСК 2'!J92</f>
        <v>10.5</v>
      </c>
      <c r="Z89" s="263">
        <f>'МРСК 2'!K92</f>
        <v>10.65003535092843</v>
      </c>
      <c r="AA89" s="393"/>
      <c r="AB89" s="264"/>
    </row>
    <row r="90" spans="1:28" ht="20.25" thickTop="1">
      <c r="A90" s="266">
        <v>48</v>
      </c>
      <c r="B90" s="82" t="s">
        <v>365</v>
      </c>
      <c r="C90" s="267" t="str">
        <f>МРСК!C93</f>
        <v>16+16</v>
      </c>
      <c r="D90" s="267">
        <f>МРСК!D93</f>
        <v>13335</v>
      </c>
      <c r="E90" s="267">
        <f>МРСК!E93</f>
        <v>6036</v>
      </c>
      <c r="F90" s="253">
        <f>МРСК!F93</f>
        <v>14.637469760856895</v>
      </c>
      <c r="G90" s="268">
        <f>МРСК!G93</f>
        <v>7.7116</v>
      </c>
      <c r="H90" s="269">
        <f>МРСК!H93</f>
        <v>120</v>
      </c>
      <c r="I90" s="270">
        <f>МРСК!I93</f>
        <v>6.925869760856895</v>
      </c>
      <c r="J90" s="270">
        <f>МРСК!J93</f>
        <v>0</v>
      </c>
      <c r="K90" s="270">
        <f>МРСК!K93</f>
        <v>16.8</v>
      </c>
      <c r="L90" s="271">
        <f>МРСК!L93</f>
        <v>9.874130239143106</v>
      </c>
      <c r="M90" s="394">
        <f>MIN(L90:L92)</f>
        <v>9.874130239143106</v>
      </c>
      <c r="N90" s="272"/>
      <c r="P90" s="266">
        <v>48</v>
      </c>
      <c r="Q90" s="82" t="s">
        <v>365</v>
      </c>
      <c r="R90" s="267" t="str">
        <f>'МРСК 2'!C93</f>
        <v>16+16</v>
      </c>
      <c r="S90" s="267">
        <f>'МРСК 2'!D93</f>
        <v>0.83</v>
      </c>
      <c r="T90" s="273">
        <f>'МРСК 2'!E93</f>
        <v>15.467469760856895</v>
      </c>
      <c r="U90" s="268">
        <f>'МРСК 2'!F93</f>
        <v>7.7116</v>
      </c>
      <c r="V90" s="269">
        <f>'МРСК 2'!G93</f>
        <v>120</v>
      </c>
      <c r="W90" s="270">
        <f>'МРСК 2'!H93</f>
        <v>7.755869760856895</v>
      </c>
      <c r="X90" s="270">
        <f>'МРСК 2'!I93</f>
        <v>0</v>
      </c>
      <c r="Y90" s="270">
        <f>'МРСК 2'!J93</f>
        <v>16.8</v>
      </c>
      <c r="Z90" s="271">
        <f>'МРСК 2'!K93</f>
        <v>9.044130239143104</v>
      </c>
      <c r="AA90" s="391">
        <f>MIN(Z90:Z92)</f>
        <v>9.044130239143104</v>
      </c>
      <c r="AB90" s="272"/>
    </row>
    <row r="91" spans="1:28" ht="19.5">
      <c r="A91" s="248"/>
      <c r="B91" s="2" t="s">
        <v>315</v>
      </c>
      <c r="C91" s="249" t="str">
        <f>МРСК!C94</f>
        <v>16+16</v>
      </c>
      <c r="D91" s="249">
        <f>МРСК!D94</f>
        <v>6823</v>
      </c>
      <c r="E91" s="249">
        <f>МРСК!E94</f>
        <v>3368</v>
      </c>
      <c r="F91" s="253">
        <f>МРСК!F94</f>
        <v>7.608991588903224</v>
      </c>
      <c r="G91" s="250">
        <f>МРСК!G94</f>
        <v>4.854</v>
      </c>
      <c r="H91" s="251">
        <f>МРСК!H94</f>
        <v>0</v>
      </c>
      <c r="I91" s="252">
        <f>МРСК!I94</f>
        <v>2.7549915889032235</v>
      </c>
      <c r="J91" s="252">
        <f>МРСК!J94</f>
        <v>0</v>
      </c>
      <c r="K91" s="253">
        <f>МРСК!K94</f>
        <v>16.8</v>
      </c>
      <c r="L91" s="254">
        <f>МРСК!L94</f>
        <v>14.045008411096777</v>
      </c>
      <c r="M91" s="395"/>
      <c r="N91" s="255"/>
      <c r="P91" s="248"/>
      <c r="Q91" s="2" t="s">
        <v>315</v>
      </c>
      <c r="R91" s="249" t="str">
        <f>'МРСК 2'!C94</f>
        <v>16+16</v>
      </c>
      <c r="S91" s="249">
        <f>'МРСК 2'!D94</f>
        <v>0</v>
      </c>
      <c r="T91" s="256">
        <f>'МРСК 2'!E94</f>
        <v>7.608991588903224</v>
      </c>
      <c r="U91" s="250">
        <f>'МРСК 2'!F94</f>
        <v>4.854</v>
      </c>
      <c r="V91" s="251">
        <f>'МРСК 2'!G94</f>
        <v>0</v>
      </c>
      <c r="W91" s="252">
        <f>'МРСК 2'!H94</f>
        <v>2.7549915889032235</v>
      </c>
      <c r="X91" s="252">
        <f>'МРСК 2'!I94</f>
        <v>0</v>
      </c>
      <c r="Y91" s="252">
        <f>'МРСК 2'!J94</f>
        <v>16.8</v>
      </c>
      <c r="Z91" s="254">
        <f>'МРСК 2'!K94</f>
        <v>14.045008411096777</v>
      </c>
      <c r="AA91" s="392"/>
      <c r="AB91" s="255"/>
    </row>
    <row r="92" spans="1:28" ht="20.25" thickBot="1">
      <c r="A92" s="257"/>
      <c r="B92" s="73" t="s">
        <v>316</v>
      </c>
      <c r="C92" s="258" t="str">
        <f>МРСК!C95</f>
        <v>16+16</v>
      </c>
      <c r="D92" s="258">
        <f>МРСК!D95</f>
        <v>6512</v>
      </c>
      <c r="E92" s="258">
        <f>МРСК!E95</f>
        <v>2668</v>
      </c>
      <c r="F92" s="253">
        <f>МРСК!F95</f>
        <v>7.037355185010914</v>
      </c>
      <c r="G92" s="259">
        <f>МРСК!G95</f>
        <v>2.8575999999999997</v>
      </c>
      <c r="H92" s="260">
        <f>МРСК!H95</f>
        <v>0</v>
      </c>
      <c r="I92" s="261">
        <f>МРСК!I95</f>
        <v>4.179755185010914</v>
      </c>
      <c r="J92" s="261">
        <f>МРСК!J95</f>
        <v>0</v>
      </c>
      <c r="K92" s="262">
        <f>МРСК!K95</f>
        <v>16.8</v>
      </c>
      <c r="L92" s="263">
        <f>МРСК!L95</f>
        <v>12.620244814989086</v>
      </c>
      <c r="M92" s="396"/>
      <c r="N92" s="264"/>
      <c r="P92" s="257"/>
      <c r="Q92" s="73" t="s">
        <v>316</v>
      </c>
      <c r="R92" s="258" t="str">
        <f>'МРСК 2'!C95</f>
        <v>16+16</v>
      </c>
      <c r="S92" s="258">
        <f>'МРСК 2'!D95</f>
        <v>0.83</v>
      </c>
      <c r="T92" s="265">
        <f>'МРСК 2'!E95</f>
        <v>7.867355185010914</v>
      </c>
      <c r="U92" s="259">
        <f>'МРСК 2'!F95</f>
        <v>2.8575999999999997</v>
      </c>
      <c r="V92" s="260">
        <f>'МРСК 2'!G95</f>
        <v>0</v>
      </c>
      <c r="W92" s="261">
        <f>'МРСК 2'!H95</f>
        <v>5.009755185010914</v>
      </c>
      <c r="X92" s="261">
        <f>'МРСК 2'!I95</f>
        <v>0</v>
      </c>
      <c r="Y92" s="261">
        <f>'МРСК 2'!J95</f>
        <v>16.8</v>
      </c>
      <c r="Z92" s="263">
        <f>'МРСК 2'!K95</f>
        <v>11.790244814989087</v>
      </c>
      <c r="AA92" s="393"/>
      <c r="AB92" s="264"/>
    </row>
    <row r="93" spans="1:28" ht="20.25" thickTop="1">
      <c r="A93" s="266">
        <v>49</v>
      </c>
      <c r="B93" s="82" t="s">
        <v>366</v>
      </c>
      <c r="C93" s="267" t="str">
        <f>МРСК!C96</f>
        <v>25+25</v>
      </c>
      <c r="D93" s="267">
        <f>МРСК!D96</f>
        <v>11009</v>
      </c>
      <c r="E93" s="267">
        <f>МРСК!E96</f>
        <v>4506</v>
      </c>
      <c r="F93" s="253">
        <f>МРСК!F96</f>
        <v>11.895466237184653</v>
      </c>
      <c r="G93" s="268">
        <f>МРСК!G96</f>
        <v>9.65</v>
      </c>
      <c r="H93" s="269">
        <f>МРСК!H96</f>
        <v>80</v>
      </c>
      <c r="I93" s="270">
        <f>МРСК!I96</f>
        <v>2.2454662371846528</v>
      </c>
      <c r="J93" s="270">
        <f>МРСК!J96</f>
        <v>0</v>
      </c>
      <c r="K93" s="270">
        <f>МРСК!K96</f>
        <v>26.25</v>
      </c>
      <c r="L93" s="271">
        <f>МРСК!L96</f>
        <v>24.00453376281535</v>
      </c>
      <c r="M93" s="394">
        <f>MIN(L93:L95)</f>
        <v>20.00675847204607</v>
      </c>
      <c r="N93" s="272"/>
      <c r="P93" s="266">
        <v>49</v>
      </c>
      <c r="Q93" s="82" t="s">
        <v>366</v>
      </c>
      <c r="R93" s="267" t="str">
        <f>'МРСК 2'!C96</f>
        <v>25+25</v>
      </c>
      <c r="S93" s="267">
        <f>'МРСК 2'!D96</f>
        <v>0.16</v>
      </c>
      <c r="T93" s="273">
        <f>'МРСК 2'!E96</f>
        <v>12.055466237184653</v>
      </c>
      <c r="U93" s="268">
        <f>'МРСК 2'!F96</f>
        <v>9.65</v>
      </c>
      <c r="V93" s="269">
        <f>'МРСК 2'!G96</f>
        <v>80</v>
      </c>
      <c r="W93" s="270">
        <f>'МРСК 2'!H96</f>
        <v>2.405466237184653</v>
      </c>
      <c r="X93" s="270">
        <f>'МРСК 2'!I96</f>
        <v>0</v>
      </c>
      <c r="Y93" s="270">
        <f>'МРСК 2'!J96</f>
        <v>26.25</v>
      </c>
      <c r="Z93" s="271">
        <f>'МРСК 2'!K96</f>
        <v>23.844533762815345</v>
      </c>
      <c r="AA93" s="391">
        <f>MIN(Z93:Z95)</f>
        <v>19.84675847204607</v>
      </c>
      <c r="AB93" s="272"/>
    </row>
    <row r="94" spans="1:28" ht="19.5">
      <c r="A94" s="248"/>
      <c r="B94" s="2" t="s">
        <v>315</v>
      </c>
      <c r="C94" s="249" t="str">
        <f>МРСК!C97</f>
        <v>25+25</v>
      </c>
      <c r="D94" s="249">
        <f>МРСК!D97</f>
        <v>1548</v>
      </c>
      <c r="E94" s="249">
        <f>МРСК!E97</f>
        <v>580</v>
      </c>
      <c r="F94" s="253">
        <f>МРСК!F97</f>
        <v>1.6530892292916315</v>
      </c>
      <c r="G94" s="250">
        <f>МРСК!G97</f>
        <v>1.384</v>
      </c>
      <c r="H94" s="251">
        <f>МРСК!H97</f>
        <v>0</v>
      </c>
      <c r="I94" s="252">
        <f>МРСК!I97</f>
        <v>0.2690892292916316</v>
      </c>
      <c r="J94" s="252">
        <f>МРСК!J97</f>
        <v>0</v>
      </c>
      <c r="K94" s="253">
        <f>МРСК!K97</f>
        <v>26.25</v>
      </c>
      <c r="L94" s="254">
        <f>МРСК!L97</f>
        <v>25.98091077070837</v>
      </c>
      <c r="M94" s="395"/>
      <c r="N94" s="255"/>
      <c r="P94" s="248"/>
      <c r="Q94" s="2" t="s">
        <v>315</v>
      </c>
      <c r="R94" s="249" t="str">
        <f>'МРСК 2'!C97</f>
        <v>25+25</v>
      </c>
      <c r="S94" s="249">
        <f>'МРСК 2'!D97</f>
        <v>0</v>
      </c>
      <c r="T94" s="256">
        <f>'МРСК 2'!E97</f>
        <v>1.6530892292916315</v>
      </c>
      <c r="U94" s="250">
        <f>'МРСК 2'!F97</f>
        <v>1.384</v>
      </c>
      <c r="V94" s="251">
        <f>'МРСК 2'!G97</f>
        <v>0</v>
      </c>
      <c r="W94" s="252">
        <f>'МРСК 2'!H97</f>
        <v>0.2690892292916316</v>
      </c>
      <c r="X94" s="252">
        <f>'МРСК 2'!I97</f>
        <v>0</v>
      </c>
      <c r="Y94" s="252">
        <f>'МРСК 2'!J97</f>
        <v>26.25</v>
      </c>
      <c r="Z94" s="254">
        <f>'МРСК 2'!K97</f>
        <v>25.98091077070837</v>
      </c>
      <c r="AA94" s="392"/>
      <c r="AB94" s="255"/>
    </row>
    <row r="95" spans="1:28" ht="20.25" thickBot="1">
      <c r="A95" s="257"/>
      <c r="B95" s="73" t="s">
        <v>316</v>
      </c>
      <c r="C95" s="258" t="str">
        <f>МРСК!C98</f>
        <v>25+25</v>
      </c>
      <c r="D95" s="258">
        <f>МРСК!D98</f>
        <v>9461</v>
      </c>
      <c r="E95" s="258">
        <f>МРСК!E98</f>
        <v>3926</v>
      </c>
      <c r="F95" s="253">
        <f>МРСК!F98</f>
        <v>10.24324152795393</v>
      </c>
      <c r="G95" s="259">
        <f>МРСК!G98</f>
        <v>4</v>
      </c>
      <c r="H95" s="260">
        <f>МРСК!H98</f>
        <v>0</v>
      </c>
      <c r="I95" s="261">
        <f>МРСК!I98</f>
        <v>6.243241527953931</v>
      </c>
      <c r="J95" s="261">
        <f>МРСК!J98</f>
        <v>0</v>
      </c>
      <c r="K95" s="262">
        <f>МРСК!K98</f>
        <v>26.25</v>
      </c>
      <c r="L95" s="263">
        <f>МРСК!L98</f>
        <v>20.00675847204607</v>
      </c>
      <c r="M95" s="396"/>
      <c r="N95" s="264"/>
      <c r="P95" s="257"/>
      <c r="Q95" s="73" t="s">
        <v>316</v>
      </c>
      <c r="R95" s="258" t="str">
        <f>'МРСК 2'!C98</f>
        <v>25+25</v>
      </c>
      <c r="S95" s="258">
        <f>'МРСК 2'!D98</f>
        <v>0.16</v>
      </c>
      <c r="T95" s="265">
        <f>'МРСК 2'!E98</f>
        <v>10.40324152795393</v>
      </c>
      <c r="U95" s="259">
        <f>'МРСК 2'!F98</f>
        <v>4</v>
      </c>
      <c r="V95" s="260">
        <f>'МРСК 2'!G98</f>
        <v>0</v>
      </c>
      <c r="W95" s="261">
        <f>'МРСК 2'!H98</f>
        <v>6.403241527953931</v>
      </c>
      <c r="X95" s="261">
        <f>'МРСК 2'!I98</f>
        <v>0</v>
      </c>
      <c r="Y95" s="261">
        <f>'МРСК 2'!J98</f>
        <v>26.25</v>
      </c>
      <c r="Z95" s="263">
        <f>'МРСК 2'!K98</f>
        <v>19.84675847204607</v>
      </c>
      <c r="AA95" s="393"/>
      <c r="AB95" s="264"/>
    </row>
    <row r="96" spans="1:28" ht="21" thickBot="1" thickTop="1">
      <c r="A96" s="266">
        <v>50</v>
      </c>
      <c r="B96" s="82" t="s">
        <v>367</v>
      </c>
      <c r="C96" s="267" t="str">
        <f>МРСК!C99</f>
        <v>16+16+16</v>
      </c>
      <c r="D96" s="267">
        <f>МРСК!D99</f>
        <v>19319</v>
      </c>
      <c r="E96" s="267">
        <f>МРСК!E99</f>
        <v>8126</v>
      </c>
      <c r="F96" s="253">
        <f>МРСК!F99</f>
        <v>20.958426396082317</v>
      </c>
      <c r="G96" s="268">
        <f>МРСК!G99</f>
        <v>2.019</v>
      </c>
      <c r="H96" s="269">
        <f>МРСК!H99</f>
        <v>20</v>
      </c>
      <c r="I96" s="270">
        <f>МРСК!I99</f>
        <v>18.939426396082318</v>
      </c>
      <c r="J96" s="270">
        <f>МРСК!J99</f>
        <v>0</v>
      </c>
      <c r="K96" s="270">
        <f>МРСК!K99</f>
        <v>33.6</v>
      </c>
      <c r="L96" s="271">
        <f>МРСК!L99</f>
        <v>14.660573603917683</v>
      </c>
      <c r="M96" s="394">
        <f>MIN(L96:L98)</f>
        <v>14.660573603917683</v>
      </c>
      <c r="N96" s="272"/>
      <c r="P96" s="266">
        <v>50</v>
      </c>
      <c r="Q96" s="82" t="s">
        <v>367</v>
      </c>
      <c r="R96" s="267" t="str">
        <f>'МРСК 2'!C99</f>
        <v>16+16+16</v>
      </c>
      <c r="S96" s="267">
        <f>'МРСК 2'!D99</f>
        <v>1.83</v>
      </c>
      <c r="T96" s="273">
        <f>'МРСК 2'!E99</f>
        <v>22.788426396082315</v>
      </c>
      <c r="U96" s="268">
        <f>'МРСК 2'!F99</f>
        <v>2.019</v>
      </c>
      <c r="V96" s="269">
        <f>'МРСК 2'!G99</f>
        <v>20</v>
      </c>
      <c r="W96" s="270">
        <f>'МРСК 2'!H99</f>
        <v>20.769426396082316</v>
      </c>
      <c r="X96" s="270">
        <f>'МРСК 2'!I99</f>
        <v>0</v>
      </c>
      <c r="Y96" s="270">
        <f>'МРСК 2'!J99</f>
        <v>33.6</v>
      </c>
      <c r="Z96" s="271">
        <f>'МРСК 2'!K99</f>
        <v>12.830573603917685</v>
      </c>
      <c r="AA96" s="391">
        <f>MIN(Z96:Z98)</f>
        <v>12.830573603917685</v>
      </c>
      <c r="AB96" s="272"/>
    </row>
    <row r="97" spans="1:28" ht="21" thickBot="1" thickTop="1">
      <c r="A97" s="248"/>
      <c r="B97" s="2" t="s">
        <v>315</v>
      </c>
      <c r="C97" s="249" t="str">
        <f>МРСК!C100</f>
        <v>16+16+16</v>
      </c>
      <c r="D97" s="249">
        <f>МРСК!D100</f>
        <v>7145</v>
      </c>
      <c r="E97" s="249">
        <f>МРСК!E100</f>
        <v>2668</v>
      </c>
      <c r="F97" s="253">
        <f>МРСК!F100</f>
        <v>7.626876752642592</v>
      </c>
      <c r="G97" s="250">
        <f>МРСК!G100</f>
        <v>1.719</v>
      </c>
      <c r="H97" s="251">
        <f>МРСК!H100</f>
        <v>0</v>
      </c>
      <c r="I97" s="252">
        <f>МРСК!I100</f>
        <v>5.907876752642592</v>
      </c>
      <c r="J97" s="252">
        <f>МРСК!J100</f>
        <v>0</v>
      </c>
      <c r="K97" s="253">
        <f>МРСК!K100</f>
        <v>33.6</v>
      </c>
      <c r="L97" s="254">
        <f>МРСК!L100</f>
        <v>27.692123247357408</v>
      </c>
      <c r="M97" s="395"/>
      <c r="N97" s="255"/>
      <c r="P97" s="248"/>
      <c r="Q97" s="2" t="s">
        <v>315</v>
      </c>
      <c r="R97" s="267" t="str">
        <f>'МРСК 2'!C100</f>
        <v>16+16+16</v>
      </c>
      <c r="S97" s="249">
        <f>'МРСК 2'!D100</f>
        <v>0</v>
      </c>
      <c r="T97" s="256">
        <f>'МРСК 2'!E100</f>
        <v>7.626876752642592</v>
      </c>
      <c r="U97" s="250">
        <f>'МРСК 2'!F100</f>
        <v>1.719</v>
      </c>
      <c r="V97" s="251">
        <f>'МРСК 2'!G100</f>
        <v>0</v>
      </c>
      <c r="W97" s="252">
        <f>'МРСК 2'!H100</f>
        <v>5.907876752642592</v>
      </c>
      <c r="X97" s="252">
        <f>'МРСК 2'!I100</f>
        <v>0</v>
      </c>
      <c r="Y97" s="252">
        <f>'МРСК 2'!J100</f>
        <v>33.6</v>
      </c>
      <c r="Z97" s="254">
        <f>'МРСК 2'!K100</f>
        <v>27.692123247357408</v>
      </c>
      <c r="AA97" s="392"/>
      <c r="AB97" s="255"/>
    </row>
    <row r="98" spans="1:28" ht="21" thickBot="1" thickTop="1">
      <c r="A98" s="257"/>
      <c r="B98" s="73" t="s">
        <v>316</v>
      </c>
      <c r="C98" s="258" t="str">
        <f>МРСК!C101</f>
        <v>16+16+16</v>
      </c>
      <c r="D98" s="258">
        <f>МРСК!D101</f>
        <v>12174</v>
      </c>
      <c r="E98" s="258">
        <f>МРСК!E101</f>
        <v>5458</v>
      </c>
      <c r="F98" s="253">
        <f>МРСК!F101</f>
        <v>13.341515656026491</v>
      </c>
      <c r="G98" s="259">
        <f>МРСК!G101</f>
        <v>0.3</v>
      </c>
      <c r="H98" s="260">
        <f>МРСК!H101</f>
        <v>0</v>
      </c>
      <c r="I98" s="261">
        <f>МРСК!I101</f>
        <v>13.04151565602649</v>
      </c>
      <c r="J98" s="261">
        <f>МРСК!J101</f>
        <v>0</v>
      </c>
      <c r="K98" s="262">
        <f>МРСК!K101</f>
        <v>33.6</v>
      </c>
      <c r="L98" s="263">
        <f>МРСК!L101</f>
        <v>20.55848434397351</v>
      </c>
      <c r="M98" s="396"/>
      <c r="N98" s="264"/>
      <c r="P98" s="257"/>
      <c r="Q98" s="73" t="s">
        <v>316</v>
      </c>
      <c r="R98" s="267" t="str">
        <f>'МРСК 2'!C101</f>
        <v>16+16+16</v>
      </c>
      <c r="S98" s="258">
        <f>'МРСК 2'!D101</f>
        <v>1.83</v>
      </c>
      <c r="T98" s="265">
        <f>'МРСК 2'!E101</f>
        <v>15.171515656026491</v>
      </c>
      <c r="U98" s="259">
        <f>'МРСК 2'!F101</f>
        <v>0.3</v>
      </c>
      <c r="V98" s="260">
        <f>'МРСК 2'!G101</f>
        <v>0</v>
      </c>
      <c r="W98" s="261">
        <f>'МРСК 2'!H101</f>
        <v>14.87151565602649</v>
      </c>
      <c r="X98" s="261">
        <f>'МРСК 2'!I101</f>
        <v>0</v>
      </c>
      <c r="Y98" s="261">
        <f>'МРСК 2'!J101</f>
        <v>33.6</v>
      </c>
      <c r="Z98" s="263">
        <f>'МРСК 2'!K101</f>
        <v>18.728484343973513</v>
      </c>
      <c r="AA98" s="393"/>
      <c r="AB98" s="264"/>
    </row>
    <row r="99" spans="1:28" ht="21" thickBot="1" thickTop="1">
      <c r="A99" s="266">
        <v>51</v>
      </c>
      <c r="B99" s="82" t="s">
        <v>368</v>
      </c>
      <c r="C99" s="251" t="str">
        <f>МРСК!C102</f>
        <v>16+16</v>
      </c>
      <c r="D99" s="251">
        <f>МРСК!D102</f>
        <v>823</v>
      </c>
      <c r="E99" s="251">
        <f>МРСК!E102</f>
        <v>139</v>
      </c>
      <c r="F99" s="253">
        <f>МРСК!F102</f>
        <v>0.8346556176052492</v>
      </c>
      <c r="G99" s="254">
        <f>МРСК!G102</f>
        <v>0</v>
      </c>
      <c r="H99" s="286">
        <f>МРСК!H102</f>
        <v>0</v>
      </c>
      <c r="I99" s="254">
        <f>МРСК!I102</f>
        <v>0.8346556176052492</v>
      </c>
      <c r="J99" s="252">
        <f>МРСК!J102</f>
        <v>0</v>
      </c>
      <c r="K99" s="289">
        <f>МРСК!K102</f>
        <v>16.8</v>
      </c>
      <c r="L99" s="277">
        <f>МРСК!L102</f>
        <v>15.965344382394752</v>
      </c>
      <c r="M99" s="254">
        <f>L99</f>
        <v>15.965344382394752</v>
      </c>
      <c r="N99" s="255"/>
      <c r="P99" s="266">
        <v>51</v>
      </c>
      <c r="Q99" s="82" t="s">
        <v>368</v>
      </c>
      <c r="R99" s="267" t="str">
        <f>'МРСК 2'!C102</f>
        <v>10+10</v>
      </c>
      <c r="S99" s="267">
        <f>'МРСК 2'!D102</f>
        <v>0.14</v>
      </c>
      <c r="T99" s="273">
        <f>'МРСК 2'!E102</f>
        <v>10.467215791296317</v>
      </c>
      <c r="U99" s="268">
        <f>'МРСК 2'!F102</f>
        <v>9.158000000000001</v>
      </c>
      <c r="V99" s="269">
        <f>'МРСК 2'!G102</f>
        <v>120</v>
      </c>
      <c r="W99" s="270">
        <f>'МРСК 2'!H102</f>
        <v>1.3092157912963156</v>
      </c>
      <c r="X99" s="270">
        <f>'МРСК 2'!I102</f>
        <v>0</v>
      </c>
      <c r="Y99" s="270">
        <f>'МРСК 2'!J102</f>
        <v>10.5</v>
      </c>
      <c r="Z99" s="271">
        <f>'МРСК 2'!K102</f>
        <v>9.190784208703684</v>
      </c>
      <c r="AA99" s="391">
        <f>MIN(Z99:Z101)</f>
        <v>9.190784208703684</v>
      </c>
      <c r="AB99" s="272"/>
    </row>
    <row r="100" spans="1:28" ht="20.25" thickTop="1">
      <c r="A100" s="248">
        <v>52</v>
      </c>
      <c r="B100" s="2" t="s">
        <v>369</v>
      </c>
      <c r="C100" s="267" t="str">
        <f>МРСК!C103</f>
        <v>10+10</v>
      </c>
      <c r="D100" s="267">
        <f>МРСК!D103</f>
        <v>9465</v>
      </c>
      <c r="E100" s="267">
        <f>МРСК!E103</f>
        <v>4131</v>
      </c>
      <c r="F100" s="253">
        <f>МРСК!F103</f>
        <v>10.327215791296316</v>
      </c>
      <c r="G100" s="268">
        <f>МРСК!G103</f>
        <v>9.158000000000001</v>
      </c>
      <c r="H100" s="269">
        <f>МРСК!H103</f>
        <v>120</v>
      </c>
      <c r="I100" s="270">
        <f>МРСК!I103</f>
        <v>1.169215791296315</v>
      </c>
      <c r="J100" s="270">
        <f>МРСК!J103</f>
        <v>0</v>
      </c>
      <c r="K100" s="270">
        <f>МРСК!K103</f>
        <v>10.5</v>
      </c>
      <c r="L100" s="271">
        <f>МРСК!L103</f>
        <v>9.330784208703685</v>
      </c>
      <c r="M100" s="394">
        <f>MIN(L100:L102)</f>
        <v>9.330784208703685</v>
      </c>
      <c r="N100" s="272"/>
      <c r="P100" s="248">
        <v>52</v>
      </c>
      <c r="Q100" s="2" t="s">
        <v>369</v>
      </c>
      <c r="R100" s="249" t="str">
        <f>'МРСК 2'!C103</f>
        <v>10+10</v>
      </c>
      <c r="S100" s="249">
        <f>'МРСК 2'!D103</f>
        <v>0</v>
      </c>
      <c r="T100" s="256">
        <f>'МРСК 2'!E103</f>
        <v>4.499506861868309</v>
      </c>
      <c r="U100" s="250">
        <f>'МРСК 2'!F103</f>
        <v>3.52</v>
      </c>
      <c r="V100" s="251">
        <f>'МРСК 2'!G103</f>
        <v>0</v>
      </c>
      <c r="W100" s="252">
        <f>'МРСК 2'!H103</f>
        <v>0.9795068618683094</v>
      </c>
      <c r="X100" s="252">
        <f>'МРСК 2'!I103</f>
        <v>0</v>
      </c>
      <c r="Y100" s="252">
        <f>'МРСК 2'!J103</f>
        <v>10.5</v>
      </c>
      <c r="Z100" s="254">
        <f>'МРСК 2'!K103</f>
        <v>9.520493138131691</v>
      </c>
      <c r="AA100" s="392"/>
      <c r="AB100" s="255"/>
    </row>
    <row r="101" spans="1:28" ht="20.25" thickBot="1">
      <c r="A101" s="257"/>
      <c r="B101" s="73" t="s">
        <v>315</v>
      </c>
      <c r="C101" s="249" t="str">
        <f>МРСК!C104</f>
        <v>10+10</v>
      </c>
      <c r="D101" s="249">
        <f>МРСК!D104</f>
        <v>4111</v>
      </c>
      <c r="E101" s="249">
        <f>МРСК!E104</f>
        <v>1829</v>
      </c>
      <c r="F101" s="253">
        <f>МРСК!F104</f>
        <v>4.499506861868309</v>
      </c>
      <c r="G101" s="250">
        <f>МРСК!G104</f>
        <v>3.52</v>
      </c>
      <c r="H101" s="251">
        <f>МРСК!H104</f>
        <v>0</v>
      </c>
      <c r="I101" s="252">
        <f>МРСК!I104</f>
        <v>0.9795068618683094</v>
      </c>
      <c r="J101" s="252">
        <f>МРСК!J104</f>
        <v>0</v>
      </c>
      <c r="K101" s="253">
        <f>МРСК!K104</f>
        <v>10.5</v>
      </c>
      <c r="L101" s="254">
        <f>МРСК!L104</f>
        <v>9.520493138131691</v>
      </c>
      <c r="M101" s="395"/>
      <c r="N101" s="255"/>
      <c r="P101" s="257"/>
      <c r="Q101" s="73" t="s">
        <v>315</v>
      </c>
      <c r="R101" s="258" t="str">
        <f>'МРСК 2'!C104</f>
        <v>10+10</v>
      </c>
      <c r="S101" s="258">
        <f>'МРСК 2'!D104</f>
        <v>0.14</v>
      </c>
      <c r="T101" s="265">
        <f>'МРСК 2'!E104</f>
        <v>5.967908715825943</v>
      </c>
      <c r="U101" s="259">
        <f>'МРСК 2'!F104</f>
        <v>5.638000000000001</v>
      </c>
      <c r="V101" s="260">
        <f>'МРСК 2'!G104</f>
        <v>0</v>
      </c>
      <c r="W101" s="261">
        <f>'МРСК 2'!H104</f>
        <v>0.32990871582594217</v>
      </c>
      <c r="X101" s="261">
        <f>'МРСК 2'!I104</f>
        <v>0</v>
      </c>
      <c r="Y101" s="261">
        <f>'МРСК 2'!J104</f>
        <v>10.5</v>
      </c>
      <c r="Z101" s="263">
        <f>'МРСК 2'!K104</f>
        <v>10.170091284174058</v>
      </c>
      <c r="AA101" s="393"/>
      <c r="AB101" s="264"/>
    </row>
    <row r="102" spans="1:28" ht="21" thickBot="1" thickTop="1">
      <c r="A102" s="248"/>
      <c r="B102" s="6" t="s">
        <v>316</v>
      </c>
      <c r="C102" s="258" t="str">
        <f>МРСК!C105</f>
        <v>10+10</v>
      </c>
      <c r="D102" s="258">
        <f>МРСК!D105</f>
        <v>5354</v>
      </c>
      <c r="E102" s="258">
        <f>МРСК!E105</f>
        <v>2302</v>
      </c>
      <c r="F102" s="253">
        <f>МРСК!F105</f>
        <v>5.827908715825943</v>
      </c>
      <c r="G102" s="259">
        <f>МРСК!G105</f>
        <v>5.638000000000001</v>
      </c>
      <c r="H102" s="260">
        <f>МРСК!H105</f>
        <v>0</v>
      </c>
      <c r="I102" s="261">
        <f>МРСК!I105</f>
        <v>0.1899087158259425</v>
      </c>
      <c r="J102" s="261">
        <f>МРСК!J105</f>
        <v>0</v>
      </c>
      <c r="K102" s="262">
        <f>МРСК!K105</f>
        <v>10.5</v>
      </c>
      <c r="L102" s="263">
        <f>МРСК!L105</f>
        <v>10.310091284174057</v>
      </c>
      <c r="M102" s="396"/>
      <c r="N102" s="264"/>
      <c r="P102" s="248"/>
      <c r="Q102" s="6" t="s">
        <v>316</v>
      </c>
      <c r="R102" s="251" t="str">
        <f>'МРСК 2'!C105</f>
        <v>16+16</v>
      </c>
      <c r="S102" s="251">
        <f>'МРСК 2'!D105</f>
        <v>1.19</v>
      </c>
      <c r="T102" s="251">
        <f>'МРСК 2'!E105</f>
        <v>2.0246556176052493</v>
      </c>
      <c r="U102" s="277">
        <f>'МРСК 2'!F105</f>
        <v>0</v>
      </c>
      <c r="V102" s="254">
        <f>'МРСК 2'!G105</f>
        <v>0</v>
      </c>
      <c r="W102" s="286">
        <f>'МРСК 2'!H105</f>
        <v>2.0246556176052493</v>
      </c>
      <c r="X102" s="254">
        <f>'МРСК 2'!I105</f>
        <v>0</v>
      </c>
      <c r="Y102" s="252">
        <f>'МРСК 2'!J105</f>
        <v>16.8</v>
      </c>
      <c r="Z102" s="254">
        <f>'МРСК 2'!K105</f>
        <v>14.775344382394751</v>
      </c>
      <c r="AA102" s="277">
        <f>Z102</f>
        <v>14.775344382394751</v>
      </c>
      <c r="AB102" s="254"/>
    </row>
    <row r="103" spans="1:28" ht="21" thickBot="1" thickTop="1">
      <c r="A103" s="266">
        <v>53</v>
      </c>
      <c r="B103" s="82" t="s">
        <v>370</v>
      </c>
      <c r="C103" s="267" t="str">
        <f>МРСК!C106</f>
        <v>40+40</v>
      </c>
      <c r="D103" s="267">
        <f>МРСК!D106</f>
        <v>6141</v>
      </c>
      <c r="E103" s="267">
        <f>МРСК!E106</f>
        <v>1360</v>
      </c>
      <c r="F103" s="291">
        <f>МРСК!F106</f>
        <v>6.289791808955206</v>
      </c>
      <c r="G103" s="268">
        <f>МРСК!G106</f>
        <v>0</v>
      </c>
      <c r="H103" s="267">
        <f>МРСК!H106</f>
        <v>0</v>
      </c>
      <c r="I103" s="273">
        <f>МРСК!I106</f>
        <v>6.289791808955206</v>
      </c>
      <c r="J103" s="273">
        <f>МРСК!J106</f>
        <v>0</v>
      </c>
      <c r="K103" s="273">
        <f>МРСК!K106</f>
        <v>42</v>
      </c>
      <c r="L103" s="292">
        <f>МРСК!L106</f>
        <v>35.71020819104479</v>
      </c>
      <c r="M103" s="293">
        <f>L103</f>
        <v>35.71020819104479</v>
      </c>
      <c r="N103" s="294"/>
      <c r="P103" s="295">
        <v>53</v>
      </c>
      <c r="Q103" s="82" t="s">
        <v>370</v>
      </c>
      <c r="R103" s="267" t="str">
        <f>'МРСК 2'!C106</f>
        <v>40+40</v>
      </c>
      <c r="S103" s="267">
        <f>'МРСК 2'!D106</f>
        <v>0.88</v>
      </c>
      <c r="T103" s="273">
        <f>'МРСК 2'!E106</f>
        <v>7.169791808955206</v>
      </c>
      <c r="U103" s="268">
        <f>'МРСК 2'!F106</f>
        <v>0</v>
      </c>
      <c r="V103" s="269">
        <f>'МРСК 2'!G106</f>
        <v>0</v>
      </c>
      <c r="W103" s="270">
        <f>'МРСК 2'!H106</f>
        <v>7.169791808955206</v>
      </c>
      <c r="X103" s="270">
        <f>'МРСК 2'!I106</f>
        <v>0</v>
      </c>
      <c r="Y103" s="270">
        <f>'МРСК 2'!J106</f>
        <v>42</v>
      </c>
      <c r="Z103" s="271">
        <f>'МРСК 2'!K106</f>
        <v>34.8302081910448</v>
      </c>
      <c r="AA103" s="296">
        <f>Z103</f>
        <v>34.8302081910448</v>
      </c>
      <c r="AB103" s="272"/>
    </row>
    <row r="104" spans="1:28" ht="20.25" thickTop="1">
      <c r="A104" s="266">
        <v>54</v>
      </c>
      <c r="B104" s="82" t="s">
        <v>371</v>
      </c>
      <c r="C104" s="267" t="str">
        <f>МРСК!C107</f>
        <v>16+16</v>
      </c>
      <c r="D104" s="267">
        <f>МРСК!D107</f>
        <v>8770</v>
      </c>
      <c r="E104" s="267">
        <f>МРСК!E107</f>
        <v>4874</v>
      </c>
      <c r="F104" s="253">
        <f>МРСК!F107</f>
        <v>10.03338307850348</v>
      </c>
      <c r="G104" s="268">
        <f>МРСК!G107</f>
        <v>11.48</v>
      </c>
      <c r="H104" s="269">
        <f>МРСК!H107</f>
        <v>45</v>
      </c>
      <c r="I104" s="270">
        <f>МРСК!I107</f>
        <v>-1.4466169214965205</v>
      </c>
      <c r="J104" s="270">
        <f>МРСК!J107</f>
        <v>0</v>
      </c>
      <c r="K104" s="270">
        <f>МРСК!K107</f>
        <v>16.8</v>
      </c>
      <c r="L104" s="271">
        <f>МРСК!L107</f>
        <v>18.24661692149652</v>
      </c>
      <c r="M104" s="394">
        <f>MIN(L104:L106)</f>
        <v>17.282642160222647</v>
      </c>
      <c r="N104" s="272"/>
      <c r="P104" s="266">
        <v>54</v>
      </c>
      <c r="Q104" s="82" t="s">
        <v>371</v>
      </c>
      <c r="R104" s="267" t="str">
        <f>'МРСК 2'!C107</f>
        <v>16+16</v>
      </c>
      <c r="S104" s="267">
        <f>'МРСК 2'!D107</f>
        <v>0</v>
      </c>
      <c r="T104" s="273">
        <f>'МРСК 2'!E107</f>
        <v>10.03338307850348</v>
      </c>
      <c r="U104" s="268">
        <f>'МРСК 2'!F107</f>
        <v>11.48</v>
      </c>
      <c r="V104" s="269">
        <f>'МРСК 2'!G107</f>
        <v>45</v>
      </c>
      <c r="W104" s="270">
        <f>'МРСК 2'!H107</f>
        <v>-1.4466169214965205</v>
      </c>
      <c r="X104" s="270">
        <f>'МРСК 2'!I107</f>
        <v>0</v>
      </c>
      <c r="Y104" s="270">
        <f>'МРСК 2'!J107</f>
        <v>16.8</v>
      </c>
      <c r="Z104" s="271">
        <f>'МРСК 2'!K107</f>
        <v>18.24661692149652</v>
      </c>
      <c r="AA104" s="391">
        <f>MIN(Z104:Z106)</f>
        <v>17.282642160222647</v>
      </c>
      <c r="AB104" s="272"/>
    </row>
    <row r="105" spans="1:28" ht="19.5">
      <c r="A105" s="248"/>
      <c r="B105" s="2" t="s">
        <v>315</v>
      </c>
      <c r="C105" s="249" t="str">
        <f>МРСК!C108</f>
        <v>16+16</v>
      </c>
      <c r="D105" s="249">
        <f>МРСК!D108</f>
        <v>7336</v>
      </c>
      <c r="E105" s="249">
        <f>МРСК!E108</f>
        <v>4290</v>
      </c>
      <c r="F105" s="253">
        <f>МРСК!F108</f>
        <v>8.498293711092833</v>
      </c>
      <c r="G105" s="250">
        <f>МРСК!G108</f>
        <v>9.449</v>
      </c>
      <c r="H105" s="251">
        <f>МРСК!H108</f>
        <v>0</v>
      </c>
      <c r="I105" s="252">
        <f>МРСК!I108</f>
        <v>-0.9507062889071669</v>
      </c>
      <c r="J105" s="252">
        <f>МРСК!J108</f>
        <v>0</v>
      </c>
      <c r="K105" s="253">
        <f>МРСК!K108</f>
        <v>16.8</v>
      </c>
      <c r="L105" s="254">
        <f>МРСК!L108</f>
        <v>17.750706288907168</v>
      </c>
      <c r="M105" s="395"/>
      <c r="N105" s="255"/>
      <c r="P105" s="248"/>
      <c r="Q105" s="2" t="s">
        <v>315</v>
      </c>
      <c r="R105" s="249" t="str">
        <f>'МРСК 2'!C108</f>
        <v>16+16</v>
      </c>
      <c r="S105" s="249">
        <f>'МРСК 2'!D108</f>
        <v>0</v>
      </c>
      <c r="T105" s="256">
        <f>'МРСК 2'!E108</f>
        <v>8.498293711092833</v>
      </c>
      <c r="U105" s="250">
        <f>'МРСК 2'!F108</f>
        <v>9.449</v>
      </c>
      <c r="V105" s="251">
        <f>'МРСК 2'!G108</f>
        <v>0</v>
      </c>
      <c r="W105" s="252">
        <f>'МРСК 2'!H108</f>
        <v>-0.9507062889071669</v>
      </c>
      <c r="X105" s="252">
        <f>'МРСК 2'!I108</f>
        <v>0</v>
      </c>
      <c r="Y105" s="252">
        <f>'МРСК 2'!J108</f>
        <v>16.8</v>
      </c>
      <c r="Z105" s="254">
        <f>'МРСК 2'!K108</f>
        <v>17.750706288907168</v>
      </c>
      <c r="AA105" s="392"/>
      <c r="AB105" s="255"/>
    </row>
    <row r="106" spans="1:28" ht="20.25" thickBot="1">
      <c r="A106" s="257"/>
      <c r="B106" s="73" t="s">
        <v>316</v>
      </c>
      <c r="C106" s="258" t="str">
        <f>МРСК!C109</f>
        <v>16+16</v>
      </c>
      <c r="D106" s="258">
        <f>МРСК!D109</f>
        <v>1434</v>
      </c>
      <c r="E106" s="258">
        <f>МРСК!E109</f>
        <v>584</v>
      </c>
      <c r="F106" s="253">
        <f>МРСК!F109</f>
        <v>1.5483578397773559</v>
      </c>
      <c r="G106" s="259">
        <f>МРСК!G109</f>
        <v>2.0310000000000006</v>
      </c>
      <c r="H106" s="260">
        <f>МРСК!H109</f>
        <v>0</v>
      </c>
      <c r="I106" s="261">
        <f>МРСК!I109</f>
        <v>-0.4826421602226447</v>
      </c>
      <c r="J106" s="261">
        <f>МРСК!J109</f>
        <v>0</v>
      </c>
      <c r="K106" s="262">
        <f>МРСК!K109</f>
        <v>16.8</v>
      </c>
      <c r="L106" s="263">
        <f>МРСК!L109</f>
        <v>17.282642160222647</v>
      </c>
      <c r="M106" s="396"/>
      <c r="N106" s="264"/>
      <c r="P106" s="257"/>
      <c r="Q106" s="73" t="s">
        <v>316</v>
      </c>
      <c r="R106" s="258" t="str">
        <f>'МРСК 2'!C109</f>
        <v>16+16</v>
      </c>
      <c r="S106" s="258">
        <f>'МРСК 2'!D109</f>
        <v>0</v>
      </c>
      <c r="T106" s="265">
        <f>'МРСК 2'!E109</f>
        <v>1.5483578397773559</v>
      </c>
      <c r="U106" s="259">
        <f>'МРСК 2'!F109</f>
        <v>2.0310000000000006</v>
      </c>
      <c r="V106" s="260">
        <f>'МРСК 2'!G109</f>
        <v>0</v>
      </c>
      <c r="W106" s="261">
        <f>'МРСК 2'!H109</f>
        <v>-0.4826421602226447</v>
      </c>
      <c r="X106" s="261">
        <f>'МРСК 2'!I109</f>
        <v>0</v>
      </c>
      <c r="Y106" s="261">
        <f>'МРСК 2'!J109</f>
        <v>16.8</v>
      </c>
      <c r="Z106" s="263">
        <f>'МРСК 2'!K109</f>
        <v>17.282642160222647</v>
      </c>
      <c r="AA106" s="393"/>
      <c r="AB106" s="264"/>
    </row>
    <row r="107" spans="1:28" ht="20.25" thickTop="1">
      <c r="A107" s="266">
        <v>55</v>
      </c>
      <c r="B107" s="82" t="s">
        <v>372</v>
      </c>
      <c r="C107" s="267" t="str">
        <f>МРСК!C110</f>
        <v>25+31,5</v>
      </c>
      <c r="D107" s="267">
        <f>МРСК!D110</f>
        <v>17666</v>
      </c>
      <c r="E107" s="267">
        <f>МРСК!E110</f>
        <v>7970</v>
      </c>
      <c r="F107" s="253">
        <f>МРСК!F110</f>
        <v>19.38062062989728</v>
      </c>
      <c r="G107" s="268">
        <f>МРСК!G110</f>
        <v>9.119</v>
      </c>
      <c r="H107" s="269">
        <f>МРСК!H110</f>
        <v>80</v>
      </c>
      <c r="I107" s="270">
        <f>МРСК!I110</f>
        <v>10.26162062989728</v>
      </c>
      <c r="J107" s="270">
        <f>МРСК!J110</f>
        <v>0</v>
      </c>
      <c r="K107" s="270">
        <f>МРСК!K110</f>
        <v>26.25</v>
      </c>
      <c r="L107" s="271">
        <f>МРСК!L110</f>
        <v>15.98837937010272</v>
      </c>
      <c r="M107" s="394">
        <f>MIN(L107:L109)</f>
        <v>15.223676212133114</v>
      </c>
      <c r="N107" s="272"/>
      <c r="P107" s="266">
        <v>55</v>
      </c>
      <c r="Q107" s="82" t="s">
        <v>372</v>
      </c>
      <c r="R107" s="267" t="str">
        <f>'МРСК 2'!C110</f>
        <v>25+31,5</v>
      </c>
      <c r="S107" s="267">
        <f>'МРСК 2'!D110</f>
        <v>0.66</v>
      </c>
      <c r="T107" s="273">
        <f>'МРСК 2'!E110</f>
        <v>20.04062062989728</v>
      </c>
      <c r="U107" s="268">
        <f>'МРСК 2'!F110</f>
        <v>9.119</v>
      </c>
      <c r="V107" s="269">
        <f>'МРСК 2'!G110</f>
        <v>80</v>
      </c>
      <c r="W107" s="270">
        <f>'МРСК 2'!H110</f>
        <v>10.92162062989728</v>
      </c>
      <c r="X107" s="270">
        <f>'МРСК 2'!I110</f>
        <v>0</v>
      </c>
      <c r="Y107" s="270">
        <f>'МРСК 2'!J110</f>
        <v>26.25</v>
      </c>
      <c r="Z107" s="271">
        <f>'МРСК 2'!K110</f>
        <v>15.32837937010272</v>
      </c>
      <c r="AA107" s="391">
        <f>MIN(Z107:Z109)</f>
        <v>14.563676212133114</v>
      </c>
      <c r="AB107" s="272"/>
    </row>
    <row r="108" spans="1:28" ht="19.5">
      <c r="A108" s="248"/>
      <c r="B108" s="2" t="s">
        <v>315</v>
      </c>
      <c r="C108" s="249" t="str">
        <f>МРСК!C111</f>
        <v>25+31,5</v>
      </c>
      <c r="D108" s="249">
        <f>МРСК!D111</f>
        <v>6226</v>
      </c>
      <c r="E108" s="249">
        <f>МРСК!E111</f>
        <v>3410</v>
      </c>
      <c r="F108" s="253">
        <f>МРСК!F111</f>
        <v>7.0986742424202</v>
      </c>
      <c r="G108" s="250">
        <f>МРСК!G111</f>
        <v>7.83</v>
      </c>
      <c r="H108" s="251">
        <f>МРСК!H111</f>
        <v>0</v>
      </c>
      <c r="I108" s="252">
        <f>МРСК!I111</f>
        <v>-0.7313257575797998</v>
      </c>
      <c r="J108" s="252">
        <f>МРСК!J111</f>
        <v>0</v>
      </c>
      <c r="K108" s="253">
        <f>МРСК!K111</f>
        <v>26.25</v>
      </c>
      <c r="L108" s="254">
        <f>МРСК!L111</f>
        <v>26.9813257575798</v>
      </c>
      <c r="M108" s="395"/>
      <c r="N108" s="255"/>
      <c r="P108" s="248"/>
      <c r="Q108" s="2" t="s">
        <v>315</v>
      </c>
      <c r="R108" s="249" t="str">
        <f>'МРСК 2'!C111</f>
        <v>25+31,5</v>
      </c>
      <c r="S108" s="249">
        <f>'МРСК 2'!D111</f>
        <v>0</v>
      </c>
      <c r="T108" s="256">
        <f>'МРСК 2'!E111</f>
        <v>7.0986742424202</v>
      </c>
      <c r="U108" s="250">
        <f>'МРСК 2'!F111</f>
        <v>7.83</v>
      </c>
      <c r="V108" s="251">
        <f>'МРСК 2'!G111</f>
        <v>0</v>
      </c>
      <c r="W108" s="252">
        <f>'МРСК 2'!H111</f>
        <v>-0.7313257575797998</v>
      </c>
      <c r="X108" s="252">
        <f>'МРСК 2'!I111</f>
        <v>0</v>
      </c>
      <c r="Y108" s="252">
        <f>'МРСК 2'!J111</f>
        <v>26.25</v>
      </c>
      <c r="Z108" s="254">
        <f>'МРСК 2'!K111</f>
        <v>26.9813257575798</v>
      </c>
      <c r="AA108" s="392"/>
      <c r="AB108" s="255"/>
    </row>
    <row r="109" spans="1:28" ht="20.25" thickBot="1">
      <c r="A109" s="257"/>
      <c r="B109" s="73" t="s">
        <v>316</v>
      </c>
      <c r="C109" s="258" t="str">
        <f>МРСК!C112</f>
        <v>25+31,5</v>
      </c>
      <c r="D109" s="258">
        <f>МРСК!D112</f>
        <v>11440</v>
      </c>
      <c r="E109" s="258">
        <f>МРСК!E112</f>
        <v>4560</v>
      </c>
      <c r="F109" s="253">
        <f>МРСК!F112</f>
        <v>12.315323787866886</v>
      </c>
      <c r="G109" s="259">
        <f>МРСК!G112</f>
        <v>1.2889999999999997</v>
      </c>
      <c r="H109" s="260">
        <f>МРСК!H112</f>
        <v>0</v>
      </c>
      <c r="I109" s="261">
        <f>МРСК!I112</f>
        <v>11.026323787866886</v>
      </c>
      <c r="J109" s="261">
        <f>МРСК!J112</f>
        <v>0</v>
      </c>
      <c r="K109" s="262">
        <f>МРСК!K112</f>
        <v>26.25</v>
      </c>
      <c r="L109" s="263">
        <f>МРСК!L112</f>
        <v>15.223676212133114</v>
      </c>
      <c r="M109" s="396"/>
      <c r="N109" s="264"/>
      <c r="P109" s="257"/>
      <c r="Q109" s="73" t="s">
        <v>316</v>
      </c>
      <c r="R109" s="258" t="str">
        <f>'МРСК 2'!C112</f>
        <v>25+31,5</v>
      </c>
      <c r="S109" s="258">
        <f>'МРСК 2'!D112</f>
        <v>0.66</v>
      </c>
      <c r="T109" s="265">
        <f>'МРСК 2'!E112</f>
        <v>12.975323787866886</v>
      </c>
      <c r="U109" s="259">
        <f>'МРСК 2'!F112</f>
        <v>1.2889999999999997</v>
      </c>
      <c r="V109" s="260">
        <f>'МРСК 2'!G112</f>
        <v>0</v>
      </c>
      <c r="W109" s="261">
        <f>'МРСК 2'!H112</f>
        <v>11.686323787866886</v>
      </c>
      <c r="X109" s="261">
        <f>'МРСК 2'!I112</f>
        <v>0</v>
      </c>
      <c r="Y109" s="261">
        <f>'МРСК 2'!J112</f>
        <v>26.25</v>
      </c>
      <c r="Z109" s="263">
        <f>'МРСК 2'!K112</f>
        <v>14.563676212133114</v>
      </c>
      <c r="AA109" s="393"/>
      <c r="AB109" s="264"/>
    </row>
    <row r="110" spans="1:28" ht="20.25" thickTop="1">
      <c r="A110" s="248">
        <v>56</v>
      </c>
      <c r="B110" s="6" t="s">
        <v>373</v>
      </c>
      <c r="C110" s="251" t="str">
        <f>МРСК!C113</f>
        <v>25+25</v>
      </c>
      <c r="D110" s="251">
        <f>МРСК!D113</f>
        <v>2178</v>
      </c>
      <c r="E110" s="251">
        <f>МРСК!E113</f>
        <v>699</v>
      </c>
      <c r="F110" s="253">
        <f>МРСК!F113</f>
        <v>2.2874188510196376</v>
      </c>
      <c r="G110" s="254">
        <f>МРСК!G113</f>
        <v>0</v>
      </c>
      <c r="H110" s="286">
        <f>МРСК!H113</f>
        <v>0</v>
      </c>
      <c r="I110" s="254">
        <f>МРСК!I113</f>
        <v>2.2874188510196376</v>
      </c>
      <c r="J110" s="252">
        <f>МРСК!J113</f>
        <v>0</v>
      </c>
      <c r="K110" s="289">
        <f>МРСК!K113</f>
        <v>26.25</v>
      </c>
      <c r="L110" s="277">
        <f>МРСК!L113</f>
        <v>23.962581148980362</v>
      </c>
      <c r="M110" s="254">
        <f>MIN(L110:L110)</f>
        <v>23.962581148980362</v>
      </c>
      <c r="N110" s="255"/>
      <c r="P110" s="248">
        <v>56</v>
      </c>
      <c r="Q110" s="6" t="s">
        <v>373</v>
      </c>
      <c r="R110" s="251" t="str">
        <f>'МРСК 2'!C113</f>
        <v>25+25</v>
      </c>
      <c r="S110" s="251">
        <f>'МРСК 2'!D113</f>
        <v>0</v>
      </c>
      <c r="T110" s="252">
        <f>'МРСК 2'!E113</f>
        <v>2.2874188510196376</v>
      </c>
      <c r="U110" s="254">
        <f>'МРСК 2'!F113</f>
        <v>0</v>
      </c>
      <c r="V110" s="286">
        <f>'МРСК 2'!G113</f>
        <v>0</v>
      </c>
      <c r="W110" s="254">
        <f>'МРСК 2'!H113</f>
        <v>2.2874188510196376</v>
      </c>
      <c r="X110" s="252">
        <f>'МРСК 2'!I113</f>
        <v>0</v>
      </c>
      <c r="Y110" s="290">
        <f>'МРСК 2'!J113</f>
        <v>26.25</v>
      </c>
      <c r="Z110" s="254">
        <f>'МРСК 2'!K113</f>
        <v>23.962581148980362</v>
      </c>
      <c r="AA110" s="254">
        <f>MIN(Z110:Z110)</f>
        <v>23.962581148980362</v>
      </c>
      <c r="AB110" s="255"/>
    </row>
    <row r="111" spans="1:28" ht="20.25" thickBot="1">
      <c r="A111" s="248">
        <v>57</v>
      </c>
      <c r="B111" s="2" t="s">
        <v>374</v>
      </c>
      <c r="C111" s="251" t="str">
        <f>МРСК!C114</f>
        <v>16+16</v>
      </c>
      <c r="D111" s="251">
        <f>МРСК!D114</f>
        <v>4625</v>
      </c>
      <c r="E111" s="251">
        <f>МРСК!E114</f>
        <v>2214</v>
      </c>
      <c r="F111" s="253">
        <f>МРСК!F114</f>
        <v>5.12761357748417</v>
      </c>
      <c r="G111" s="254">
        <f>МРСК!G114</f>
        <v>0</v>
      </c>
      <c r="H111" s="286">
        <f>МРСК!H114</f>
        <v>0</v>
      </c>
      <c r="I111" s="254">
        <f>МРСК!I114</f>
        <v>5.12761357748417</v>
      </c>
      <c r="J111" s="252">
        <f>МРСК!J114</f>
        <v>0</v>
      </c>
      <c r="K111" s="289">
        <f>МРСК!K114</f>
        <v>16.8</v>
      </c>
      <c r="L111" s="277">
        <f>МРСК!L114</f>
        <v>11.672386422515832</v>
      </c>
      <c r="M111" s="254">
        <f>L111</f>
        <v>11.672386422515832</v>
      </c>
      <c r="N111" s="255"/>
      <c r="P111" s="248">
        <v>57</v>
      </c>
      <c r="Q111" s="2" t="s">
        <v>374</v>
      </c>
      <c r="R111" s="251" t="str">
        <f>'МРСК 2'!C114</f>
        <v>16+16</v>
      </c>
      <c r="S111" s="251">
        <f>'МРСК 2'!D114</f>
        <v>0</v>
      </c>
      <c r="T111" s="252">
        <f>'МРСК 2'!E114</f>
        <v>5.12761357748417</v>
      </c>
      <c r="U111" s="254">
        <f>'МРСК 2'!F114</f>
        <v>0</v>
      </c>
      <c r="V111" s="286">
        <f>'МРСК 2'!G114</f>
        <v>0</v>
      </c>
      <c r="W111" s="254">
        <f>'МРСК 2'!H114</f>
        <v>5.12761357748417</v>
      </c>
      <c r="X111" s="252">
        <f>'МРСК 2'!I114</f>
        <v>0</v>
      </c>
      <c r="Y111" s="290">
        <f>'МРСК 2'!J114</f>
        <v>16.8</v>
      </c>
      <c r="Z111" s="254">
        <f>'МРСК 2'!K114</f>
        <v>11.672386422515832</v>
      </c>
      <c r="AA111" s="254">
        <f>Z111</f>
        <v>11.672386422515832</v>
      </c>
      <c r="AB111" s="255"/>
    </row>
    <row r="112" spans="1:28" ht="20.25" thickTop="1">
      <c r="A112" s="295">
        <v>58</v>
      </c>
      <c r="B112" s="82" t="s">
        <v>375</v>
      </c>
      <c r="C112" s="267" t="str">
        <f>МРСК!C115</f>
        <v>25+25</v>
      </c>
      <c r="D112" s="267">
        <f>МРСК!D115</f>
        <v>0</v>
      </c>
      <c r="E112" s="267">
        <f>МРСК!E115</f>
        <v>0</v>
      </c>
      <c r="F112" s="291">
        <f>МРСК!F115</f>
        <v>0</v>
      </c>
      <c r="G112" s="268">
        <f>МРСК!G115</f>
        <v>6.679</v>
      </c>
      <c r="H112" s="267">
        <f>МРСК!H115</f>
        <v>120</v>
      </c>
      <c r="I112" s="273">
        <f>МРСК!I115</f>
        <v>6.679</v>
      </c>
      <c r="J112" s="273">
        <f>МРСК!J115</f>
        <v>0</v>
      </c>
      <c r="K112" s="273">
        <f>МРСК!K115</f>
        <v>26.25</v>
      </c>
      <c r="L112" s="292">
        <f>МРСК!L115</f>
        <v>26.25</v>
      </c>
      <c r="M112" s="394">
        <f>MIN(L112:L114)</f>
        <v>26.25</v>
      </c>
      <c r="N112" s="297"/>
      <c r="P112" s="295">
        <v>58</v>
      </c>
      <c r="Q112" s="82" t="s">
        <v>375</v>
      </c>
      <c r="R112" s="267" t="str">
        <f>'МРСК 2'!C115</f>
        <v>25+25</v>
      </c>
      <c r="S112" s="267">
        <f>'МРСК 2'!D115</f>
        <v>0.6</v>
      </c>
      <c r="T112" s="273">
        <f>'МРСК 2'!E115</f>
        <v>0.6</v>
      </c>
      <c r="U112" s="268">
        <f>'МРСК 2'!F115</f>
        <v>6.679</v>
      </c>
      <c r="V112" s="269">
        <f>'МРСК 2'!G115</f>
        <v>120</v>
      </c>
      <c r="W112" s="270">
        <f>'МРСК 2'!H115</f>
        <v>-6.079000000000001</v>
      </c>
      <c r="X112" s="270">
        <f>'МРСК 2'!I115</f>
        <v>0</v>
      </c>
      <c r="Y112" s="270">
        <f>'МРСК 2'!J115</f>
        <v>26.25</v>
      </c>
      <c r="Z112" s="271">
        <f>'МРСК 2'!K115</f>
        <v>25.65</v>
      </c>
      <c r="AA112" s="391">
        <f>MIN(Z112:Z114)</f>
        <v>25.65</v>
      </c>
      <c r="AB112" s="272"/>
    </row>
    <row r="113" spans="1:28" ht="19.5">
      <c r="A113" s="248"/>
      <c r="B113" s="2" t="s">
        <v>315</v>
      </c>
      <c r="C113" s="249" t="str">
        <f>МРСК!C116</f>
        <v>25+25</v>
      </c>
      <c r="D113" s="249">
        <f>МРСК!D116</f>
        <v>0</v>
      </c>
      <c r="E113" s="249">
        <f>МРСК!E116</f>
        <v>0</v>
      </c>
      <c r="F113" s="253">
        <f>МРСК!F116</f>
        <v>0</v>
      </c>
      <c r="G113" s="250">
        <f>МРСК!G116</f>
        <v>2.022</v>
      </c>
      <c r="H113" s="251">
        <f>МРСК!H116</f>
        <v>0</v>
      </c>
      <c r="I113" s="252">
        <f>МРСК!I116</f>
        <v>2.022</v>
      </c>
      <c r="J113" s="252">
        <f>МРСК!J116</f>
        <v>0</v>
      </c>
      <c r="K113" s="253">
        <f>МРСК!K116</f>
        <v>26.25</v>
      </c>
      <c r="L113" s="254">
        <f>МРСК!L116</f>
        <v>26.25</v>
      </c>
      <c r="M113" s="395"/>
      <c r="N113" s="255"/>
      <c r="P113" s="248"/>
      <c r="Q113" s="2" t="s">
        <v>315</v>
      </c>
      <c r="R113" s="249" t="str">
        <f>'МРСК 2'!C116</f>
        <v>25+25</v>
      </c>
      <c r="S113" s="249">
        <f>'МРСК 2'!D116</f>
        <v>0</v>
      </c>
      <c r="T113" s="256">
        <f>'МРСК 2'!E116</f>
        <v>0</v>
      </c>
      <c r="U113" s="250">
        <f>'МРСК 2'!F116</f>
        <v>2.022</v>
      </c>
      <c r="V113" s="251">
        <f>'МРСК 2'!G116</f>
        <v>0</v>
      </c>
      <c r="W113" s="252">
        <f>'МРСК 2'!H116</f>
        <v>-2.022</v>
      </c>
      <c r="X113" s="252">
        <f>'МРСК 2'!I116</f>
        <v>0</v>
      </c>
      <c r="Y113" s="252">
        <f>'МРСК 2'!J116</f>
        <v>26.25</v>
      </c>
      <c r="Z113" s="254">
        <f>'МРСК 2'!K116</f>
        <v>26.25</v>
      </c>
      <c r="AA113" s="392"/>
      <c r="AB113" s="255"/>
    </row>
    <row r="114" spans="1:28" ht="20.25" thickBot="1">
      <c r="A114" s="257"/>
      <c r="B114" s="73" t="s">
        <v>316</v>
      </c>
      <c r="C114" s="258" t="str">
        <f>МРСК!C117</f>
        <v>25+25</v>
      </c>
      <c r="D114" s="258">
        <f>МРСК!D117</f>
        <v>0</v>
      </c>
      <c r="E114" s="258">
        <f>МРСК!E117</f>
        <v>0</v>
      </c>
      <c r="F114" s="253">
        <f>МРСК!F117</f>
        <v>0</v>
      </c>
      <c r="G114" s="259">
        <f>МРСК!G117</f>
        <v>4.657</v>
      </c>
      <c r="H114" s="260">
        <f>МРСК!H117</f>
        <v>0</v>
      </c>
      <c r="I114" s="261">
        <f>МРСК!I117</f>
        <v>4.657</v>
      </c>
      <c r="J114" s="261">
        <f>МРСК!J117</f>
        <v>0</v>
      </c>
      <c r="K114" s="262">
        <f>МРСК!K117</f>
        <v>26.25</v>
      </c>
      <c r="L114" s="263">
        <f>МРСК!L117</f>
        <v>26.25</v>
      </c>
      <c r="M114" s="396"/>
      <c r="N114" s="264"/>
      <c r="P114" s="257"/>
      <c r="Q114" s="73" t="s">
        <v>316</v>
      </c>
      <c r="R114" s="258" t="str">
        <f>'МРСК 2'!C117</f>
        <v>25+25</v>
      </c>
      <c r="S114" s="258">
        <f>'МРСК 2'!D117</f>
        <v>0.6</v>
      </c>
      <c r="T114" s="265">
        <f>'МРСК 2'!E117</f>
        <v>0.6</v>
      </c>
      <c r="U114" s="259">
        <f>'МРСК 2'!F117</f>
        <v>4.657</v>
      </c>
      <c r="V114" s="260">
        <f>'МРСК 2'!G117</f>
        <v>0</v>
      </c>
      <c r="W114" s="261">
        <f>'МРСК 2'!H117</f>
        <v>-4.057</v>
      </c>
      <c r="X114" s="261">
        <f>'МРСК 2'!I117</f>
        <v>0</v>
      </c>
      <c r="Y114" s="261">
        <f>'МРСК 2'!J117</f>
        <v>26.25</v>
      </c>
      <c r="Z114" s="263">
        <f>'МРСК 2'!K117</f>
        <v>25.65</v>
      </c>
      <c r="AA114" s="393"/>
      <c r="AB114" s="264"/>
    </row>
    <row r="115" spans="1:28" ht="20.25" thickTop="1">
      <c r="A115" s="248">
        <v>59</v>
      </c>
      <c r="B115" s="6" t="s">
        <v>376</v>
      </c>
      <c r="C115" s="251" t="str">
        <f>МРСК!C118</f>
        <v>25+25</v>
      </c>
      <c r="D115" s="251">
        <f>МРСК!D118</f>
        <v>16234</v>
      </c>
      <c r="E115" s="251">
        <f>МРСК!E118</f>
        <v>8957</v>
      </c>
      <c r="F115" s="253">
        <f>МРСК!F118</f>
        <v>18.541051884938998</v>
      </c>
      <c r="G115" s="254">
        <f>МРСК!G118</f>
        <v>0</v>
      </c>
      <c r="H115" s="286">
        <f>МРСК!H118</f>
        <v>0</v>
      </c>
      <c r="I115" s="254">
        <f>МРСК!I118</f>
        <v>18.541051884938998</v>
      </c>
      <c r="J115" s="252">
        <f>МРСК!J118</f>
        <v>0</v>
      </c>
      <c r="K115" s="289">
        <f>МРСК!K118</f>
        <v>26.25</v>
      </c>
      <c r="L115" s="277">
        <f>МРСК!L118</f>
        <v>7.708948115061002</v>
      </c>
      <c r="M115" s="254">
        <f>MIN(L115:L115)</f>
        <v>7.708948115061002</v>
      </c>
      <c r="N115" s="255"/>
      <c r="P115" s="248">
        <v>59</v>
      </c>
      <c r="Q115" s="6" t="s">
        <v>376</v>
      </c>
      <c r="R115" s="251" t="str">
        <f>'МРСК 2'!C118</f>
        <v>25+25</v>
      </c>
      <c r="S115" s="251">
        <f>'МРСК 2'!D118</f>
        <v>0.9899999999999999</v>
      </c>
      <c r="T115" s="252">
        <f>'МРСК 2'!E118</f>
        <v>19.531051884938996</v>
      </c>
      <c r="U115" s="254">
        <f>'МРСК 2'!F118</f>
        <v>0</v>
      </c>
      <c r="V115" s="286">
        <f>'МРСК 2'!G118</f>
        <v>0</v>
      </c>
      <c r="W115" s="254">
        <f>'МРСК 2'!H118</f>
        <v>19.531051884938996</v>
      </c>
      <c r="X115" s="252">
        <f>'МРСК 2'!I118</f>
        <v>0</v>
      </c>
      <c r="Y115" s="290">
        <f>'МРСК 2'!J118</f>
        <v>26.25</v>
      </c>
      <c r="Z115" s="254">
        <f>'МРСК 2'!K118</f>
        <v>6.7189481150610035</v>
      </c>
      <c r="AA115" s="254">
        <f>MIN(Z115:Z115)</f>
        <v>6.7189481150610035</v>
      </c>
      <c r="AB115" s="255"/>
    </row>
    <row r="116" spans="1:28" ht="19.5">
      <c r="A116" s="248">
        <v>60</v>
      </c>
      <c r="B116" s="2" t="s">
        <v>377</v>
      </c>
      <c r="C116" s="251" t="str">
        <f>МРСК!C119</f>
        <v>16+16</v>
      </c>
      <c r="D116" s="251">
        <f>МРСК!D119</f>
        <v>12347</v>
      </c>
      <c r="E116" s="251">
        <f>МРСК!E119</f>
        <v>7576</v>
      </c>
      <c r="F116" s="253">
        <f>МРСК!F119</f>
        <v>14.485999620323065</v>
      </c>
      <c r="G116" s="254">
        <f>МРСК!G119</f>
        <v>1.296</v>
      </c>
      <c r="H116" s="286">
        <f>МРСК!H119</f>
        <v>80</v>
      </c>
      <c r="I116" s="254">
        <f>МРСК!I119</f>
        <v>13.189999620323066</v>
      </c>
      <c r="J116" s="252">
        <f>МРСК!J119</f>
        <v>0</v>
      </c>
      <c r="K116" s="289">
        <f>МРСК!K119</f>
        <v>16.8</v>
      </c>
      <c r="L116" s="277">
        <f>МРСК!L119</f>
        <v>3.6100003796769347</v>
      </c>
      <c r="M116" s="254">
        <f>L116</f>
        <v>3.6100003796769347</v>
      </c>
      <c r="N116" s="255"/>
      <c r="P116" s="248">
        <v>60</v>
      </c>
      <c r="Q116" s="2" t="s">
        <v>377</v>
      </c>
      <c r="R116" s="251" t="str">
        <f>'МРСК 2'!C119</f>
        <v>16+16</v>
      </c>
      <c r="S116" s="251">
        <f>'МРСК 2'!D119</f>
        <v>0</v>
      </c>
      <c r="T116" s="252">
        <f>'МРСК 2'!E119</f>
        <v>14.485999620323065</v>
      </c>
      <c r="U116" s="254">
        <f>'МРСК 2'!F119</f>
        <v>1.296</v>
      </c>
      <c r="V116" s="286">
        <f>'МРСК 2'!G119</f>
        <v>80</v>
      </c>
      <c r="W116" s="254">
        <f>'МРСК 2'!H119</f>
        <v>13.189999620323066</v>
      </c>
      <c r="X116" s="252">
        <f>'МРСК 2'!I119</f>
        <v>0</v>
      </c>
      <c r="Y116" s="290">
        <f>'МРСК 2'!J119</f>
        <v>16.8</v>
      </c>
      <c r="Z116" s="254">
        <f>'МРСК 2'!K119</f>
        <v>3.6100003796769347</v>
      </c>
      <c r="AA116" s="254">
        <f>Z116</f>
        <v>3.6100003796769347</v>
      </c>
      <c r="AB116" s="255"/>
    </row>
    <row r="117" spans="1:28" ht="20.25" thickBot="1">
      <c r="A117" s="248">
        <v>61</v>
      </c>
      <c r="B117" s="6" t="s">
        <v>378</v>
      </c>
      <c r="C117" s="251" t="str">
        <f>МРСК!C120</f>
        <v>40+40</v>
      </c>
      <c r="D117" s="251">
        <f>МРСК!D120</f>
        <v>30306</v>
      </c>
      <c r="E117" s="251">
        <f>МРСК!E120</f>
        <v>8850</v>
      </c>
      <c r="F117" s="253">
        <f>МРСК!F120</f>
        <v>31.57176168667184</v>
      </c>
      <c r="G117" s="254">
        <f>МРСК!G120</f>
        <v>0</v>
      </c>
      <c r="H117" s="251">
        <f>МРСК!H120</f>
        <v>60</v>
      </c>
      <c r="I117" s="254">
        <f>МРСК!I120</f>
        <v>31.57176168667184</v>
      </c>
      <c r="J117" s="252">
        <f>МРСК!J120</f>
        <v>0</v>
      </c>
      <c r="K117" s="289">
        <f>МРСК!K120</f>
        <v>42</v>
      </c>
      <c r="L117" s="277">
        <f>МРСК!L120</f>
        <v>10.428238313328158</v>
      </c>
      <c r="M117" s="254">
        <f>MIN(L117:L117)</f>
        <v>10.428238313328158</v>
      </c>
      <c r="N117" s="255"/>
      <c r="P117" s="248">
        <v>61</v>
      </c>
      <c r="Q117" s="6" t="s">
        <v>378</v>
      </c>
      <c r="R117" s="251" t="str">
        <f>'МРСК 2'!C120</f>
        <v>40+40</v>
      </c>
      <c r="S117" s="251">
        <f>'МРСК 2'!D120</f>
        <v>0.9899999999999999</v>
      </c>
      <c r="T117" s="252">
        <f>'МРСК 2'!E120</f>
        <v>32.561761686671844</v>
      </c>
      <c r="U117" s="254">
        <f>'МРСК 2'!F120</f>
        <v>0</v>
      </c>
      <c r="V117" s="251">
        <f>'МРСК 2'!G120</f>
        <v>60</v>
      </c>
      <c r="W117" s="254">
        <f>'МРСК 2'!H120</f>
        <v>32.561761686671844</v>
      </c>
      <c r="X117" s="252">
        <f>'МРСК 2'!I120</f>
        <v>0</v>
      </c>
      <c r="Y117" s="290">
        <f>'МРСК 2'!J120</f>
        <v>42</v>
      </c>
      <c r="Z117" s="254">
        <f>'МРСК 2'!K120</f>
        <v>9.438238313328156</v>
      </c>
      <c r="AA117" s="254">
        <f>MIN(Z117:Z117)</f>
        <v>9.438238313328156</v>
      </c>
      <c r="AB117" s="255"/>
    </row>
    <row r="118" spans="1:28" ht="21" thickBot="1" thickTop="1">
      <c r="A118" s="248">
        <v>62</v>
      </c>
      <c r="B118" s="82" t="s">
        <v>379</v>
      </c>
      <c r="C118" s="267" t="str">
        <f>МРСК!C121</f>
        <v>10+10</v>
      </c>
      <c r="D118" s="267">
        <f>МРСК!D121</f>
        <v>11816</v>
      </c>
      <c r="E118" s="267">
        <f>МРСК!E121</f>
        <v>6776</v>
      </c>
      <c r="F118" s="253">
        <f>МРСК!F121</f>
        <v>13.621014352829969</v>
      </c>
      <c r="G118" s="268">
        <f>МРСК!G121</f>
        <v>8.98</v>
      </c>
      <c r="H118" s="269">
        <f>МРСК!H121</f>
        <v>120</v>
      </c>
      <c r="I118" s="270">
        <f>МРСК!I121</f>
        <v>4.641014352829968</v>
      </c>
      <c r="J118" s="270">
        <f>МРСК!J121</f>
        <v>0</v>
      </c>
      <c r="K118" s="270">
        <f>МРСК!K121</f>
        <v>10.5</v>
      </c>
      <c r="L118" s="271">
        <f>МРСК!L121</f>
        <v>5.858985647170032</v>
      </c>
      <c r="M118" s="394">
        <f>MIN(L118:L120)</f>
        <v>5.858985647170032</v>
      </c>
      <c r="N118" s="272"/>
      <c r="P118" s="248">
        <v>62</v>
      </c>
      <c r="Q118" s="82" t="s">
        <v>379</v>
      </c>
      <c r="R118" s="267" t="str">
        <f>'МРСК 2'!C121</f>
        <v>10+10</v>
      </c>
      <c r="S118" s="267">
        <f>'МРСК 2'!D121</f>
        <v>7.33</v>
      </c>
      <c r="T118" s="273">
        <f>'МРСК 2'!E121</f>
        <v>20.95101435282997</v>
      </c>
      <c r="U118" s="268">
        <f>'МРСК 2'!F121</f>
        <v>8.98</v>
      </c>
      <c r="V118" s="269">
        <f>'МРСК 2'!G121</f>
        <v>120</v>
      </c>
      <c r="W118" s="270">
        <f>'МРСК 2'!H121</f>
        <v>11.971014352829968</v>
      </c>
      <c r="X118" s="270">
        <f>'МРСК 2'!I121</f>
        <v>0</v>
      </c>
      <c r="Y118" s="270">
        <f>'МРСК 2'!J121</f>
        <v>10.5</v>
      </c>
      <c r="Z118" s="271">
        <f>'МРСК 2'!K121</f>
        <v>-1.4710143528299682</v>
      </c>
      <c r="AA118" s="391">
        <f>MIN(Z118:Z120)</f>
        <v>-1.4710143528299682</v>
      </c>
      <c r="AB118" s="272"/>
    </row>
    <row r="119" spans="1:28" ht="21" thickBot="1" thickTop="1">
      <c r="A119" s="248"/>
      <c r="B119" s="2" t="s">
        <v>315</v>
      </c>
      <c r="C119" s="249" t="str">
        <f>МРСК!C122</f>
        <v>10+10</v>
      </c>
      <c r="D119" s="267">
        <f>МРСК!D122</f>
        <v>8826</v>
      </c>
      <c r="E119" s="267">
        <f>МРСК!E122</f>
        <v>5366</v>
      </c>
      <c r="F119" s="253">
        <f>МРСК!F122</f>
        <v>10.329193192113312</v>
      </c>
      <c r="G119" s="250">
        <f>МРСК!G122</f>
        <v>6.407</v>
      </c>
      <c r="H119" s="251">
        <f>МРСК!H122</f>
        <v>0</v>
      </c>
      <c r="I119" s="252">
        <f>МРСК!I122</f>
        <v>3.922193192113312</v>
      </c>
      <c r="J119" s="252">
        <f>МРСК!J122</f>
        <v>0</v>
      </c>
      <c r="K119" s="253">
        <f>МРСК!K122</f>
        <v>10.5</v>
      </c>
      <c r="L119" s="254">
        <f>МРСК!L122</f>
        <v>6.577806807886688</v>
      </c>
      <c r="M119" s="395"/>
      <c r="N119" s="255"/>
      <c r="P119" s="248"/>
      <c r="Q119" s="2" t="s">
        <v>315</v>
      </c>
      <c r="R119" s="267" t="str">
        <f>'МРСК 2'!C122</f>
        <v>10+10</v>
      </c>
      <c r="S119" s="249">
        <f>'МРСК 2'!D122</f>
        <v>0</v>
      </c>
      <c r="T119" s="256">
        <f>'МРСК 2'!E122</f>
        <v>10.329193192113312</v>
      </c>
      <c r="U119" s="250">
        <f>'МРСК 2'!F122</f>
        <v>6.407</v>
      </c>
      <c r="V119" s="251">
        <f>'МРСК 2'!G122</f>
        <v>0</v>
      </c>
      <c r="W119" s="252">
        <f>'МРСК 2'!H122</f>
        <v>3.922193192113312</v>
      </c>
      <c r="X119" s="252">
        <f>'МРСК 2'!I122</f>
        <v>0</v>
      </c>
      <c r="Y119" s="252">
        <f>'МРСК 2'!J122</f>
        <v>10.5</v>
      </c>
      <c r="Z119" s="254">
        <f>'МРСК 2'!K122</f>
        <v>6.577806807886688</v>
      </c>
      <c r="AA119" s="392"/>
      <c r="AB119" s="255"/>
    </row>
    <row r="120" spans="1:28" ht="21" thickBot="1" thickTop="1">
      <c r="A120" s="257"/>
      <c r="B120" s="73" t="s">
        <v>316</v>
      </c>
      <c r="C120" s="258" t="str">
        <f>МРСК!C123</f>
        <v>10+10</v>
      </c>
      <c r="D120" s="258">
        <f>МРСК!D123</f>
        <v>2990</v>
      </c>
      <c r="E120" s="258">
        <f>МРСК!E123</f>
        <v>1410</v>
      </c>
      <c r="F120" s="253">
        <f>МРСК!F123</f>
        <v>3.3057828119826627</v>
      </c>
      <c r="G120" s="259">
        <f>МРСК!G123</f>
        <v>2.5730000000000004</v>
      </c>
      <c r="H120" s="260">
        <f>МРСК!H123</f>
        <v>0</v>
      </c>
      <c r="I120" s="261">
        <f>МРСК!I123</f>
        <v>0.7327828119826623</v>
      </c>
      <c r="J120" s="261">
        <f>МРСК!J123</f>
        <v>0</v>
      </c>
      <c r="K120" s="262">
        <f>МРСК!K123</f>
        <v>10.5</v>
      </c>
      <c r="L120" s="263">
        <f>МРСК!L123</f>
        <v>9.767217188017337</v>
      </c>
      <c r="M120" s="396"/>
      <c r="N120" s="264"/>
      <c r="P120" s="257"/>
      <c r="Q120" s="73" t="s">
        <v>316</v>
      </c>
      <c r="R120" s="267" t="str">
        <f>'МРСК 2'!C123</f>
        <v>10+10</v>
      </c>
      <c r="S120" s="258">
        <f>'МРСК 2'!D123</f>
        <v>7.33</v>
      </c>
      <c r="T120" s="265">
        <f>'МРСК 2'!E123</f>
        <v>10.635782811982663</v>
      </c>
      <c r="U120" s="259">
        <f>'МРСК 2'!F123</f>
        <v>2.5730000000000004</v>
      </c>
      <c r="V120" s="260">
        <f>'МРСК 2'!G123</f>
        <v>0</v>
      </c>
      <c r="W120" s="261">
        <f>'МРСК 2'!H123</f>
        <v>8.062782811982663</v>
      </c>
      <c r="X120" s="261">
        <f>'МРСК 2'!I123</f>
        <v>0</v>
      </c>
      <c r="Y120" s="261">
        <f>'МРСК 2'!J123</f>
        <v>10.5</v>
      </c>
      <c r="Z120" s="263">
        <f>'МРСК 2'!K123</f>
        <v>2.437217188017337</v>
      </c>
      <c r="AA120" s="393"/>
      <c r="AB120" s="264"/>
    </row>
    <row r="121" spans="1:28" ht="20.25" thickTop="1">
      <c r="A121" s="266">
        <v>63</v>
      </c>
      <c r="B121" s="82" t="s">
        <v>380</v>
      </c>
      <c r="C121" s="267" t="str">
        <f>МРСК!C124</f>
        <v>25+25</v>
      </c>
      <c r="D121" s="267">
        <f>МРСК!D124</f>
        <v>17350</v>
      </c>
      <c r="E121" s="267">
        <f>МРСК!E124</f>
        <v>10404</v>
      </c>
      <c r="F121" s="253">
        <f>МРСК!F124</f>
        <v>20.23031675481133</v>
      </c>
      <c r="G121" s="268">
        <f>МРСК!G124</f>
        <v>10.46</v>
      </c>
      <c r="H121" s="269">
        <f>МРСК!H124</f>
        <v>45</v>
      </c>
      <c r="I121" s="270">
        <f>МРСК!I124</f>
        <v>9.77031675481133</v>
      </c>
      <c r="J121" s="270">
        <f>МРСК!J124</f>
        <v>0</v>
      </c>
      <c r="K121" s="270">
        <f>МРСК!K124</f>
        <v>26.25</v>
      </c>
      <c r="L121" s="271">
        <f>МРСК!L124</f>
        <v>16.47968324518867</v>
      </c>
      <c r="M121" s="394">
        <f>MIN(L121:L123)</f>
        <v>16.47968324518867</v>
      </c>
      <c r="N121" s="272"/>
      <c r="P121" s="266">
        <v>63</v>
      </c>
      <c r="Q121" s="82" t="s">
        <v>380</v>
      </c>
      <c r="R121" s="267" t="str">
        <f>'МРСК 2'!C124</f>
        <v>25+25</v>
      </c>
      <c r="S121" s="267">
        <f>'МРСК 2'!D124</f>
        <v>0.22</v>
      </c>
      <c r="T121" s="273">
        <f>'МРСК 2'!E124</f>
        <v>20.45031675481133</v>
      </c>
      <c r="U121" s="268">
        <f>'МРСК 2'!F124</f>
        <v>10.46</v>
      </c>
      <c r="V121" s="269">
        <f>'МРСК 2'!G124</f>
        <v>45</v>
      </c>
      <c r="W121" s="270">
        <f>'МРСК 2'!H124</f>
        <v>9.990316754811328</v>
      </c>
      <c r="X121" s="270">
        <f>'МРСК 2'!I124</f>
        <v>0</v>
      </c>
      <c r="Y121" s="270">
        <f>'МРСК 2'!J124</f>
        <v>26.25</v>
      </c>
      <c r="Z121" s="271">
        <f>'МРСК 2'!K124</f>
        <v>16.259683245188672</v>
      </c>
      <c r="AA121" s="391">
        <f>MIN(Z121:Z123)</f>
        <v>16.259683245188672</v>
      </c>
      <c r="AB121" s="272"/>
    </row>
    <row r="122" spans="1:28" ht="19.5">
      <c r="A122" s="248"/>
      <c r="B122" s="2" t="s">
        <v>315</v>
      </c>
      <c r="C122" s="249" t="str">
        <f>МРСК!C125</f>
        <v>25+25</v>
      </c>
      <c r="D122" s="249">
        <f>МРСК!D125</f>
        <v>10731</v>
      </c>
      <c r="E122" s="249">
        <f>МРСК!E125</f>
        <v>5534</v>
      </c>
      <c r="F122" s="253">
        <f>МРСК!F125</f>
        <v>12.073918874996634</v>
      </c>
      <c r="G122" s="250">
        <f>МРСК!G125</f>
        <v>10.46</v>
      </c>
      <c r="H122" s="251">
        <f>МРСК!H125</f>
        <v>0</v>
      </c>
      <c r="I122" s="252">
        <f>МРСК!I125</f>
        <v>1.6139188749966333</v>
      </c>
      <c r="J122" s="252">
        <f>МРСК!J125</f>
        <v>0</v>
      </c>
      <c r="K122" s="253">
        <f>МРСК!K125</f>
        <v>26.25</v>
      </c>
      <c r="L122" s="254">
        <f>МРСК!L125</f>
        <v>24.636081125003365</v>
      </c>
      <c r="M122" s="395"/>
      <c r="N122" s="255"/>
      <c r="P122" s="248"/>
      <c r="Q122" s="2" t="s">
        <v>315</v>
      </c>
      <c r="R122" s="249" t="str">
        <f>'МРСК 2'!C125</f>
        <v>25+25</v>
      </c>
      <c r="S122" s="249">
        <f>'МРСК 2'!D125</f>
        <v>0</v>
      </c>
      <c r="T122" s="256">
        <f>'МРСК 2'!E125</f>
        <v>12.073918874996634</v>
      </c>
      <c r="U122" s="250">
        <f>'МРСК 2'!F125</f>
        <v>10.46</v>
      </c>
      <c r="V122" s="251">
        <f>'МРСК 2'!G125</f>
        <v>0</v>
      </c>
      <c r="W122" s="252">
        <f>'МРСК 2'!H125</f>
        <v>1.6139188749966333</v>
      </c>
      <c r="X122" s="252">
        <f>'МРСК 2'!I125</f>
        <v>0</v>
      </c>
      <c r="Y122" s="252">
        <f>'МРСК 2'!J125</f>
        <v>26.25</v>
      </c>
      <c r="Z122" s="254">
        <f>'МРСК 2'!K125</f>
        <v>24.636081125003365</v>
      </c>
      <c r="AA122" s="392"/>
      <c r="AB122" s="255"/>
    </row>
    <row r="123" spans="1:28" ht="20.25" thickBot="1">
      <c r="A123" s="257"/>
      <c r="B123" s="73" t="s">
        <v>316</v>
      </c>
      <c r="C123" s="258" t="str">
        <f>МРСК!C126</f>
        <v>25+25</v>
      </c>
      <c r="D123" s="258">
        <f>МРСК!D126</f>
        <v>6619</v>
      </c>
      <c r="E123" s="258">
        <f>МРСК!E126</f>
        <v>4870</v>
      </c>
      <c r="F123" s="253">
        <f>МРСК!F126</f>
        <v>8.217545923206028</v>
      </c>
      <c r="G123" s="259">
        <f>МРСК!G126</f>
        <v>0</v>
      </c>
      <c r="H123" s="260">
        <f>МРСК!H126</f>
        <v>0</v>
      </c>
      <c r="I123" s="261">
        <f>МРСК!I126</f>
        <v>8.217545923206028</v>
      </c>
      <c r="J123" s="261">
        <f>МРСК!J126</f>
        <v>0</v>
      </c>
      <c r="K123" s="262">
        <f>МРСК!K126</f>
        <v>26.25</v>
      </c>
      <c r="L123" s="263">
        <f>МРСК!L126</f>
        <v>18.03245407679397</v>
      </c>
      <c r="M123" s="396"/>
      <c r="N123" s="264"/>
      <c r="P123" s="257"/>
      <c r="Q123" s="73" t="s">
        <v>316</v>
      </c>
      <c r="R123" s="258" t="str">
        <f>'МРСК 2'!C126</f>
        <v>25+25</v>
      </c>
      <c r="S123" s="258">
        <f>'МРСК 2'!D126</f>
        <v>0.22</v>
      </c>
      <c r="T123" s="265">
        <f>'МРСК 2'!E126</f>
        <v>8.437545923206029</v>
      </c>
      <c r="U123" s="259">
        <f>'МРСК 2'!F126</f>
        <v>0</v>
      </c>
      <c r="V123" s="260">
        <f>'МРСК 2'!G126</f>
        <v>0</v>
      </c>
      <c r="W123" s="261">
        <f>'МРСК 2'!H126</f>
        <v>8.437545923206029</v>
      </c>
      <c r="X123" s="261">
        <f>'МРСК 2'!I126</f>
        <v>0</v>
      </c>
      <c r="Y123" s="261">
        <f>'МРСК 2'!J126</f>
        <v>26.25</v>
      </c>
      <c r="Z123" s="263">
        <f>'МРСК 2'!K126</f>
        <v>17.81245407679397</v>
      </c>
      <c r="AA123" s="393"/>
      <c r="AB123" s="264"/>
    </row>
    <row r="124" spans="1:28" ht="21" thickBot="1" thickTop="1">
      <c r="A124" s="248">
        <v>64</v>
      </c>
      <c r="B124" s="2" t="s">
        <v>381</v>
      </c>
      <c r="C124" s="251" t="str">
        <f>МРСК!C127</f>
        <v>40+40</v>
      </c>
      <c r="D124" s="251">
        <f>МРСК!D127</f>
        <v>11204</v>
      </c>
      <c r="E124" s="251">
        <f>МРСК!E127</f>
        <v>3168</v>
      </c>
      <c r="F124" s="253">
        <f>МРСК!F127</f>
        <v>11.643274453520368</v>
      </c>
      <c r="G124" s="254">
        <f>МРСК!G127</f>
        <v>3.312</v>
      </c>
      <c r="H124" s="286">
        <f>МРСК!H127</f>
        <v>45</v>
      </c>
      <c r="I124" s="254">
        <f>МРСК!I127</f>
        <v>8.331274453520368</v>
      </c>
      <c r="J124" s="252">
        <f>МРСК!J127</f>
        <v>0</v>
      </c>
      <c r="K124" s="289">
        <f>МРСК!K127</f>
        <v>42</v>
      </c>
      <c r="L124" s="277">
        <f>МРСК!L127</f>
        <v>33.668725546479635</v>
      </c>
      <c r="M124" s="254">
        <f>MIN(L124:L124)</f>
        <v>33.668725546479635</v>
      </c>
      <c r="N124" s="255"/>
      <c r="P124" s="248">
        <v>64</v>
      </c>
      <c r="Q124" s="2" t="s">
        <v>381</v>
      </c>
      <c r="R124" s="251" t="str">
        <f>'МРСК 2'!C127</f>
        <v>40+40</v>
      </c>
      <c r="S124" s="251">
        <f>'МРСК 2'!D127</f>
        <v>10.370000000000001</v>
      </c>
      <c r="T124" s="252">
        <f>'МРСК 2'!E127</f>
        <v>22.013274453520367</v>
      </c>
      <c r="U124" s="254">
        <f>'МРСК 2'!F127</f>
        <v>3.312</v>
      </c>
      <c r="V124" s="286">
        <f>'МРСК 2'!G127</f>
        <v>45</v>
      </c>
      <c r="W124" s="254">
        <f>'МРСК 2'!H127</f>
        <v>18.701274453520366</v>
      </c>
      <c r="X124" s="252">
        <f>'МРСК 2'!I127</f>
        <v>0</v>
      </c>
      <c r="Y124" s="290">
        <f>'МРСК 2'!J127</f>
        <v>42</v>
      </c>
      <c r="Z124" s="254">
        <f>'МРСК 2'!K127</f>
        <v>23.298725546479634</v>
      </c>
      <c r="AA124" s="254">
        <f>MIN(Z124:Z124)</f>
        <v>23.298725546479634</v>
      </c>
      <c r="AB124" s="255"/>
    </row>
    <row r="125" spans="1:28" ht="20.25" thickTop="1">
      <c r="A125" s="266">
        <v>65</v>
      </c>
      <c r="B125" s="82" t="s">
        <v>382</v>
      </c>
      <c r="C125" s="267" t="str">
        <f>МРСК!C128</f>
        <v>16+16</v>
      </c>
      <c r="D125" s="267">
        <f>МРСК!D128</f>
        <v>13755</v>
      </c>
      <c r="E125" s="267">
        <f>МРСК!E128</f>
        <v>5418</v>
      </c>
      <c r="F125" s="253">
        <f>МРСК!F128</f>
        <v>14.78359729565169</v>
      </c>
      <c r="G125" s="268">
        <f>МРСК!G128</f>
        <v>10.36</v>
      </c>
      <c r="H125" s="269">
        <f>МРСК!H128</f>
        <v>120</v>
      </c>
      <c r="I125" s="270">
        <f>МРСК!I128</f>
        <v>4.423597295651691</v>
      </c>
      <c r="J125" s="270">
        <f>МРСК!J128</f>
        <v>0</v>
      </c>
      <c r="K125" s="270">
        <f>МРСК!K128</f>
        <v>16.8</v>
      </c>
      <c r="L125" s="271">
        <f>МРСК!L128</f>
        <v>12.37640270434831</v>
      </c>
      <c r="M125" s="394">
        <f>MIN(L125:L127)</f>
        <v>12.37640270434831</v>
      </c>
      <c r="N125" s="272"/>
      <c r="P125" s="266">
        <v>65</v>
      </c>
      <c r="Q125" s="82" t="s">
        <v>382</v>
      </c>
      <c r="R125" s="267" t="str">
        <f>'МРСК 2'!C128</f>
        <v>16+16</v>
      </c>
      <c r="S125" s="267">
        <f>'МРСК 2'!D128</f>
        <v>0.28</v>
      </c>
      <c r="T125" s="273">
        <f>'МРСК 2'!E128</f>
        <v>15.06359729565169</v>
      </c>
      <c r="U125" s="268">
        <f>'МРСК 2'!F128</f>
        <v>10.36</v>
      </c>
      <c r="V125" s="269">
        <f>'МРСК 2'!G128</f>
        <v>120</v>
      </c>
      <c r="W125" s="270">
        <f>'МРСК 2'!H128</f>
        <v>4.70359729565169</v>
      </c>
      <c r="X125" s="270">
        <f>'МРСК 2'!I128</f>
        <v>0</v>
      </c>
      <c r="Y125" s="270">
        <f>'МРСК 2'!J128</f>
        <v>16.8</v>
      </c>
      <c r="Z125" s="271">
        <f>'МРСК 2'!K128</f>
        <v>12.09640270434831</v>
      </c>
      <c r="AA125" s="391">
        <f>MIN(Z125:Z127)</f>
        <v>12.09640270434831</v>
      </c>
      <c r="AB125" s="272"/>
    </row>
    <row r="126" spans="1:28" ht="19.5">
      <c r="A126" s="248"/>
      <c r="B126" s="2" t="s">
        <v>315</v>
      </c>
      <c r="C126" s="249" t="str">
        <f>МРСК!C129</f>
        <v>16+16</v>
      </c>
      <c r="D126" s="249">
        <f>МРСК!D129</f>
        <v>9853</v>
      </c>
      <c r="E126" s="249">
        <f>МРСК!E129</f>
        <v>3809</v>
      </c>
      <c r="F126" s="253">
        <f>МРСК!F129</f>
        <v>10.563621064767515</v>
      </c>
      <c r="G126" s="250">
        <f>МРСК!G129</f>
        <v>7.562</v>
      </c>
      <c r="H126" s="251">
        <f>МРСК!H129</f>
        <v>0</v>
      </c>
      <c r="I126" s="252">
        <f>МРСК!I129</f>
        <v>3.001621064767515</v>
      </c>
      <c r="J126" s="252">
        <f>МРСК!J129</f>
        <v>0</v>
      </c>
      <c r="K126" s="253">
        <f>МРСК!K129</f>
        <v>16.8</v>
      </c>
      <c r="L126" s="254">
        <f>МРСК!L129</f>
        <v>13.798378935232485</v>
      </c>
      <c r="M126" s="395"/>
      <c r="N126" s="255"/>
      <c r="P126" s="248"/>
      <c r="Q126" s="2" t="s">
        <v>315</v>
      </c>
      <c r="R126" s="249" t="str">
        <f>'МРСК 2'!C129</f>
        <v>16+16</v>
      </c>
      <c r="S126" s="249">
        <f>'МРСК 2'!D129</f>
        <v>0</v>
      </c>
      <c r="T126" s="256">
        <f>'МРСК 2'!E129</f>
        <v>10.563621064767515</v>
      </c>
      <c r="U126" s="250">
        <f>'МРСК 2'!F129</f>
        <v>7.562</v>
      </c>
      <c r="V126" s="251">
        <f>'МРСК 2'!G129</f>
        <v>0</v>
      </c>
      <c r="W126" s="252">
        <f>'МРСК 2'!H129</f>
        <v>3.001621064767515</v>
      </c>
      <c r="X126" s="252">
        <f>'МРСК 2'!I129</f>
        <v>0</v>
      </c>
      <c r="Y126" s="252">
        <f>'МРСК 2'!J129</f>
        <v>16.8</v>
      </c>
      <c r="Z126" s="254">
        <f>'МРСК 2'!K129</f>
        <v>13.798378935232485</v>
      </c>
      <c r="AA126" s="392"/>
      <c r="AB126" s="255"/>
    </row>
    <row r="127" spans="1:28" ht="20.25" thickBot="1">
      <c r="A127" s="257"/>
      <c r="B127" s="73" t="s">
        <v>316</v>
      </c>
      <c r="C127" s="258" t="str">
        <f>МРСК!C130</f>
        <v>16+16</v>
      </c>
      <c r="D127" s="258">
        <f>МРСК!D130</f>
        <v>3902</v>
      </c>
      <c r="E127" s="258">
        <f>МРСК!E130</f>
        <v>1609</v>
      </c>
      <c r="F127" s="253">
        <f>МРСК!F130</f>
        <v>4.220720909986823</v>
      </c>
      <c r="G127" s="259">
        <f>МРСК!G130</f>
        <v>2.797999999999999</v>
      </c>
      <c r="H127" s="260">
        <f>МРСК!H130</f>
        <v>0</v>
      </c>
      <c r="I127" s="261">
        <f>МРСК!I130</f>
        <v>1.4227209099868237</v>
      </c>
      <c r="J127" s="261">
        <f>МРСК!J130</f>
        <v>0</v>
      </c>
      <c r="K127" s="262">
        <f>МРСК!K130</f>
        <v>16.8</v>
      </c>
      <c r="L127" s="263">
        <f>МРСК!L130</f>
        <v>15.377279090013177</v>
      </c>
      <c r="M127" s="396"/>
      <c r="N127" s="264"/>
      <c r="P127" s="257"/>
      <c r="Q127" s="73" t="s">
        <v>316</v>
      </c>
      <c r="R127" s="258" t="str">
        <f>'МРСК 2'!C130</f>
        <v>16+16</v>
      </c>
      <c r="S127" s="258">
        <f>'МРСК 2'!D130</f>
        <v>0.28</v>
      </c>
      <c r="T127" s="265">
        <f>'МРСК 2'!E130</f>
        <v>4.500720909986823</v>
      </c>
      <c r="U127" s="259">
        <f>'МРСК 2'!F130</f>
        <v>2.797999999999999</v>
      </c>
      <c r="V127" s="260">
        <f>'МРСК 2'!G130</f>
        <v>0</v>
      </c>
      <c r="W127" s="261">
        <f>'МРСК 2'!H130</f>
        <v>1.702720909986824</v>
      </c>
      <c r="X127" s="261">
        <f>'МРСК 2'!I130</f>
        <v>0</v>
      </c>
      <c r="Y127" s="261">
        <f>'МРСК 2'!J130</f>
        <v>16.8</v>
      </c>
      <c r="Z127" s="263">
        <f>'МРСК 2'!K130</f>
        <v>15.097279090013178</v>
      </c>
      <c r="AA127" s="393"/>
      <c r="AB127" s="264"/>
    </row>
    <row r="128" spans="1:28" ht="20.25" thickTop="1">
      <c r="A128" s="266">
        <v>66</v>
      </c>
      <c r="B128" s="82" t="s">
        <v>383</v>
      </c>
      <c r="C128" s="267" t="str">
        <f>МРСК!C131</f>
        <v>20+25+25</v>
      </c>
      <c r="D128" s="267">
        <f>МРСК!D131</f>
        <v>30931</v>
      </c>
      <c r="E128" s="267">
        <f>МРСК!E131</f>
        <v>16493</v>
      </c>
      <c r="F128" s="253">
        <f>МРСК!F131</f>
        <v>35.053470726876675</v>
      </c>
      <c r="G128" s="268">
        <f>МРСК!G131</f>
        <v>0</v>
      </c>
      <c r="H128" s="269">
        <f>МРСК!H131</f>
        <v>0</v>
      </c>
      <c r="I128" s="270">
        <f>МРСК!I131</f>
        <v>35.053470726876675</v>
      </c>
      <c r="J128" s="270">
        <f>МРСК!J131</f>
        <v>0</v>
      </c>
      <c r="K128" s="270">
        <f>МРСК!K131</f>
        <v>47.25</v>
      </c>
      <c r="L128" s="271">
        <f>МРСК!L131</f>
        <v>12.196529273123325</v>
      </c>
      <c r="M128" s="394">
        <f>MIN(L128:L130)</f>
        <v>12.196529273123325</v>
      </c>
      <c r="N128" s="272"/>
      <c r="P128" s="266">
        <v>66</v>
      </c>
      <c r="Q128" s="82" t="s">
        <v>383</v>
      </c>
      <c r="R128" s="267" t="str">
        <f>'МРСК 2'!C131</f>
        <v>20+25+25</v>
      </c>
      <c r="S128" s="267">
        <f>'МРСК 2'!D131</f>
        <v>0.31000000000000005</v>
      </c>
      <c r="T128" s="273">
        <f>'МРСК 2'!E131</f>
        <v>35.36347072687668</v>
      </c>
      <c r="U128" s="268">
        <f>'МРСК 2'!F131</f>
        <v>0</v>
      </c>
      <c r="V128" s="269">
        <f>'МРСК 2'!G131</f>
        <v>0</v>
      </c>
      <c r="W128" s="270">
        <f>'МРСК 2'!H131</f>
        <v>35.36347072687668</v>
      </c>
      <c r="X128" s="270">
        <f>'МРСК 2'!I131</f>
        <v>0</v>
      </c>
      <c r="Y128" s="270">
        <f>'МРСК 2'!J131</f>
        <v>47.25</v>
      </c>
      <c r="Z128" s="271">
        <f>'МРСК 2'!K131</f>
        <v>11.886529273123323</v>
      </c>
      <c r="AA128" s="391">
        <f>MIN(Z128:Z130)</f>
        <v>11.886529273123323</v>
      </c>
      <c r="AB128" s="272"/>
    </row>
    <row r="129" spans="1:28" ht="19.5">
      <c r="A129" s="248"/>
      <c r="B129" s="2" t="s">
        <v>315</v>
      </c>
      <c r="C129" s="249" t="str">
        <f>МРСК!C132</f>
        <v>20+25+25</v>
      </c>
      <c r="D129" s="249">
        <f>МРСК!D132</f>
        <v>9757</v>
      </c>
      <c r="E129" s="249">
        <f>МРСК!E132</f>
        <v>6686</v>
      </c>
      <c r="F129" s="253">
        <f>МРСК!F132</f>
        <v>11.828002578626705</v>
      </c>
      <c r="G129" s="250">
        <f>МРСК!G132</f>
        <v>0</v>
      </c>
      <c r="H129" s="251">
        <f>МРСК!H132</f>
        <v>0</v>
      </c>
      <c r="I129" s="252">
        <f>МРСК!I132</f>
        <v>11.828002578626705</v>
      </c>
      <c r="J129" s="252">
        <f>МРСК!J132</f>
        <v>0</v>
      </c>
      <c r="K129" s="253">
        <f>МРСК!K132</f>
        <v>47.25</v>
      </c>
      <c r="L129" s="254">
        <f>МРСК!L132</f>
        <v>35.42199742137329</v>
      </c>
      <c r="M129" s="395"/>
      <c r="N129" s="255"/>
      <c r="P129" s="248"/>
      <c r="Q129" s="2" t="s">
        <v>315</v>
      </c>
      <c r="R129" s="249" t="str">
        <f>'МРСК 2'!C132</f>
        <v>20+25+25</v>
      </c>
      <c r="S129" s="249">
        <f>'МРСК 2'!D132</f>
        <v>0</v>
      </c>
      <c r="T129" s="256">
        <f>'МРСК 2'!E132</f>
        <v>11.828002578626705</v>
      </c>
      <c r="U129" s="250">
        <f>'МРСК 2'!F132</f>
        <v>0</v>
      </c>
      <c r="V129" s="251">
        <f>'МРСК 2'!G132</f>
        <v>0</v>
      </c>
      <c r="W129" s="252">
        <f>'МРСК 2'!H132</f>
        <v>11.828002578626705</v>
      </c>
      <c r="X129" s="252">
        <f>'МРСК 2'!I132</f>
        <v>0</v>
      </c>
      <c r="Y129" s="252">
        <f>'МРСК 2'!J132</f>
        <v>47.25</v>
      </c>
      <c r="Z129" s="254">
        <f>'МРСК 2'!K132</f>
        <v>35.42199742137329</v>
      </c>
      <c r="AA129" s="392"/>
      <c r="AB129" s="255"/>
    </row>
    <row r="130" spans="1:28" ht="20.25" thickBot="1">
      <c r="A130" s="257"/>
      <c r="B130" s="73" t="s">
        <v>316</v>
      </c>
      <c r="C130" s="258" t="str">
        <f>МРСК!C133</f>
        <v>20+25+25</v>
      </c>
      <c r="D130" s="258">
        <f>МРСК!D133</f>
        <v>21174</v>
      </c>
      <c r="E130" s="258">
        <f>МРСК!E133</f>
        <v>9807</v>
      </c>
      <c r="F130" s="253">
        <f>МРСК!F133</f>
        <v>23.334856438384186</v>
      </c>
      <c r="G130" s="259">
        <f>МРСК!G133</f>
        <v>0</v>
      </c>
      <c r="H130" s="260">
        <f>МРСК!H133</f>
        <v>0</v>
      </c>
      <c r="I130" s="261">
        <f>МРСК!I133</f>
        <v>23.334856438384186</v>
      </c>
      <c r="J130" s="261">
        <f>МРСК!J133</f>
        <v>0</v>
      </c>
      <c r="K130" s="262">
        <f>МРСК!K133</f>
        <v>47.25</v>
      </c>
      <c r="L130" s="263">
        <f>МРСК!L133</f>
        <v>23.915143561615814</v>
      </c>
      <c r="M130" s="396"/>
      <c r="N130" s="264"/>
      <c r="P130" s="257"/>
      <c r="Q130" s="73" t="s">
        <v>316</v>
      </c>
      <c r="R130" s="258" t="str">
        <f>'МРСК 2'!C133</f>
        <v>20+25+25</v>
      </c>
      <c r="S130" s="258">
        <f>'МРСК 2'!D133</f>
        <v>0.31000000000000005</v>
      </c>
      <c r="T130" s="265">
        <f>'МРСК 2'!E133</f>
        <v>23.644856438384185</v>
      </c>
      <c r="U130" s="259">
        <f>'МРСК 2'!F133</f>
        <v>0</v>
      </c>
      <c r="V130" s="260">
        <f>'МРСК 2'!G133</f>
        <v>0</v>
      </c>
      <c r="W130" s="261">
        <f>'МРСК 2'!H133</f>
        <v>23.644856438384185</v>
      </c>
      <c r="X130" s="261">
        <f>'МРСК 2'!I133</f>
        <v>0</v>
      </c>
      <c r="Y130" s="261">
        <f>'МРСК 2'!J133</f>
        <v>47.25</v>
      </c>
      <c r="Z130" s="263">
        <f>'МРСК 2'!K133</f>
        <v>23.605143561615815</v>
      </c>
      <c r="AA130" s="393"/>
      <c r="AB130" s="264"/>
    </row>
    <row r="131" spans="1:28" ht="20.25" thickTop="1">
      <c r="A131" s="266">
        <v>67</v>
      </c>
      <c r="B131" s="82" t="s">
        <v>384</v>
      </c>
      <c r="C131" s="267" t="str">
        <f>МРСК!C134</f>
        <v>16+16</v>
      </c>
      <c r="D131" s="267">
        <f>МРСК!D134</f>
        <v>4735</v>
      </c>
      <c r="E131" s="267">
        <f>МРСК!E134</f>
        <v>1291</v>
      </c>
      <c r="F131" s="253">
        <f>МРСК!F134</f>
        <v>4.907841276977078</v>
      </c>
      <c r="G131" s="268">
        <f>МРСК!G134</f>
        <v>2.23</v>
      </c>
      <c r="H131" s="269">
        <f>МРСК!H134</f>
        <v>80</v>
      </c>
      <c r="I131" s="270">
        <f>МРСК!I134</f>
        <v>2.677841276977078</v>
      </c>
      <c r="J131" s="270">
        <f>МРСК!J134</f>
        <v>0</v>
      </c>
      <c r="K131" s="270">
        <f>МРСК!K134</f>
        <v>16.8</v>
      </c>
      <c r="L131" s="271">
        <f>МРСК!L134</f>
        <v>14.122158723022922</v>
      </c>
      <c r="M131" s="394">
        <f>MIN(L131:L133)</f>
        <v>5.681195598935032</v>
      </c>
      <c r="N131" s="272"/>
      <c r="P131" s="266">
        <v>67</v>
      </c>
      <c r="Q131" s="82" t="s">
        <v>384</v>
      </c>
      <c r="R131" s="267" t="str">
        <f>'МРСК 2'!C134</f>
        <v>16+16</v>
      </c>
      <c r="S131" s="267">
        <f>'МРСК 2'!D134</f>
        <v>0.49</v>
      </c>
      <c r="T131" s="273">
        <f>'МРСК 2'!E134</f>
        <v>5.397841276977078</v>
      </c>
      <c r="U131" s="268">
        <f>'МРСК 2'!F134</f>
        <v>2.23</v>
      </c>
      <c r="V131" s="269">
        <f>'МРСК 2'!G134</f>
        <v>80</v>
      </c>
      <c r="W131" s="270">
        <f>'МРСК 2'!H134</f>
        <v>3.1678412769770783</v>
      </c>
      <c r="X131" s="270">
        <f>'МРСК 2'!I134</f>
        <v>0</v>
      </c>
      <c r="Y131" s="270">
        <f>'МРСК 2'!J134</f>
        <v>16.8</v>
      </c>
      <c r="Z131" s="271">
        <f>'МРСК 2'!K134</f>
        <v>13.632158723022922</v>
      </c>
      <c r="AA131" s="391">
        <f>MIN(Z131:Z133)</f>
        <v>5.191195598935032</v>
      </c>
      <c r="AB131" s="272"/>
    </row>
    <row r="132" spans="1:28" ht="19.5">
      <c r="A132" s="248"/>
      <c r="B132" s="2" t="s">
        <v>315</v>
      </c>
      <c r="C132" s="249" t="str">
        <f>МРСК!C135</f>
        <v>16+8</v>
      </c>
      <c r="D132" s="249">
        <f>МРСК!D135</f>
        <v>-14</v>
      </c>
      <c r="E132" s="249">
        <f>МРСК!E135</f>
        <v>-101</v>
      </c>
      <c r="F132" s="253">
        <f>МРСК!F135</f>
        <v>0.10196568050084302</v>
      </c>
      <c r="G132" s="250">
        <f>МРСК!G135</f>
        <v>0</v>
      </c>
      <c r="H132" s="251">
        <f>МРСК!H135</f>
        <v>0</v>
      </c>
      <c r="I132" s="252">
        <f>МРСК!I135</f>
        <v>0.10196568050084302</v>
      </c>
      <c r="J132" s="252">
        <f>МРСК!J135</f>
        <v>0</v>
      </c>
      <c r="K132" s="253">
        <f>МРСК!K135</f>
        <v>8.4</v>
      </c>
      <c r="L132" s="254">
        <f>МРСК!L135</f>
        <v>8.298034319499157</v>
      </c>
      <c r="M132" s="395"/>
      <c r="N132" s="255"/>
      <c r="P132" s="248"/>
      <c r="Q132" s="2" t="s">
        <v>315</v>
      </c>
      <c r="R132" s="249" t="str">
        <f>'МРСК 2'!C135</f>
        <v>16+8</v>
      </c>
      <c r="S132" s="249">
        <f>'МРСК 2'!D135</f>
        <v>0</v>
      </c>
      <c r="T132" s="256">
        <f>'МРСК 2'!E135</f>
        <v>0.10196568050084302</v>
      </c>
      <c r="U132" s="250">
        <f>'МРСК 2'!F135</f>
        <v>0</v>
      </c>
      <c r="V132" s="251">
        <f>'МРСК 2'!G135</f>
        <v>0</v>
      </c>
      <c r="W132" s="252">
        <f>'МРСК 2'!H135</f>
        <v>0.10196568050084302</v>
      </c>
      <c r="X132" s="252">
        <f>'МРСК 2'!I135</f>
        <v>0</v>
      </c>
      <c r="Y132" s="252">
        <f>'МРСК 2'!J135</f>
        <v>8.4</v>
      </c>
      <c r="Z132" s="254">
        <f>'МРСК 2'!K135</f>
        <v>8.298034319499157</v>
      </c>
      <c r="AA132" s="392"/>
      <c r="AB132" s="255"/>
    </row>
    <row r="133" spans="1:28" ht="20.25" thickBot="1">
      <c r="A133" s="257"/>
      <c r="B133" s="73" t="s">
        <v>316</v>
      </c>
      <c r="C133" s="258" t="str">
        <f>МРСК!C136</f>
        <v>16+8</v>
      </c>
      <c r="D133" s="258">
        <f>МРСК!D136</f>
        <v>4749</v>
      </c>
      <c r="E133" s="258">
        <f>МРСК!E136</f>
        <v>1392</v>
      </c>
      <c r="F133" s="253">
        <f>МРСК!F136</f>
        <v>4.948804401064968</v>
      </c>
      <c r="G133" s="259">
        <f>МРСК!G136</f>
        <v>2.23</v>
      </c>
      <c r="H133" s="260">
        <f>МРСК!H136</f>
        <v>0</v>
      </c>
      <c r="I133" s="261">
        <f>МРСК!I136</f>
        <v>2.718804401064968</v>
      </c>
      <c r="J133" s="261">
        <f>МРСК!J136</f>
        <v>0</v>
      </c>
      <c r="K133" s="262">
        <f>МРСК!K136</f>
        <v>8.4</v>
      </c>
      <c r="L133" s="263">
        <f>МРСК!L136</f>
        <v>5.681195598935032</v>
      </c>
      <c r="M133" s="396"/>
      <c r="N133" s="264"/>
      <c r="P133" s="257"/>
      <c r="Q133" s="73" t="s">
        <v>316</v>
      </c>
      <c r="R133" s="258" t="str">
        <f>'МРСК 2'!C136</f>
        <v>16+8</v>
      </c>
      <c r="S133" s="258">
        <f>'МРСК 2'!D136</f>
        <v>0.49</v>
      </c>
      <c r="T133" s="265">
        <f>'МРСК 2'!E136</f>
        <v>5.438804401064968</v>
      </c>
      <c r="U133" s="259">
        <f>'МРСК 2'!F136</f>
        <v>2.23</v>
      </c>
      <c r="V133" s="260">
        <f>'МРСК 2'!G136</f>
        <v>0</v>
      </c>
      <c r="W133" s="261">
        <f>'МРСК 2'!H136</f>
        <v>3.208804401064968</v>
      </c>
      <c r="X133" s="261">
        <f>'МРСК 2'!I136</f>
        <v>0</v>
      </c>
      <c r="Y133" s="261">
        <f>'МРСК 2'!J136</f>
        <v>8.4</v>
      </c>
      <c r="Z133" s="263">
        <f>'МРСК 2'!K136</f>
        <v>5.191195598935032</v>
      </c>
      <c r="AA133" s="393"/>
      <c r="AB133" s="264"/>
    </row>
    <row r="134" spans="1:28" ht="21" thickBot="1" thickTop="1">
      <c r="A134" s="248">
        <v>68</v>
      </c>
      <c r="B134" s="2" t="s">
        <v>385</v>
      </c>
      <c r="C134" s="251" t="str">
        <f>МРСК!C137</f>
        <v>15+15</v>
      </c>
      <c r="D134" s="251">
        <f>МРСК!D137</f>
        <v>12862</v>
      </c>
      <c r="E134" s="251">
        <f>МРСК!E137</f>
        <v>4982</v>
      </c>
      <c r="F134" s="253">
        <f>МРСК!F137</f>
        <v>13.793163814005835</v>
      </c>
      <c r="G134" s="254">
        <f>МРСК!G137</f>
        <v>0</v>
      </c>
      <c r="H134" s="286">
        <f>МРСК!H137</f>
        <v>0</v>
      </c>
      <c r="I134" s="254">
        <f>МРСК!I137</f>
        <v>13.793163814005835</v>
      </c>
      <c r="J134" s="252">
        <f>МРСК!J137</f>
        <v>0</v>
      </c>
      <c r="K134" s="289">
        <f>МРСК!K137</f>
        <v>15.75</v>
      </c>
      <c r="L134" s="277">
        <f>МРСК!L137</f>
        <v>1.956836185994165</v>
      </c>
      <c r="M134" s="254">
        <f>L134</f>
        <v>1.956836185994165</v>
      </c>
      <c r="N134" s="255"/>
      <c r="P134" s="248">
        <v>68</v>
      </c>
      <c r="Q134" s="2" t="s">
        <v>385</v>
      </c>
      <c r="R134" s="251" t="str">
        <f>'МРСК 2'!C137</f>
        <v>15+15</v>
      </c>
      <c r="S134" s="251">
        <f>'МРСК 2'!D137</f>
        <v>1.59</v>
      </c>
      <c r="T134" s="252">
        <f>'МРСК 2'!E137</f>
        <v>15.383163814005835</v>
      </c>
      <c r="U134" s="254">
        <f>'МРСК 2'!F137</f>
        <v>0</v>
      </c>
      <c r="V134" s="286">
        <f>'МРСК 2'!G137</f>
        <v>0</v>
      </c>
      <c r="W134" s="254">
        <f>'МРСК 2'!H137</f>
        <v>15.383163814005835</v>
      </c>
      <c r="X134" s="252">
        <f>'МРСК 2'!I137</f>
        <v>0</v>
      </c>
      <c r="Y134" s="290">
        <f>'МРСК 2'!J137</f>
        <v>15.75</v>
      </c>
      <c r="Z134" s="254">
        <f>'МРСК 2'!K137</f>
        <v>0.3668361859941651</v>
      </c>
      <c r="AA134" s="254">
        <f>Z134</f>
        <v>0.3668361859941651</v>
      </c>
      <c r="AB134" s="255"/>
    </row>
    <row r="135" spans="1:28" ht="20.25" thickTop="1">
      <c r="A135" s="266">
        <v>69</v>
      </c>
      <c r="B135" s="82" t="s">
        <v>386</v>
      </c>
      <c r="C135" s="267" t="str">
        <f>МРСК!C138</f>
        <v>16+16</v>
      </c>
      <c r="D135" s="267">
        <f>МРСК!D138</f>
        <v>9989</v>
      </c>
      <c r="E135" s="267">
        <f>МРСК!E138</f>
        <v>4296</v>
      </c>
      <c r="F135" s="253">
        <f>МРСК!F138</f>
        <v>10.873625752250259</v>
      </c>
      <c r="G135" s="268">
        <f>МРСК!G138</f>
        <v>3.46</v>
      </c>
      <c r="H135" s="269">
        <f>МРСК!H138</f>
        <v>45</v>
      </c>
      <c r="I135" s="270">
        <f>МРСК!I138</f>
        <v>7.413625752250259</v>
      </c>
      <c r="J135" s="270">
        <f>МРСК!J138</f>
        <v>0</v>
      </c>
      <c r="K135" s="270">
        <f>МРСК!K138</f>
        <v>16.8</v>
      </c>
      <c r="L135" s="271">
        <f>МРСК!L138</f>
        <v>9.386374247749742</v>
      </c>
      <c r="M135" s="394">
        <f>MIN(L135:L137)</f>
        <v>8.929285419988858</v>
      </c>
      <c r="N135" s="272"/>
      <c r="P135" s="266">
        <v>69</v>
      </c>
      <c r="Q135" s="82" t="s">
        <v>386</v>
      </c>
      <c r="R135" s="267" t="str">
        <f>'МРСК 2'!C138</f>
        <v>16+16</v>
      </c>
      <c r="S135" s="267">
        <f>'МРСК 2'!D138</f>
        <v>0.18</v>
      </c>
      <c r="T135" s="273">
        <f>'МРСК 2'!E138</f>
        <v>11.053625752250259</v>
      </c>
      <c r="U135" s="268">
        <f>'МРСК 2'!F138</f>
        <v>3.46</v>
      </c>
      <c r="V135" s="269">
        <f>'МРСК 2'!G138</f>
        <v>45</v>
      </c>
      <c r="W135" s="270">
        <f>'МРСК 2'!H138</f>
        <v>7.593625752250259</v>
      </c>
      <c r="X135" s="270">
        <f>'МРСК 2'!I138</f>
        <v>0</v>
      </c>
      <c r="Y135" s="270">
        <f>'МРСК 2'!J138</f>
        <v>16.8</v>
      </c>
      <c r="Z135" s="271">
        <f>'МРСК 2'!K138</f>
        <v>9.206374247749743</v>
      </c>
      <c r="AA135" s="391">
        <f>MIN(Z135:Z137)</f>
        <v>8.749285419988857</v>
      </c>
      <c r="AB135" s="272"/>
    </row>
    <row r="136" spans="1:28" ht="19.5">
      <c r="A136" s="248"/>
      <c r="B136" s="2" t="s">
        <v>315</v>
      </c>
      <c r="C136" s="249" t="str">
        <f>МРСК!C139</f>
        <v>16+16</v>
      </c>
      <c r="D136" s="249">
        <f>МРСК!D139</f>
        <v>2817</v>
      </c>
      <c r="E136" s="249">
        <f>МРСК!E139</f>
        <v>1054</v>
      </c>
      <c r="F136" s="253">
        <f>МРСК!F139</f>
        <v>3.007724222730535</v>
      </c>
      <c r="G136" s="250">
        <f>МРСК!G139</f>
        <v>3.46</v>
      </c>
      <c r="H136" s="251">
        <f>МРСК!H139</f>
        <v>0</v>
      </c>
      <c r="I136" s="252">
        <f>МРСК!I139</f>
        <v>-0.452275777269465</v>
      </c>
      <c r="J136" s="252">
        <f>МРСК!J139</f>
        <v>0</v>
      </c>
      <c r="K136" s="253">
        <f>МРСК!K139</f>
        <v>16.8</v>
      </c>
      <c r="L136" s="254">
        <f>МРСК!L139</f>
        <v>17.252275777269467</v>
      </c>
      <c r="M136" s="395"/>
      <c r="N136" s="255"/>
      <c r="P136" s="248"/>
      <c r="Q136" s="2" t="s">
        <v>315</v>
      </c>
      <c r="R136" s="249" t="str">
        <f>'МРСК 2'!C139</f>
        <v>16+16</v>
      </c>
      <c r="S136" s="249">
        <f>'МРСК 2'!D139</f>
        <v>0</v>
      </c>
      <c r="T136" s="256">
        <f>'МРСК 2'!E139</f>
        <v>3.007724222730535</v>
      </c>
      <c r="U136" s="250">
        <f>'МРСК 2'!F139</f>
        <v>3.46</v>
      </c>
      <c r="V136" s="251">
        <f>'МРСК 2'!G139</f>
        <v>0</v>
      </c>
      <c r="W136" s="252">
        <f>'МРСК 2'!H139</f>
        <v>-0.452275777269465</v>
      </c>
      <c r="X136" s="252">
        <f>'МРСК 2'!I139</f>
        <v>0</v>
      </c>
      <c r="Y136" s="252">
        <f>'МРСК 2'!J139</f>
        <v>16.8</v>
      </c>
      <c r="Z136" s="254">
        <f>'МРСК 2'!K139</f>
        <v>17.252275777269467</v>
      </c>
      <c r="AA136" s="392"/>
      <c r="AB136" s="255"/>
    </row>
    <row r="137" spans="1:28" ht="20.25" thickBot="1">
      <c r="A137" s="257"/>
      <c r="B137" s="73" t="s">
        <v>316</v>
      </c>
      <c r="C137" s="258" t="str">
        <f>МРСК!C140</f>
        <v>16+16</v>
      </c>
      <c r="D137" s="258">
        <f>МРСК!D140</f>
        <v>7172</v>
      </c>
      <c r="E137" s="258">
        <f>МРСК!E140</f>
        <v>3242</v>
      </c>
      <c r="F137" s="253">
        <f>МРСК!F140</f>
        <v>7.8707145800111435</v>
      </c>
      <c r="G137" s="259">
        <f>МРСК!G140</f>
        <v>0</v>
      </c>
      <c r="H137" s="260">
        <f>МРСК!H140</f>
        <v>0</v>
      </c>
      <c r="I137" s="261">
        <f>МРСК!I140</f>
        <v>7.8707145800111435</v>
      </c>
      <c r="J137" s="261">
        <f>МРСК!J140</f>
        <v>0</v>
      </c>
      <c r="K137" s="262">
        <f>МРСК!K140</f>
        <v>16.8</v>
      </c>
      <c r="L137" s="263">
        <f>МРСК!L140</f>
        <v>8.929285419988858</v>
      </c>
      <c r="M137" s="396"/>
      <c r="N137" s="264"/>
      <c r="P137" s="257"/>
      <c r="Q137" s="73" t="s">
        <v>316</v>
      </c>
      <c r="R137" s="258" t="str">
        <f>'МРСК 2'!C140</f>
        <v>16+16</v>
      </c>
      <c r="S137" s="258">
        <f>'МРСК 2'!D140</f>
        <v>0.18</v>
      </c>
      <c r="T137" s="265">
        <f>'МРСК 2'!E140</f>
        <v>8.050714580011144</v>
      </c>
      <c r="U137" s="259">
        <f>'МРСК 2'!F140</f>
        <v>0</v>
      </c>
      <c r="V137" s="260">
        <f>'МРСК 2'!G140</f>
        <v>0</v>
      </c>
      <c r="W137" s="261">
        <f>'МРСК 2'!H140</f>
        <v>8.050714580011144</v>
      </c>
      <c r="X137" s="261">
        <f>'МРСК 2'!I140</f>
        <v>0</v>
      </c>
      <c r="Y137" s="261">
        <f>'МРСК 2'!J140</f>
        <v>16.8</v>
      </c>
      <c r="Z137" s="263">
        <f>'МРСК 2'!K140</f>
        <v>8.749285419988857</v>
      </c>
      <c r="AA137" s="393"/>
      <c r="AB137" s="264"/>
    </row>
    <row r="138" spans="1:28" ht="20.25" thickTop="1">
      <c r="A138" s="248">
        <v>70</v>
      </c>
      <c r="B138" s="2" t="s">
        <v>387</v>
      </c>
      <c r="C138" s="251" t="str">
        <f>МРСК!C141</f>
        <v>32+32</v>
      </c>
      <c r="D138" s="251">
        <f>МРСК!D141</f>
        <v>10973</v>
      </c>
      <c r="E138" s="251">
        <f>МРСК!E141</f>
        <v>4879</v>
      </c>
      <c r="F138" s="253">
        <f>МРСК!F141</f>
        <v>12.008803853839897</v>
      </c>
      <c r="G138" s="254">
        <f>МРСК!G141</f>
        <v>5.56</v>
      </c>
      <c r="H138" s="286">
        <f>МРСК!H141</f>
        <v>45</v>
      </c>
      <c r="I138" s="254">
        <f>МРСК!I141</f>
        <v>6.448803853839897</v>
      </c>
      <c r="J138" s="252">
        <f>МРСК!J141</f>
        <v>0</v>
      </c>
      <c r="K138" s="289">
        <f>МРСК!K141</f>
        <v>33.6</v>
      </c>
      <c r="L138" s="277">
        <f>МРСК!L141</f>
        <v>27.151196146160103</v>
      </c>
      <c r="M138" s="254">
        <f>MIN(L138:L138)</f>
        <v>27.151196146160103</v>
      </c>
      <c r="N138" s="255"/>
      <c r="P138" s="248">
        <v>70</v>
      </c>
      <c r="Q138" s="2" t="s">
        <v>387</v>
      </c>
      <c r="R138" s="251" t="str">
        <f>'МРСК 2'!C141</f>
        <v>32+32</v>
      </c>
      <c r="S138" s="251">
        <f>'МРСК 2'!D141</f>
        <v>5</v>
      </c>
      <c r="T138" s="252">
        <f>'МРСК 2'!E141</f>
        <v>17.008803853839897</v>
      </c>
      <c r="U138" s="254">
        <f>'МРСК 2'!F141</f>
        <v>5.56</v>
      </c>
      <c r="V138" s="286">
        <f>'МРСК 2'!G141</f>
        <v>45</v>
      </c>
      <c r="W138" s="254">
        <f>'МРСК 2'!H141</f>
        <v>11.448803853839898</v>
      </c>
      <c r="X138" s="252">
        <f>'МРСК 2'!I141</f>
        <v>0</v>
      </c>
      <c r="Y138" s="290">
        <f>'МРСК 2'!J141</f>
        <v>33.6</v>
      </c>
      <c r="Z138" s="254">
        <f>'МРСК 2'!K141</f>
        <v>22.151196146160103</v>
      </c>
      <c r="AA138" s="254">
        <f>MIN(Z138:Z138)</f>
        <v>22.151196146160103</v>
      </c>
      <c r="AB138" s="255"/>
    </row>
    <row r="139" spans="1:28" ht="20.25" thickBot="1">
      <c r="A139" s="248">
        <v>71</v>
      </c>
      <c r="B139" s="6" t="s">
        <v>388</v>
      </c>
      <c r="C139" s="251" t="str">
        <f>МРСК!C142</f>
        <v>40+40</v>
      </c>
      <c r="D139" s="251">
        <f>МРСК!D142</f>
        <v>27342</v>
      </c>
      <c r="E139" s="251">
        <f>МРСК!E142</f>
        <v>4998</v>
      </c>
      <c r="F139" s="253">
        <f>МРСК!F142</f>
        <v>27.795052941126052</v>
      </c>
      <c r="G139" s="254">
        <f>МРСК!G142</f>
        <v>0</v>
      </c>
      <c r="H139" s="286">
        <f>МРСК!H142</f>
        <v>0</v>
      </c>
      <c r="I139" s="254">
        <f>МРСК!I142</f>
        <v>27.795052941126052</v>
      </c>
      <c r="J139" s="252">
        <f>МРСК!J142</f>
        <v>0</v>
      </c>
      <c r="K139" s="289">
        <f>МРСК!K142</f>
        <v>42</v>
      </c>
      <c r="L139" s="277">
        <f>МРСК!L142</f>
        <v>14.204947058873948</v>
      </c>
      <c r="M139" s="254">
        <f>MIN(L139:L139)</f>
        <v>14.204947058873948</v>
      </c>
      <c r="N139" s="255"/>
      <c r="P139" s="248">
        <v>71</v>
      </c>
      <c r="Q139" s="6" t="s">
        <v>388</v>
      </c>
      <c r="R139" s="251" t="str">
        <f>'МРСК 2'!C142</f>
        <v>40+40</v>
      </c>
      <c r="S139" s="251">
        <f>'МРСК 2'!D142</f>
        <v>0.8200000000000001</v>
      </c>
      <c r="T139" s="252">
        <f>'МРСК 2'!E142</f>
        <v>28.615052941126052</v>
      </c>
      <c r="U139" s="254">
        <f>'МРСК 2'!F142</f>
        <v>0</v>
      </c>
      <c r="V139" s="286">
        <f>'МРСК 2'!G142</f>
        <v>0</v>
      </c>
      <c r="W139" s="254">
        <f>'МРСК 2'!H142</f>
        <v>28.615052941126052</v>
      </c>
      <c r="X139" s="252">
        <f>'МРСК 2'!I142</f>
        <v>0</v>
      </c>
      <c r="Y139" s="290">
        <f>'МРСК 2'!J142</f>
        <v>42</v>
      </c>
      <c r="Z139" s="254">
        <f>'МРСК 2'!K142</f>
        <v>13.384947058873948</v>
      </c>
      <c r="AA139" s="254">
        <f>MIN(Z139:Z139)</f>
        <v>13.384947058873948</v>
      </c>
      <c r="AB139" s="255"/>
    </row>
    <row r="140" spans="1:28" ht="20.25" thickTop="1">
      <c r="A140" s="266">
        <v>72</v>
      </c>
      <c r="B140" s="82" t="s">
        <v>389</v>
      </c>
      <c r="C140" s="267" t="str">
        <f>МРСК!C143</f>
        <v>25+25</v>
      </c>
      <c r="D140" s="267">
        <f>МРСК!D143</f>
        <v>19256</v>
      </c>
      <c r="E140" s="267">
        <f>МРСК!E143</f>
        <v>7574</v>
      </c>
      <c r="F140" s="253">
        <f>МРСК!F143</f>
        <v>20.69200357626105</v>
      </c>
      <c r="G140" s="268">
        <f>МРСК!G143</f>
        <v>20.54</v>
      </c>
      <c r="H140" s="269">
        <f>МРСК!H143</f>
        <v>80</v>
      </c>
      <c r="I140" s="270">
        <f>МРСК!I143</f>
        <v>0.15200357626105188</v>
      </c>
      <c r="J140" s="270">
        <f>МРСК!J143</f>
        <v>0</v>
      </c>
      <c r="K140" s="270">
        <f>МРСК!K143</f>
        <v>26.25</v>
      </c>
      <c r="L140" s="271">
        <f>МРСК!L143</f>
        <v>26.097996423738948</v>
      </c>
      <c r="M140" s="394">
        <f>MIN(L140:L142)</f>
        <v>24.681081901436535</v>
      </c>
      <c r="N140" s="272"/>
      <c r="P140" s="266">
        <v>72</v>
      </c>
      <c r="Q140" s="82" t="s">
        <v>389</v>
      </c>
      <c r="R140" s="267" t="str">
        <f>'МРСК 2'!C143</f>
        <v>25+25</v>
      </c>
      <c r="S140" s="267">
        <f>'МРСК 2'!D143</f>
        <v>0.26</v>
      </c>
      <c r="T140" s="273">
        <f>'МРСК 2'!E143</f>
        <v>20.952003576261053</v>
      </c>
      <c r="U140" s="268">
        <f>'МРСК 2'!F143</f>
        <v>20.54</v>
      </c>
      <c r="V140" s="269">
        <f>'МРСК 2'!G143</f>
        <v>80</v>
      </c>
      <c r="W140" s="270">
        <f>'МРСК 2'!H143</f>
        <v>0.41200357626105344</v>
      </c>
      <c r="X140" s="270">
        <f>'МРСК 2'!I143</f>
        <v>0</v>
      </c>
      <c r="Y140" s="270">
        <f>'МРСК 2'!J143</f>
        <v>26.25</v>
      </c>
      <c r="Z140" s="271">
        <f>'МРСК 2'!K143</f>
        <v>25.837996423738947</v>
      </c>
      <c r="AA140" s="391">
        <f>MIN(Z140:Z142)</f>
        <v>24.421081901436533</v>
      </c>
      <c r="AB140" s="272"/>
    </row>
    <row r="141" spans="1:28" ht="19.5">
      <c r="A141" s="248"/>
      <c r="B141" s="2" t="s">
        <v>315</v>
      </c>
      <c r="C141" s="249" t="str">
        <f>МРСК!C144</f>
        <v>25+25</v>
      </c>
      <c r="D141" s="249">
        <f>МРСК!D144</f>
        <v>17936</v>
      </c>
      <c r="E141" s="249">
        <f>МРСК!E144</f>
        <v>6726</v>
      </c>
      <c r="F141" s="253">
        <f>МРСК!F144</f>
        <v>19.155656397001906</v>
      </c>
      <c r="G141" s="250">
        <f>МРСК!G144</f>
        <v>19.676</v>
      </c>
      <c r="H141" s="251">
        <f>МРСК!H144</f>
        <v>0</v>
      </c>
      <c r="I141" s="252">
        <f>МРСК!I144</f>
        <v>-0.5203436029980928</v>
      </c>
      <c r="J141" s="252">
        <f>МРСК!J144</f>
        <v>0</v>
      </c>
      <c r="K141" s="253">
        <f>МРСК!K144</f>
        <v>26.25</v>
      </c>
      <c r="L141" s="254">
        <f>МРСК!L144</f>
        <v>26.770343602998093</v>
      </c>
      <c r="M141" s="395"/>
      <c r="N141" s="255"/>
      <c r="P141" s="248"/>
      <c r="Q141" s="2" t="s">
        <v>315</v>
      </c>
      <c r="R141" s="249" t="str">
        <f>'МРСК 2'!C144</f>
        <v>25+25</v>
      </c>
      <c r="S141" s="249">
        <f>'МРСК 2'!D144</f>
        <v>0</v>
      </c>
      <c r="T141" s="256">
        <f>'МРСК 2'!E144</f>
        <v>19.155656397001906</v>
      </c>
      <c r="U141" s="250">
        <f>'МРСК 2'!F144</f>
        <v>19.676</v>
      </c>
      <c r="V141" s="251">
        <f>'МРСК 2'!G144</f>
        <v>0</v>
      </c>
      <c r="W141" s="252">
        <f>'МРСК 2'!H144</f>
        <v>-0.5203436029980928</v>
      </c>
      <c r="X141" s="252">
        <f>'МРСК 2'!I144</f>
        <v>0</v>
      </c>
      <c r="Y141" s="252">
        <f>'МРСК 2'!J144</f>
        <v>26.25</v>
      </c>
      <c r="Z141" s="254">
        <f>'МРСК 2'!K144</f>
        <v>26.770343602998093</v>
      </c>
      <c r="AA141" s="392"/>
      <c r="AB141" s="255"/>
    </row>
    <row r="142" spans="1:28" ht="20.25" thickBot="1">
      <c r="A142" s="257"/>
      <c r="B142" s="73" t="s">
        <v>316</v>
      </c>
      <c r="C142" s="258" t="str">
        <f>МРСК!C145</f>
        <v>25+25</v>
      </c>
      <c r="D142" s="258">
        <f>МРСК!D145</f>
        <v>1320</v>
      </c>
      <c r="E142" s="258">
        <f>МРСК!E145</f>
        <v>848</v>
      </c>
      <c r="F142" s="253">
        <f>МРСК!F145</f>
        <v>1.5689180985634654</v>
      </c>
      <c r="G142" s="259">
        <f>МРСК!G145</f>
        <v>0</v>
      </c>
      <c r="H142" s="260">
        <f>МРСК!H145</f>
        <v>0</v>
      </c>
      <c r="I142" s="261">
        <f>МРСК!I145</f>
        <v>1.5689180985634654</v>
      </c>
      <c r="J142" s="261">
        <f>МРСК!J145</f>
        <v>0</v>
      </c>
      <c r="K142" s="262">
        <f>МРСК!K145</f>
        <v>26.25</v>
      </c>
      <c r="L142" s="263">
        <f>МРСК!L145</f>
        <v>24.681081901436535</v>
      </c>
      <c r="M142" s="396"/>
      <c r="N142" s="264"/>
      <c r="P142" s="257"/>
      <c r="Q142" s="73" t="s">
        <v>316</v>
      </c>
      <c r="R142" s="258" t="str">
        <f>'МРСК 2'!C145</f>
        <v>25+25</v>
      </c>
      <c r="S142" s="258">
        <f>'МРСК 2'!D145</f>
        <v>0.26</v>
      </c>
      <c r="T142" s="265">
        <f>'МРСК 2'!E145</f>
        <v>1.8289180985634654</v>
      </c>
      <c r="U142" s="259">
        <f>'МРСК 2'!F145</f>
        <v>0</v>
      </c>
      <c r="V142" s="260">
        <f>'МРСК 2'!G145</f>
        <v>0</v>
      </c>
      <c r="W142" s="261">
        <f>'МРСК 2'!H145</f>
        <v>1.8289180985634654</v>
      </c>
      <c r="X142" s="261">
        <f>'МРСК 2'!I145</f>
        <v>0</v>
      </c>
      <c r="Y142" s="261">
        <f>'МРСК 2'!J145</f>
        <v>26.25</v>
      </c>
      <c r="Z142" s="263">
        <f>'МРСК 2'!K145</f>
        <v>24.421081901436533</v>
      </c>
      <c r="AA142" s="393"/>
      <c r="AB142" s="264"/>
    </row>
    <row r="143" spans="1:28" ht="21" thickBot="1" thickTop="1">
      <c r="A143" s="266">
        <v>73</v>
      </c>
      <c r="B143" s="82" t="s">
        <v>390</v>
      </c>
      <c r="C143" s="267" t="str">
        <f>МРСК!C146</f>
        <v>16+16</v>
      </c>
      <c r="D143" s="267">
        <f>МРСК!D146</f>
        <v>15254</v>
      </c>
      <c r="E143" s="267">
        <f>МРСК!E146</f>
        <v>6791</v>
      </c>
      <c r="F143" s="253">
        <f>МРСК!F146</f>
        <v>16.697370960723127</v>
      </c>
      <c r="G143" s="268">
        <f>МРСК!G146</f>
        <v>5.969</v>
      </c>
      <c r="H143" s="269">
        <f>МРСК!H146</f>
        <v>120</v>
      </c>
      <c r="I143" s="270">
        <f>МРСК!I146</f>
        <v>10.728370960723126</v>
      </c>
      <c r="J143" s="270">
        <f>МРСК!J146</f>
        <v>0</v>
      </c>
      <c r="K143" s="270">
        <f>МРСК!K146</f>
        <v>16.8</v>
      </c>
      <c r="L143" s="271">
        <f>МРСК!L146</f>
        <v>6.071629039276875</v>
      </c>
      <c r="M143" s="394">
        <f>MIN(L143:L145)</f>
        <v>6.071629039276875</v>
      </c>
      <c r="N143" s="272"/>
      <c r="P143" s="266">
        <v>73</v>
      </c>
      <c r="Q143" s="82" t="s">
        <v>390</v>
      </c>
      <c r="R143" s="267" t="str">
        <f>'МРСК 2'!C146</f>
        <v>16+16</v>
      </c>
      <c r="S143" s="267">
        <f>'МРСК 2'!D146</f>
        <v>0.56</v>
      </c>
      <c r="T143" s="273">
        <f>'МРСК 2'!E146</f>
        <v>17.257370960723126</v>
      </c>
      <c r="U143" s="268">
        <f>'МРСК 2'!F146</f>
        <v>5.969</v>
      </c>
      <c r="V143" s="269">
        <f>'МРСК 2'!G146</f>
        <v>120</v>
      </c>
      <c r="W143" s="270">
        <f>'МРСК 2'!H146</f>
        <v>11.288370960723125</v>
      </c>
      <c r="X143" s="270">
        <f>'МРСК 2'!I146</f>
        <v>0</v>
      </c>
      <c r="Y143" s="270">
        <f>'МРСК 2'!J146</f>
        <v>16.8</v>
      </c>
      <c r="Z143" s="271">
        <f>'МРСК 2'!K146</f>
        <v>5.511629039276876</v>
      </c>
      <c r="AA143" s="391">
        <f>MIN(Z143:Z145)</f>
        <v>5.511629039276876</v>
      </c>
      <c r="AB143" s="272"/>
    </row>
    <row r="144" spans="1:28" ht="21" thickBot="1" thickTop="1">
      <c r="A144" s="248"/>
      <c r="B144" s="2" t="s">
        <v>315</v>
      </c>
      <c r="C144" s="249" t="str">
        <f>МРСК!C147</f>
        <v>16+16</v>
      </c>
      <c r="D144" s="249">
        <f>МРСК!D147</f>
        <v>7509</v>
      </c>
      <c r="E144" s="249">
        <f>МРСК!E147</f>
        <v>3847</v>
      </c>
      <c r="F144" s="253">
        <f>МРСК!F147</f>
        <v>8.43709013819338</v>
      </c>
      <c r="G144" s="250">
        <f>МРСК!G147</f>
        <v>5.969</v>
      </c>
      <c r="H144" s="251">
        <f>МРСК!H147</f>
        <v>0</v>
      </c>
      <c r="I144" s="252">
        <f>МРСК!I147</f>
        <v>2.4680901381933795</v>
      </c>
      <c r="J144" s="252">
        <f>МРСК!J147</f>
        <v>0</v>
      </c>
      <c r="K144" s="253">
        <f>МРСК!K147</f>
        <v>16.8</v>
      </c>
      <c r="L144" s="254">
        <f>МРСК!L147</f>
        <v>14.331909861806622</v>
      </c>
      <c r="M144" s="395"/>
      <c r="N144" s="255"/>
      <c r="P144" s="248"/>
      <c r="Q144" s="2" t="s">
        <v>315</v>
      </c>
      <c r="R144" s="267" t="str">
        <f>'МРСК 2'!C147</f>
        <v>16+16</v>
      </c>
      <c r="S144" s="249">
        <f>'МРСК 2'!D147</f>
        <v>0</v>
      </c>
      <c r="T144" s="256">
        <f>'МРСК 2'!E147</f>
        <v>8.43709013819338</v>
      </c>
      <c r="U144" s="250">
        <f>'МРСК 2'!F147</f>
        <v>5.969</v>
      </c>
      <c r="V144" s="251">
        <f>'МРСК 2'!G147</f>
        <v>0</v>
      </c>
      <c r="W144" s="252">
        <f>'МРСК 2'!H147</f>
        <v>2.4680901381933795</v>
      </c>
      <c r="X144" s="252">
        <f>'МРСК 2'!I147</f>
        <v>0</v>
      </c>
      <c r="Y144" s="252">
        <f>'МРСК 2'!J147</f>
        <v>16.8</v>
      </c>
      <c r="Z144" s="254">
        <f>'МРСК 2'!K147</f>
        <v>14.331909861806622</v>
      </c>
      <c r="AA144" s="392"/>
      <c r="AB144" s="255"/>
    </row>
    <row r="145" spans="1:28" ht="21" thickBot="1" thickTop="1">
      <c r="A145" s="257"/>
      <c r="B145" s="73" t="s">
        <v>316</v>
      </c>
      <c r="C145" s="258" t="str">
        <f>МРСК!C148</f>
        <v>16+16</v>
      </c>
      <c r="D145" s="258">
        <f>МРСК!D148</f>
        <v>7745</v>
      </c>
      <c r="E145" s="258">
        <f>МРСК!E148</f>
        <v>2944</v>
      </c>
      <c r="F145" s="253">
        <f>МРСК!F148</f>
        <v>8.285659961644576</v>
      </c>
      <c r="G145" s="259">
        <f>МРСК!G148</f>
        <v>0</v>
      </c>
      <c r="H145" s="260">
        <f>МРСК!H148</f>
        <v>0</v>
      </c>
      <c r="I145" s="261">
        <f>МРСК!I148</f>
        <v>8.285659961644576</v>
      </c>
      <c r="J145" s="261">
        <f>МРСК!J148</f>
        <v>0</v>
      </c>
      <c r="K145" s="262">
        <f>МРСК!K148</f>
        <v>16.8</v>
      </c>
      <c r="L145" s="263">
        <f>МРСК!L148</f>
        <v>8.514340038355424</v>
      </c>
      <c r="M145" s="396"/>
      <c r="N145" s="264"/>
      <c r="P145" s="257"/>
      <c r="Q145" s="73" t="s">
        <v>316</v>
      </c>
      <c r="R145" s="267" t="str">
        <f>'МРСК 2'!C148</f>
        <v>16+16</v>
      </c>
      <c r="S145" s="258">
        <f>'МРСК 2'!D148</f>
        <v>0.56</v>
      </c>
      <c r="T145" s="265">
        <f>'МРСК 2'!E148</f>
        <v>8.845659961644577</v>
      </c>
      <c r="U145" s="259">
        <f>'МРСК 2'!F148</f>
        <v>0</v>
      </c>
      <c r="V145" s="260">
        <f>'МРСК 2'!G148</f>
        <v>0</v>
      </c>
      <c r="W145" s="261">
        <f>'МРСК 2'!H148</f>
        <v>8.845659961644577</v>
      </c>
      <c r="X145" s="261">
        <f>'МРСК 2'!I148</f>
        <v>0</v>
      </c>
      <c r="Y145" s="261">
        <f>'МРСК 2'!J148</f>
        <v>16.8</v>
      </c>
      <c r="Z145" s="263">
        <f>'МРСК 2'!K148</f>
        <v>7.954340038355424</v>
      </c>
      <c r="AA145" s="393"/>
      <c r="AB145" s="264"/>
    </row>
    <row r="146" spans="1:28" ht="20.25" thickTop="1">
      <c r="A146" s="266">
        <v>74</v>
      </c>
      <c r="B146" s="82" t="s">
        <v>391</v>
      </c>
      <c r="C146" s="267" t="str">
        <f>МРСК!C149</f>
        <v>40+40</v>
      </c>
      <c r="D146" s="267">
        <f>МРСК!D149</f>
        <v>26611</v>
      </c>
      <c r="E146" s="267">
        <f>МРСК!E149</f>
        <v>13133</v>
      </c>
      <c r="F146" s="253">
        <f>МРСК!F149</f>
        <v>29.675259223804602</v>
      </c>
      <c r="G146" s="268">
        <f>МРСК!G149</f>
        <v>16.65</v>
      </c>
      <c r="H146" s="269">
        <f>МРСК!H149</f>
        <v>120</v>
      </c>
      <c r="I146" s="270">
        <f>МРСК!I149</f>
        <v>13.025259223804603</v>
      </c>
      <c r="J146" s="270">
        <f>МРСК!J149</f>
        <v>0</v>
      </c>
      <c r="K146" s="270">
        <f>МРСК!K149</f>
        <v>42</v>
      </c>
      <c r="L146" s="271">
        <f>МРСК!L149</f>
        <v>28.974740776195397</v>
      </c>
      <c r="M146" s="394">
        <f>MIN(L146:L148)</f>
        <v>28.974740776195397</v>
      </c>
      <c r="N146" s="272"/>
      <c r="P146" s="266">
        <v>74</v>
      </c>
      <c r="Q146" s="82" t="s">
        <v>391</v>
      </c>
      <c r="R146" s="267" t="str">
        <f>'МРСК 2'!C149</f>
        <v>40+40</v>
      </c>
      <c r="S146" s="267">
        <f>'МРСК 2'!D149</f>
        <v>1.1099999999999999</v>
      </c>
      <c r="T146" s="273">
        <f>'МРСК 2'!E149</f>
        <v>30.7852592238046</v>
      </c>
      <c r="U146" s="268">
        <f>'МРСК 2'!F149</f>
        <v>16.65</v>
      </c>
      <c r="V146" s="269">
        <f>'МРСК 2'!G149</f>
        <v>120</v>
      </c>
      <c r="W146" s="270">
        <f>'МРСК 2'!H149</f>
        <v>14.135259223804603</v>
      </c>
      <c r="X146" s="270">
        <f>'МРСК 2'!I149</f>
        <v>0</v>
      </c>
      <c r="Y146" s="270">
        <f>'МРСК 2'!J149</f>
        <v>42</v>
      </c>
      <c r="Z146" s="271">
        <f>'МРСК 2'!K149</f>
        <v>27.864740776195397</v>
      </c>
      <c r="AA146" s="391">
        <f>MIN(Z146:Z148)</f>
        <v>27.864740776195397</v>
      </c>
      <c r="AB146" s="272"/>
    </row>
    <row r="147" spans="1:28" ht="19.5">
      <c r="A147" s="248"/>
      <c r="B147" s="2" t="s">
        <v>315</v>
      </c>
      <c r="C147" s="249" t="str">
        <f>МРСК!C150</f>
        <v>40+40</v>
      </c>
      <c r="D147" s="249">
        <f>МРСК!D150</f>
        <v>15078</v>
      </c>
      <c r="E147" s="249">
        <f>МРСК!E150</f>
        <v>8022</v>
      </c>
      <c r="F147" s="253">
        <f>МРСК!F150</f>
        <v>17.079185226467917</v>
      </c>
      <c r="G147" s="250">
        <f>МРСК!G150</f>
        <v>11.682</v>
      </c>
      <c r="H147" s="251">
        <f>МРСК!H150</f>
        <v>0</v>
      </c>
      <c r="I147" s="252">
        <f>МРСК!I150</f>
        <v>5.397185226467917</v>
      </c>
      <c r="J147" s="252">
        <f>МРСК!J150</f>
        <v>0</v>
      </c>
      <c r="K147" s="253">
        <f>МРСК!K150</f>
        <v>42</v>
      </c>
      <c r="L147" s="254">
        <f>МРСК!L150</f>
        <v>36.60281477353208</v>
      </c>
      <c r="M147" s="395"/>
      <c r="N147" s="255"/>
      <c r="P147" s="248"/>
      <c r="Q147" s="2" t="s">
        <v>315</v>
      </c>
      <c r="R147" s="249" t="str">
        <f>'МРСК 2'!C150</f>
        <v>40+40</v>
      </c>
      <c r="S147" s="249">
        <f>'МРСК 2'!D150</f>
        <v>0</v>
      </c>
      <c r="T147" s="256">
        <f>'МРСК 2'!E150</f>
        <v>17.079185226467917</v>
      </c>
      <c r="U147" s="250">
        <f>'МРСК 2'!F150</f>
        <v>11.682</v>
      </c>
      <c r="V147" s="251">
        <f>'МРСК 2'!G150</f>
        <v>0</v>
      </c>
      <c r="W147" s="252">
        <f>'МРСК 2'!H150</f>
        <v>5.397185226467917</v>
      </c>
      <c r="X147" s="252">
        <f>'МРСК 2'!I150</f>
        <v>0</v>
      </c>
      <c r="Y147" s="252">
        <f>'МРСК 2'!J150</f>
        <v>42</v>
      </c>
      <c r="Z147" s="254">
        <f>'МРСК 2'!K150</f>
        <v>36.60281477353208</v>
      </c>
      <c r="AA147" s="392"/>
      <c r="AB147" s="255"/>
    </row>
    <row r="148" spans="1:28" ht="20.25" thickBot="1">
      <c r="A148" s="257"/>
      <c r="B148" s="73" t="s">
        <v>316</v>
      </c>
      <c r="C148" s="258" t="str">
        <f>МРСК!C151</f>
        <v>40+40</v>
      </c>
      <c r="D148" s="258">
        <f>МРСК!D151</f>
        <v>11533</v>
      </c>
      <c r="E148" s="258">
        <f>МРСК!E151</f>
        <v>5111</v>
      </c>
      <c r="F148" s="253">
        <f>МРСК!F151</f>
        <v>12.614769518306707</v>
      </c>
      <c r="G148" s="259">
        <f>МРСК!G151</f>
        <v>4.967999999999998</v>
      </c>
      <c r="H148" s="260">
        <f>МРСК!H151</f>
        <v>0</v>
      </c>
      <c r="I148" s="261">
        <f>МРСК!I151</f>
        <v>7.646769518306709</v>
      </c>
      <c r="J148" s="261">
        <f>МРСК!J151</f>
        <v>0</v>
      </c>
      <c r="K148" s="262">
        <f>МРСК!K151</f>
        <v>42</v>
      </c>
      <c r="L148" s="263">
        <f>МРСК!L151</f>
        <v>34.35323048169329</v>
      </c>
      <c r="M148" s="396"/>
      <c r="N148" s="264"/>
      <c r="P148" s="257"/>
      <c r="Q148" s="73" t="s">
        <v>316</v>
      </c>
      <c r="R148" s="258" t="str">
        <f>'МРСК 2'!C151</f>
        <v>40+40</v>
      </c>
      <c r="S148" s="258">
        <f>'МРСК 2'!D151</f>
        <v>1.1099999999999999</v>
      </c>
      <c r="T148" s="265">
        <f>'МРСК 2'!E151</f>
        <v>13.724769518306706</v>
      </c>
      <c r="U148" s="259">
        <f>'МРСК 2'!F151</f>
        <v>4.967999999999998</v>
      </c>
      <c r="V148" s="260">
        <f>'МРСК 2'!G151</f>
        <v>0</v>
      </c>
      <c r="W148" s="261">
        <f>'МРСК 2'!H151</f>
        <v>8.756769518306708</v>
      </c>
      <c r="X148" s="261">
        <f>'МРСК 2'!I151</f>
        <v>0</v>
      </c>
      <c r="Y148" s="261">
        <f>'МРСК 2'!J151</f>
        <v>42</v>
      </c>
      <c r="Z148" s="263">
        <f>'МРСК 2'!K151</f>
        <v>33.24323048169329</v>
      </c>
      <c r="AA148" s="393"/>
      <c r="AB148" s="264"/>
    </row>
    <row r="149" spans="1:28" ht="21" thickBot="1" thickTop="1">
      <c r="A149" s="248">
        <v>75</v>
      </c>
      <c r="B149" s="6" t="s">
        <v>392</v>
      </c>
      <c r="C149" s="251" t="str">
        <f>МРСК!C152</f>
        <v>3,2+10</v>
      </c>
      <c r="D149" s="251">
        <f>МРСК!D152</f>
        <v>3265</v>
      </c>
      <c r="E149" s="251">
        <f>МРСК!E152</f>
        <v>1144</v>
      </c>
      <c r="F149" s="253">
        <f>МРСК!F152</f>
        <v>3.459618620599675</v>
      </c>
      <c r="G149" s="254">
        <f>МРСК!G152</f>
        <v>0</v>
      </c>
      <c r="H149" s="286">
        <f>МРСК!H152</f>
        <v>0</v>
      </c>
      <c r="I149" s="254">
        <f>МРСК!I152</f>
        <v>3.459618620599675</v>
      </c>
      <c r="J149" s="252">
        <f>МРСК!J152</f>
        <v>0</v>
      </c>
      <c r="K149" s="289">
        <f>МРСК!K152</f>
        <v>3.3600000000000003</v>
      </c>
      <c r="L149" s="277">
        <f>МРСК!L152</f>
        <v>-0.09961862059967475</v>
      </c>
      <c r="M149" s="254">
        <f>L149</f>
        <v>-0.09961862059967475</v>
      </c>
      <c r="N149" s="255"/>
      <c r="P149" s="248">
        <v>75</v>
      </c>
      <c r="Q149" s="6" t="s">
        <v>392</v>
      </c>
      <c r="R149" s="251" t="str">
        <f>'МРСК 2'!C152</f>
        <v>3,2+10</v>
      </c>
      <c r="S149" s="251">
        <f>'МРСК 2'!D152</f>
        <v>0.14</v>
      </c>
      <c r="T149" s="252">
        <f>'МРСК 2'!E152</f>
        <v>3.599618620599675</v>
      </c>
      <c r="U149" s="254">
        <f>'МРСК 2'!F152</f>
        <v>0</v>
      </c>
      <c r="V149" s="286">
        <f>'МРСК 2'!G152</f>
        <v>0</v>
      </c>
      <c r="W149" s="254">
        <f>'МРСК 2'!H152</f>
        <v>3.599618620599675</v>
      </c>
      <c r="X149" s="252">
        <f>'МРСК 2'!I152</f>
        <v>0</v>
      </c>
      <c r="Y149" s="290">
        <f>'МРСК 2'!J152</f>
        <v>3.3600000000000003</v>
      </c>
      <c r="Z149" s="254">
        <f>'МРСК 2'!K152</f>
        <v>-0.23961862059967487</v>
      </c>
      <c r="AA149" s="254">
        <f>Z149</f>
        <v>-0.23961862059967487</v>
      </c>
      <c r="AB149" s="255"/>
    </row>
    <row r="150" spans="1:28" ht="20.25" thickTop="1">
      <c r="A150" s="266">
        <v>76</v>
      </c>
      <c r="B150" s="82" t="s">
        <v>393</v>
      </c>
      <c r="C150" s="267" t="str">
        <f>МРСК!C153</f>
        <v>40+40</v>
      </c>
      <c r="D150" s="267">
        <f>МРСК!D153</f>
        <v>38807</v>
      </c>
      <c r="E150" s="267">
        <f>МРСК!E153</f>
        <v>11568</v>
      </c>
      <c r="F150" s="253">
        <f>МРСК!F153</f>
        <v>40.49446718997547</v>
      </c>
      <c r="G150" s="268">
        <f>МРСК!G153</f>
        <v>12.94</v>
      </c>
      <c r="H150" s="269">
        <f>МРСК!H153</f>
        <v>120</v>
      </c>
      <c r="I150" s="270">
        <f>МРСК!I153</f>
        <v>27.55446718997547</v>
      </c>
      <c r="J150" s="270">
        <f>МРСК!J153</f>
        <v>0</v>
      </c>
      <c r="K150" s="270">
        <f>МРСК!K153</f>
        <v>42</v>
      </c>
      <c r="L150" s="271">
        <f>МРСК!L153</f>
        <v>14.445532810024531</v>
      </c>
      <c r="M150" s="394">
        <f>MIN(L150:L152)</f>
        <v>14.445532810024531</v>
      </c>
      <c r="N150" s="272"/>
      <c r="P150" s="266">
        <v>76</v>
      </c>
      <c r="Q150" s="82" t="s">
        <v>393</v>
      </c>
      <c r="R150" s="267" t="str">
        <f>'МРСК 2'!C153</f>
        <v>40+40</v>
      </c>
      <c r="S150" s="267">
        <f>'МРСК 2'!D153</f>
        <v>2.98</v>
      </c>
      <c r="T150" s="273">
        <f>'МРСК 2'!E153</f>
        <v>43.474467189975464</v>
      </c>
      <c r="U150" s="268">
        <f>'МРСК 2'!F153</f>
        <v>12.94</v>
      </c>
      <c r="V150" s="269">
        <f>'МРСК 2'!G153</f>
        <v>120</v>
      </c>
      <c r="W150" s="270">
        <f>'МРСК 2'!H153</f>
        <v>30.534467189975466</v>
      </c>
      <c r="X150" s="270">
        <f>'МРСК 2'!I153</f>
        <v>0</v>
      </c>
      <c r="Y150" s="270">
        <f>'МРСК 2'!J153</f>
        <v>42</v>
      </c>
      <c r="Z150" s="271">
        <f>'МРСК 2'!K153</f>
        <v>11.465532810024534</v>
      </c>
      <c r="AA150" s="391">
        <f>MIN(Z150:Z152)</f>
        <v>11.465532810024534</v>
      </c>
      <c r="AB150" s="272"/>
    </row>
    <row r="151" spans="1:28" ht="19.5">
      <c r="A151" s="248"/>
      <c r="B151" s="2" t="s">
        <v>315</v>
      </c>
      <c r="C151" s="249" t="str">
        <f>МРСК!C154</f>
        <v>40+40</v>
      </c>
      <c r="D151" s="249">
        <f>МРСК!D154</f>
        <v>6846</v>
      </c>
      <c r="E151" s="249">
        <f>МРСК!E154</f>
        <v>1506</v>
      </c>
      <c r="F151" s="253">
        <f>МРСК!F154</f>
        <v>7.009689864751508</v>
      </c>
      <c r="G151" s="250">
        <f>МРСК!G154</f>
        <v>3.42</v>
      </c>
      <c r="H151" s="251">
        <f>МРСК!H154</f>
        <v>0</v>
      </c>
      <c r="I151" s="252">
        <f>МРСК!I154</f>
        <v>3.5896898647515076</v>
      </c>
      <c r="J151" s="252">
        <f>МРСК!J154</f>
        <v>0</v>
      </c>
      <c r="K151" s="253">
        <f>МРСК!K154</f>
        <v>42</v>
      </c>
      <c r="L151" s="254">
        <f>МРСК!L154</f>
        <v>38.410310135248494</v>
      </c>
      <c r="M151" s="395"/>
      <c r="N151" s="255"/>
      <c r="P151" s="248"/>
      <c r="Q151" s="2" t="s">
        <v>315</v>
      </c>
      <c r="R151" s="249" t="str">
        <f>'МРСК 2'!C154</f>
        <v>40+40</v>
      </c>
      <c r="S151" s="249">
        <f>'МРСК 2'!D154</f>
        <v>0</v>
      </c>
      <c r="T151" s="256">
        <f>'МРСК 2'!E154</f>
        <v>7.009689864751508</v>
      </c>
      <c r="U151" s="250">
        <f>'МРСК 2'!F154</f>
        <v>3.42</v>
      </c>
      <c r="V151" s="251">
        <f>'МРСК 2'!G154</f>
        <v>0</v>
      </c>
      <c r="W151" s="252">
        <f>'МРСК 2'!H154</f>
        <v>3.5896898647515076</v>
      </c>
      <c r="X151" s="252">
        <f>'МРСК 2'!I154</f>
        <v>0</v>
      </c>
      <c r="Y151" s="252">
        <f>'МРСК 2'!J154</f>
        <v>42</v>
      </c>
      <c r="Z151" s="254">
        <f>'МРСК 2'!K154</f>
        <v>38.410310135248494</v>
      </c>
      <c r="AA151" s="392"/>
      <c r="AB151" s="255"/>
    </row>
    <row r="152" spans="1:28" ht="20.25" thickBot="1">
      <c r="A152" s="257"/>
      <c r="B152" s="73" t="s">
        <v>316</v>
      </c>
      <c r="C152" s="258" t="str">
        <f>МРСК!C155</f>
        <v>40+40</v>
      </c>
      <c r="D152" s="258">
        <f>МРСК!D155</f>
        <v>31961</v>
      </c>
      <c r="E152" s="258">
        <f>МРСК!E155</f>
        <v>10062</v>
      </c>
      <c r="F152" s="253">
        <f>МРСК!F155</f>
        <v>33.50745238003033</v>
      </c>
      <c r="G152" s="259">
        <f>МРСК!G155</f>
        <v>9.52</v>
      </c>
      <c r="H152" s="260">
        <f>МРСК!H155</f>
        <v>0</v>
      </c>
      <c r="I152" s="261">
        <f>МРСК!I155</f>
        <v>23.98745238003033</v>
      </c>
      <c r="J152" s="261">
        <f>МРСК!J155</f>
        <v>0</v>
      </c>
      <c r="K152" s="262">
        <f>МРСК!K155</f>
        <v>42</v>
      </c>
      <c r="L152" s="263">
        <f>МРСК!L155</f>
        <v>18.01254761996967</v>
      </c>
      <c r="M152" s="396"/>
      <c r="N152" s="264"/>
      <c r="P152" s="257"/>
      <c r="Q152" s="73" t="s">
        <v>316</v>
      </c>
      <c r="R152" s="258" t="str">
        <f>'МРСК 2'!C155</f>
        <v>40+40</v>
      </c>
      <c r="S152" s="258">
        <f>'МРСК 2'!D155</f>
        <v>2.98</v>
      </c>
      <c r="T152" s="265">
        <f>'МРСК 2'!E155</f>
        <v>36.48745238003033</v>
      </c>
      <c r="U152" s="259">
        <f>'МРСК 2'!F155</f>
        <v>9.52</v>
      </c>
      <c r="V152" s="260">
        <f>'МРСК 2'!G155</f>
        <v>0</v>
      </c>
      <c r="W152" s="261">
        <f>'МРСК 2'!H155</f>
        <v>26.967452380030327</v>
      </c>
      <c r="X152" s="261">
        <f>'МРСК 2'!I155</f>
        <v>0</v>
      </c>
      <c r="Y152" s="261">
        <f>'МРСК 2'!J155</f>
        <v>42</v>
      </c>
      <c r="Z152" s="263">
        <f>'МРСК 2'!K155</f>
        <v>15.032547619969673</v>
      </c>
      <c r="AA152" s="393"/>
      <c r="AB152" s="264"/>
    </row>
    <row r="153" spans="1:28" ht="20.25" thickTop="1">
      <c r="A153" s="248">
        <v>77</v>
      </c>
      <c r="B153" s="6" t="s">
        <v>397</v>
      </c>
      <c r="C153" s="251" t="str">
        <f>МРСК!C156</f>
        <v>2,5+2,5</v>
      </c>
      <c r="D153" s="251">
        <f>МРСК!D156</f>
        <v>704</v>
      </c>
      <c r="E153" s="251">
        <f>МРСК!E156</f>
        <v>264</v>
      </c>
      <c r="F153" s="253">
        <f>МРСК!F156</f>
        <v>0.7518723295879428</v>
      </c>
      <c r="G153" s="254">
        <f>МРСК!G156</f>
        <v>0.4326661530556787</v>
      </c>
      <c r="H153" s="286">
        <f>МРСК!H156</f>
        <v>120</v>
      </c>
      <c r="I153" s="254">
        <f>МРСК!I156</f>
        <v>0.31920617653226413</v>
      </c>
      <c r="J153" s="252">
        <f>МРСК!J156</f>
        <v>0</v>
      </c>
      <c r="K153" s="289">
        <f>МРСК!K156</f>
        <v>2.625</v>
      </c>
      <c r="L153" s="277">
        <f>МРСК!L156</f>
        <v>2.3057938234677358</v>
      </c>
      <c r="M153" s="254">
        <f>L153</f>
        <v>2.3057938234677358</v>
      </c>
      <c r="N153" s="255"/>
      <c r="P153" s="248">
        <v>77</v>
      </c>
      <c r="Q153" s="6" t="s">
        <v>397</v>
      </c>
      <c r="R153" s="251" t="str">
        <f>'МРСК 2'!C156</f>
        <v>2,5+2,5</v>
      </c>
      <c r="S153" s="251">
        <f>'МРСК 2'!D156</f>
        <v>0.1</v>
      </c>
      <c r="T153" s="252">
        <f>'МРСК 2'!E156</f>
        <v>0.8518723295879428</v>
      </c>
      <c r="U153" s="254">
        <f>'МРСК 2'!F156</f>
        <v>0.4326661530556787</v>
      </c>
      <c r="V153" s="286">
        <f>'МРСК 2'!G156</f>
        <v>120</v>
      </c>
      <c r="W153" s="254">
        <f>'МРСК 2'!H156</f>
        <v>0.4192061765322641</v>
      </c>
      <c r="X153" s="252">
        <f>'МРСК 2'!I156</f>
        <v>0</v>
      </c>
      <c r="Y153" s="290">
        <f>'МРСК 2'!J156</f>
        <v>2.625</v>
      </c>
      <c r="Z153" s="254">
        <f>'МРСК 2'!K156</f>
        <v>2.2057938234677357</v>
      </c>
      <c r="AA153" s="254">
        <f>Z153</f>
        <v>2.2057938234677357</v>
      </c>
      <c r="AB153" s="255"/>
    </row>
    <row r="154" spans="1:28" ht="19.5">
      <c r="A154" s="248">
        <v>78</v>
      </c>
      <c r="B154" s="2" t="s">
        <v>398</v>
      </c>
      <c r="C154" s="251" t="str">
        <f>МРСК!C157</f>
        <v>2,5+2,5</v>
      </c>
      <c r="D154" s="251">
        <f>МРСК!D157</f>
        <v>872</v>
      </c>
      <c r="E154" s="251">
        <f>МРСК!E157</f>
        <v>280</v>
      </c>
      <c r="F154" s="253">
        <f>МРСК!F157</f>
        <v>0.9158515163496755</v>
      </c>
      <c r="G154" s="254">
        <f>МРСК!G157</f>
        <v>0.46639018642623853</v>
      </c>
      <c r="H154" s="286">
        <f>МРСК!H157</f>
        <v>120</v>
      </c>
      <c r="I154" s="254">
        <f>МРСК!I157</f>
        <v>0.449461329923437</v>
      </c>
      <c r="J154" s="252">
        <f>МРСК!J157</f>
        <v>0</v>
      </c>
      <c r="K154" s="289">
        <f>МРСК!K157</f>
        <v>2.625</v>
      </c>
      <c r="L154" s="277">
        <f>МРСК!L157</f>
        <v>2.175538670076563</v>
      </c>
      <c r="M154" s="254">
        <f aca="true" t="shared" si="2" ref="M154:M217">L154</f>
        <v>2.175538670076563</v>
      </c>
      <c r="N154" s="255"/>
      <c r="P154" s="248">
        <v>78</v>
      </c>
      <c r="Q154" s="2" t="s">
        <v>398</v>
      </c>
      <c r="R154" s="251" t="str">
        <f>'МРСК 2'!C157</f>
        <v>2,5+2,5</v>
      </c>
      <c r="S154" s="251">
        <f>'МРСК 2'!D157</f>
        <v>0.03</v>
      </c>
      <c r="T154" s="252">
        <f>'МРСК 2'!E157</f>
        <v>0.9458515163496756</v>
      </c>
      <c r="U154" s="254">
        <f>'МРСК 2'!F157</f>
        <v>0.46639018642623853</v>
      </c>
      <c r="V154" s="286">
        <f>'МРСК 2'!G157</f>
        <v>120</v>
      </c>
      <c r="W154" s="254">
        <f>'МРСК 2'!H157</f>
        <v>0.47946132992343704</v>
      </c>
      <c r="X154" s="252">
        <f>'МРСК 2'!I157</f>
        <v>0</v>
      </c>
      <c r="Y154" s="290">
        <f>'МРСК 2'!J157</f>
        <v>2.625</v>
      </c>
      <c r="Z154" s="254">
        <f>'МРСК 2'!K157</f>
        <v>2.145538670076563</v>
      </c>
      <c r="AA154" s="254">
        <f aca="true" t="shared" si="3" ref="AA154:AA217">Z154</f>
        <v>2.145538670076563</v>
      </c>
      <c r="AB154" s="255"/>
    </row>
    <row r="155" spans="1:28" ht="19.5" customHeight="1">
      <c r="A155" s="248">
        <v>79</v>
      </c>
      <c r="B155" s="6" t="s">
        <v>399</v>
      </c>
      <c r="C155" s="251" t="str">
        <f>МРСК!C158</f>
        <v>4+4</v>
      </c>
      <c r="D155" s="251">
        <f>МРСК!D158</f>
        <v>2352</v>
      </c>
      <c r="E155" s="251">
        <f>МРСК!E158</f>
        <v>1056</v>
      </c>
      <c r="F155" s="253">
        <f>МРСК!F158</f>
        <v>2.5781854083831908</v>
      </c>
      <c r="G155" s="254">
        <f>МРСК!G158</f>
        <v>0</v>
      </c>
      <c r="H155" s="286">
        <f>МРСК!H158</f>
        <v>0</v>
      </c>
      <c r="I155" s="254">
        <f>МРСК!I158</f>
        <v>2.5781854083831908</v>
      </c>
      <c r="J155" s="252">
        <f>МРСК!J158</f>
        <v>0</v>
      </c>
      <c r="K155" s="289">
        <f>МРСК!K158</f>
        <v>4.2</v>
      </c>
      <c r="L155" s="277">
        <f>МРСК!L158</f>
        <v>1.6218145916168094</v>
      </c>
      <c r="M155" s="254">
        <f t="shared" si="2"/>
        <v>1.6218145916168094</v>
      </c>
      <c r="N155" s="255"/>
      <c r="P155" s="248">
        <v>79</v>
      </c>
      <c r="Q155" s="6" t="s">
        <v>399</v>
      </c>
      <c r="R155" s="251" t="str">
        <f>'МРСК 2'!C158</f>
        <v>4+4</v>
      </c>
      <c r="S155" s="251">
        <f>'МРСК 2'!D158</f>
        <v>0.13</v>
      </c>
      <c r="T155" s="252">
        <f>'МРСК 2'!E158</f>
        <v>2.7081854083831907</v>
      </c>
      <c r="U155" s="254">
        <f>'МРСК 2'!F158</f>
        <v>0</v>
      </c>
      <c r="V155" s="286">
        <f>'МРСК 2'!G158</f>
        <v>0</v>
      </c>
      <c r="W155" s="254">
        <f>'МРСК 2'!H158</f>
        <v>2.7081854083831907</v>
      </c>
      <c r="X155" s="252">
        <f>'МРСК 2'!I158</f>
        <v>0</v>
      </c>
      <c r="Y155" s="290">
        <f>'МРСК 2'!J158</f>
        <v>4.2</v>
      </c>
      <c r="Z155" s="254">
        <f>'МРСК 2'!K158</f>
        <v>1.4918145916168095</v>
      </c>
      <c r="AA155" s="254">
        <f t="shared" si="3"/>
        <v>1.4918145916168095</v>
      </c>
      <c r="AB155" s="255"/>
    </row>
    <row r="156" spans="1:28" ht="19.5">
      <c r="A156" s="248">
        <v>80</v>
      </c>
      <c r="B156" s="2" t="s">
        <v>400</v>
      </c>
      <c r="C156" s="251" t="str">
        <f>МРСК!C159</f>
        <v>2,5+2,5</v>
      </c>
      <c r="D156" s="251">
        <f>МРСК!D159</f>
        <v>876</v>
      </c>
      <c r="E156" s="251">
        <f>МРСК!E159</f>
        <v>354</v>
      </c>
      <c r="F156" s="253">
        <f>МРСК!F159</f>
        <v>0.9448237930958344</v>
      </c>
      <c r="G156" s="254">
        <f>МРСК!G159</f>
        <v>0.4465178692384436</v>
      </c>
      <c r="H156" s="286">
        <f>МРСК!H159</f>
        <v>80</v>
      </c>
      <c r="I156" s="254">
        <f>МРСК!I159</f>
        <v>0.4983059238573908</v>
      </c>
      <c r="J156" s="252">
        <f>МРСК!J159</f>
        <v>0</v>
      </c>
      <c r="K156" s="289">
        <f>МРСК!K159</f>
        <v>2.625</v>
      </c>
      <c r="L156" s="277">
        <f>МРСК!L159</f>
        <v>2.126694076142609</v>
      </c>
      <c r="M156" s="254">
        <f t="shared" si="2"/>
        <v>2.126694076142609</v>
      </c>
      <c r="N156" s="255"/>
      <c r="P156" s="248">
        <v>80</v>
      </c>
      <c r="Q156" s="2" t="s">
        <v>400</v>
      </c>
      <c r="R156" s="251" t="str">
        <f>'МРСК 2'!C159</f>
        <v>2,5+2,5</v>
      </c>
      <c r="S156" s="251">
        <f>'МРСК 2'!D159</f>
        <v>0</v>
      </c>
      <c r="T156" s="252">
        <f>'МРСК 2'!E159</f>
        <v>0.9448237930958344</v>
      </c>
      <c r="U156" s="254">
        <f>'МРСК 2'!F159</f>
        <v>0.4465178692384436</v>
      </c>
      <c r="V156" s="286">
        <f>'МРСК 2'!G159</f>
        <v>80</v>
      </c>
      <c r="W156" s="254">
        <f>'МРСК 2'!H159</f>
        <v>0.4983059238573908</v>
      </c>
      <c r="X156" s="252">
        <f>'МРСК 2'!I159</f>
        <v>0</v>
      </c>
      <c r="Y156" s="290">
        <f>'МРСК 2'!J159</f>
        <v>2.625</v>
      </c>
      <c r="Z156" s="254">
        <f>'МРСК 2'!K159</f>
        <v>2.126694076142609</v>
      </c>
      <c r="AA156" s="254">
        <f t="shared" si="3"/>
        <v>2.126694076142609</v>
      </c>
      <c r="AB156" s="255"/>
    </row>
    <row r="157" spans="1:28" ht="19.5">
      <c r="A157" s="248">
        <v>81</v>
      </c>
      <c r="B157" s="6" t="s">
        <v>401</v>
      </c>
      <c r="C157" s="251" t="str">
        <f>МРСК!C160</f>
        <v>6,3+6,3</v>
      </c>
      <c r="D157" s="251">
        <f>МРСК!D160</f>
        <v>3664</v>
      </c>
      <c r="E157" s="251">
        <f>МРСК!E160</f>
        <v>2840</v>
      </c>
      <c r="F157" s="253">
        <f>МРСК!F160</f>
        <v>4.635784291789255</v>
      </c>
      <c r="G157" s="254">
        <f>МРСК!G160</f>
        <v>0.55</v>
      </c>
      <c r="H157" s="286">
        <f>МРСК!H160</f>
        <v>45</v>
      </c>
      <c r="I157" s="254">
        <f>МРСК!I160</f>
        <v>4.085784291789255</v>
      </c>
      <c r="J157" s="252">
        <f>МРСК!J160</f>
        <v>0</v>
      </c>
      <c r="K157" s="289">
        <f>МРСК!K160</f>
        <v>6.615</v>
      </c>
      <c r="L157" s="277">
        <f>МРСК!L160</f>
        <v>2.529215708210745</v>
      </c>
      <c r="M157" s="254">
        <f t="shared" si="2"/>
        <v>2.529215708210745</v>
      </c>
      <c r="N157" s="255"/>
      <c r="P157" s="248">
        <v>81</v>
      </c>
      <c r="Q157" s="6" t="s">
        <v>401</v>
      </c>
      <c r="R157" s="251" t="str">
        <f>'МРСК 2'!C160</f>
        <v>6,3+6,3</v>
      </c>
      <c r="S157" s="251">
        <f>'МРСК 2'!D160</f>
        <v>0</v>
      </c>
      <c r="T157" s="252">
        <f>'МРСК 2'!E160</f>
        <v>4.635784291789255</v>
      </c>
      <c r="U157" s="254">
        <f>'МРСК 2'!F160</f>
        <v>0.55</v>
      </c>
      <c r="V157" s="286">
        <f>'МРСК 2'!G160</f>
        <v>45</v>
      </c>
      <c r="W157" s="254">
        <f>'МРСК 2'!H160</f>
        <v>4.085784291789255</v>
      </c>
      <c r="X157" s="252">
        <f>'МРСК 2'!I160</f>
        <v>0</v>
      </c>
      <c r="Y157" s="290">
        <f>'МРСК 2'!J160</f>
        <v>6.615</v>
      </c>
      <c r="Z157" s="254">
        <f>'МРСК 2'!K160</f>
        <v>2.529215708210745</v>
      </c>
      <c r="AA157" s="254">
        <f t="shared" si="3"/>
        <v>2.529215708210745</v>
      </c>
      <c r="AB157" s="255"/>
    </row>
    <row r="158" spans="1:28" ht="19.5">
      <c r="A158" s="248">
        <v>82</v>
      </c>
      <c r="B158" s="2" t="s">
        <v>402</v>
      </c>
      <c r="C158" s="251" t="str">
        <f>МРСК!C161</f>
        <v>4+4</v>
      </c>
      <c r="D158" s="251">
        <f>МРСК!D161</f>
        <v>2304</v>
      </c>
      <c r="E158" s="251">
        <f>МРСК!E161</f>
        <v>928</v>
      </c>
      <c r="F158" s="253">
        <f>МРСК!F161</f>
        <v>2.4838679514016038</v>
      </c>
      <c r="G158" s="254">
        <f>МРСК!G161</f>
        <v>1.191</v>
      </c>
      <c r="H158" s="286">
        <f>МРСК!H161</f>
        <v>120</v>
      </c>
      <c r="I158" s="254">
        <f>МРСК!I161</f>
        <v>1.2928679514016037</v>
      </c>
      <c r="J158" s="252">
        <f>МРСК!J161</f>
        <v>0</v>
      </c>
      <c r="K158" s="289">
        <f>МРСК!K161</f>
        <v>4.2</v>
      </c>
      <c r="L158" s="277">
        <f>МРСК!L161</f>
        <v>2.9071320485983962</v>
      </c>
      <c r="M158" s="254">
        <f t="shared" si="2"/>
        <v>2.9071320485983962</v>
      </c>
      <c r="N158" s="255"/>
      <c r="P158" s="248">
        <v>82</v>
      </c>
      <c r="Q158" s="2" t="s">
        <v>402</v>
      </c>
      <c r="R158" s="251" t="str">
        <f>'МРСК 2'!C161</f>
        <v>4+4</v>
      </c>
      <c r="S158" s="251">
        <f>'МРСК 2'!D161</f>
        <v>0.12000000000000001</v>
      </c>
      <c r="T158" s="252">
        <f>'МРСК 2'!E161</f>
        <v>2.603867951401604</v>
      </c>
      <c r="U158" s="254">
        <f>'МРСК 2'!F161</f>
        <v>1.191</v>
      </c>
      <c r="V158" s="286">
        <f>'МРСК 2'!G161</f>
        <v>120</v>
      </c>
      <c r="W158" s="254">
        <f>'МРСК 2'!H161</f>
        <v>1.4128679514016038</v>
      </c>
      <c r="X158" s="252">
        <f>'МРСК 2'!I161</f>
        <v>0</v>
      </c>
      <c r="Y158" s="290">
        <f>'МРСК 2'!J161</f>
        <v>4.2</v>
      </c>
      <c r="Z158" s="254">
        <f>'МРСК 2'!K161</f>
        <v>2.787132048598396</v>
      </c>
      <c r="AA158" s="254">
        <f t="shared" si="3"/>
        <v>2.787132048598396</v>
      </c>
      <c r="AB158" s="255"/>
    </row>
    <row r="159" spans="1:28" ht="19.5">
      <c r="A159" s="248">
        <v>83</v>
      </c>
      <c r="B159" s="6" t="s">
        <v>403</v>
      </c>
      <c r="C159" s="251" t="str">
        <f>МРСК!C162</f>
        <v>4+4</v>
      </c>
      <c r="D159" s="251">
        <f>МРСК!D162</f>
        <v>640</v>
      </c>
      <c r="E159" s="251">
        <f>МРСК!E162</f>
        <v>272</v>
      </c>
      <c r="F159" s="253">
        <f>МРСК!F162</f>
        <v>0.6954020419872233</v>
      </c>
      <c r="G159" s="254">
        <f>МРСК!G162</f>
        <v>0.6248809275468652</v>
      </c>
      <c r="H159" s="286">
        <f>МРСК!H162</f>
        <v>80</v>
      </c>
      <c r="I159" s="254">
        <f>МРСК!I162</f>
        <v>0.07052111444035813</v>
      </c>
      <c r="J159" s="252">
        <f>МРСК!J162</f>
        <v>0</v>
      </c>
      <c r="K159" s="289">
        <f>МРСК!K162</f>
        <v>4.2</v>
      </c>
      <c r="L159" s="277">
        <f>МРСК!L162</f>
        <v>4.129478885559642</v>
      </c>
      <c r="M159" s="254">
        <f t="shared" si="2"/>
        <v>4.129478885559642</v>
      </c>
      <c r="N159" s="255"/>
      <c r="P159" s="248">
        <v>83</v>
      </c>
      <c r="Q159" s="6" t="s">
        <v>403</v>
      </c>
      <c r="R159" s="251" t="str">
        <f>'МРСК 2'!C162</f>
        <v>4+4</v>
      </c>
      <c r="S159" s="251">
        <f>'МРСК 2'!D162</f>
        <v>0</v>
      </c>
      <c r="T159" s="252">
        <f>'МРСК 2'!E162</f>
        <v>0.6954020419872233</v>
      </c>
      <c r="U159" s="254">
        <f>'МРСК 2'!F162</f>
        <v>0.6248809275468652</v>
      </c>
      <c r="V159" s="286">
        <f>'МРСК 2'!G162</f>
        <v>80</v>
      </c>
      <c r="W159" s="254">
        <f>'МРСК 2'!H162</f>
        <v>0.07052111444035813</v>
      </c>
      <c r="X159" s="252">
        <f>'МРСК 2'!I162</f>
        <v>0</v>
      </c>
      <c r="Y159" s="290">
        <f>'МРСК 2'!J162</f>
        <v>4.2</v>
      </c>
      <c r="Z159" s="254">
        <f>'МРСК 2'!K162</f>
        <v>4.129478885559642</v>
      </c>
      <c r="AA159" s="254">
        <f t="shared" si="3"/>
        <v>4.129478885559642</v>
      </c>
      <c r="AB159" s="255"/>
    </row>
    <row r="160" spans="1:28" ht="19.5">
      <c r="A160" s="248">
        <v>84</v>
      </c>
      <c r="B160" s="2" t="s">
        <v>404</v>
      </c>
      <c r="C160" s="251" t="str">
        <f>МРСК!C163</f>
        <v>2,5+2,5</v>
      </c>
      <c r="D160" s="251">
        <f>МРСК!D163</f>
        <v>744</v>
      </c>
      <c r="E160" s="251">
        <f>МРСК!E163</f>
        <v>306</v>
      </c>
      <c r="F160" s="253">
        <f>МРСК!F163</f>
        <v>0.8044700118711697</v>
      </c>
      <c r="G160" s="254">
        <f>МРСК!G163</f>
        <v>0.447794595769087</v>
      </c>
      <c r="H160" s="286">
        <f>МРСК!H163</f>
        <v>45</v>
      </c>
      <c r="I160" s="254">
        <f>МРСК!I163</f>
        <v>0.35667541610208275</v>
      </c>
      <c r="J160" s="252">
        <f>МРСК!J163</f>
        <v>0</v>
      </c>
      <c r="K160" s="289">
        <f>МРСК!K163</f>
        <v>2.625</v>
      </c>
      <c r="L160" s="277">
        <f>МРСК!L163</f>
        <v>2.2683245838979174</v>
      </c>
      <c r="M160" s="254">
        <f t="shared" si="2"/>
        <v>2.2683245838979174</v>
      </c>
      <c r="N160" s="255"/>
      <c r="P160" s="248">
        <v>84</v>
      </c>
      <c r="Q160" s="2" t="s">
        <v>404</v>
      </c>
      <c r="R160" s="251" t="str">
        <f>'МРСК 2'!C163</f>
        <v>2,5+2,5</v>
      </c>
      <c r="S160" s="251">
        <f>'МРСК 2'!D163</f>
        <v>0.49</v>
      </c>
      <c r="T160" s="252">
        <f>'МРСК 2'!E163</f>
        <v>1.2944700118711698</v>
      </c>
      <c r="U160" s="254">
        <f>'МРСК 2'!F163</f>
        <v>0.447794595769087</v>
      </c>
      <c r="V160" s="286">
        <f>'МРСК 2'!G163</f>
        <v>45</v>
      </c>
      <c r="W160" s="254">
        <f>'МРСК 2'!H163</f>
        <v>0.8466754161020829</v>
      </c>
      <c r="X160" s="252">
        <f>'МРСК 2'!I163</f>
        <v>0</v>
      </c>
      <c r="Y160" s="290">
        <f>'МРСК 2'!J163</f>
        <v>2.625</v>
      </c>
      <c r="Z160" s="254">
        <f>'МРСК 2'!K163</f>
        <v>1.7783245838979171</v>
      </c>
      <c r="AA160" s="254">
        <f t="shared" si="3"/>
        <v>1.7783245838979171</v>
      </c>
      <c r="AB160" s="255"/>
    </row>
    <row r="161" spans="1:28" ht="19.5">
      <c r="A161" s="248">
        <v>85</v>
      </c>
      <c r="B161" s="6" t="s">
        <v>405</v>
      </c>
      <c r="C161" s="251" t="str">
        <f>МРСК!C164</f>
        <v>2,5+2,5</v>
      </c>
      <c r="D161" s="251">
        <f>МРСК!D164</f>
        <v>720</v>
      </c>
      <c r="E161" s="251">
        <f>МРСК!E164</f>
        <v>336</v>
      </c>
      <c r="F161" s="253">
        <f>МРСК!F164</f>
        <v>0.7945413771478487</v>
      </c>
      <c r="G161" s="254">
        <f>МРСК!G164</f>
        <v>0.606</v>
      </c>
      <c r="H161" s="286">
        <f>МРСК!H164</f>
        <v>45</v>
      </c>
      <c r="I161" s="254">
        <f>МРСК!I164</f>
        <v>0.1885413771478487</v>
      </c>
      <c r="J161" s="252">
        <f>МРСК!J164</f>
        <v>0</v>
      </c>
      <c r="K161" s="289">
        <f>МРСК!K164</f>
        <v>2.625</v>
      </c>
      <c r="L161" s="277">
        <f>МРСК!L164</f>
        <v>2.436458622852151</v>
      </c>
      <c r="M161" s="254">
        <f t="shared" si="2"/>
        <v>2.436458622852151</v>
      </c>
      <c r="N161" s="255"/>
      <c r="P161" s="248">
        <v>85</v>
      </c>
      <c r="Q161" s="6" t="s">
        <v>405</v>
      </c>
      <c r="R161" s="251" t="str">
        <f>'МРСК 2'!C164</f>
        <v>2,5+2,5</v>
      </c>
      <c r="S161" s="251">
        <f>'МРСК 2'!D164</f>
        <v>0</v>
      </c>
      <c r="T161" s="252">
        <f>'МРСК 2'!E164</f>
        <v>0.7945413771478487</v>
      </c>
      <c r="U161" s="254">
        <f>'МРСК 2'!F164</f>
        <v>0.606</v>
      </c>
      <c r="V161" s="286">
        <f>'МРСК 2'!G164</f>
        <v>45</v>
      </c>
      <c r="W161" s="254">
        <f>'МРСК 2'!H164</f>
        <v>0.1885413771478487</v>
      </c>
      <c r="X161" s="252">
        <f>'МРСК 2'!I164</f>
        <v>0</v>
      </c>
      <c r="Y161" s="290">
        <f>'МРСК 2'!J164</f>
        <v>2.625</v>
      </c>
      <c r="Z161" s="254">
        <f>'МРСК 2'!K164</f>
        <v>2.436458622852151</v>
      </c>
      <c r="AA161" s="254">
        <f t="shared" si="3"/>
        <v>2.436458622852151</v>
      </c>
      <c r="AB161" s="255"/>
    </row>
    <row r="162" spans="1:28" ht="19.5">
      <c r="A162" s="248">
        <v>86</v>
      </c>
      <c r="B162" s="2" t="s">
        <v>406</v>
      </c>
      <c r="C162" s="251" t="str">
        <f>МРСК!C165</f>
        <v>6,3+6,3</v>
      </c>
      <c r="D162" s="251">
        <f>МРСК!D165</f>
        <v>2960</v>
      </c>
      <c r="E162" s="251">
        <f>МРСК!E165</f>
        <v>1312</v>
      </c>
      <c r="F162" s="253">
        <f>МРСК!F165</f>
        <v>3.2377374816374473</v>
      </c>
      <c r="G162" s="254">
        <f>МРСК!G165</f>
        <v>2.83</v>
      </c>
      <c r="H162" s="286">
        <f>МРСК!H165</f>
        <v>45</v>
      </c>
      <c r="I162" s="254">
        <f>МРСК!I165</f>
        <v>0.4077374816374473</v>
      </c>
      <c r="J162" s="252">
        <f>МРСК!J165</f>
        <v>0</v>
      </c>
      <c r="K162" s="289">
        <f>МРСК!K165</f>
        <v>6.615</v>
      </c>
      <c r="L162" s="277">
        <f>МРСК!L165</f>
        <v>6.207262518362553</v>
      </c>
      <c r="M162" s="254">
        <f t="shared" si="2"/>
        <v>6.207262518362553</v>
      </c>
      <c r="N162" s="255"/>
      <c r="P162" s="248">
        <v>86</v>
      </c>
      <c r="Q162" s="2" t="s">
        <v>406</v>
      </c>
      <c r="R162" s="251" t="str">
        <f>'МРСК 2'!C165</f>
        <v>6,3+6,3</v>
      </c>
      <c r="S162" s="251">
        <f>'МРСК 2'!D165</f>
        <v>0.2</v>
      </c>
      <c r="T162" s="252">
        <f>'МРСК 2'!E165</f>
        <v>3.4377374816374475</v>
      </c>
      <c r="U162" s="254">
        <f>'МРСК 2'!F165</f>
        <v>2.83</v>
      </c>
      <c r="V162" s="286">
        <f>'МРСК 2'!G165</f>
        <v>45</v>
      </c>
      <c r="W162" s="254">
        <f>'МРСК 2'!H165</f>
        <v>0.6077374816374475</v>
      </c>
      <c r="X162" s="252">
        <f>'МРСК 2'!I165</f>
        <v>0</v>
      </c>
      <c r="Y162" s="290">
        <f>'МРСК 2'!J165</f>
        <v>6.615</v>
      </c>
      <c r="Z162" s="254">
        <f>'МРСК 2'!K165</f>
        <v>6.007262518362553</v>
      </c>
      <c r="AA162" s="254">
        <f t="shared" si="3"/>
        <v>6.007262518362553</v>
      </c>
      <c r="AB162" s="255"/>
    </row>
    <row r="163" spans="1:28" ht="19.5">
      <c r="A163" s="248">
        <v>87</v>
      </c>
      <c r="B163" s="6" t="s">
        <v>407</v>
      </c>
      <c r="C163" s="251" t="str">
        <f>МРСК!C166</f>
        <v>4+4</v>
      </c>
      <c r="D163" s="251">
        <f>МРСК!D166</f>
        <v>3544</v>
      </c>
      <c r="E163" s="251">
        <f>МРСК!E166</f>
        <v>1432</v>
      </c>
      <c r="F163" s="253">
        <f>МРСК!F166</f>
        <v>3.822376224287714</v>
      </c>
      <c r="G163" s="254">
        <f>МРСК!G166</f>
        <v>1.21</v>
      </c>
      <c r="H163" s="286">
        <f>МРСК!H166</f>
        <v>80</v>
      </c>
      <c r="I163" s="254">
        <f>МРСК!I166</f>
        <v>2.612376224287714</v>
      </c>
      <c r="J163" s="252">
        <f>МРСК!J166</f>
        <v>0</v>
      </c>
      <c r="K163" s="289">
        <f>МРСК!K166</f>
        <v>4.2</v>
      </c>
      <c r="L163" s="277">
        <f>МРСК!L166</f>
        <v>1.5876237757122862</v>
      </c>
      <c r="M163" s="254">
        <f t="shared" si="2"/>
        <v>1.5876237757122862</v>
      </c>
      <c r="N163" s="255"/>
      <c r="P163" s="248">
        <v>87</v>
      </c>
      <c r="Q163" s="6" t="s">
        <v>407</v>
      </c>
      <c r="R163" s="251" t="str">
        <f>'МРСК 2'!C166</f>
        <v>4+4</v>
      </c>
      <c r="S163" s="251">
        <f>'МРСК 2'!D166</f>
        <v>0.27</v>
      </c>
      <c r="T163" s="252">
        <f>'МРСК 2'!E166</f>
        <v>4.0923762242877135</v>
      </c>
      <c r="U163" s="254">
        <f>'МРСК 2'!F166</f>
        <v>1.21</v>
      </c>
      <c r="V163" s="286">
        <f>'МРСК 2'!G166</f>
        <v>80</v>
      </c>
      <c r="W163" s="254">
        <f>'МРСК 2'!H166</f>
        <v>2.8823762242877136</v>
      </c>
      <c r="X163" s="252">
        <f>'МРСК 2'!I166</f>
        <v>0</v>
      </c>
      <c r="Y163" s="290">
        <f>'МРСК 2'!J166</f>
        <v>4.2</v>
      </c>
      <c r="Z163" s="254">
        <f>'МРСК 2'!K166</f>
        <v>1.3176237757122866</v>
      </c>
      <c r="AA163" s="254">
        <f t="shared" si="3"/>
        <v>1.3176237757122866</v>
      </c>
      <c r="AB163" s="255"/>
    </row>
    <row r="164" spans="1:28" ht="19.5">
      <c r="A164" s="248">
        <v>88</v>
      </c>
      <c r="B164" s="2" t="s">
        <v>408</v>
      </c>
      <c r="C164" s="251" t="str">
        <f>МРСК!C167</f>
        <v>2,5+4</v>
      </c>
      <c r="D164" s="251">
        <f>МРСК!D167</f>
        <v>1824</v>
      </c>
      <c r="E164" s="251">
        <f>МРСК!E167</f>
        <v>720</v>
      </c>
      <c r="F164" s="253">
        <f>МРСК!F167</f>
        <v>1.9609630287182878</v>
      </c>
      <c r="G164" s="254">
        <f>МРСК!G167</f>
        <v>1.3213999028416417</v>
      </c>
      <c r="H164" s="286">
        <f>МРСК!H167</f>
        <v>45</v>
      </c>
      <c r="I164" s="254">
        <f>МРСК!I167</f>
        <v>0.6395631258766461</v>
      </c>
      <c r="J164" s="252">
        <f>МРСК!J167</f>
        <v>0</v>
      </c>
      <c r="K164" s="289">
        <f>МРСК!K167</f>
        <v>2.625</v>
      </c>
      <c r="L164" s="277">
        <f>МРСК!L167</f>
        <v>1.985436874123354</v>
      </c>
      <c r="M164" s="254">
        <f t="shared" si="2"/>
        <v>1.985436874123354</v>
      </c>
      <c r="N164" s="255"/>
      <c r="P164" s="248">
        <v>88</v>
      </c>
      <c r="Q164" s="2" t="s">
        <v>408</v>
      </c>
      <c r="R164" s="251" t="str">
        <f>'МРСК 2'!C167</f>
        <v>2,5+4</v>
      </c>
      <c r="S164" s="251">
        <f>'МРСК 2'!D167</f>
        <v>0.02</v>
      </c>
      <c r="T164" s="252">
        <f>'МРСК 2'!E167</f>
        <v>1.9809630287182878</v>
      </c>
      <c r="U164" s="254">
        <f>'МРСК 2'!F167</f>
        <v>1.3213999028416417</v>
      </c>
      <c r="V164" s="286">
        <f>'МРСК 2'!G167</f>
        <v>45</v>
      </c>
      <c r="W164" s="254">
        <f>'МРСК 2'!H167</f>
        <v>0.6595631258766461</v>
      </c>
      <c r="X164" s="252">
        <f>'МРСК 2'!I167</f>
        <v>0</v>
      </c>
      <c r="Y164" s="290">
        <f>'МРСК 2'!J167</f>
        <v>2.625</v>
      </c>
      <c r="Z164" s="254">
        <f>'МРСК 2'!K167</f>
        <v>1.9654368741233539</v>
      </c>
      <c r="AA164" s="254">
        <f t="shared" si="3"/>
        <v>1.9654368741233539</v>
      </c>
      <c r="AB164" s="255"/>
    </row>
    <row r="165" spans="1:28" ht="19.5">
      <c r="A165" s="248">
        <v>89</v>
      </c>
      <c r="B165" s="6" t="s">
        <v>409</v>
      </c>
      <c r="C165" s="251" t="str">
        <f>МРСК!C168</f>
        <v>6,3+6,3</v>
      </c>
      <c r="D165" s="251">
        <f>МРСК!D168</f>
        <v>6336</v>
      </c>
      <c r="E165" s="251">
        <f>МРСК!E168</f>
        <v>2568</v>
      </c>
      <c r="F165" s="253">
        <f>МРСК!F168</f>
        <v>6.836630749133669</v>
      </c>
      <c r="G165" s="254">
        <f>МРСК!G168</f>
        <v>0.918</v>
      </c>
      <c r="H165" s="286">
        <f>МРСК!H168</f>
        <v>120</v>
      </c>
      <c r="I165" s="254">
        <f>МРСК!I168</f>
        <v>5.918630749133669</v>
      </c>
      <c r="J165" s="252">
        <f>МРСК!J168</f>
        <v>0</v>
      </c>
      <c r="K165" s="289">
        <f>МРСК!K168</f>
        <v>6.615</v>
      </c>
      <c r="L165" s="277">
        <f>МРСК!L168</f>
        <v>0.6963692508663311</v>
      </c>
      <c r="M165" s="254">
        <f t="shared" si="2"/>
        <v>0.6963692508663311</v>
      </c>
      <c r="N165" s="255"/>
      <c r="P165" s="248">
        <v>89</v>
      </c>
      <c r="Q165" s="6" t="s">
        <v>409</v>
      </c>
      <c r="R165" s="251" t="str">
        <f>'МРСК 2'!C168</f>
        <v>6,3+6,3</v>
      </c>
      <c r="S165" s="251">
        <f>'МРСК 2'!D168</f>
        <v>0.1</v>
      </c>
      <c r="T165" s="252">
        <f>'МРСК 2'!E168</f>
        <v>6.936630749133669</v>
      </c>
      <c r="U165" s="254">
        <f>'МРСК 2'!F168</f>
        <v>0.918</v>
      </c>
      <c r="V165" s="286">
        <f>'МРСК 2'!G168</f>
        <v>120</v>
      </c>
      <c r="W165" s="254">
        <f>'МРСК 2'!H168</f>
        <v>6.018630749133669</v>
      </c>
      <c r="X165" s="252">
        <f>'МРСК 2'!I168</f>
        <v>0</v>
      </c>
      <c r="Y165" s="290">
        <f>'МРСК 2'!J168</f>
        <v>6.615</v>
      </c>
      <c r="Z165" s="254">
        <f>'МРСК 2'!K168</f>
        <v>0.5963692508663314</v>
      </c>
      <c r="AA165" s="254">
        <f t="shared" si="3"/>
        <v>0.5963692508663314</v>
      </c>
      <c r="AB165" s="255"/>
    </row>
    <row r="166" spans="1:28" ht="19.5">
      <c r="A166" s="248">
        <v>90</v>
      </c>
      <c r="B166" s="2" t="s">
        <v>410</v>
      </c>
      <c r="C166" s="251" t="str">
        <f>МРСК!C169</f>
        <v>2,5+1,6</v>
      </c>
      <c r="D166" s="251">
        <f>МРСК!D169</f>
        <v>1008</v>
      </c>
      <c r="E166" s="251">
        <f>МРСК!E169</f>
        <v>336</v>
      </c>
      <c r="F166" s="253">
        <f>МРСК!F169</f>
        <v>1.0625252938165755</v>
      </c>
      <c r="G166" s="254">
        <f>МРСК!G169</f>
        <v>0.522</v>
      </c>
      <c r="H166" s="286">
        <f>МРСК!H169</f>
        <v>45</v>
      </c>
      <c r="I166" s="254">
        <f>МРСК!I169</f>
        <v>0.5405252938165754</v>
      </c>
      <c r="J166" s="252">
        <f>МРСК!J169</f>
        <v>0</v>
      </c>
      <c r="K166" s="289">
        <f>МРСК!K169</f>
        <v>1.6800000000000002</v>
      </c>
      <c r="L166" s="277">
        <f>МРСК!L169</f>
        <v>1.1394747061834247</v>
      </c>
      <c r="M166" s="254">
        <f t="shared" si="2"/>
        <v>1.1394747061834247</v>
      </c>
      <c r="N166" s="255"/>
      <c r="P166" s="248">
        <v>90</v>
      </c>
      <c r="Q166" s="2" t="s">
        <v>410</v>
      </c>
      <c r="R166" s="251" t="str">
        <f>'МРСК 2'!C169</f>
        <v>2,5+1,6</v>
      </c>
      <c r="S166" s="251">
        <f>'МРСК 2'!D169</f>
        <v>0.02</v>
      </c>
      <c r="T166" s="252">
        <f>'МРСК 2'!E169</f>
        <v>1.0825252938165755</v>
      </c>
      <c r="U166" s="254">
        <f>'МРСК 2'!F169</f>
        <v>0.522</v>
      </c>
      <c r="V166" s="286">
        <f>'МРСК 2'!G169</f>
        <v>45</v>
      </c>
      <c r="W166" s="254">
        <f>'МРСК 2'!H169</f>
        <v>0.5605252938165755</v>
      </c>
      <c r="X166" s="252">
        <f>'МРСК 2'!I169</f>
        <v>0</v>
      </c>
      <c r="Y166" s="290">
        <f>'МРСК 2'!J169</f>
        <v>1.6800000000000002</v>
      </c>
      <c r="Z166" s="254">
        <f>'МРСК 2'!K169</f>
        <v>1.1194747061834247</v>
      </c>
      <c r="AA166" s="254">
        <f t="shared" si="3"/>
        <v>1.1194747061834247</v>
      </c>
      <c r="AB166" s="255"/>
    </row>
    <row r="167" spans="1:28" ht="19.5">
      <c r="A167" s="248">
        <v>91</v>
      </c>
      <c r="B167" s="6" t="s">
        <v>411</v>
      </c>
      <c r="C167" s="251" t="str">
        <f>МРСК!C170</f>
        <v>4+4</v>
      </c>
      <c r="D167" s="251">
        <f>МРСК!D170</f>
        <v>1968</v>
      </c>
      <c r="E167" s="251">
        <f>МРСК!E170</f>
        <v>816</v>
      </c>
      <c r="F167" s="253">
        <f>МРСК!F170</f>
        <v>2.130464738032526</v>
      </c>
      <c r="G167" s="254">
        <f>МРСК!G170</f>
        <v>1.45</v>
      </c>
      <c r="H167" s="286">
        <f>МРСК!H170</f>
        <v>80</v>
      </c>
      <c r="I167" s="254">
        <f>МРСК!I170</f>
        <v>0.6804647380325262</v>
      </c>
      <c r="J167" s="252">
        <f>МРСК!J170</f>
        <v>0</v>
      </c>
      <c r="K167" s="289">
        <f>МРСК!K170</f>
        <v>4.2</v>
      </c>
      <c r="L167" s="277">
        <f>МРСК!L170</f>
        <v>3.519535261967474</v>
      </c>
      <c r="M167" s="254">
        <f t="shared" si="2"/>
        <v>3.519535261967474</v>
      </c>
      <c r="N167" s="255"/>
      <c r="P167" s="248">
        <v>91</v>
      </c>
      <c r="Q167" s="6" t="s">
        <v>411</v>
      </c>
      <c r="R167" s="251" t="str">
        <f>'МРСК 2'!C170</f>
        <v>4+4</v>
      </c>
      <c r="S167" s="251">
        <f>'МРСК 2'!D170</f>
        <v>0</v>
      </c>
      <c r="T167" s="252">
        <f>'МРСК 2'!E170</f>
        <v>2.130464738032526</v>
      </c>
      <c r="U167" s="254">
        <f>'МРСК 2'!F170</f>
        <v>1.45</v>
      </c>
      <c r="V167" s="286">
        <f>'МРСК 2'!G170</f>
        <v>80</v>
      </c>
      <c r="W167" s="254">
        <f>'МРСК 2'!H170</f>
        <v>0.6804647380325262</v>
      </c>
      <c r="X167" s="252">
        <f>'МРСК 2'!I170</f>
        <v>0</v>
      </c>
      <c r="Y167" s="290">
        <f>'МРСК 2'!J170</f>
        <v>4.2</v>
      </c>
      <c r="Z167" s="254">
        <f>'МРСК 2'!K170</f>
        <v>3.519535261967474</v>
      </c>
      <c r="AA167" s="254">
        <f t="shared" si="3"/>
        <v>3.519535261967474</v>
      </c>
      <c r="AB167" s="255"/>
    </row>
    <row r="168" spans="1:28" ht="19.5">
      <c r="A168" s="248">
        <v>92</v>
      </c>
      <c r="B168" s="2" t="s">
        <v>412</v>
      </c>
      <c r="C168" s="251" t="str">
        <f>МРСК!C171</f>
        <v>2,5+2,5</v>
      </c>
      <c r="D168" s="251">
        <f>МРСК!D171</f>
        <v>1648</v>
      </c>
      <c r="E168" s="251">
        <f>МРСК!E171</f>
        <v>696</v>
      </c>
      <c r="F168" s="253">
        <f>МРСК!F171</f>
        <v>1.7889438224829755</v>
      </c>
      <c r="G168" s="254">
        <f>МРСК!G171</f>
        <v>1.0795494616358337</v>
      </c>
      <c r="H168" s="286">
        <f>МРСК!H171</f>
        <v>120</v>
      </c>
      <c r="I168" s="254">
        <f>МРСК!I171</f>
        <v>0.7093943608471418</v>
      </c>
      <c r="J168" s="252">
        <f>МРСК!J171</f>
        <v>0</v>
      </c>
      <c r="K168" s="289">
        <f>МРСК!K171</f>
        <v>2.625</v>
      </c>
      <c r="L168" s="277">
        <f>МРСК!L171</f>
        <v>1.9156056391528582</v>
      </c>
      <c r="M168" s="254">
        <f t="shared" si="2"/>
        <v>1.9156056391528582</v>
      </c>
      <c r="N168" s="255"/>
      <c r="P168" s="248">
        <v>92</v>
      </c>
      <c r="Q168" s="2" t="s">
        <v>412</v>
      </c>
      <c r="R168" s="251" t="str">
        <f>'МРСК 2'!C171</f>
        <v>2,5+2,5</v>
      </c>
      <c r="S168" s="251">
        <f>'МРСК 2'!D171</f>
        <v>0.30000000000000004</v>
      </c>
      <c r="T168" s="252">
        <f>'МРСК 2'!E171</f>
        <v>2.0889438224829755</v>
      </c>
      <c r="U168" s="254">
        <f>'МРСК 2'!F171</f>
        <v>1.0795494616358337</v>
      </c>
      <c r="V168" s="286">
        <f>'МРСК 2'!G171</f>
        <v>120</v>
      </c>
      <c r="W168" s="254">
        <f>'МРСК 2'!H171</f>
        <v>1.0093943608471418</v>
      </c>
      <c r="X168" s="252">
        <f>'МРСК 2'!I171</f>
        <v>0</v>
      </c>
      <c r="Y168" s="290">
        <f>'МРСК 2'!J171</f>
        <v>2.625</v>
      </c>
      <c r="Z168" s="254">
        <f>'МРСК 2'!K171</f>
        <v>1.6156056391528582</v>
      </c>
      <c r="AA168" s="254">
        <f t="shared" si="3"/>
        <v>1.6156056391528582</v>
      </c>
      <c r="AB168" s="255"/>
    </row>
    <row r="169" spans="1:28" ht="19.5">
      <c r="A169" s="248">
        <v>93</v>
      </c>
      <c r="B169" s="6" t="s">
        <v>413</v>
      </c>
      <c r="C169" s="251" t="str">
        <f>МРСК!C172</f>
        <v>2,5+2,5</v>
      </c>
      <c r="D169" s="251">
        <f>МРСК!D172</f>
        <v>1164</v>
      </c>
      <c r="E169" s="251">
        <f>МРСК!E172</f>
        <v>348</v>
      </c>
      <c r="F169" s="253">
        <f>МРСК!F172</f>
        <v>1.214907403878995</v>
      </c>
      <c r="G169" s="254">
        <f>МРСК!G172</f>
        <v>0.4</v>
      </c>
      <c r="H169" s="286">
        <f>МРСК!H172</f>
        <v>120</v>
      </c>
      <c r="I169" s="254">
        <f>МРСК!I172</f>
        <v>0.8149074038789951</v>
      </c>
      <c r="J169" s="252">
        <f>МРСК!J172</f>
        <v>0</v>
      </c>
      <c r="K169" s="289">
        <f>МРСК!K172</f>
        <v>2.625</v>
      </c>
      <c r="L169" s="277">
        <f>МРСК!L172</f>
        <v>1.810092596121005</v>
      </c>
      <c r="M169" s="254">
        <f t="shared" si="2"/>
        <v>1.810092596121005</v>
      </c>
      <c r="N169" s="255"/>
      <c r="P169" s="248">
        <v>93</v>
      </c>
      <c r="Q169" s="6" t="s">
        <v>413</v>
      </c>
      <c r="R169" s="251" t="str">
        <f>'МРСК 2'!C172</f>
        <v>2,5+2,5</v>
      </c>
      <c r="S169" s="251">
        <f>'МРСК 2'!D172</f>
        <v>0.02</v>
      </c>
      <c r="T169" s="252">
        <f>'МРСК 2'!E172</f>
        <v>1.2349074038789951</v>
      </c>
      <c r="U169" s="254">
        <f>'МРСК 2'!F172</f>
        <v>0.4</v>
      </c>
      <c r="V169" s="286">
        <f>'МРСК 2'!G172</f>
        <v>120</v>
      </c>
      <c r="W169" s="254">
        <f>'МРСК 2'!H172</f>
        <v>0.8349074038789951</v>
      </c>
      <c r="X169" s="252">
        <f>'МРСК 2'!I172</f>
        <v>0</v>
      </c>
      <c r="Y169" s="290">
        <f>'МРСК 2'!J172</f>
        <v>2.625</v>
      </c>
      <c r="Z169" s="254">
        <f>'МРСК 2'!K172</f>
        <v>1.790092596121005</v>
      </c>
      <c r="AA169" s="254">
        <f t="shared" si="3"/>
        <v>1.790092596121005</v>
      </c>
      <c r="AB169" s="255"/>
    </row>
    <row r="170" spans="1:28" ht="19.5">
      <c r="A170" s="248">
        <v>94</v>
      </c>
      <c r="B170" s="2" t="s">
        <v>414</v>
      </c>
      <c r="C170" s="251" t="str">
        <f>МРСК!C173</f>
        <v>2,5+4</v>
      </c>
      <c r="D170" s="251">
        <f>МРСК!D173</f>
        <v>1448</v>
      </c>
      <c r="E170" s="251">
        <f>МРСК!E173</f>
        <v>616</v>
      </c>
      <c r="F170" s="253">
        <f>МРСК!F173</f>
        <v>1.5735819012685677</v>
      </c>
      <c r="G170" s="254">
        <f>МРСК!G173</f>
        <v>1.0176542711224374</v>
      </c>
      <c r="H170" s="286">
        <f>МРСК!H173</f>
        <v>45</v>
      </c>
      <c r="I170" s="254">
        <f>МРСК!I173</f>
        <v>0.5559276301461302</v>
      </c>
      <c r="J170" s="252">
        <f>МРСК!J173</f>
        <v>0</v>
      </c>
      <c r="K170" s="289">
        <f>МРСК!K173</f>
        <v>2.625</v>
      </c>
      <c r="L170" s="277">
        <f>МРСК!L173</f>
        <v>2.0690723698538696</v>
      </c>
      <c r="M170" s="254">
        <f t="shared" si="2"/>
        <v>2.0690723698538696</v>
      </c>
      <c r="N170" s="255"/>
      <c r="P170" s="248">
        <v>94</v>
      </c>
      <c r="Q170" s="2" t="s">
        <v>414</v>
      </c>
      <c r="R170" s="251" t="str">
        <f>'МРСК 2'!C173</f>
        <v>2,5+4</v>
      </c>
      <c r="S170" s="251">
        <f>'МРСК 2'!D173</f>
        <v>1.52</v>
      </c>
      <c r="T170" s="252">
        <f>'МРСК 2'!E173</f>
        <v>3.0935819012685677</v>
      </c>
      <c r="U170" s="254">
        <f>'МРСК 2'!F173</f>
        <v>1.0176542711224374</v>
      </c>
      <c r="V170" s="286">
        <f>'МРСК 2'!G173</f>
        <v>45</v>
      </c>
      <c r="W170" s="254">
        <f>'МРСК 2'!H173</f>
        <v>2.07592763014613</v>
      </c>
      <c r="X170" s="252">
        <f>'МРСК 2'!I173</f>
        <v>0</v>
      </c>
      <c r="Y170" s="290">
        <f>'МРСК 2'!J173</f>
        <v>2.625</v>
      </c>
      <c r="Z170" s="254">
        <f>'МРСК 2'!K173</f>
        <v>0.54907236985387</v>
      </c>
      <c r="AA170" s="254">
        <f t="shared" si="3"/>
        <v>0.54907236985387</v>
      </c>
      <c r="AB170" s="255"/>
    </row>
    <row r="171" spans="1:28" ht="19.5">
      <c r="A171" s="248">
        <v>95</v>
      </c>
      <c r="B171" s="6" t="s">
        <v>415</v>
      </c>
      <c r="C171" s="251" t="str">
        <f>МРСК!C174</f>
        <v>2,5+4</v>
      </c>
      <c r="D171" s="251">
        <f>МРСК!D174</f>
        <v>1344</v>
      </c>
      <c r="E171" s="251">
        <f>МРСК!E174</f>
        <v>508</v>
      </c>
      <c r="F171" s="253">
        <f>МРСК!F174</f>
        <v>1.4368020044529448</v>
      </c>
      <c r="G171" s="254">
        <f>МРСК!G174</f>
        <v>0.9553554312401222</v>
      </c>
      <c r="H171" s="286">
        <f>МРСК!H174</f>
        <v>120</v>
      </c>
      <c r="I171" s="254">
        <f>МРСК!I174</f>
        <v>0.4814465732128226</v>
      </c>
      <c r="J171" s="252">
        <f>МРСК!J174</f>
        <v>0</v>
      </c>
      <c r="K171" s="289">
        <f>МРСК!K174</f>
        <v>2.625</v>
      </c>
      <c r="L171" s="277">
        <f>МРСК!L174</f>
        <v>2.1435534267871774</v>
      </c>
      <c r="M171" s="254">
        <f t="shared" si="2"/>
        <v>2.1435534267871774</v>
      </c>
      <c r="N171" s="255"/>
      <c r="P171" s="248">
        <v>95</v>
      </c>
      <c r="Q171" s="6" t="s">
        <v>415</v>
      </c>
      <c r="R171" s="251" t="str">
        <f>'МРСК 2'!C174</f>
        <v>2,5+4</v>
      </c>
      <c r="S171" s="251">
        <f>'МРСК 2'!D174</f>
        <v>0.49</v>
      </c>
      <c r="T171" s="252">
        <f>'МРСК 2'!E174</f>
        <v>1.9268020044529448</v>
      </c>
      <c r="U171" s="254">
        <f>'МРСК 2'!F174</f>
        <v>0.9553554312401222</v>
      </c>
      <c r="V171" s="286">
        <f>'МРСК 2'!G174</f>
        <v>120</v>
      </c>
      <c r="W171" s="254">
        <f>'МРСК 2'!H174</f>
        <v>0.9714465732128226</v>
      </c>
      <c r="X171" s="252">
        <f>'МРСК 2'!I174</f>
        <v>0</v>
      </c>
      <c r="Y171" s="290">
        <f>'МРСК 2'!J174</f>
        <v>2.625</v>
      </c>
      <c r="Z171" s="254">
        <f>'МРСК 2'!K174</f>
        <v>1.6535534267871774</v>
      </c>
      <c r="AA171" s="254">
        <f t="shared" si="3"/>
        <v>1.6535534267871774</v>
      </c>
      <c r="AB171" s="255"/>
    </row>
    <row r="172" spans="1:28" ht="19.5">
      <c r="A172" s="248">
        <v>96</v>
      </c>
      <c r="B172" s="2" t="s">
        <v>416</v>
      </c>
      <c r="C172" s="251" t="str">
        <f>МРСК!C175</f>
        <v>4+4</v>
      </c>
      <c r="D172" s="251">
        <f>МРСК!D175</f>
        <v>1956</v>
      </c>
      <c r="E172" s="251">
        <f>МРСК!E175</f>
        <v>624</v>
      </c>
      <c r="F172" s="253">
        <f>МРСК!F175</f>
        <v>2.053122499998478</v>
      </c>
      <c r="G172" s="254">
        <f>МРСК!G175</f>
        <v>0.616</v>
      </c>
      <c r="H172" s="286">
        <f>МРСК!H175</f>
        <v>80</v>
      </c>
      <c r="I172" s="254">
        <f>МРСК!I175</f>
        <v>1.4371224999984777</v>
      </c>
      <c r="J172" s="252">
        <f>МРСК!J175</f>
        <v>0</v>
      </c>
      <c r="K172" s="289">
        <f>МРСК!K175</f>
        <v>4.2</v>
      </c>
      <c r="L172" s="277">
        <f>МРСК!L175</f>
        <v>2.7628775000015224</v>
      </c>
      <c r="M172" s="254">
        <f t="shared" si="2"/>
        <v>2.7628775000015224</v>
      </c>
      <c r="N172" s="255"/>
      <c r="P172" s="248">
        <v>96</v>
      </c>
      <c r="Q172" s="2" t="s">
        <v>416</v>
      </c>
      <c r="R172" s="251" t="str">
        <f>'МРСК 2'!C175</f>
        <v>4+4</v>
      </c>
      <c r="S172" s="251">
        <f>'МРСК 2'!D175</f>
        <v>0.1</v>
      </c>
      <c r="T172" s="252">
        <f>'МРСК 2'!E175</f>
        <v>2.153122499998478</v>
      </c>
      <c r="U172" s="254">
        <f>'МРСК 2'!F175</f>
        <v>0.616</v>
      </c>
      <c r="V172" s="286">
        <f>'МРСК 2'!G175</f>
        <v>80</v>
      </c>
      <c r="W172" s="254">
        <f>'МРСК 2'!H175</f>
        <v>1.5371224999984778</v>
      </c>
      <c r="X172" s="252">
        <f>'МРСК 2'!I175</f>
        <v>0</v>
      </c>
      <c r="Y172" s="290">
        <f>'МРСК 2'!J175</f>
        <v>4.2</v>
      </c>
      <c r="Z172" s="254">
        <f>'МРСК 2'!K175</f>
        <v>2.6628775000015223</v>
      </c>
      <c r="AA172" s="254">
        <f t="shared" si="3"/>
        <v>2.6628775000015223</v>
      </c>
      <c r="AB172" s="255"/>
    </row>
    <row r="173" spans="1:28" ht="19.5">
      <c r="A173" s="248">
        <v>97</v>
      </c>
      <c r="B173" s="6" t="s">
        <v>417</v>
      </c>
      <c r="C173" s="251" t="str">
        <f>МРСК!C176</f>
        <v>4+4</v>
      </c>
      <c r="D173" s="251">
        <f>МРСК!D176</f>
        <v>679</v>
      </c>
      <c r="E173" s="251">
        <f>МРСК!E176</f>
        <v>430</v>
      </c>
      <c r="F173" s="253">
        <f>МРСК!F176</f>
        <v>0.8037045477039433</v>
      </c>
      <c r="G173" s="254">
        <f>МРСК!G176</f>
        <v>0</v>
      </c>
      <c r="H173" s="286">
        <f>МРСК!H176</f>
        <v>0</v>
      </c>
      <c r="I173" s="254">
        <f>МРСК!I176</f>
        <v>0.8037045477039433</v>
      </c>
      <c r="J173" s="252">
        <f>МРСК!J176</f>
        <v>0</v>
      </c>
      <c r="K173" s="289">
        <f>МРСК!K176</f>
        <v>4.2</v>
      </c>
      <c r="L173" s="277">
        <f>МРСК!L176</f>
        <v>3.396295452296057</v>
      </c>
      <c r="M173" s="254">
        <f t="shared" si="2"/>
        <v>3.396295452296057</v>
      </c>
      <c r="N173" s="255"/>
      <c r="P173" s="248">
        <v>97</v>
      </c>
      <c r="Q173" s="6" t="s">
        <v>417</v>
      </c>
      <c r="R173" s="251" t="str">
        <f>'МРСК 2'!C176</f>
        <v>4+4</v>
      </c>
      <c r="S173" s="251">
        <f>'МРСК 2'!D176</f>
        <v>0</v>
      </c>
      <c r="T173" s="252">
        <f>'МРСК 2'!E176</f>
        <v>0.8037045477039433</v>
      </c>
      <c r="U173" s="254">
        <f>'МРСК 2'!F176</f>
        <v>0</v>
      </c>
      <c r="V173" s="286">
        <f>'МРСК 2'!G176</f>
        <v>0</v>
      </c>
      <c r="W173" s="254">
        <f>'МРСК 2'!H176</f>
        <v>0.8037045477039433</v>
      </c>
      <c r="X173" s="252">
        <f>'МРСК 2'!I176</f>
        <v>0</v>
      </c>
      <c r="Y173" s="290">
        <f>'МРСК 2'!J176</f>
        <v>4.2</v>
      </c>
      <c r="Z173" s="254">
        <f>'МРСК 2'!K176</f>
        <v>3.396295452296057</v>
      </c>
      <c r="AA173" s="254">
        <f t="shared" si="3"/>
        <v>3.396295452296057</v>
      </c>
      <c r="AB173" s="255"/>
    </row>
    <row r="174" spans="1:28" ht="19.5">
      <c r="A174" s="248">
        <v>98</v>
      </c>
      <c r="B174" s="2" t="s">
        <v>418</v>
      </c>
      <c r="C174" s="251" t="str">
        <f>МРСК!C177</f>
        <v>4+6,3</v>
      </c>
      <c r="D174" s="251">
        <f>МРСК!D177</f>
        <v>2040</v>
      </c>
      <c r="E174" s="251">
        <f>МРСК!E177</f>
        <v>588</v>
      </c>
      <c r="F174" s="253">
        <f>МРСК!F177</f>
        <v>2.123050635288758</v>
      </c>
      <c r="G174" s="254">
        <f>МРСК!G177</f>
        <v>0.305</v>
      </c>
      <c r="H174" s="286">
        <f>МРСК!H177</f>
        <v>45</v>
      </c>
      <c r="I174" s="254">
        <f>МРСК!I177</f>
        <v>1.8180506352887582</v>
      </c>
      <c r="J174" s="252">
        <f>МРСК!J177</f>
        <v>0</v>
      </c>
      <c r="K174" s="289">
        <f>МРСК!K177</f>
        <v>4.2</v>
      </c>
      <c r="L174" s="277">
        <f>МРСК!L177</f>
        <v>2.381949364711242</v>
      </c>
      <c r="M174" s="254">
        <f t="shared" si="2"/>
        <v>2.381949364711242</v>
      </c>
      <c r="N174" s="255"/>
      <c r="P174" s="248">
        <v>98</v>
      </c>
      <c r="Q174" s="2" t="s">
        <v>418</v>
      </c>
      <c r="R174" s="251" t="str">
        <f>'МРСК 2'!C177</f>
        <v>4+6,3</v>
      </c>
      <c r="S174" s="251">
        <f>'МРСК 2'!D177</f>
        <v>0.12000000000000001</v>
      </c>
      <c r="T174" s="252">
        <f>'МРСК 2'!E177</f>
        <v>2.2430506352887583</v>
      </c>
      <c r="U174" s="254">
        <f>'МРСК 2'!F177</f>
        <v>0.305</v>
      </c>
      <c r="V174" s="286">
        <f>'МРСК 2'!G177</f>
        <v>45</v>
      </c>
      <c r="W174" s="254">
        <f>'МРСК 2'!H177</f>
        <v>1.9380506352887583</v>
      </c>
      <c r="X174" s="252">
        <f>'МРСК 2'!I177</f>
        <v>0</v>
      </c>
      <c r="Y174" s="290">
        <f>'МРСК 2'!J177</f>
        <v>4.2</v>
      </c>
      <c r="Z174" s="254">
        <f>'МРСК 2'!K177</f>
        <v>2.261949364711242</v>
      </c>
      <c r="AA174" s="254">
        <f t="shared" si="3"/>
        <v>2.261949364711242</v>
      </c>
      <c r="AB174" s="255"/>
    </row>
    <row r="175" spans="1:28" ht="19.5">
      <c r="A175" s="248">
        <v>99</v>
      </c>
      <c r="B175" s="6" t="s">
        <v>419</v>
      </c>
      <c r="C175" s="251" t="str">
        <f>МРСК!C178</f>
        <v>6,3+6,3</v>
      </c>
      <c r="D175" s="251">
        <f>МРСК!D178</f>
        <v>3586</v>
      </c>
      <c r="E175" s="251">
        <f>МРСК!E178</f>
        <v>1282</v>
      </c>
      <c r="F175" s="253">
        <f>МРСК!F178</f>
        <v>3.8082699484148965</v>
      </c>
      <c r="G175" s="254">
        <f>МРСК!G178</f>
        <v>1.43</v>
      </c>
      <c r="H175" s="286">
        <f>МРСК!H178</f>
        <v>120</v>
      </c>
      <c r="I175" s="254">
        <f>МРСК!I178</f>
        <v>2.3782699484148964</v>
      </c>
      <c r="J175" s="252">
        <f>МРСК!J178</f>
        <v>0</v>
      </c>
      <c r="K175" s="289">
        <f>МРСК!K178</f>
        <v>6.615</v>
      </c>
      <c r="L175" s="277">
        <f>МРСК!L178</f>
        <v>4.236730051585104</v>
      </c>
      <c r="M175" s="254">
        <f t="shared" si="2"/>
        <v>4.236730051585104</v>
      </c>
      <c r="N175" s="255"/>
      <c r="P175" s="248">
        <v>99</v>
      </c>
      <c r="Q175" s="6" t="s">
        <v>419</v>
      </c>
      <c r="R175" s="251" t="str">
        <f>'МРСК 2'!C178</f>
        <v>6,3+6,3</v>
      </c>
      <c r="S175" s="251">
        <f>'МРСК 2'!D178</f>
        <v>0.12</v>
      </c>
      <c r="T175" s="252">
        <f>'МРСК 2'!E178</f>
        <v>3.9282699484148966</v>
      </c>
      <c r="U175" s="254">
        <f>'МРСК 2'!F178</f>
        <v>1.43</v>
      </c>
      <c r="V175" s="286">
        <f>'МРСК 2'!G178</f>
        <v>120</v>
      </c>
      <c r="W175" s="254">
        <f>'МРСК 2'!H178</f>
        <v>2.4982699484148965</v>
      </c>
      <c r="X175" s="252">
        <f>'МРСК 2'!I178</f>
        <v>0</v>
      </c>
      <c r="Y175" s="290">
        <f>'МРСК 2'!J178</f>
        <v>6.615</v>
      </c>
      <c r="Z175" s="254">
        <f>'МРСК 2'!K178</f>
        <v>4.116730051585104</v>
      </c>
      <c r="AA175" s="254">
        <f t="shared" si="3"/>
        <v>4.116730051585104</v>
      </c>
      <c r="AB175" s="255"/>
    </row>
    <row r="176" spans="1:28" ht="19.5">
      <c r="A176" s="248">
        <v>100</v>
      </c>
      <c r="B176" s="2" t="s">
        <v>420</v>
      </c>
      <c r="C176" s="251" t="str">
        <f>МРСК!C179</f>
        <v>2,5+2,5</v>
      </c>
      <c r="D176" s="251">
        <f>МРСК!D179</f>
        <v>1578</v>
      </c>
      <c r="E176" s="251">
        <f>МРСК!E179</f>
        <v>618</v>
      </c>
      <c r="F176" s="253">
        <f>МРСК!F179</f>
        <v>1.6946999734466277</v>
      </c>
      <c r="G176" s="254">
        <f>МРСК!G179</f>
        <v>0.995132152028061</v>
      </c>
      <c r="H176" s="286">
        <f>МРСК!H179</f>
        <v>120</v>
      </c>
      <c r="I176" s="254">
        <f>МРСК!I179</f>
        <v>0.6995678214185667</v>
      </c>
      <c r="J176" s="252">
        <f>МРСК!J179</f>
        <v>0</v>
      </c>
      <c r="K176" s="289">
        <f>МРСК!K179</f>
        <v>2.625</v>
      </c>
      <c r="L176" s="277">
        <f>МРСК!L179</f>
        <v>1.9254321785814335</v>
      </c>
      <c r="M176" s="254">
        <f t="shared" si="2"/>
        <v>1.9254321785814335</v>
      </c>
      <c r="N176" s="255"/>
      <c r="P176" s="248">
        <v>100</v>
      </c>
      <c r="Q176" s="2" t="s">
        <v>420</v>
      </c>
      <c r="R176" s="251" t="str">
        <f>'МРСК 2'!C179</f>
        <v>2,5+2,5</v>
      </c>
      <c r="S176" s="251">
        <f>'МРСК 2'!D179</f>
        <v>0</v>
      </c>
      <c r="T176" s="252">
        <f>'МРСК 2'!E179</f>
        <v>1.6946999734466277</v>
      </c>
      <c r="U176" s="254">
        <f>'МРСК 2'!F179</f>
        <v>0.995132152028061</v>
      </c>
      <c r="V176" s="286">
        <f>'МРСК 2'!G179</f>
        <v>120</v>
      </c>
      <c r="W176" s="254">
        <f>'МРСК 2'!H179</f>
        <v>0.6995678214185667</v>
      </c>
      <c r="X176" s="252">
        <f>'МРСК 2'!I179</f>
        <v>0</v>
      </c>
      <c r="Y176" s="290">
        <f>'МРСК 2'!J179</f>
        <v>2.625</v>
      </c>
      <c r="Z176" s="254">
        <f>'МРСК 2'!K179</f>
        <v>1.9254321785814335</v>
      </c>
      <c r="AA176" s="254">
        <f t="shared" si="3"/>
        <v>1.9254321785814335</v>
      </c>
      <c r="AB176" s="255"/>
    </row>
    <row r="177" spans="1:28" ht="19.5">
      <c r="A177" s="248">
        <v>101</v>
      </c>
      <c r="B177" s="6" t="s">
        <v>421</v>
      </c>
      <c r="C177" s="251" t="str">
        <f>МРСК!C180</f>
        <v>6,3+6,3</v>
      </c>
      <c r="D177" s="251">
        <f>МРСК!D180</f>
        <v>2816</v>
      </c>
      <c r="E177" s="251">
        <f>МРСК!E180</f>
        <v>1664</v>
      </c>
      <c r="F177" s="253">
        <f>МРСК!F180</f>
        <v>3.2708946788302433</v>
      </c>
      <c r="G177" s="254">
        <f>МРСК!G180</f>
        <v>1.4036067580251326</v>
      </c>
      <c r="H177" s="286">
        <f>МРСК!H180</f>
        <v>80</v>
      </c>
      <c r="I177" s="254">
        <f>МРСК!I180</f>
        <v>1.8672879208051107</v>
      </c>
      <c r="J177" s="252">
        <f>МРСК!J180</f>
        <v>0</v>
      </c>
      <c r="K177" s="289">
        <f>МРСК!K180</f>
        <v>6.615</v>
      </c>
      <c r="L177" s="277">
        <f>МРСК!L180</f>
        <v>4.74771207919489</v>
      </c>
      <c r="M177" s="254">
        <f t="shared" si="2"/>
        <v>4.74771207919489</v>
      </c>
      <c r="N177" s="255"/>
      <c r="P177" s="248">
        <v>101</v>
      </c>
      <c r="Q177" s="6" t="s">
        <v>421</v>
      </c>
      <c r="R177" s="251" t="str">
        <f>'МРСК 2'!C180</f>
        <v>6,3+6,3</v>
      </c>
      <c r="S177" s="251">
        <f>'МРСК 2'!D180</f>
        <v>0</v>
      </c>
      <c r="T177" s="252">
        <f>'МРСК 2'!E180</f>
        <v>3.2708946788302433</v>
      </c>
      <c r="U177" s="254">
        <f>'МРСК 2'!F180</f>
        <v>1.4036067580251326</v>
      </c>
      <c r="V177" s="286">
        <f>'МРСК 2'!G180</f>
        <v>80</v>
      </c>
      <c r="W177" s="254">
        <f>'МРСК 2'!H180</f>
        <v>1.8672879208051107</v>
      </c>
      <c r="X177" s="252">
        <f>'МРСК 2'!I180</f>
        <v>0</v>
      </c>
      <c r="Y177" s="290">
        <f>'МРСК 2'!J180</f>
        <v>6.615</v>
      </c>
      <c r="Z177" s="254">
        <f>'МРСК 2'!K180</f>
        <v>4.74771207919489</v>
      </c>
      <c r="AA177" s="254">
        <f t="shared" si="3"/>
        <v>4.74771207919489</v>
      </c>
      <c r="AB177" s="255"/>
    </row>
    <row r="178" spans="1:28" ht="19.5">
      <c r="A178" s="248">
        <v>102</v>
      </c>
      <c r="B178" s="2" t="s">
        <v>422</v>
      </c>
      <c r="C178" s="251" t="str">
        <f>МРСК!C181</f>
        <v>2,5+2,5</v>
      </c>
      <c r="D178" s="251">
        <f>МРСК!D181</f>
        <v>2592</v>
      </c>
      <c r="E178" s="251">
        <f>МРСК!E181</f>
        <v>960</v>
      </c>
      <c r="F178" s="253">
        <f>МРСК!F181</f>
        <v>2.7640665693864896</v>
      </c>
      <c r="G178" s="254">
        <f>МРСК!G181</f>
        <v>0.617</v>
      </c>
      <c r="H178" s="286">
        <f>МРСК!H181</f>
        <v>45</v>
      </c>
      <c r="I178" s="254">
        <f>МРСК!I181</f>
        <v>2.1470665693864897</v>
      </c>
      <c r="J178" s="252">
        <f>МРСК!J181</f>
        <v>0</v>
      </c>
      <c r="K178" s="289">
        <f>МРСК!K181</f>
        <v>2.625</v>
      </c>
      <c r="L178" s="277">
        <f>МРСК!L181</f>
        <v>0.47793343061351035</v>
      </c>
      <c r="M178" s="254">
        <f t="shared" si="2"/>
        <v>0.47793343061351035</v>
      </c>
      <c r="N178" s="255"/>
      <c r="P178" s="248">
        <v>102</v>
      </c>
      <c r="Q178" s="2" t="s">
        <v>422</v>
      </c>
      <c r="R178" s="251" t="str">
        <f>'МРСК 2'!C181</f>
        <v>2,5+2,5</v>
      </c>
      <c r="S178" s="251">
        <f>'МРСК 2'!D181</f>
        <v>0.55</v>
      </c>
      <c r="T178" s="252">
        <f>'МРСК 2'!E181</f>
        <v>3.3140665693864895</v>
      </c>
      <c r="U178" s="254">
        <f>'МРСК 2'!F181</f>
        <v>0.617</v>
      </c>
      <c r="V178" s="286">
        <f>'МРСК 2'!G181</f>
        <v>45</v>
      </c>
      <c r="W178" s="254">
        <f>'МРСК 2'!H181</f>
        <v>2.6970665693864895</v>
      </c>
      <c r="X178" s="252">
        <f>'МРСК 2'!I181</f>
        <v>0</v>
      </c>
      <c r="Y178" s="290">
        <f>'МРСК 2'!J181</f>
        <v>2.625</v>
      </c>
      <c r="Z178" s="254">
        <f>'МРСК 2'!K181</f>
        <v>-0.07206656938648948</v>
      </c>
      <c r="AA178" s="254">
        <f t="shared" si="3"/>
        <v>-0.07206656938648948</v>
      </c>
      <c r="AB178" s="255"/>
    </row>
    <row r="179" spans="1:28" ht="19.5">
      <c r="A179" s="248">
        <v>103</v>
      </c>
      <c r="B179" s="6" t="s">
        <v>423</v>
      </c>
      <c r="C179" s="251" t="str">
        <f>МРСК!C182</f>
        <v>2,5+4</v>
      </c>
      <c r="D179" s="251">
        <f>МРСК!D182</f>
        <v>1464</v>
      </c>
      <c r="E179" s="251">
        <f>МРСК!E182</f>
        <v>596</v>
      </c>
      <c r="F179" s="253">
        <f>МРСК!F182</f>
        <v>1.5806682131301306</v>
      </c>
      <c r="G179" s="254">
        <f>МРСК!G182</f>
        <v>0.9084995371305657</v>
      </c>
      <c r="H179" s="286">
        <f>МРСК!H182</f>
        <v>45</v>
      </c>
      <c r="I179" s="254">
        <f>МРСК!I182</f>
        <v>0.6721686759995649</v>
      </c>
      <c r="J179" s="252">
        <f>МРСК!J182</f>
        <v>0</v>
      </c>
      <c r="K179" s="289">
        <f>МРСК!K182</f>
        <v>2.625</v>
      </c>
      <c r="L179" s="277">
        <f>МРСК!L182</f>
        <v>1.9528313240004351</v>
      </c>
      <c r="M179" s="254">
        <f t="shared" si="2"/>
        <v>1.9528313240004351</v>
      </c>
      <c r="N179" s="255"/>
      <c r="P179" s="248">
        <v>103</v>
      </c>
      <c r="Q179" s="6" t="s">
        <v>423</v>
      </c>
      <c r="R179" s="251" t="str">
        <f>'МРСК 2'!C182</f>
        <v>2,5+4</v>
      </c>
      <c r="S179" s="251">
        <f>'МРСК 2'!D182</f>
        <v>0.27</v>
      </c>
      <c r="T179" s="252">
        <f>'МРСК 2'!E182</f>
        <v>1.8506682131301306</v>
      </c>
      <c r="U179" s="254">
        <f>'МРСК 2'!F182</f>
        <v>0.9084995371305657</v>
      </c>
      <c r="V179" s="286">
        <f>'МРСК 2'!G182</f>
        <v>45</v>
      </c>
      <c r="W179" s="254">
        <f>'МРСК 2'!H182</f>
        <v>0.9421686759995649</v>
      </c>
      <c r="X179" s="252">
        <f>'МРСК 2'!I182</f>
        <v>0</v>
      </c>
      <c r="Y179" s="290">
        <f>'МРСК 2'!J182</f>
        <v>2.625</v>
      </c>
      <c r="Z179" s="254">
        <f>'МРСК 2'!K182</f>
        <v>1.6828313240004351</v>
      </c>
      <c r="AA179" s="254">
        <f t="shared" si="3"/>
        <v>1.6828313240004351</v>
      </c>
      <c r="AB179" s="255"/>
    </row>
    <row r="180" spans="1:28" ht="19.5">
      <c r="A180" s="248">
        <v>104</v>
      </c>
      <c r="B180" s="2" t="s">
        <v>424</v>
      </c>
      <c r="C180" s="251" t="str">
        <f>МРСК!C183</f>
        <v>4+4</v>
      </c>
      <c r="D180" s="251">
        <f>МРСК!D183</f>
        <v>2816</v>
      </c>
      <c r="E180" s="251">
        <f>МРСК!E183</f>
        <v>1440</v>
      </c>
      <c r="F180" s="253">
        <f>МРСК!F183</f>
        <v>3.162824054543661</v>
      </c>
      <c r="G180" s="254">
        <f>МРСК!G183</f>
        <v>0</v>
      </c>
      <c r="H180" s="286">
        <f>МРСК!H183</f>
        <v>0</v>
      </c>
      <c r="I180" s="254">
        <f>МРСК!I183</f>
        <v>3.162824054543661</v>
      </c>
      <c r="J180" s="252">
        <f>МРСК!J183</f>
        <v>0</v>
      </c>
      <c r="K180" s="289">
        <f>МРСК!K183</f>
        <v>4.2</v>
      </c>
      <c r="L180" s="277">
        <f>МРСК!L183</f>
        <v>1.0371759454563394</v>
      </c>
      <c r="M180" s="254">
        <f t="shared" si="2"/>
        <v>1.0371759454563394</v>
      </c>
      <c r="N180" s="255"/>
      <c r="P180" s="248">
        <v>104</v>
      </c>
      <c r="Q180" s="2" t="s">
        <v>424</v>
      </c>
      <c r="R180" s="251" t="str">
        <f>'МРСК 2'!C183</f>
        <v>4+4</v>
      </c>
      <c r="S180" s="251">
        <f>'МРСК 2'!D183</f>
        <v>0</v>
      </c>
      <c r="T180" s="252">
        <f>'МРСК 2'!E183</f>
        <v>3.162824054543661</v>
      </c>
      <c r="U180" s="254">
        <f>'МРСК 2'!F183</f>
        <v>0</v>
      </c>
      <c r="V180" s="286">
        <f>'МРСК 2'!G183</f>
        <v>0</v>
      </c>
      <c r="W180" s="254">
        <f>'МРСК 2'!H183</f>
        <v>3.162824054543661</v>
      </c>
      <c r="X180" s="252">
        <f>'МРСК 2'!I183</f>
        <v>0</v>
      </c>
      <c r="Y180" s="290">
        <f>'МРСК 2'!J183</f>
        <v>4.2</v>
      </c>
      <c r="Z180" s="254">
        <f>'МРСК 2'!K183</f>
        <v>1.0371759454563394</v>
      </c>
      <c r="AA180" s="254">
        <f t="shared" si="3"/>
        <v>1.0371759454563394</v>
      </c>
      <c r="AB180" s="255"/>
    </row>
    <row r="181" spans="1:28" ht="19.5">
      <c r="A181" s="248">
        <v>105</v>
      </c>
      <c r="B181" s="6" t="s">
        <v>425</v>
      </c>
      <c r="C181" s="251" t="str">
        <f>МРСК!C184</f>
        <v>4+4</v>
      </c>
      <c r="D181" s="251">
        <f>МРСК!D184</f>
        <v>1164</v>
      </c>
      <c r="E181" s="251">
        <f>МРСК!E184</f>
        <v>552</v>
      </c>
      <c r="F181" s="253">
        <f>МРСК!F184</f>
        <v>1.2882546332150333</v>
      </c>
      <c r="G181" s="254">
        <f>МРСК!G184</f>
        <v>0.7823699242213712</v>
      </c>
      <c r="H181" s="286">
        <f>МРСК!H184</f>
        <v>80</v>
      </c>
      <c r="I181" s="254">
        <f>МРСК!I184</f>
        <v>0.5058847089936621</v>
      </c>
      <c r="J181" s="252">
        <f>МРСК!J184</f>
        <v>0</v>
      </c>
      <c r="K181" s="289">
        <f>МРСК!K184</f>
        <v>4.2</v>
      </c>
      <c r="L181" s="277">
        <f>МРСК!L184</f>
        <v>3.694115291006338</v>
      </c>
      <c r="M181" s="254">
        <f t="shared" si="2"/>
        <v>3.694115291006338</v>
      </c>
      <c r="N181" s="255"/>
      <c r="P181" s="248">
        <v>105</v>
      </c>
      <c r="Q181" s="6" t="s">
        <v>425</v>
      </c>
      <c r="R181" s="251" t="str">
        <f>'МРСК 2'!C184</f>
        <v>4+4</v>
      </c>
      <c r="S181" s="251">
        <f>'МРСК 2'!D184</f>
        <v>0.45</v>
      </c>
      <c r="T181" s="252">
        <f>'МРСК 2'!E184</f>
        <v>1.7382546332150333</v>
      </c>
      <c r="U181" s="254">
        <f>'МРСК 2'!F184</f>
        <v>0.7823699242213712</v>
      </c>
      <c r="V181" s="286">
        <f>'МРСК 2'!G184</f>
        <v>80</v>
      </c>
      <c r="W181" s="254">
        <f>'МРСК 2'!H184</f>
        <v>0.9558847089936621</v>
      </c>
      <c r="X181" s="252">
        <f>'МРСК 2'!I184</f>
        <v>0</v>
      </c>
      <c r="Y181" s="290">
        <f>'МРСК 2'!J184</f>
        <v>4.2</v>
      </c>
      <c r="Z181" s="254">
        <f>'МРСК 2'!K184</f>
        <v>3.244115291006338</v>
      </c>
      <c r="AA181" s="254">
        <f t="shared" si="3"/>
        <v>3.244115291006338</v>
      </c>
      <c r="AB181" s="255"/>
    </row>
    <row r="182" spans="1:28" ht="19.5">
      <c r="A182" s="248">
        <v>106</v>
      </c>
      <c r="B182" s="2" t="s">
        <v>426</v>
      </c>
      <c r="C182" s="251" t="str">
        <f>МРСК!C185</f>
        <v>4+4</v>
      </c>
      <c r="D182" s="251">
        <f>МРСК!D185</f>
        <v>2384</v>
      </c>
      <c r="E182" s="251">
        <f>МРСК!E185</f>
        <v>952</v>
      </c>
      <c r="F182" s="253">
        <f>МРСК!F185</f>
        <v>2.5670527848098486</v>
      </c>
      <c r="G182" s="254">
        <f>МРСК!G185</f>
        <v>1.054</v>
      </c>
      <c r="H182" s="286">
        <f>МРСК!H185</f>
        <v>45</v>
      </c>
      <c r="I182" s="254">
        <f>МРСК!I185</f>
        <v>1.5130527848098485</v>
      </c>
      <c r="J182" s="252">
        <f>МРСК!J185</f>
        <v>0</v>
      </c>
      <c r="K182" s="289">
        <f>МРСК!K185</f>
        <v>4.2</v>
      </c>
      <c r="L182" s="277">
        <f>МРСК!L185</f>
        <v>2.686947215190152</v>
      </c>
      <c r="M182" s="254">
        <f t="shared" si="2"/>
        <v>2.686947215190152</v>
      </c>
      <c r="N182" s="255"/>
      <c r="P182" s="248">
        <v>106</v>
      </c>
      <c r="Q182" s="2" t="s">
        <v>426</v>
      </c>
      <c r="R182" s="251" t="str">
        <f>'МРСК 2'!C185</f>
        <v>4+4</v>
      </c>
      <c r="S182" s="251">
        <f>'МРСК 2'!D185</f>
        <v>0.1</v>
      </c>
      <c r="T182" s="252">
        <f>'МРСК 2'!E185</f>
        <v>2.6670527848098486</v>
      </c>
      <c r="U182" s="254">
        <f>'МРСК 2'!F185</f>
        <v>1.054</v>
      </c>
      <c r="V182" s="286">
        <f>'МРСК 2'!G185</f>
        <v>45</v>
      </c>
      <c r="W182" s="254">
        <f>'МРСК 2'!H185</f>
        <v>1.6130527848098486</v>
      </c>
      <c r="X182" s="252">
        <f>'МРСК 2'!I185</f>
        <v>0</v>
      </c>
      <c r="Y182" s="290">
        <f>'МРСК 2'!J185</f>
        <v>4.2</v>
      </c>
      <c r="Z182" s="254">
        <f>'МРСК 2'!K185</f>
        <v>2.5869472151901514</v>
      </c>
      <c r="AA182" s="254">
        <f t="shared" si="3"/>
        <v>2.5869472151901514</v>
      </c>
      <c r="AB182" s="255"/>
    </row>
    <row r="183" spans="1:28" ht="19.5">
      <c r="A183" s="248">
        <v>107</v>
      </c>
      <c r="B183" s="6" t="s">
        <v>427</v>
      </c>
      <c r="C183" s="251" t="str">
        <f>МРСК!C186</f>
        <v>2,5+2,5</v>
      </c>
      <c r="D183" s="251">
        <f>МРСК!D186</f>
        <v>800</v>
      </c>
      <c r="E183" s="251">
        <f>МРСК!E186</f>
        <v>312</v>
      </c>
      <c r="F183" s="253">
        <f>МРСК!F186</f>
        <v>0.8586873703508163</v>
      </c>
      <c r="G183" s="254">
        <f>МРСК!G186</f>
        <v>0.6299911422760434</v>
      </c>
      <c r="H183" s="286">
        <f>МРСК!H186</f>
        <v>80</v>
      </c>
      <c r="I183" s="254">
        <f>МРСК!I186</f>
        <v>0.22869622807477297</v>
      </c>
      <c r="J183" s="252">
        <f>МРСК!J186</f>
        <v>0</v>
      </c>
      <c r="K183" s="289">
        <f>МРСК!K186</f>
        <v>2.625</v>
      </c>
      <c r="L183" s="277">
        <f>МРСК!L186</f>
        <v>2.396303771925227</v>
      </c>
      <c r="M183" s="254">
        <f t="shared" si="2"/>
        <v>2.396303771925227</v>
      </c>
      <c r="N183" s="255"/>
      <c r="P183" s="248">
        <v>107</v>
      </c>
      <c r="Q183" s="6" t="s">
        <v>427</v>
      </c>
      <c r="R183" s="251" t="str">
        <f>'МРСК 2'!C186</f>
        <v>2,5+2,5</v>
      </c>
      <c r="S183" s="251">
        <f>'МРСК 2'!D186</f>
        <v>1.4300000000000002</v>
      </c>
      <c r="T183" s="252">
        <f>'МРСК 2'!E186</f>
        <v>2.2886873703508166</v>
      </c>
      <c r="U183" s="254">
        <f>'МРСК 2'!F186</f>
        <v>0.6299911422760434</v>
      </c>
      <c r="V183" s="286">
        <f>'МРСК 2'!G186</f>
        <v>80</v>
      </c>
      <c r="W183" s="254">
        <f>'МРСК 2'!H186</f>
        <v>1.6586962280747732</v>
      </c>
      <c r="X183" s="252">
        <f>'МРСК 2'!I186</f>
        <v>0</v>
      </c>
      <c r="Y183" s="290">
        <f>'МРСК 2'!J186</f>
        <v>2.625</v>
      </c>
      <c r="Z183" s="254">
        <f>'МРСК 2'!K186</f>
        <v>0.9663037719252268</v>
      </c>
      <c r="AA183" s="254">
        <f t="shared" si="3"/>
        <v>0.9663037719252268</v>
      </c>
      <c r="AB183" s="255"/>
    </row>
    <row r="184" spans="1:28" ht="19.5">
      <c r="A184" s="248">
        <v>108</v>
      </c>
      <c r="B184" s="2" t="s">
        <v>428</v>
      </c>
      <c r="C184" s="251" t="str">
        <f>МРСК!C187</f>
        <v>2,5+4</v>
      </c>
      <c r="D184" s="251">
        <f>МРСК!D187</f>
        <v>1552</v>
      </c>
      <c r="E184" s="251">
        <f>МРСК!E187</f>
        <v>392</v>
      </c>
      <c r="F184" s="253">
        <f>МРСК!F187</f>
        <v>1.6007398289540995</v>
      </c>
      <c r="G184" s="254">
        <f>МРСК!G187</f>
        <v>0.274</v>
      </c>
      <c r="H184" s="286">
        <f>МРСК!H187</f>
        <v>80</v>
      </c>
      <c r="I184" s="254">
        <f>МРСК!I187</f>
        <v>1.3267398289540995</v>
      </c>
      <c r="J184" s="252">
        <f>МРСК!J187</f>
        <v>0</v>
      </c>
      <c r="K184" s="289">
        <f>МРСК!K187</f>
        <v>2.625</v>
      </c>
      <c r="L184" s="277">
        <f>МРСК!L187</f>
        <v>1.2982601710459005</v>
      </c>
      <c r="M184" s="254">
        <f t="shared" si="2"/>
        <v>1.2982601710459005</v>
      </c>
      <c r="N184" s="255"/>
      <c r="P184" s="248">
        <v>108</v>
      </c>
      <c r="Q184" s="2" t="s">
        <v>428</v>
      </c>
      <c r="R184" s="251" t="str">
        <f>'МРСК 2'!C187</f>
        <v>2,5+4</v>
      </c>
      <c r="S184" s="251">
        <f>'МРСК 2'!D187</f>
        <v>0.16</v>
      </c>
      <c r="T184" s="252">
        <f>'МРСК 2'!E187</f>
        <v>1.7607398289540994</v>
      </c>
      <c r="U184" s="254">
        <f>'МРСК 2'!F187</f>
        <v>0.274</v>
      </c>
      <c r="V184" s="286">
        <f>'МРСК 2'!G187</f>
        <v>80</v>
      </c>
      <c r="W184" s="254">
        <f>'МРСК 2'!H187</f>
        <v>1.4867398289540994</v>
      </c>
      <c r="X184" s="252">
        <f>'МРСК 2'!I187</f>
        <v>0</v>
      </c>
      <c r="Y184" s="290">
        <f>'МРСК 2'!J187</f>
        <v>2.625</v>
      </c>
      <c r="Z184" s="254">
        <f>'МРСК 2'!K187</f>
        <v>1.1382601710459006</v>
      </c>
      <c r="AA184" s="254">
        <f t="shared" si="3"/>
        <v>1.1382601710459006</v>
      </c>
      <c r="AB184" s="255"/>
    </row>
    <row r="185" spans="1:28" ht="19.5">
      <c r="A185" s="248">
        <v>109</v>
      </c>
      <c r="B185" s="6" t="s">
        <v>429</v>
      </c>
      <c r="C185" s="251" t="str">
        <f>МРСК!C188</f>
        <v>10+10</v>
      </c>
      <c r="D185" s="251">
        <f>МРСК!D188</f>
        <v>7248</v>
      </c>
      <c r="E185" s="251">
        <f>МРСК!E188</f>
        <v>2448</v>
      </c>
      <c r="F185" s="253">
        <f>МРСК!F188</f>
        <v>7.650242349102413</v>
      </c>
      <c r="G185" s="254">
        <f>МРСК!G188</f>
        <v>4.051</v>
      </c>
      <c r="H185" s="286">
        <f>МРСК!H188</f>
        <v>120</v>
      </c>
      <c r="I185" s="254">
        <f>МРСК!I188</f>
        <v>3.599242349102413</v>
      </c>
      <c r="J185" s="252">
        <f>МРСК!J188</f>
        <v>0</v>
      </c>
      <c r="K185" s="289">
        <f>МРСК!K188</f>
        <v>10.5</v>
      </c>
      <c r="L185" s="277">
        <f>МРСК!L188</f>
        <v>6.900757650897587</v>
      </c>
      <c r="M185" s="254">
        <f t="shared" si="2"/>
        <v>6.900757650897587</v>
      </c>
      <c r="N185" s="255"/>
      <c r="P185" s="248">
        <v>109</v>
      </c>
      <c r="Q185" s="6" t="s">
        <v>429</v>
      </c>
      <c r="R185" s="251" t="str">
        <f>'МРСК 2'!C188</f>
        <v>10+10</v>
      </c>
      <c r="S185" s="251">
        <f>'МРСК 2'!D188</f>
        <v>0.03</v>
      </c>
      <c r="T185" s="252">
        <f>'МРСК 2'!E188</f>
        <v>7.680242349102413</v>
      </c>
      <c r="U185" s="254">
        <f>'МРСК 2'!F188</f>
        <v>4.051</v>
      </c>
      <c r="V185" s="286">
        <f>'МРСК 2'!G188</f>
        <v>120</v>
      </c>
      <c r="W185" s="254">
        <f>'МРСК 2'!H188</f>
        <v>3.6292423491024133</v>
      </c>
      <c r="X185" s="252">
        <f>'МРСК 2'!I188</f>
        <v>0</v>
      </c>
      <c r="Y185" s="290">
        <f>'МРСК 2'!J188</f>
        <v>10.5</v>
      </c>
      <c r="Z185" s="254">
        <f>'МРСК 2'!K188</f>
        <v>6.870757650897587</v>
      </c>
      <c r="AA185" s="254">
        <f t="shared" si="3"/>
        <v>6.870757650897587</v>
      </c>
      <c r="AB185" s="255"/>
    </row>
    <row r="186" spans="1:28" ht="19.5">
      <c r="A186" s="248">
        <v>110</v>
      </c>
      <c r="B186" s="2" t="s">
        <v>430</v>
      </c>
      <c r="C186" s="251" t="str">
        <f>МРСК!C189</f>
        <v>2,5+2,5</v>
      </c>
      <c r="D186" s="251">
        <f>МРСК!D189</f>
        <v>876</v>
      </c>
      <c r="E186" s="251">
        <f>МРСК!E189</f>
        <v>492</v>
      </c>
      <c r="F186" s="253">
        <f>МРСК!F189</f>
        <v>1.004708913068855</v>
      </c>
      <c r="G186" s="254">
        <f>МРСК!G189</f>
        <v>0.42</v>
      </c>
      <c r="H186" s="286">
        <f>МРСК!H189</f>
        <v>80</v>
      </c>
      <c r="I186" s="254">
        <f>МРСК!I189</f>
        <v>0.584708913068855</v>
      </c>
      <c r="J186" s="252">
        <f>МРСК!J189</f>
        <v>0</v>
      </c>
      <c r="K186" s="289">
        <f>МРСК!K189</f>
        <v>2.625</v>
      </c>
      <c r="L186" s="277">
        <f>МРСК!L189</f>
        <v>2.040291086931145</v>
      </c>
      <c r="M186" s="254">
        <f t="shared" si="2"/>
        <v>2.040291086931145</v>
      </c>
      <c r="N186" s="255"/>
      <c r="P186" s="248">
        <v>110</v>
      </c>
      <c r="Q186" s="2" t="s">
        <v>430</v>
      </c>
      <c r="R186" s="251" t="str">
        <f>'МРСК 2'!C189</f>
        <v>2,5+2,5</v>
      </c>
      <c r="S186" s="251">
        <f>'МРСК 2'!D189</f>
        <v>0</v>
      </c>
      <c r="T186" s="252">
        <f>'МРСК 2'!E189</f>
        <v>1.004708913068855</v>
      </c>
      <c r="U186" s="254">
        <f>'МРСК 2'!F189</f>
        <v>0.42</v>
      </c>
      <c r="V186" s="286">
        <f>'МРСК 2'!G189</f>
        <v>80</v>
      </c>
      <c r="W186" s="254">
        <f>'МРСК 2'!H189</f>
        <v>0.584708913068855</v>
      </c>
      <c r="X186" s="252">
        <f>'МРСК 2'!I189</f>
        <v>0</v>
      </c>
      <c r="Y186" s="290">
        <f>'МРСК 2'!J189</f>
        <v>2.625</v>
      </c>
      <c r="Z186" s="254">
        <f>'МРСК 2'!K189</f>
        <v>2.040291086931145</v>
      </c>
      <c r="AA186" s="254">
        <f t="shared" si="3"/>
        <v>2.040291086931145</v>
      </c>
      <c r="AB186" s="255"/>
    </row>
    <row r="187" spans="1:28" ht="19.5">
      <c r="A187" s="248">
        <v>111</v>
      </c>
      <c r="B187" s="6" t="s">
        <v>431</v>
      </c>
      <c r="C187" s="251" t="str">
        <f>МРСК!C190</f>
        <v>10+10+10</v>
      </c>
      <c r="D187" s="251">
        <f>МРСК!D190</f>
        <v>6216</v>
      </c>
      <c r="E187" s="251">
        <f>МРСК!E190</f>
        <v>3216</v>
      </c>
      <c r="F187" s="253">
        <f>МРСК!F190</f>
        <v>6.998665015558324</v>
      </c>
      <c r="G187" s="254">
        <f>МРСК!G190</f>
        <v>1.707</v>
      </c>
      <c r="H187" s="286">
        <f>МРСК!H190</f>
        <v>120</v>
      </c>
      <c r="I187" s="254">
        <f>МРСК!I190</f>
        <v>5.2916650155583245</v>
      </c>
      <c r="J187" s="252">
        <f>МРСК!J190</f>
        <v>0</v>
      </c>
      <c r="K187" s="289">
        <f>МРСК!K190</f>
        <v>21</v>
      </c>
      <c r="L187" s="277">
        <f>МРСК!L190</f>
        <v>15.708334984441676</v>
      </c>
      <c r="M187" s="254">
        <f t="shared" si="2"/>
        <v>15.708334984441676</v>
      </c>
      <c r="N187" s="255"/>
      <c r="P187" s="248">
        <v>111</v>
      </c>
      <c r="Q187" s="6" t="s">
        <v>431</v>
      </c>
      <c r="R187" s="251" t="str">
        <f>'МРСК 2'!C190</f>
        <v>10+10+10</v>
      </c>
      <c r="S187" s="251">
        <f>'МРСК 2'!D190</f>
        <v>0.03</v>
      </c>
      <c r="T187" s="252">
        <f>'МРСК 2'!E190</f>
        <v>7.028665015558325</v>
      </c>
      <c r="U187" s="254">
        <f>'МРСК 2'!F190</f>
        <v>1.707</v>
      </c>
      <c r="V187" s="286">
        <f>'МРСК 2'!G190</f>
        <v>120</v>
      </c>
      <c r="W187" s="254">
        <f>'МРСК 2'!H190</f>
        <v>5.321665015558325</v>
      </c>
      <c r="X187" s="252">
        <f>'МРСК 2'!I190</f>
        <v>0</v>
      </c>
      <c r="Y187" s="290">
        <f>'МРСК 2'!J190</f>
        <v>21</v>
      </c>
      <c r="Z187" s="254">
        <f>'МРСК 2'!K190</f>
        <v>15.678334984441676</v>
      </c>
      <c r="AA187" s="254">
        <f t="shared" si="3"/>
        <v>15.678334984441676</v>
      </c>
      <c r="AB187" s="255"/>
    </row>
    <row r="188" spans="1:28" ht="19.5">
      <c r="A188" s="248">
        <v>112</v>
      </c>
      <c r="B188" s="2" t="s">
        <v>432</v>
      </c>
      <c r="C188" s="251" t="str">
        <f>МРСК!C191</f>
        <v>6,3+6,3</v>
      </c>
      <c r="D188" s="251">
        <f>МРСК!D191</f>
        <v>5808</v>
      </c>
      <c r="E188" s="251">
        <f>МРСК!E191</f>
        <v>2528</v>
      </c>
      <c r="F188" s="253">
        <f>МРСК!F191</f>
        <v>6.3343230103934545</v>
      </c>
      <c r="G188" s="254">
        <f>МРСК!G191</f>
        <v>3.88</v>
      </c>
      <c r="H188" s="286">
        <f>МРСК!H191</f>
        <v>80</v>
      </c>
      <c r="I188" s="254">
        <f>МРСК!I191</f>
        <v>2.4543230103934546</v>
      </c>
      <c r="J188" s="252">
        <f>МРСК!J191</f>
        <v>0</v>
      </c>
      <c r="K188" s="289">
        <f>МРСК!K191</f>
        <v>6.615</v>
      </c>
      <c r="L188" s="277">
        <f>МРСК!L191</f>
        <v>4.160676989606546</v>
      </c>
      <c r="M188" s="254">
        <f t="shared" si="2"/>
        <v>4.160676989606546</v>
      </c>
      <c r="N188" s="255"/>
      <c r="P188" s="248">
        <v>112</v>
      </c>
      <c r="Q188" s="2" t="s">
        <v>432</v>
      </c>
      <c r="R188" s="251" t="str">
        <f>'МРСК 2'!C191</f>
        <v>6,3+6,3</v>
      </c>
      <c r="S188" s="251">
        <f>'МРСК 2'!D191</f>
        <v>1.01</v>
      </c>
      <c r="T188" s="252">
        <f>'МРСК 2'!E191</f>
        <v>7.344323010393454</v>
      </c>
      <c r="U188" s="254">
        <f>'МРСК 2'!F191</f>
        <v>3.88</v>
      </c>
      <c r="V188" s="286">
        <f>'МРСК 2'!G191</f>
        <v>80</v>
      </c>
      <c r="W188" s="254">
        <f>'МРСК 2'!H191</f>
        <v>3.4643230103934544</v>
      </c>
      <c r="X188" s="252">
        <f>'МРСК 2'!I191</f>
        <v>0</v>
      </c>
      <c r="Y188" s="290">
        <f>'МРСК 2'!J191</f>
        <v>6.615</v>
      </c>
      <c r="Z188" s="254">
        <f>'МРСК 2'!K191</f>
        <v>3.150676989606546</v>
      </c>
      <c r="AA188" s="254">
        <f t="shared" si="3"/>
        <v>3.150676989606546</v>
      </c>
      <c r="AB188" s="255"/>
    </row>
    <row r="189" spans="1:28" ht="19.5">
      <c r="A189" s="248">
        <v>113</v>
      </c>
      <c r="B189" s="6" t="s">
        <v>433</v>
      </c>
      <c r="C189" s="251" t="str">
        <f>МРСК!C192</f>
        <v>2,5+2,5</v>
      </c>
      <c r="D189" s="251">
        <f>МРСК!D192</f>
        <v>1056</v>
      </c>
      <c r="E189" s="251">
        <f>МРСК!E192</f>
        <v>376</v>
      </c>
      <c r="F189" s="253">
        <f>МРСК!F192</f>
        <v>1.1209424606107132</v>
      </c>
      <c r="G189" s="254">
        <f>МРСК!G192</f>
        <v>0.5860328625822191</v>
      </c>
      <c r="H189" s="286">
        <f>МРСК!H192</f>
        <v>80</v>
      </c>
      <c r="I189" s="254">
        <f>МРСК!I192</f>
        <v>0.5349095980284941</v>
      </c>
      <c r="J189" s="252">
        <f>МРСК!J192</f>
        <v>0</v>
      </c>
      <c r="K189" s="289">
        <f>МРСК!K192</f>
        <v>2.625</v>
      </c>
      <c r="L189" s="277">
        <f>МРСК!L192</f>
        <v>2.090090401971506</v>
      </c>
      <c r="M189" s="254">
        <f t="shared" si="2"/>
        <v>2.090090401971506</v>
      </c>
      <c r="N189" s="255"/>
      <c r="P189" s="248">
        <v>113</v>
      </c>
      <c r="Q189" s="6" t="s">
        <v>433</v>
      </c>
      <c r="R189" s="251" t="str">
        <f>'МРСК 2'!C192</f>
        <v>2,5+2,5</v>
      </c>
      <c r="S189" s="251">
        <f>'МРСК 2'!D192</f>
        <v>0</v>
      </c>
      <c r="T189" s="252">
        <f>'МРСК 2'!E192</f>
        <v>1.1209424606107132</v>
      </c>
      <c r="U189" s="254">
        <f>'МРСК 2'!F192</f>
        <v>0.5860328625822191</v>
      </c>
      <c r="V189" s="286">
        <f>'МРСК 2'!G192</f>
        <v>80</v>
      </c>
      <c r="W189" s="254">
        <f>'МРСК 2'!H192</f>
        <v>0.5349095980284941</v>
      </c>
      <c r="X189" s="252">
        <f>'МРСК 2'!I192</f>
        <v>0</v>
      </c>
      <c r="Y189" s="290">
        <f>'МРСК 2'!J192</f>
        <v>2.625</v>
      </c>
      <c r="Z189" s="254">
        <f>'МРСК 2'!K192</f>
        <v>2.090090401971506</v>
      </c>
      <c r="AA189" s="254">
        <f t="shared" si="3"/>
        <v>2.090090401971506</v>
      </c>
      <c r="AB189" s="255"/>
    </row>
    <row r="190" spans="1:28" ht="19.5">
      <c r="A190" s="248">
        <v>114</v>
      </c>
      <c r="B190" s="2" t="s">
        <v>434</v>
      </c>
      <c r="C190" s="251" t="str">
        <f>МРСК!C193</f>
        <v>4+4</v>
      </c>
      <c r="D190" s="251">
        <f>МРСК!D193</f>
        <v>2264</v>
      </c>
      <c r="E190" s="251">
        <f>МРСК!E193</f>
        <v>848</v>
      </c>
      <c r="F190" s="253">
        <f>МРСК!F193</f>
        <v>2.417602117801852</v>
      </c>
      <c r="G190" s="254">
        <f>МРСК!G193</f>
        <v>2.056</v>
      </c>
      <c r="H190" s="286">
        <f>МРСК!H193</f>
        <v>45</v>
      </c>
      <c r="I190" s="254">
        <f>МРСК!I193</f>
        <v>0.3616021178018518</v>
      </c>
      <c r="J190" s="252">
        <f>МРСК!J193</f>
        <v>0</v>
      </c>
      <c r="K190" s="289">
        <f>МРСК!K193</f>
        <v>4.2</v>
      </c>
      <c r="L190" s="277">
        <f>МРСК!L193</f>
        <v>3.8383978821981484</v>
      </c>
      <c r="M190" s="254">
        <f t="shared" si="2"/>
        <v>3.8383978821981484</v>
      </c>
      <c r="N190" s="255"/>
      <c r="P190" s="248">
        <v>114</v>
      </c>
      <c r="Q190" s="2" t="s">
        <v>434</v>
      </c>
      <c r="R190" s="251" t="str">
        <f>'МРСК 2'!C193</f>
        <v>4+4</v>
      </c>
      <c r="S190" s="251">
        <f>'МРСК 2'!D193</f>
        <v>0.3</v>
      </c>
      <c r="T190" s="252">
        <f>'МРСК 2'!E193</f>
        <v>2.7176021178018517</v>
      </c>
      <c r="U190" s="254">
        <f>'МРСК 2'!F193</f>
        <v>2.056</v>
      </c>
      <c r="V190" s="286">
        <f>'МРСК 2'!G193</f>
        <v>45</v>
      </c>
      <c r="W190" s="254">
        <f>'МРСК 2'!H193</f>
        <v>0.6616021178018516</v>
      </c>
      <c r="X190" s="252">
        <f>'МРСК 2'!I193</f>
        <v>0</v>
      </c>
      <c r="Y190" s="290">
        <f>'МРСК 2'!J193</f>
        <v>4.2</v>
      </c>
      <c r="Z190" s="254">
        <f>'МРСК 2'!K193</f>
        <v>3.5383978821981485</v>
      </c>
      <c r="AA190" s="254">
        <f t="shared" si="3"/>
        <v>3.5383978821981485</v>
      </c>
      <c r="AB190" s="255"/>
    </row>
    <row r="191" spans="1:28" ht="19.5">
      <c r="A191" s="248">
        <v>115</v>
      </c>
      <c r="B191" s="6" t="s">
        <v>435</v>
      </c>
      <c r="C191" s="251" t="str">
        <f>МРСК!C194</f>
        <v>4+2,5</v>
      </c>
      <c r="D191" s="251">
        <f>МРСК!D194</f>
        <v>1128</v>
      </c>
      <c r="E191" s="251">
        <f>МРСК!E194</f>
        <v>592</v>
      </c>
      <c r="F191" s="253">
        <f>МРСК!F194</f>
        <v>1.2739105149106824</v>
      </c>
      <c r="G191" s="254">
        <f>МРСК!G194</f>
        <v>0.939351515379801</v>
      </c>
      <c r="H191" s="286">
        <f>МРСК!H194</f>
        <v>120</v>
      </c>
      <c r="I191" s="254">
        <f>МРСК!I194</f>
        <v>0.3345589995308814</v>
      </c>
      <c r="J191" s="252">
        <f>МРСК!J194</f>
        <v>0</v>
      </c>
      <c r="K191" s="289">
        <f>МРСК!K194</f>
        <v>2.625</v>
      </c>
      <c r="L191" s="277">
        <f>МРСК!L194</f>
        <v>2.2904410004691185</v>
      </c>
      <c r="M191" s="254">
        <f t="shared" si="2"/>
        <v>2.2904410004691185</v>
      </c>
      <c r="N191" s="255"/>
      <c r="P191" s="248">
        <v>115</v>
      </c>
      <c r="Q191" s="6" t="s">
        <v>435</v>
      </c>
      <c r="R191" s="251" t="str">
        <f>'МРСК 2'!C194</f>
        <v>4+2,5</v>
      </c>
      <c r="S191" s="251">
        <f>'МРСК 2'!D194</f>
        <v>0.02</v>
      </c>
      <c r="T191" s="252">
        <f>'МРСК 2'!E194</f>
        <v>1.2939105149106824</v>
      </c>
      <c r="U191" s="254">
        <f>'МРСК 2'!F194</f>
        <v>0.939351515379801</v>
      </c>
      <c r="V191" s="286">
        <f>'МРСК 2'!G194</f>
        <v>120</v>
      </c>
      <c r="W191" s="254">
        <f>'МРСК 2'!H194</f>
        <v>0.35455899953088144</v>
      </c>
      <c r="X191" s="252">
        <f>'МРСК 2'!I194</f>
        <v>0</v>
      </c>
      <c r="Y191" s="290">
        <f>'МРСК 2'!J194</f>
        <v>2.625</v>
      </c>
      <c r="Z191" s="254">
        <f>'МРСК 2'!K194</f>
        <v>2.2704410004691185</v>
      </c>
      <c r="AA191" s="254">
        <f t="shared" si="3"/>
        <v>2.2704410004691185</v>
      </c>
      <c r="AB191" s="255"/>
    </row>
    <row r="192" spans="1:28" ht="19.5">
      <c r="A192" s="248">
        <v>116</v>
      </c>
      <c r="B192" s="2" t="s">
        <v>436</v>
      </c>
      <c r="C192" s="251" t="str">
        <f>МРСК!C195</f>
        <v>2,5+4</v>
      </c>
      <c r="D192" s="251">
        <f>МРСК!D195</f>
        <v>1293</v>
      </c>
      <c r="E192" s="251">
        <f>МРСК!E195</f>
        <v>458</v>
      </c>
      <c r="F192" s="253">
        <f>МРСК!F195</f>
        <v>1.3717189945466237</v>
      </c>
      <c r="G192" s="254">
        <f>МРСК!G195</f>
        <v>0.8714116873317177</v>
      </c>
      <c r="H192" s="286">
        <f>МРСК!H195</f>
        <v>45</v>
      </c>
      <c r="I192" s="254">
        <f>МРСК!I195</f>
        <v>0.500307307214906</v>
      </c>
      <c r="J192" s="252">
        <f>МРСК!J195</f>
        <v>0</v>
      </c>
      <c r="K192" s="289">
        <f>МРСК!K195</f>
        <v>2.625</v>
      </c>
      <c r="L192" s="277">
        <f>МРСК!L195</f>
        <v>2.1246926927850938</v>
      </c>
      <c r="M192" s="254">
        <f t="shared" si="2"/>
        <v>2.1246926927850938</v>
      </c>
      <c r="N192" s="255"/>
      <c r="P192" s="248">
        <v>116</v>
      </c>
      <c r="Q192" s="2" t="s">
        <v>436</v>
      </c>
      <c r="R192" s="251" t="str">
        <f>'МРСК 2'!C195</f>
        <v>2,5+4</v>
      </c>
      <c r="S192" s="251">
        <f>'МРСК 2'!D195</f>
        <v>0</v>
      </c>
      <c r="T192" s="252">
        <f>'МРСК 2'!E195</f>
        <v>1.3717189945466237</v>
      </c>
      <c r="U192" s="254">
        <f>'МРСК 2'!F195</f>
        <v>0.8714116873317177</v>
      </c>
      <c r="V192" s="286">
        <f>'МРСК 2'!G195</f>
        <v>45</v>
      </c>
      <c r="W192" s="254">
        <f>'МРСК 2'!H195</f>
        <v>0.500307307214906</v>
      </c>
      <c r="X192" s="252">
        <f>'МРСК 2'!I195</f>
        <v>0</v>
      </c>
      <c r="Y192" s="290">
        <f>'МРСК 2'!J195</f>
        <v>2.625</v>
      </c>
      <c r="Z192" s="254">
        <f>'МРСК 2'!K195</f>
        <v>2.1246926927850938</v>
      </c>
      <c r="AA192" s="254">
        <f t="shared" si="3"/>
        <v>2.1246926927850938</v>
      </c>
      <c r="AB192" s="255"/>
    </row>
    <row r="193" spans="1:28" ht="19.5">
      <c r="A193" s="248">
        <v>117</v>
      </c>
      <c r="B193" s="6" t="s">
        <v>437</v>
      </c>
      <c r="C193" s="251" t="str">
        <f>МРСК!C196</f>
        <v>4+4</v>
      </c>
      <c r="D193" s="251">
        <f>МРСК!D196</f>
        <v>2784</v>
      </c>
      <c r="E193" s="251">
        <f>МРСК!E196</f>
        <v>924</v>
      </c>
      <c r="F193" s="253">
        <f>МРСК!F196</f>
        <v>2.9333312121204456</v>
      </c>
      <c r="G193" s="254">
        <f>МРСК!G196</f>
        <v>0.736</v>
      </c>
      <c r="H193" s="286">
        <f>МРСК!H196</f>
        <v>120</v>
      </c>
      <c r="I193" s="254">
        <f>МРСК!I196</f>
        <v>2.197331212120446</v>
      </c>
      <c r="J193" s="252">
        <f>МРСК!J196</f>
        <v>0</v>
      </c>
      <c r="K193" s="289">
        <f>МРСК!K196</f>
        <v>4.2</v>
      </c>
      <c r="L193" s="277">
        <f>МРСК!L196</f>
        <v>2.0026687878795544</v>
      </c>
      <c r="M193" s="254">
        <f t="shared" si="2"/>
        <v>2.0026687878795544</v>
      </c>
      <c r="N193" s="255"/>
      <c r="P193" s="248">
        <v>117</v>
      </c>
      <c r="Q193" s="6" t="s">
        <v>437</v>
      </c>
      <c r="R193" s="251" t="str">
        <f>'МРСК 2'!C196</f>
        <v>4+4</v>
      </c>
      <c r="S193" s="251">
        <f>'МРСК 2'!D196</f>
        <v>0.02</v>
      </c>
      <c r="T193" s="252">
        <f>'МРСК 2'!E196</f>
        <v>2.9533312121204456</v>
      </c>
      <c r="U193" s="254">
        <f>'МРСК 2'!F196</f>
        <v>0.736</v>
      </c>
      <c r="V193" s="286">
        <f>'МРСК 2'!G196</f>
        <v>120</v>
      </c>
      <c r="W193" s="254">
        <f>'МРСК 2'!H196</f>
        <v>2.2173312121204454</v>
      </c>
      <c r="X193" s="252">
        <f>'МРСК 2'!I196</f>
        <v>0</v>
      </c>
      <c r="Y193" s="290">
        <f>'МРСК 2'!J196</f>
        <v>4.2</v>
      </c>
      <c r="Z193" s="254">
        <f>'МРСК 2'!K196</f>
        <v>1.9826687878795548</v>
      </c>
      <c r="AA193" s="254">
        <f t="shared" si="3"/>
        <v>1.9826687878795548</v>
      </c>
      <c r="AB193" s="255"/>
    </row>
    <row r="194" spans="1:28" ht="19.5">
      <c r="A194" s="248">
        <v>118</v>
      </c>
      <c r="B194" s="2" t="s">
        <v>438</v>
      </c>
      <c r="C194" s="251" t="str">
        <f>МРСК!C197</f>
        <v>2,5+2,5</v>
      </c>
      <c r="D194" s="251">
        <f>МРСК!D197</f>
        <v>972</v>
      </c>
      <c r="E194" s="251">
        <f>МРСК!E197</f>
        <v>328</v>
      </c>
      <c r="F194" s="253">
        <f>МРСК!F197</f>
        <v>1.0258498915533403</v>
      </c>
      <c r="G194" s="254">
        <f>МРСК!G197</f>
        <v>0.712</v>
      </c>
      <c r="H194" s="286">
        <f>МРСК!H197</f>
        <v>120</v>
      </c>
      <c r="I194" s="254">
        <f>МРСК!I197</f>
        <v>0.3138498915533403</v>
      </c>
      <c r="J194" s="252">
        <f>МРСК!J197</f>
        <v>0</v>
      </c>
      <c r="K194" s="289">
        <f>МРСК!K197</f>
        <v>2.625</v>
      </c>
      <c r="L194" s="277">
        <f>МРСК!L197</f>
        <v>2.3111501084466597</v>
      </c>
      <c r="M194" s="254">
        <f t="shared" si="2"/>
        <v>2.3111501084466597</v>
      </c>
      <c r="N194" s="255"/>
      <c r="P194" s="248">
        <v>118</v>
      </c>
      <c r="Q194" s="2" t="s">
        <v>438</v>
      </c>
      <c r="R194" s="251" t="str">
        <f>'МРСК 2'!C197</f>
        <v>2,5+2,5</v>
      </c>
      <c r="S194" s="251">
        <f>'МРСК 2'!D197</f>
        <v>0.02</v>
      </c>
      <c r="T194" s="252">
        <f>'МРСК 2'!E197</f>
        <v>1.0458498915533403</v>
      </c>
      <c r="U194" s="254">
        <f>'МРСК 2'!F197</f>
        <v>0.712</v>
      </c>
      <c r="V194" s="286">
        <f>'МРСК 2'!G197</f>
        <v>120</v>
      </c>
      <c r="W194" s="254">
        <f>'МРСК 2'!H197</f>
        <v>0.3338498915533403</v>
      </c>
      <c r="X194" s="252">
        <f>'МРСК 2'!I197</f>
        <v>0</v>
      </c>
      <c r="Y194" s="290">
        <f>'МРСК 2'!J197</f>
        <v>2.625</v>
      </c>
      <c r="Z194" s="254">
        <f>'МРСК 2'!K197</f>
        <v>2.2911501084466597</v>
      </c>
      <c r="AA194" s="254">
        <f t="shared" si="3"/>
        <v>2.2911501084466597</v>
      </c>
      <c r="AB194" s="255"/>
    </row>
    <row r="195" spans="1:28" ht="19.5">
      <c r="A195" s="248">
        <v>119</v>
      </c>
      <c r="B195" s="6" t="s">
        <v>439</v>
      </c>
      <c r="C195" s="251" t="str">
        <f>МРСК!C198</f>
        <v>6,3+6,3</v>
      </c>
      <c r="D195" s="251">
        <f>МРСК!D198</f>
        <v>3000</v>
      </c>
      <c r="E195" s="251">
        <f>МРСК!E198</f>
        <v>1284</v>
      </c>
      <c r="F195" s="253">
        <f>МРСК!F198</f>
        <v>3.263227849844384</v>
      </c>
      <c r="G195" s="254">
        <f>МРСК!G198</f>
        <v>0.7035</v>
      </c>
      <c r="H195" s="286">
        <f>МРСК!H198</f>
        <v>120</v>
      </c>
      <c r="I195" s="254">
        <f>МРСК!I198</f>
        <v>2.559727849844384</v>
      </c>
      <c r="J195" s="252">
        <f>МРСК!J198</f>
        <v>0</v>
      </c>
      <c r="K195" s="289">
        <f>МРСК!K198</f>
        <v>6.615</v>
      </c>
      <c r="L195" s="277">
        <f>МРСК!L198</f>
        <v>4.055272150155616</v>
      </c>
      <c r="M195" s="254">
        <f t="shared" si="2"/>
        <v>4.055272150155616</v>
      </c>
      <c r="N195" s="255"/>
      <c r="P195" s="248">
        <v>119</v>
      </c>
      <c r="Q195" s="6" t="s">
        <v>439</v>
      </c>
      <c r="R195" s="251" t="str">
        <f>'МРСК 2'!C198</f>
        <v>6,3+6,3</v>
      </c>
      <c r="S195" s="251">
        <f>'МРСК 2'!D198</f>
        <v>0</v>
      </c>
      <c r="T195" s="252">
        <f>'МРСК 2'!E198</f>
        <v>3.263227849844384</v>
      </c>
      <c r="U195" s="254">
        <f>'МРСК 2'!F198</f>
        <v>0.7035</v>
      </c>
      <c r="V195" s="286">
        <f>'МРСК 2'!G198</f>
        <v>120</v>
      </c>
      <c r="W195" s="254">
        <f>'МРСК 2'!H198</f>
        <v>2.559727849844384</v>
      </c>
      <c r="X195" s="252">
        <f>'МРСК 2'!I198</f>
        <v>0</v>
      </c>
      <c r="Y195" s="290">
        <f>'МРСК 2'!J198</f>
        <v>6.615</v>
      </c>
      <c r="Z195" s="254">
        <f>'МРСК 2'!K198</f>
        <v>4.055272150155616</v>
      </c>
      <c r="AA195" s="254">
        <f t="shared" si="3"/>
        <v>4.055272150155616</v>
      </c>
      <c r="AB195" s="255"/>
    </row>
    <row r="196" spans="1:28" ht="19.5">
      <c r="A196" s="248">
        <v>120</v>
      </c>
      <c r="B196" s="2" t="s">
        <v>440</v>
      </c>
      <c r="C196" s="251" t="str">
        <f>МРСК!C199</f>
        <v>2,5+2,5</v>
      </c>
      <c r="D196" s="251">
        <f>МРСК!D199</f>
        <v>2384</v>
      </c>
      <c r="E196" s="251">
        <f>МРСК!E199</f>
        <v>752</v>
      </c>
      <c r="F196" s="253">
        <f>МРСК!F199</f>
        <v>2.4997919913464797</v>
      </c>
      <c r="G196" s="254">
        <f>МРСК!G199</f>
        <v>1.6480094565606436</v>
      </c>
      <c r="H196" s="286">
        <f>МРСК!H199</f>
        <v>20</v>
      </c>
      <c r="I196" s="254">
        <f>МРСК!I199</f>
        <v>0.8517825347858361</v>
      </c>
      <c r="J196" s="252">
        <f>МРСК!J199</f>
        <v>0</v>
      </c>
      <c r="K196" s="289">
        <f>МРСК!K199</f>
        <v>2.625</v>
      </c>
      <c r="L196" s="277">
        <f>МРСК!L199</f>
        <v>1.773217465214164</v>
      </c>
      <c r="M196" s="254">
        <f t="shared" si="2"/>
        <v>1.773217465214164</v>
      </c>
      <c r="N196" s="255"/>
      <c r="P196" s="248">
        <v>120</v>
      </c>
      <c r="Q196" s="2" t="s">
        <v>440</v>
      </c>
      <c r="R196" s="251" t="str">
        <f>'МРСК 2'!C199</f>
        <v>2,5+2,5</v>
      </c>
      <c r="S196" s="251">
        <f>'МРСК 2'!D199</f>
        <v>0.13</v>
      </c>
      <c r="T196" s="252">
        <f>'МРСК 2'!E199</f>
        <v>2.6297919913464796</v>
      </c>
      <c r="U196" s="254">
        <f>'МРСК 2'!F199</f>
        <v>1.6480094565606436</v>
      </c>
      <c r="V196" s="286">
        <f>'МРСК 2'!G199</f>
        <v>20</v>
      </c>
      <c r="W196" s="254">
        <f>'МРСК 2'!H199</f>
        <v>0.981782534785836</v>
      </c>
      <c r="X196" s="252">
        <f>'МРСК 2'!I199</f>
        <v>0</v>
      </c>
      <c r="Y196" s="290">
        <f>'МРСК 2'!J199</f>
        <v>2.625</v>
      </c>
      <c r="Z196" s="254">
        <f>'МРСК 2'!K199</f>
        <v>1.643217465214164</v>
      </c>
      <c r="AA196" s="254">
        <f t="shared" si="3"/>
        <v>1.643217465214164</v>
      </c>
      <c r="AB196" s="255"/>
    </row>
    <row r="197" spans="1:28" ht="19.5">
      <c r="A197" s="248">
        <v>121</v>
      </c>
      <c r="B197" s="6" t="s">
        <v>441</v>
      </c>
      <c r="C197" s="251" t="str">
        <f>МРСК!C200</f>
        <v>2,5+4</v>
      </c>
      <c r="D197" s="251">
        <f>МРСК!D200</f>
        <v>684</v>
      </c>
      <c r="E197" s="251">
        <f>МРСК!E200</f>
        <v>240</v>
      </c>
      <c r="F197" s="253">
        <f>МРСК!F200</f>
        <v>0.7248834389058698</v>
      </c>
      <c r="G197" s="254">
        <f>МРСК!G200</f>
        <v>0.6285950453618376</v>
      </c>
      <c r="H197" s="286">
        <f>МРСК!H200</f>
        <v>45</v>
      </c>
      <c r="I197" s="254">
        <f>МРСК!I200</f>
        <v>0.09628839354403218</v>
      </c>
      <c r="J197" s="252">
        <f>МРСК!J200</f>
        <v>0</v>
      </c>
      <c r="K197" s="289">
        <f>МРСК!K200</f>
        <v>2.625</v>
      </c>
      <c r="L197" s="277">
        <f>МРСК!L200</f>
        <v>2.5287116064559676</v>
      </c>
      <c r="M197" s="254">
        <f t="shared" si="2"/>
        <v>2.5287116064559676</v>
      </c>
      <c r="N197" s="255"/>
      <c r="P197" s="248">
        <v>121</v>
      </c>
      <c r="Q197" s="6" t="s">
        <v>441</v>
      </c>
      <c r="R197" s="251" t="str">
        <f>'МРСК 2'!C200</f>
        <v>2,5+4</v>
      </c>
      <c r="S197" s="251">
        <f>'МРСК 2'!D200</f>
        <v>1.5100000000000002</v>
      </c>
      <c r="T197" s="252">
        <f>'МРСК 2'!E200</f>
        <v>2.23488343890587</v>
      </c>
      <c r="U197" s="254">
        <f>'МРСК 2'!F200</f>
        <v>0.6285950453618376</v>
      </c>
      <c r="V197" s="286">
        <f>'МРСК 2'!G200</f>
        <v>45</v>
      </c>
      <c r="W197" s="254">
        <f>'МРСК 2'!H200</f>
        <v>1.6062883935440322</v>
      </c>
      <c r="X197" s="252">
        <f>'МРСК 2'!I200</f>
        <v>0</v>
      </c>
      <c r="Y197" s="290">
        <f>'МРСК 2'!J200</f>
        <v>2.625</v>
      </c>
      <c r="Z197" s="254">
        <f>'МРСК 2'!K200</f>
        <v>1.0187116064559678</v>
      </c>
      <c r="AA197" s="254">
        <f t="shared" si="3"/>
        <v>1.0187116064559678</v>
      </c>
      <c r="AB197" s="255"/>
    </row>
    <row r="198" spans="1:28" ht="19.5">
      <c r="A198" s="248">
        <v>122</v>
      </c>
      <c r="B198" s="2" t="s">
        <v>442</v>
      </c>
      <c r="C198" s="251" t="str">
        <f>МРСК!C201</f>
        <v>4+2,5</v>
      </c>
      <c r="D198" s="251">
        <f>МРСК!D201</f>
        <v>1040</v>
      </c>
      <c r="E198" s="251">
        <f>МРСК!E201</f>
        <v>416</v>
      </c>
      <c r="F198" s="253">
        <f>МРСК!F201</f>
        <v>1.120114279883977</v>
      </c>
      <c r="G198" s="254">
        <f>МРСК!G201</f>
        <v>1.1395214781841227</v>
      </c>
      <c r="H198" s="286">
        <f>МРСК!H201</f>
        <v>80</v>
      </c>
      <c r="I198" s="254">
        <f>МРСК!I201</f>
        <v>-0.01940719830014581</v>
      </c>
      <c r="J198" s="252">
        <f>МРСК!J201</f>
        <v>0</v>
      </c>
      <c r="K198" s="289">
        <f>МРСК!K201</f>
        <v>2.625</v>
      </c>
      <c r="L198" s="277">
        <f>МРСК!L201</f>
        <v>2.644407198300146</v>
      </c>
      <c r="M198" s="254">
        <f t="shared" si="2"/>
        <v>2.644407198300146</v>
      </c>
      <c r="N198" s="255"/>
      <c r="P198" s="248">
        <v>122</v>
      </c>
      <c r="Q198" s="2" t="s">
        <v>442</v>
      </c>
      <c r="R198" s="251" t="str">
        <f>'МРСК 2'!C201</f>
        <v>4+2,5</v>
      </c>
      <c r="S198" s="251">
        <f>'МРСК 2'!D201</f>
        <v>0</v>
      </c>
      <c r="T198" s="252">
        <f>'МРСК 2'!E201</f>
        <v>1.120114279883977</v>
      </c>
      <c r="U198" s="254">
        <f>'МРСК 2'!F201</f>
        <v>1.1395214781841227</v>
      </c>
      <c r="V198" s="286">
        <f>'МРСК 2'!G201</f>
        <v>80</v>
      </c>
      <c r="W198" s="254">
        <f>'МРСК 2'!H201</f>
        <v>-0.01940719830014581</v>
      </c>
      <c r="X198" s="252">
        <f>'МРСК 2'!I201</f>
        <v>0</v>
      </c>
      <c r="Y198" s="290">
        <f>'МРСК 2'!J201</f>
        <v>2.625</v>
      </c>
      <c r="Z198" s="254">
        <f>'МРСК 2'!K201</f>
        <v>2.644407198300146</v>
      </c>
      <c r="AA198" s="254">
        <f t="shared" si="3"/>
        <v>2.644407198300146</v>
      </c>
      <c r="AB198" s="255"/>
    </row>
    <row r="199" spans="1:28" ht="19.5">
      <c r="A199" s="248">
        <v>123</v>
      </c>
      <c r="B199" s="6" t="s">
        <v>443</v>
      </c>
      <c r="C199" s="251" t="str">
        <f>МРСК!C202</f>
        <v>4+2,5</v>
      </c>
      <c r="D199" s="251">
        <f>МРСК!D202</f>
        <v>1116</v>
      </c>
      <c r="E199" s="251">
        <f>МРСК!E202</f>
        <v>468</v>
      </c>
      <c r="F199" s="253">
        <f>МРСК!F202</f>
        <v>1.210157014605956</v>
      </c>
      <c r="G199" s="254">
        <f>МРСК!G202</f>
        <v>0.6781782133174243</v>
      </c>
      <c r="H199" s="286">
        <f>МРСК!H202</f>
        <v>120</v>
      </c>
      <c r="I199" s="254">
        <f>МРСК!I202</f>
        <v>0.5319788012885316</v>
      </c>
      <c r="J199" s="252">
        <f>МРСК!J202</f>
        <v>0</v>
      </c>
      <c r="K199" s="289">
        <f>МРСК!K202</f>
        <v>2.625</v>
      </c>
      <c r="L199" s="277">
        <f>МРСК!L202</f>
        <v>2.0930211987114684</v>
      </c>
      <c r="M199" s="254">
        <f t="shared" si="2"/>
        <v>2.0930211987114684</v>
      </c>
      <c r="N199" s="255"/>
      <c r="P199" s="248">
        <v>123</v>
      </c>
      <c r="Q199" s="6" t="s">
        <v>443</v>
      </c>
      <c r="R199" s="251" t="str">
        <f>'МРСК 2'!C202</f>
        <v>4+2,5</v>
      </c>
      <c r="S199" s="251">
        <f>'МРСК 2'!D202</f>
        <v>0.08</v>
      </c>
      <c r="T199" s="252">
        <f>'МРСК 2'!E202</f>
        <v>1.290157014605956</v>
      </c>
      <c r="U199" s="254">
        <f>'МРСК 2'!F202</f>
        <v>0.6781782133174243</v>
      </c>
      <c r="V199" s="286">
        <f>'МРСК 2'!G202</f>
        <v>120</v>
      </c>
      <c r="W199" s="254">
        <f>'МРСК 2'!H202</f>
        <v>0.6119788012885317</v>
      </c>
      <c r="X199" s="252">
        <f>'МРСК 2'!I202</f>
        <v>0</v>
      </c>
      <c r="Y199" s="290">
        <f>'МРСК 2'!J202</f>
        <v>2.625</v>
      </c>
      <c r="Z199" s="254">
        <f>'МРСК 2'!K202</f>
        <v>2.0130211987114683</v>
      </c>
      <c r="AA199" s="254">
        <f t="shared" si="3"/>
        <v>2.0130211987114683</v>
      </c>
      <c r="AB199" s="255"/>
    </row>
    <row r="200" spans="1:28" ht="19.5">
      <c r="A200" s="248">
        <v>124</v>
      </c>
      <c r="B200" s="2" t="s">
        <v>444</v>
      </c>
      <c r="C200" s="251" t="str">
        <f>МРСК!C203</f>
        <v>4+4</v>
      </c>
      <c r="D200" s="251">
        <f>МРСК!D203</f>
        <v>2768</v>
      </c>
      <c r="E200" s="251">
        <f>МРСК!E203</f>
        <v>1408</v>
      </c>
      <c r="F200" s="253">
        <f>МРСК!F203</f>
        <v>3.1055253983826954</v>
      </c>
      <c r="G200" s="254">
        <f>МРСК!G203</f>
        <v>1.7970144010193758</v>
      </c>
      <c r="H200" s="286">
        <f>МРСК!H203</f>
        <v>80</v>
      </c>
      <c r="I200" s="254">
        <f>МРСК!I203</f>
        <v>1.3085109973633196</v>
      </c>
      <c r="J200" s="252">
        <f>МРСК!J203</f>
        <v>0</v>
      </c>
      <c r="K200" s="289">
        <f>МРСК!K203</f>
        <v>4.2</v>
      </c>
      <c r="L200" s="277">
        <f>МРСК!L203</f>
        <v>2.8914890026366806</v>
      </c>
      <c r="M200" s="254">
        <f t="shared" si="2"/>
        <v>2.8914890026366806</v>
      </c>
      <c r="N200" s="255"/>
      <c r="P200" s="248">
        <v>124</v>
      </c>
      <c r="Q200" s="2" t="s">
        <v>444</v>
      </c>
      <c r="R200" s="251" t="str">
        <f>'МРСК 2'!C203</f>
        <v>4+4</v>
      </c>
      <c r="S200" s="251">
        <f>'МРСК 2'!D203</f>
        <v>0.77</v>
      </c>
      <c r="T200" s="252">
        <f>'МРСК 2'!E203</f>
        <v>3.8755253983826954</v>
      </c>
      <c r="U200" s="254">
        <f>'МРСК 2'!F203</f>
        <v>1.7970144010193758</v>
      </c>
      <c r="V200" s="286">
        <f>'МРСК 2'!G203</f>
        <v>80</v>
      </c>
      <c r="W200" s="254">
        <f>'МРСК 2'!H203</f>
        <v>2.0785109973633196</v>
      </c>
      <c r="X200" s="252">
        <f>'МРСК 2'!I203</f>
        <v>0</v>
      </c>
      <c r="Y200" s="290">
        <f>'МРСК 2'!J203</f>
        <v>4.2</v>
      </c>
      <c r="Z200" s="254">
        <f>'МРСК 2'!K203</f>
        <v>2.1214890026366806</v>
      </c>
      <c r="AA200" s="254">
        <f t="shared" si="3"/>
        <v>2.1214890026366806</v>
      </c>
      <c r="AB200" s="255"/>
    </row>
    <row r="201" spans="1:28" ht="19.5">
      <c r="A201" s="248">
        <v>125</v>
      </c>
      <c r="B201" s="6" t="s">
        <v>445</v>
      </c>
      <c r="C201" s="251" t="str">
        <f>МРСК!C204</f>
        <v>4+5,6</v>
      </c>
      <c r="D201" s="251">
        <f>МРСК!D204</f>
        <v>3801</v>
      </c>
      <c r="E201" s="251">
        <f>МРСК!E204</f>
        <v>1252</v>
      </c>
      <c r="F201" s="253">
        <f>МРСК!F204</f>
        <v>4.0018876795832234</v>
      </c>
      <c r="G201" s="254">
        <f>МРСК!G204</f>
        <v>0.581</v>
      </c>
      <c r="H201" s="286">
        <f>МРСК!H204</f>
        <v>120</v>
      </c>
      <c r="I201" s="254">
        <f>МРСК!I204</f>
        <v>3.4208876795832235</v>
      </c>
      <c r="J201" s="252">
        <f>МРСК!J204</f>
        <v>0</v>
      </c>
      <c r="K201" s="289">
        <f>МРСК!K204</f>
        <v>4.2</v>
      </c>
      <c r="L201" s="277">
        <f>МРСК!L204</f>
        <v>0.7791123204167767</v>
      </c>
      <c r="M201" s="254">
        <f t="shared" si="2"/>
        <v>0.7791123204167767</v>
      </c>
      <c r="N201" s="255"/>
      <c r="P201" s="248">
        <v>125</v>
      </c>
      <c r="Q201" s="6" t="s">
        <v>445</v>
      </c>
      <c r="R201" s="251" t="str">
        <f>'МРСК 2'!C204</f>
        <v>4+5,6</v>
      </c>
      <c r="S201" s="251">
        <f>'МРСК 2'!D204</f>
        <v>0.25</v>
      </c>
      <c r="T201" s="252">
        <f>'МРСК 2'!E204</f>
        <v>4.2518876795832234</v>
      </c>
      <c r="U201" s="254">
        <f>'МРСК 2'!F204</f>
        <v>0.581</v>
      </c>
      <c r="V201" s="286">
        <f>'МРСК 2'!G204</f>
        <v>120</v>
      </c>
      <c r="W201" s="254">
        <f>'МРСК 2'!H204</f>
        <v>3.6708876795832235</v>
      </c>
      <c r="X201" s="252">
        <f>'МРСК 2'!I204</f>
        <v>0</v>
      </c>
      <c r="Y201" s="290">
        <f>'МРСК 2'!J204</f>
        <v>4.2</v>
      </c>
      <c r="Z201" s="254">
        <f>'МРСК 2'!K204</f>
        <v>0.5291123204167767</v>
      </c>
      <c r="AA201" s="254">
        <f t="shared" si="3"/>
        <v>0.5291123204167767</v>
      </c>
      <c r="AB201" s="255"/>
    </row>
    <row r="202" spans="1:28" ht="19.5">
      <c r="A202" s="248">
        <v>126</v>
      </c>
      <c r="B202" s="2" t="s">
        <v>446</v>
      </c>
      <c r="C202" s="251" t="str">
        <f>МРСК!C205</f>
        <v>4+4</v>
      </c>
      <c r="D202" s="251">
        <f>МРСК!D205</f>
        <v>2520</v>
      </c>
      <c r="E202" s="251">
        <f>МРСК!E205</f>
        <v>1239</v>
      </c>
      <c r="F202" s="253">
        <f>МРСК!F205</f>
        <v>2.8081169847426226</v>
      </c>
      <c r="G202" s="254">
        <f>МРСК!G205</f>
        <v>1.321</v>
      </c>
      <c r="H202" s="286">
        <f>МРСК!H205</f>
        <v>80</v>
      </c>
      <c r="I202" s="254">
        <f>МРСК!I205</f>
        <v>1.4871169847426227</v>
      </c>
      <c r="J202" s="252">
        <f>МРСК!J205</f>
        <v>0</v>
      </c>
      <c r="K202" s="289">
        <f>МРСК!K205</f>
        <v>4.2</v>
      </c>
      <c r="L202" s="277">
        <f>МРСК!L205</f>
        <v>2.7128830152573773</v>
      </c>
      <c r="M202" s="254">
        <f t="shared" si="2"/>
        <v>2.7128830152573773</v>
      </c>
      <c r="N202" s="255"/>
      <c r="P202" s="248">
        <v>126</v>
      </c>
      <c r="Q202" s="2" t="s">
        <v>446</v>
      </c>
      <c r="R202" s="251" t="str">
        <f>'МРСК 2'!C205</f>
        <v>4+4</v>
      </c>
      <c r="S202" s="251">
        <f>'МРСК 2'!D205</f>
        <v>0.03</v>
      </c>
      <c r="T202" s="252">
        <f>'МРСК 2'!E205</f>
        <v>2.8381169847426224</v>
      </c>
      <c r="U202" s="254">
        <f>'МРСК 2'!F205</f>
        <v>1.321</v>
      </c>
      <c r="V202" s="286">
        <f>'МРСК 2'!G205</f>
        <v>80</v>
      </c>
      <c r="W202" s="254">
        <f>'МРСК 2'!H205</f>
        <v>1.5171169847426225</v>
      </c>
      <c r="X202" s="252">
        <f>'МРСК 2'!I205</f>
        <v>0</v>
      </c>
      <c r="Y202" s="290">
        <f>'МРСК 2'!J205</f>
        <v>4.2</v>
      </c>
      <c r="Z202" s="254">
        <f>'МРСК 2'!K205</f>
        <v>2.682883015257378</v>
      </c>
      <c r="AA202" s="254">
        <f t="shared" si="3"/>
        <v>2.682883015257378</v>
      </c>
      <c r="AB202" s="255"/>
    </row>
    <row r="203" spans="1:28" ht="19.5">
      <c r="A203" s="248">
        <v>127</v>
      </c>
      <c r="B203" s="6" t="s">
        <v>447</v>
      </c>
      <c r="C203" s="251" t="str">
        <f>МРСК!C206</f>
        <v>4+4</v>
      </c>
      <c r="D203" s="251">
        <f>МРСК!D206</f>
        <v>3528</v>
      </c>
      <c r="E203" s="251">
        <f>МРСК!E206</f>
        <v>1776</v>
      </c>
      <c r="F203" s="253">
        <f>МРСК!F206</f>
        <v>3.949805058480735</v>
      </c>
      <c r="G203" s="254">
        <f>МРСК!G206</f>
        <v>1.541</v>
      </c>
      <c r="H203" s="286">
        <f>МРСК!H206</f>
        <v>120</v>
      </c>
      <c r="I203" s="254">
        <f>МРСК!I206</f>
        <v>2.408805058480735</v>
      </c>
      <c r="J203" s="252">
        <f>МРСК!J206</f>
        <v>0</v>
      </c>
      <c r="K203" s="289">
        <f>МРСК!K206</f>
        <v>4.2</v>
      </c>
      <c r="L203" s="277">
        <f>МРСК!L206</f>
        <v>1.7911949415192652</v>
      </c>
      <c r="M203" s="254">
        <f t="shared" si="2"/>
        <v>1.7911949415192652</v>
      </c>
      <c r="N203" s="255"/>
      <c r="P203" s="248">
        <v>127</v>
      </c>
      <c r="Q203" s="6" t="s">
        <v>447</v>
      </c>
      <c r="R203" s="251" t="str">
        <f>'МРСК 2'!C206</f>
        <v>4+4</v>
      </c>
      <c r="S203" s="251">
        <f>'МРСК 2'!D206</f>
        <v>0.63</v>
      </c>
      <c r="T203" s="252">
        <f>'МРСК 2'!E206</f>
        <v>4.579805058480735</v>
      </c>
      <c r="U203" s="254">
        <f>'МРСК 2'!F206</f>
        <v>1.541</v>
      </c>
      <c r="V203" s="286">
        <f>'МРСК 2'!G206</f>
        <v>120</v>
      </c>
      <c r="W203" s="254">
        <f>'МРСК 2'!H206</f>
        <v>3.0388050584807353</v>
      </c>
      <c r="X203" s="252">
        <f>'МРСК 2'!I206</f>
        <v>0</v>
      </c>
      <c r="Y203" s="290">
        <f>'МРСК 2'!J206</f>
        <v>4.2</v>
      </c>
      <c r="Z203" s="254">
        <f>'МРСК 2'!K206</f>
        <v>1.1611949415192648</v>
      </c>
      <c r="AA203" s="254">
        <f t="shared" si="3"/>
        <v>1.1611949415192648</v>
      </c>
      <c r="AB203" s="255"/>
    </row>
    <row r="204" spans="1:28" ht="19.5">
      <c r="A204" s="248">
        <v>128</v>
      </c>
      <c r="B204" s="2" t="s">
        <v>448</v>
      </c>
      <c r="C204" s="251" t="str">
        <f>МРСК!C207</f>
        <v>2,5+2,5</v>
      </c>
      <c r="D204" s="251">
        <f>МРСК!D207</f>
        <v>768</v>
      </c>
      <c r="E204" s="251">
        <f>МРСК!E207</f>
        <v>324</v>
      </c>
      <c r="F204" s="253">
        <f>МРСК!F207</f>
        <v>0.8335466393669883</v>
      </c>
      <c r="G204" s="254">
        <f>МРСК!G207</f>
        <v>0.6667165227139484</v>
      </c>
      <c r="H204" s="286">
        <f>МРСК!H207</f>
        <v>80</v>
      </c>
      <c r="I204" s="254">
        <f>МРСК!I207</f>
        <v>0.16683011665303982</v>
      </c>
      <c r="J204" s="252">
        <f>МРСК!J207</f>
        <v>0</v>
      </c>
      <c r="K204" s="289">
        <f>МРСК!K207</f>
        <v>2.625</v>
      </c>
      <c r="L204" s="277">
        <f>МРСК!L207</f>
        <v>2.4581698833469603</v>
      </c>
      <c r="M204" s="254">
        <f t="shared" si="2"/>
        <v>2.4581698833469603</v>
      </c>
      <c r="N204" s="255"/>
      <c r="P204" s="248">
        <v>128</v>
      </c>
      <c r="Q204" s="2" t="s">
        <v>448</v>
      </c>
      <c r="R204" s="251" t="str">
        <f>'МРСК 2'!C207</f>
        <v>2,5+2,5</v>
      </c>
      <c r="S204" s="251">
        <f>'МРСК 2'!D207</f>
        <v>0</v>
      </c>
      <c r="T204" s="252">
        <f>'МРСК 2'!E207</f>
        <v>0.8335466393669883</v>
      </c>
      <c r="U204" s="254">
        <f>'МРСК 2'!F207</f>
        <v>0.6667165227139484</v>
      </c>
      <c r="V204" s="286">
        <f>'МРСК 2'!G207</f>
        <v>80</v>
      </c>
      <c r="W204" s="254">
        <f>'МРСК 2'!H207</f>
        <v>0.16683011665303982</v>
      </c>
      <c r="X204" s="252">
        <f>'МРСК 2'!I207</f>
        <v>0</v>
      </c>
      <c r="Y204" s="290">
        <f>'МРСК 2'!J207</f>
        <v>2.625</v>
      </c>
      <c r="Z204" s="254">
        <f>'МРСК 2'!K207</f>
        <v>2.4581698833469603</v>
      </c>
      <c r="AA204" s="254">
        <f t="shared" si="3"/>
        <v>2.4581698833469603</v>
      </c>
      <c r="AB204" s="255"/>
    </row>
    <row r="205" spans="1:28" ht="19.5">
      <c r="A205" s="248">
        <v>129</v>
      </c>
      <c r="B205" s="6" t="s">
        <v>449</v>
      </c>
      <c r="C205" s="251" t="str">
        <f>МРСК!C208</f>
        <v>6,3+6,3</v>
      </c>
      <c r="D205" s="251">
        <f>МРСК!D208</f>
        <v>6768</v>
      </c>
      <c r="E205" s="251">
        <f>МРСК!E208</f>
        <v>3336</v>
      </c>
      <c r="F205" s="253">
        <f>МРСК!F208</f>
        <v>7.545509923126469</v>
      </c>
      <c r="G205" s="254">
        <f>МРСК!G208</f>
        <v>1.81</v>
      </c>
      <c r="H205" s="286">
        <f>МРСК!H208</f>
        <v>45</v>
      </c>
      <c r="I205" s="254">
        <f>МРСК!I208</f>
        <v>5.735509923126468</v>
      </c>
      <c r="J205" s="252">
        <f>МРСК!J208</f>
        <v>0</v>
      </c>
      <c r="K205" s="289">
        <f>МРСК!K208</f>
        <v>6.615</v>
      </c>
      <c r="L205" s="277">
        <f>МРСК!L208</f>
        <v>0.8794900768735321</v>
      </c>
      <c r="M205" s="254">
        <f t="shared" si="2"/>
        <v>0.8794900768735321</v>
      </c>
      <c r="N205" s="255"/>
      <c r="P205" s="248">
        <v>129</v>
      </c>
      <c r="Q205" s="6" t="s">
        <v>449</v>
      </c>
      <c r="R205" s="251" t="str">
        <f>'МРСК 2'!C208</f>
        <v>6,3+6,3</v>
      </c>
      <c r="S205" s="251">
        <f>'МРСК 2'!D208</f>
        <v>0.15000000000000002</v>
      </c>
      <c r="T205" s="252">
        <f>'МРСК 2'!E208</f>
        <v>7.695509923126469</v>
      </c>
      <c r="U205" s="254">
        <f>'МРСК 2'!F208</f>
        <v>1.81</v>
      </c>
      <c r="V205" s="286">
        <f>'МРСК 2'!G208</f>
        <v>45</v>
      </c>
      <c r="W205" s="254">
        <f>'МРСК 2'!H208</f>
        <v>5.8855099231264685</v>
      </c>
      <c r="X205" s="252">
        <f>'МРСК 2'!I208</f>
        <v>0</v>
      </c>
      <c r="Y205" s="290">
        <f>'МРСК 2'!J208</f>
        <v>6.615</v>
      </c>
      <c r="Z205" s="254">
        <f>'МРСК 2'!K208</f>
        <v>0.7294900768735317</v>
      </c>
      <c r="AA205" s="254">
        <f t="shared" si="3"/>
        <v>0.7294900768735317</v>
      </c>
      <c r="AB205" s="255"/>
    </row>
    <row r="206" spans="1:28" ht="19.5">
      <c r="A206" s="248">
        <v>130</v>
      </c>
      <c r="B206" s="2" t="s">
        <v>450</v>
      </c>
      <c r="C206" s="251" t="str">
        <f>МРСК!C209</f>
        <v>2,5+2,5</v>
      </c>
      <c r="D206" s="251">
        <f>МРСК!D209</f>
        <v>792</v>
      </c>
      <c r="E206" s="251">
        <f>МРСК!E209</f>
        <v>336</v>
      </c>
      <c r="F206" s="253">
        <f>МРСК!F209</f>
        <v>0.8603255197888762</v>
      </c>
      <c r="G206" s="254">
        <f>МРСК!G209</f>
        <v>0.6071607971904307</v>
      </c>
      <c r="H206" s="286">
        <f>МРСК!H209</f>
        <v>80</v>
      </c>
      <c r="I206" s="254">
        <f>МРСК!I209</f>
        <v>0.25316472259844547</v>
      </c>
      <c r="J206" s="252">
        <f>МРСК!J209</f>
        <v>0</v>
      </c>
      <c r="K206" s="289">
        <f>МРСК!K209</f>
        <v>2.625</v>
      </c>
      <c r="L206" s="277">
        <f>МРСК!L209</f>
        <v>2.3718352774015545</v>
      </c>
      <c r="M206" s="254">
        <f t="shared" si="2"/>
        <v>2.3718352774015545</v>
      </c>
      <c r="N206" s="255"/>
      <c r="P206" s="248">
        <v>130</v>
      </c>
      <c r="Q206" s="2" t="s">
        <v>450</v>
      </c>
      <c r="R206" s="251" t="str">
        <f>'МРСК 2'!C209</f>
        <v>2,5+2,5</v>
      </c>
      <c r="S206" s="251">
        <f>'МРСК 2'!D209</f>
        <v>0</v>
      </c>
      <c r="T206" s="252">
        <f>'МРСК 2'!E209</f>
        <v>0.8603255197888762</v>
      </c>
      <c r="U206" s="254">
        <f>'МРСК 2'!F209</f>
        <v>0.6071607971904307</v>
      </c>
      <c r="V206" s="286">
        <f>'МРСК 2'!G209</f>
        <v>80</v>
      </c>
      <c r="W206" s="254">
        <f>'МРСК 2'!H209</f>
        <v>0.25316472259844547</v>
      </c>
      <c r="X206" s="252">
        <f>'МРСК 2'!I209</f>
        <v>0</v>
      </c>
      <c r="Y206" s="290">
        <f>'МРСК 2'!J209</f>
        <v>2.625</v>
      </c>
      <c r="Z206" s="254">
        <f>'МРСК 2'!K209</f>
        <v>2.3718352774015545</v>
      </c>
      <c r="AA206" s="254">
        <f t="shared" si="3"/>
        <v>2.3718352774015545</v>
      </c>
      <c r="AB206" s="255"/>
    </row>
    <row r="207" spans="1:28" ht="19.5">
      <c r="A207" s="248">
        <v>131</v>
      </c>
      <c r="B207" s="2" t="s">
        <v>451</v>
      </c>
      <c r="C207" s="251" t="str">
        <f>МРСК!C210</f>
        <v>10+10</v>
      </c>
      <c r="D207" s="251">
        <f>МРСК!D210</f>
        <v>6400</v>
      </c>
      <c r="E207" s="251">
        <f>МРСК!E210</f>
        <v>3728</v>
      </c>
      <c r="F207" s="253">
        <f>МРСК!F210</f>
        <v>7.406617581595529</v>
      </c>
      <c r="G207" s="254">
        <f>МРСК!G210</f>
        <v>1.357</v>
      </c>
      <c r="H207" s="286">
        <f>МРСК!H210</f>
        <v>120</v>
      </c>
      <c r="I207" s="254">
        <f>МРСК!I210</f>
        <v>6.049617581595529</v>
      </c>
      <c r="J207" s="252">
        <f>МРСК!J210</f>
        <v>0</v>
      </c>
      <c r="K207" s="289">
        <f>МРСК!K210</f>
        <v>10.5</v>
      </c>
      <c r="L207" s="277">
        <f>МРСК!L210</f>
        <v>4.450382418404471</v>
      </c>
      <c r="M207" s="254">
        <f t="shared" si="2"/>
        <v>4.450382418404471</v>
      </c>
      <c r="N207" s="255"/>
      <c r="P207" s="248">
        <v>131</v>
      </c>
      <c r="Q207" s="2" t="s">
        <v>451</v>
      </c>
      <c r="R207" s="251" t="str">
        <f>'МРСК 2'!C210</f>
        <v>10+10</v>
      </c>
      <c r="S207" s="251">
        <f>'МРСК 2'!D210</f>
        <v>2.03</v>
      </c>
      <c r="T207" s="252">
        <f>'МРСК 2'!E210</f>
        <v>9.436617581595529</v>
      </c>
      <c r="U207" s="254">
        <f>'МРСК 2'!F210</f>
        <v>1.357</v>
      </c>
      <c r="V207" s="286">
        <f>'МРСК 2'!G210</f>
        <v>120</v>
      </c>
      <c r="W207" s="254">
        <f>'МРСК 2'!H210</f>
        <v>8.07961758159553</v>
      </c>
      <c r="X207" s="252">
        <f>'МРСК 2'!I210</f>
        <v>0</v>
      </c>
      <c r="Y207" s="290">
        <f>'МРСК 2'!J210</f>
        <v>10.5</v>
      </c>
      <c r="Z207" s="254">
        <f>'МРСК 2'!K210</f>
        <v>2.42038241840447</v>
      </c>
      <c r="AA207" s="254">
        <f t="shared" si="3"/>
        <v>2.42038241840447</v>
      </c>
      <c r="AB207" s="255"/>
    </row>
    <row r="208" spans="1:28" ht="19.5">
      <c r="A208" s="248">
        <v>132</v>
      </c>
      <c r="B208" s="2" t="s">
        <v>452</v>
      </c>
      <c r="C208" s="251" t="str">
        <f>МРСК!C211</f>
        <v>2,5+2,5</v>
      </c>
      <c r="D208" s="251">
        <f>МРСК!D211</f>
        <v>1152</v>
      </c>
      <c r="E208" s="251">
        <f>МРСК!E211</f>
        <v>288</v>
      </c>
      <c r="F208" s="253">
        <f>МРСК!F211</f>
        <v>1.1874544201778863</v>
      </c>
      <c r="G208" s="254">
        <f>МРСК!G211</f>
        <v>0.6556492964992795</v>
      </c>
      <c r="H208" s="286">
        <f>МРСК!H211</f>
        <v>80</v>
      </c>
      <c r="I208" s="254">
        <f>МРСК!I211</f>
        <v>0.5318051236786068</v>
      </c>
      <c r="J208" s="252">
        <f>МРСК!J211</f>
        <v>0</v>
      </c>
      <c r="K208" s="289">
        <f>МРСК!K211</f>
        <v>2.625</v>
      </c>
      <c r="L208" s="277">
        <f>МРСК!L211</f>
        <v>2.0931948763213932</v>
      </c>
      <c r="M208" s="254">
        <f t="shared" si="2"/>
        <v>2.0931948763213932</v>
      </c>
      <c r="N208" s="255"/>
      <c r="P208" s="248">
        <v>132</v>
      </c>
      <c r="Q208" s="2" t="s">
        <v>452</v>
      </c>
      <c r="R208" s="251" t="str">
        <f>'МРСК 2'!C211</f>
        <v>2,5+2,5</v>
      </c>
      <c r="S208" s="251">
        <f>'МРСК 2'!D211</f>
        <v>0</v>
      </c>
      <c r="T208" s="252">
        <f>'МРСК 2'!E211</f>
        <v>1.1874544201778863</v>
      </c>
      <c r="U208" s="254">
        <f>'МРСК 2'!F211</f>
        <v>0.6556492964992795</v>
      </c>
      <c r="V208" s="286">
        <f>'МРСК 2'!G211</f>
        <v>80</v>
      </c>
      <c r="W208" s="254">
        <f>'МРСК 2'!H211</f>
        <v>0.5318051236786068</v>
      </c>
      <c r="X208" s="252">
        <f>'МРСК 2'!I211</f>
        <v>0</v>
      </c>
      <c r="Y208" s="290">
        <f>'МРСК 2'!J211</f>
        <v>2.625</v>
      </c>
      <c r="Z208" s="254">
        <f>'МРСК 2'!K211</f>
        <v>2.0931948763213932</v>
      </c>
      <c r="AA208" s="254">
        <f t="shared" si="3"/>
        <v>2.0931948763213932</v>
      </c>
      <c r="AB208" s="255"/>
    </row>
    <row r="209" spans="1:28" ht="19.5">
      <c r="A209" s="248">
        <v>133</v>
      </c>
      <c r="B209" s="2" t="s">
        <v>453</v>
      </c>
      <c r="C209" s="251" t="str">
        <f>МРСК!C212</f>
        <v>2,5+2,5</v>
      </c>
      <c r="D209" s="251">
        <f>МРСК!D212</f>
        <v>1236</v>
      </c>
      <c r="E209" s="251">
        <f>МРСК!E212</f>
        <v>462</v>
      </c>
      <c r="F209" s="253">
        <f>МРСК!F212</f>
        <v>1.3195226409577063</v>
      </c>
      <c r="G209" s="254">
        <f>МРСК!G212</f>
        <v>0.643</v>
      </c>
      <c r="H209" s="286">
        <f>МРСК!H212</f>
        <v>80</v>
      </c>
      <c r="I209" s="254">
        <f>МРСК!I212</f>
        <v>0.6765226409577063</v>
      </c>
      <c r="J209" s="252">
        <f>МРСК!J212</f>
        <v>0</v>
      </c>
      <c r="K209" s="289">
        <f>МРСК!K212</f>
        <v>2.625</v>
      </c>
      <c r="L209" s="277">
        <f>МРСК!L212</f>
        <v>1.9484773590422937</v>
      </c>
      <c r="M209" s="254">
        <f t="shared" si="2"/>
        <v>1.9484773590422937</v>
      </c>
      <c r="N209" s="255"/>
      <c r="P209" s="248">
        <v>133</v>
      </c>
      <c r="Q209" s="2" t="s">
        <v>453</v>
      </c>
      <c r="R209" s="251" t="str">
        <f>'МРСК 2'!C212</f>
        <v>2,5+2,5</v>
      </c>
      <c r="S209" s="251">
        <f>'МРСК 2'!D212</f>
        <v>0.1</v>
      </c>
      <c r="T209" s="252">
        <f>'МРСК 2'!E212</f>
        <v>1.4195226409577064</v>
      </c>
      <c r="U209" s="254">
        <f>'МРСК 2'!F212</f>
        <v>0.643</v>
      </c>
      <c r="V209" s="286">
        <f>'МРСК 2'!G212</f>
        <v>80</v>
      </c>
      <c r="W209" s="254">
        <f>'МРСК 2'!H212</f>
        <v>0.7765226409577064</v>
      </c>
      <c r="X209" s="252">
        <f>'МРСК 2'!I212</f>
        <v>0</v>
      </c>
      <c r="Y209" s="290">
        <f>'МРСК 2'!J212</f>
        <v>2.625</v>
      </c>
      <c r="Z209" s="254">
        <f>'МРСК 2'!K212</f>
        <v>1.8484773590422936</v>
      </c>
      <c r="AA209" s="254">
        <f t="shared" si="3"/>
        <v>1.8484773590422936</v>
      </c>
      <c r="AB209" s="255"/>
    </row>
    <row r="210" spans="1:28" ht="19.5">
      <c r="A210" s="248">
        <v>134</v>
      </c>
      <c r="B210" s="2" t="s">
        <v>454</v>
      </c>
      <c r="C210" s="251" t="str">
        <f>МРСК!C213</f>
        <v>2,5+2,5</v>
      </c>
      <c r="D210" s="251">
        <f>МРСК!D213</f>
        <v>1176</v>
      </c>
      <c r="E210" s="251">
        <f>МРСК!E213</f>
        <v>492</v>
      </c>
      <c r="F210" s="253">
        <f>МРСК!F213</f>
        <v>1.274770567592459</v>
      </c>
      <c r="G210" s="254">
        <f>МРСК!G213</f>
        <v>0.5931509082855728</v>
      </c>
      <c r="H210" s="286">
        <f>МРСК!H213</f>
        <v>120</v>
      </c>
      <c r="I210" s="254">
        <f>МРСК!I213</f>
        <v>0.6816196593068862</v>
      </c>
      <c r="J210" s="252">
        <f>МРСК!J213</f>
        <v>0</v>
      </c>
      <c r="K210" s="289">
        <f>МРСК!K213</f>
        <v>2.625</v>
      </c>
      <c r="L210" s="277">
        <f>МРСК!L213</f>
        <v>1.9433803406931138</v>
      </c>
      <c r="M210" s="254">
        <f t="shared" si="2"/>
        <v>1.9433803406931138</v>
      </c>
      <c r="N210" s="255"/>
      <c r="P210" s="248">
        <v>134</v>
      </c>
      <c r="Q210" s="2" t="s">
        <v>454</v>
      </c>
      <c r="R210" s="251" t="str">
        <f>'МРСК 2'!C213</f>
        <v>2,5+2,5</v>
      </c>
      <c r="S210" s="251">
        <f>'МРСК 2'!D213</f>
        <v>0</v>
      </c>
      <c r="T210" s="252">
        <f>'МРСК 2'!E213</f>
        <v>1.274770567592459</v>
      </c>
      <c r="U210" s="254">
        <f>'МРСК 2'!F213</f>
        <v>0.5931509082855728</v>
      </c>
      <c r="V210" s="286">
        <f>'МРСК 2'!G213</f>
        <v>120</v>
      </c>
      <c r="W210" s="254">
        <f>'МРСК 2'!H213</f>
        <v>0.6816196593068862</v>
      </c>
      <c r="X210" s="252">
        <f>'МРСК 2'!I213</f>
        <v>0</v>
      </c>
      <c r="Y210" s="290">
        <f>'МРСК 2'!J213</f>
        <v>2.625</v>
      </c>
      <c r="Z210" s="254">
        <f>'МРСК 2'!K213</f>
        <v>1.9433803406931138</v>
      </c>
      <c r="AA210" s="254">
        <f t="shared" si="3"/>
        <v>1.9433803406931138</v>
      </c>
      <c r="AB210" s="255"/>
    </row>
    <row r="211" spans="1:28" ht="19.5">
      <c r="A211" s="248">
        <v>135</v>
      </c>
      <c r="B211" s="2" t="s">
        <v>455</v>
      </c>
      <c r="C211" s="298" t="str">
        <f>МРСК!C214</f>
        <v>6,3+6,3</v>
      </c>
      <c r="D211" s="251">
        <f>МРСК!D214</f>
        <v>608</v>
      </c>
      <c r="E211" s="251">
        <f>МРСК!E214</f>
        <v>288</v>
      </c>
      <c r="F211" s="253">
        <f>МРСК!F214</f>
        <v>0.6727614733321164</v>
      </c>
      <c r="G211" s="254">
        <f>МРСК!G214</f>
        <v>2.78</v>
      </c>
      <c r="H211" s="286">
        <f>МРСК!H214</f>
        <v>120</v>
      </c>
      <c r="I211" s="254">
        <f>МРСК!I214</f>
        <v>-2.1072385266678832</v>
      </c>
      <c r="J211" s="252">
        <f>МРСК!J214</f>
        <v>0</v>
      </c>
      <c r="K211" s="289">
        <f>МРСК!K214</f>
        <v>6.615</v>
      </c>
      <c r="L211" s="277">
        <f>МРСК!L214</f>
        <v>8.722238526667883</v>
      </c>
      <c r="M211" s="254">
        <f t="shared" si="2"/>
        <v>8.722238526667883</v>
      </c>
      <c r="N211" s="255"/>
      <c r="P211" s="248">
        <v>135</v>
      </c>
      <c r="Q211" s="2" t="s">
        <v>455</v>
      </c>
      <c r="R211" s="251" t="str">
        <f>'МРСК 2'!C214</f>
        <v>6,3+6,3</v>
      </c>
      <c r="S211" s="251">
        <f>'МРСК 2'!D214</f>
        <v>0.85</v>
      </c>
      <c r="T211" s="252">
        <f>'МРСК 2'!E214</f>
        <v>1.5227614733321164</v>
      </c>
      <c r="U211" s="254">
        <f>'МРСК 2'!F214</f>
        <v>2.78</v>
      </c>
      <c r="V211" s="286">
        <f>'МРСК 2'!G214</f>
        <v>120</v>
      </c>
      <c r="W211" s="254">
        <f>'МРСК 2'!H214</f>
        <v>-1.2572385266678834</v>
      </c>
      <c r="X211" s="252">
        <f>'МРСК 2'!I214</f>
        <v>0</v>
      </c>
      <c r="Y211" s="290">
        <f>'МРСК 2'!J214</f>
        <v>6.615</v>
      </c>
      <c r="Z211" s="254">
        <f>'МРСК 2'!K214</f>
        <v>7.872238526667884</v>
      </c>
      <c r="AA211" s="254">
        <f t="shared" si="3"/>
        <v>7.872238526667884</v>
      </c>
      <c r="AB211" s="255"/>
    </row>
    <row r="212" spans="1:28" ht="19.5">
      <c r="A212" s="248">
        <v>136</v>
      </c>
      <c r="B212" s="2" t="s">
        <v>456</v>
      </c>
      <c r="C212" s="251" t="str">
        <f>МРСК!C215</f>
        <v>6,3+6,3</v>
      </c>
      <c r="D212" s="251">
        <f>МРСК!D215</f>
        <v>3312</v>
      </c>
      <c r="E212" s="251">
        <f>МРСК!E215</f>
        <v>1248</v>
      </c>
      <c r="F212" s="253">
        <f>МРСК!F215</f>
        <v>3.539328749918549</v>
      </c>
      <c r="G212" s="254">
        <f>МРСК!G215</f>
        <v>0.842</v>
      </c>
      <c r="H212" s="286">
        <f>МРСК!H215</f>
        <v>45</v>
      </c>
      <c r="I212" s="254">
        <f>МРСК!I215</f>
        <v>2.6973287499185488</v>
      </c>
      <c r="J212" s="252">
        <f>МРСК!J215</f>
        <v>0</v>
      </c>
      <c r="K212" s="289">
        <f>МРСК!K215</f>
        <v>6.615</v>
      </c>
      <c r="L212" s="277">
        <f>МРСК!L215</f>
        <v>3.9176712500814515</v>
      </c>
      <c r="M212" s="254">
        <f t="shared" si="2"/>
        <v>3.9176712500814515</v>
      </c>
      <c r="N212" s="255"/>
      <c r="P212" s="248">
        <v>136</v>
      </c>
      <c r="Q212" s="2" t="s">
        <v>456</v>
      </c>
      <c r="R212" s="251" t="str">
        <f>'МРСК 2'!C215</f>
        <v>6,3+6,3</v>
      </c>
      <c r="S212" s="251">
        <f>'МРСК 2'!D215</f>
        <v>2.09</v>
      </c>
      <c r="T212" s="252">
        <f>'МРСК 2'!E215</f>
        <v>5.629328749918549</v>
      </c>
      <c r="U212" s="254">
        <f>'МРСК 2'!F215</f>
        <v>0.842</v>
      </c>
      <c r="V212" s="286">
        <f>'МРСК 2'!G215</f>
        <v>45</v>
      </c>
      <c r="W212" s="254">
        <f>'МРСК 2'!H215</f>
        <v>4.787328749918549</v>
      </c>
      <c r="X212" s="252">
        <f>'МРСК 2'!I215</f>
        <v>0</v>
      </c>
      <c r="Y212" s="290">
        <f>'МРСК 2'!J215</f>
        <v>6.615</v>
      </c>
      <c r="Z212" s="254">
        <f>'МРСК 2'!K215</f>
        <v>1.8276712500814511</v>
      </c>
      <c r="AA212" s="254">
        <f t="shared" si="3"/>
        <v>1.8276712500814511</v>
      </c>
      <c r="AB212" s="255"/>
    </row>
    <row r="213" spans="1:28" ht="19.5">
      <c r="A213" s="248">
        <v>137</v>
      </c>
      <c r="B213" s="2" t="s">
        <v>457</v>
      </c>
      <c r="C213" s="251" t="str">
        <f>МРСК!C216</f>
        <v>4+2,5</v>
      </c>
      <c r="D213" s="251">
        <f>МРСК!D216</f>
        <v>1436</v>
      </c>
      <c r="E213" s="251">
        <f>МРСК!E216</f>
        <v>580</v>
      </c>
      <c r="F213" s="253">
        <f>МРСК!F216</f>
        <v>1.5487078484982246</v>
      </c>
      <c r="G213" s="254">
        <f>МРСК!G216</f>
        <v>0.57</v>
      </c>
      <c r="H213" s="286">
        <f>МРСК!H216</f>
        <v>80</v>
      </c>
      <c r="I213" s="254">
        <f>МРСК!I216</f>
        <v>0.9787078484982247</v>
      </c>
      <c r="J213" s="252">
        <f>МРСК!J216</f>
        <v>0</v>
      </c>
      <c r="K213" s="289">
        <f>МРСК!K216</f>
        <v>2.625</v>
      </c>
      <c r="L213" s="277">
        <f>МРСК!L216</f>
        <v>1.6462921515017754</v>
      </c>
      <c r="M213" s="254">
        <f t="shared" si="2"/>
        <v>1.6462921515017754</v>
      </c>
      <c r="N213" s="255"/>
      <c r="P213" s="248">
        <v>137</v>
      </c>
      <c r="Q213" s="2" t="s">
        <v>457</v>
      </c>
      <c r="R213" s="251" t="str">
        <f>'МРСК 2'!C216</f>
        <v>4+2,5</v>
      </c>
      <c r="S213" s="251">
        <f>'МРСК 2'!D216</f>
        <v>0.02</v>
      </c>
      <c r="T213" s="252">
        <f>'МРСК 2'!E216</f>
        <v>1.5687078484982246</v>
      </c>
      <c r="U213" s="254">
        <f>'МРСК 2'!F216</f>
        <v>0.57</v>
      </c>
      <c r="V213" s="286">
        <f>'МРСК 2'!G216</f>
        <v>80</v>
      </c>
      <c r="W213" s="254">
        <f>'МРСК 2'!H216</f>
        <v>0.9987078484982247</v>
      </c>
      <c r="X213" s="252">
        <f>'МРСК 2'!I216</f>
        <v>0</v>
      </c>
      <c r="Y213" s="290">
        <f>'МРСК 2'!J216</f>
        <v>2.625</v>
      </c>
      <c r="Z213" s="254">
        <f>'МРСК 2'!K216</f>
        <v>1.6262921515017754</v>
      </c>
      <c r="AA213" s="254">
        <f t="shared" si="3"/>
        <v>1.6262921515017754</v>
      </c>
      <c r="AB213" s="255"/>
    </row>
    <row r="214" spans="1:28" ht="19.5">
      <c r="A214" s="248">
        <v>138</v>
      </c>
      <c r="B214" s="2" t="s">
        <v>458</v>
      </c>
      <c r="C214" s="251" t="str">
        <f>МРСК!C217</f>
        <v>2,5+4</v>
      </c>
      <c r="D214" s="251">
        <f>МРСК!D217</f>
        <v>279</v>
      </c>
      <c r="E214" s="251">
        <f>МРСК!E217</f>
        <v>99</v>
      </c>
      <c r="F214" s="253">
        <f>МРСК!F217</f>
        <v>0.2960439156611735</v>
      </c>
      <c r="G214" s="254">
        <f>МРСК!G217</f>
        <v>0.19</v>
      </c>
      <c r="H214" s="286">
        <f>МРСК!H217</f>
        <v>80</v>
      </c>
      <c r="I214" s="254">
        <f>МРСК!I217</f>
        <v>0.1060439156611735</v>
      </c>
      <c r="J214" s="252">
        <f>МРСК!J217</f>
        <v>0</v>
      </c>
      <c r="K214" s="289">
        <f>МРСК!K217</f>
        <v>2.625</v>
      </c>
      <c r="L214" s="277">
        <f>МРСК!L217</f>
        <v>2.5189560843388263</v>
      </c>
      <c r="M214" s="254">
        <f t="shared" si="2"/>
        <v>2.5189560843388263</v>
      </c>
      <c r="N214" s="255"/>
      <c r="P214" s="248">
        <v>138</v>
      </c>
      <c r="Q214" s="2" t="s">
        <v>458</v>
      </c>
      <c r="R214" s="251" t="str">
        <f>'МРСК 2'!C217</f>
        <v>2,5+4</v>
      </c>
      <c r="S214" s="251">
        <f>'МРСК 2'!D217</f>
        <v>0.45</v>
      </c>
      <c r="T214" s="252">
        <f>'МРСК 2'!E217</f>
        <v>0.7460439156611736</v>
      </c>
      <c r="U214" s="254">
        <f>'МРСК 2'!F217</f>
        <v>0.19</v>
      </c>
      <c r="V214" s="286">
        <f>'МРСК 2'!G217</f>
        <v>80</v>
      </c>
      <c r="W214" s="254">
        <f>'МРСК 2'!H217</f>
        <v>0.5560439156611736</v>
      </c>
      <c r="X214" s="252">
        <f>'МРСК 2'!I217</f>
        <v>0</v>
      </c>
      <c r="Y214" s="290">
        <f>'МРСК 2'!J217</f>
        <v>2.625</v>
      </c>
      <c r="Z214" s="254">
        <f>'МРСК 2'!K217</f>
        <v>2.0689560843388266</v>
      </c>
      <c r="AA214" s="254">
        <f t="shared" si="3"/>
        <v>2.0689560843388266</v>
      </c>
      <c r="AB214" s="255"/>
    </row>
    <row r="215" spans="1:28" ht="19.5">
      <c r="A215" s="248">
        <v>139</v>
      </c>
      <c r="B215" s="2" t="s">
        <v>459</v>
      </c>
      <c r="C215" s="251" t="str">
        <f>МРСК!C218</f>
        <v>2,5+2,5</v>
      </c>
      <c r="D215" s="251">
        <f>МРСК!D218</f>
        <v>1674</v>
      </c>
      <c r="E215" s="251">
        <f>МРСК!E218</f>
        <v>560</v>
      </c>
      <c r="F215" s="253">
        <f>МРСК!F218</f>
        <v>1.76518440962977</v>
      </c>
      <c r="G215" s="254">
        <f>МРСК!G218</f>
        <v>0.6514729199979921</v>
      </c>
      <c r="H215" s="286">
        <f>МРСК!H218</f>
        <v>80</v>
      </c>
      <c r="I215" s="254">
        <f>МРСК!I218</f>
        <v>1.113711489631778</v>
      </c>
      <c r="J215" s="252">
        <f>МРСК!J218</f>
        <v>0</v>
      </c>
      <c r="K215" s="289">
        <f>МРСК!K218</f>
        <v>2.625</v>
      </c>
      <c r="L215" s="277">
        <f>МРСК!L218</f>
        <v>1.511288510368222</v>
      </c>
      <c r="M215" s="254">
        <f t="shared" si="2"/>
        <v>1.511288510368222</v>
      </c>
      <c r="N215" s="255"/>
      <c r="P215" s="248">
        <v>139</v>
      </c>
      <c r="Q215" s="2" t="s">
        <v>459</v>
      </c>
      <c r="R215" s="251" t="str">
        <f>'МРСК 2'!C218</f>
        <v>2,5+2,5</v>
      </c>
      <c r="S215" s="251">
        <f>'МРСК 2'!D218</f>
        <v>0.17</v>
      </c>
      <c r="T215" s="252">
        <f>'МРСК 2'!E218</f>
        <v>1.93518440962977</v>
      </c>
      <c r="U215" s="254">
        <f>'МРСК 2'!F218</f>
        <v>0.6514729199979921</v>
      </c>
      <c r="V215" s="286">
        <f>'МРСК 2'!G218</f>
        <v>80</v>
      </c>
      <c r="W215" s="254">
        <f>'МРСК 2'!H218</f>
        <v>1.2837114896317778</v>
      </c>
      <c r="X215" s="252">
        <f>'МРСК 2'!I218</f>
        <v>0</v>
      </c>
      <c r="Y215" s="290">
        <f>'МРСК 2'!J218</f>
        <v>2.625</v>
      </c>
      <c r="Z215" s="254">
        <f>'МРСК 2'!K218</f>
        <v>1.3412885103682222</v>
      </c>
      <c r="AA215" s="254">
        <f t="shared" si="3"/>
        <v>1.3412885103682222</v>
      </c>
      <c r="AB215" s="255"/>
    </row>
    <row r="216" spans="1:28" ht="19.5">
      <c r="A216" s="248">
        <v>140</v>
      </c>
      <c r="B216" s="2" t="s">
        <v>460</v>
      </c>
      <c r="C216" s="251" t="str">
        <f>МРСК!C219</f>
        <v>4+4</v>
      </c>
      <c r="D216" s="251">
        <f>МРСК!D219</f>
        <v>1304</v>
      </c>
      <c r="E216" s="251">
        <f>МРСК!E219</f>
        <v>416</v>
      </c>
      <c r="F216" s="253">
        <f>МРСК!F219</f>
        <v>1.3687483333323187</v>
      </c>
      <c r="G216" s="254">
        <f>МРСК!G219</f>
        <v>0.451</v>
      </c>
      <c r="H216" s="286">
        <f>МРСК!H219</f>
        <v>120</v>
      </c>
      <c r="I216" s="254">
        <f>МРСК!I219</f>
        <v>0.9177483333323186</v>
      </c>
      <c r="J216" s="252">
        <f>МРСК!J219</f>
        <v>0</v>
      </c>
      <c r="K216" s="289">
        <f>МРСК!K219</f>
        <v>4.2</v>
      </c>
      <c r="L216" s="277">
        <f>МРСК!L219</f>
        <v>3.2822516666676815</v>
      </c>
      <c r="M216" s="254">
        <f t="shared" si="2"/>
        <v>3.2822516666676815</v>
      </c>
      <c r="N216" s="255"/>
      <c r="P216" s="248">
        <v>140</v>
      </c>
      <c r="Q216" s="2" t="s">
        <v>460</v>
      </c>
      <c r="R216" s="251" t="str">
        <f>'МРСК 2'!C219</f>
        <v>4+4</v>
      </c>
      <c r="S216" s="251">
        <f>'МРСК 2'!D219</f>
        <v>0.8500000000000001</v>
      </c>
      <c r="T216" s="252">
        <f>'МРСК 2'!E219</f>
        <v>2.218748333332319</v>
      </c>
      <c r="U216" s="254">
        <f>'МРСК 2'!F219</f>
        <v>0.451</v>
      </c>
      <c r="V216" s="286">
        <f>'МРСК 2'!G219</f>
        <v>120</v>
      </c>
      <c r="W216" s="254">
        <f>'МРСК 2'!H219</f>
        <v>1.7677483333323187</v>
      </c>
      <c r="X216" s="252">
        <f>'МРСК 2'!I219</f>
        <v>0</v>
      </c>
      <c r="Y216" s="290">
        <f>'МРСК 2'!J219</f>
        <v>4.2</v>
      </c>
      <c r="Z216" s="254">
        <f>'МРСК 2'!K219</f>
        <v>2.4322516666676814</v>
      </c>
      <c r="AA216" s="254">
        <f t="shared" si="3"/>
        <v>2.4322516666676814</v>
      </c>
      <c r="AB216" s="255"/>
    </row>
    <row r="217" spans="1:28" ht="19.5">
      <c r="A217" s="248">
        <v>141</v>
      </c>
      <c r="B217" s="2" t="s">
        <v>461</v>
      </c>
      <c r="C217" s="251" t="str">
        <f>МРСК!C220</f>
        <v>2,5+2,5</v>
      </c>
      <c r="D217" s="251">
        <f>МРСК!D220</f>
        <v>1856</v>
      </c>
      <c r="E217" s="251">
        <f>МРСК!E220</f>
        <v>648</v>
      </c>
      <c r="F217" s="253">
        <f>МРСК!F220</f>
        <v>1.9658687646941237</v>
      </c>
      <c r="G217" s="254">
        <f>МРСК!G220</f>
        <v>1.435432922178513</v>
      </c>
      <c r="H217" s="286">
        <f>МРСК!H220</f>
        <v>80</v>
      </c>
      <c r="I217" s="254">
        <f>МРСК!I220</f>
        <v>0.5304358425156108</v>
      </c>
      <c r="J217" s="252">
        <f>МРСК!J220</f>
        <v>0</v>
      </c>
      <c r="K217" s="289">
        <f>МРСК!K220</f>
        <v>2.625</v>
      </c>
      <c r="L217" s="277">
        <f>МРСК!L220</f>
        <v>2.094564157484389</v>
      </c>
      <c r="M217" s="254">
        <f t="shared" si="2"/>
        <v>2.094564157484389</v>
      </c>
      <c r="N217" s="255"/>
      <c r="P217" s="248">
        <v>141</v>
      </c>
      <c r="Q217" s="2" t="s">
        <v>461</v>
      </c>
      <c r="R217" s="251" t="str">
        <f>'МРСК 2'!C220</f>
        <v>2,5+2,5</v>
      </c>
      <c r="S217" s="251">
        <f>'МРСК 2'!D220</f>
        <v>0.01</v>
      </c>
      <c r="T217" s="252">
        <f>'МРСК 2'!E220</f>
        <v>1.9758687646941238</v>
      </c>
      <c r="U217" s="254">
        <f>'МРСК 2'!F220</f>
        <v>1.435432922178513</v>
      </c>
      <c r="V217" s="286">
        <f>'МРСК 2'!G220</f>
        <v>80</v>
      </c>
      <c r="W217" s="254">
        <f>'МРСК 2'!H220</f>
        <v>0.5404358425156108</v>
      </c>
      <c r="X217" s="252">
        <f>'МРСК 2'!I220</f>
        <v>0</v>
      </c>
      <c r="Y217" s="290">
        <f>'МРСК 2'!J220</f>
        <v>2.625</v>
      </c>
      <c r="Z217" s="254">
        <f>'МРСК 2'!K220</f>
        <v>2.0845641574843894</v>
      </c>
      <c r="AA217" s="254">
        <f t="shared" si="3"/>
        <v>2.0845641574843894</v>
      </c>
      <c r="AB217" s="255"/>
    </row>
    <row r="218" spans="1:28" ht="19.5">
      <c r="A218" s="248">
        <v>142</v>
      </c>
      <c r="B218" s="2" t="s">
        <v>462</v>
      </c>
      <c r="C218" s="251" t="str">
        <f>МРСК!C221</f>
        <v>4+4</v>
      </c>
      <c r="D218" s="251">
        <f>МРСК!D221</f>
        <v>2056</v>
      </c>
      <c r="E218" s="251">
        <f>МРСК!E221</f>
        <v>600</v>
      </c>
      <c r="F218" s="253">
        <f>МРСК!F221</f>
        <v>2.1417600239055727</v>
      </c>
      <c r="G218" s="254">
        <f>МРСК!G221</f>
        <v>1.7332102024177531</v>
      </c>
      <c r="H218" s="286">
        <f>МРСК!H221</f>
        <v>80</v>
      </c>
      <c r="I218" s="254">
        <f>МРСК!I221</f>
        <v>0.4085498214878196</v>
      </c>
      <c r="J218" s="252">
        <f>МРСК!J221</f>
        <v>0</v>
      </c>
      <c r="K218" s="289">
        <f>МРСК!K221</f>
        <v>4.2</v>
      </c>
      <c r="L218" s="277">
        <f>МРСК!L221</f>
        <v>3.7914501785121804</v>
      </c>
      <c r="M218" s="254">
        <f aca="true" t="shared" si="4" ref="M218:M254">L218</f>
        <v>3.7914501785121804</v>
      </c>
      <c r="N218" s="255"/>
      <c r="P218" s="248">
        <v>142</v>
      </c>
      <c r="Q218" s="2" t="s">
        <v>462</v>
      </c>
      <c r="R218" s="251" t="str">
        <f>'МРСК 2'!C221</f>
        <v>4+4</v>
      </c>
      <c r="S218" s="251">
        <f>'МРСК 2'!D221</f>
        <v>0</v>
      </c>
      <c r="T218" s="252">
        <f>'МРСК 2'!E221</f>
        <v>2.1417600239055727</v>
      </c>
      <c r="U218" s="254">
        <f>'МРСК 2'!F221</f>
        <v>1.7332102024177531</v>
      </c>
      <c r="V218" s="286">
        <f>'МРСК 2'!G221</f>
        <v>80</v>
      </c>
      <c r="W218" s="254">
        <f>'МРСК 2'!H221</f>
        <v>0.4085498214878196</v>
      </c>
      <c r="X218" s="252">
        <f>'МРСК 2'!I221</f>
        <v>0</v>
      </c>
      <c r="Y218" s="290">
        <f>'МРСК 2'!J221</f>
        <v>4.2</v>
      </c>
      <c r="Z218" s="254">
        <f>'МРСК 2'!K221</f>
        <v>3.7914501785121804</v>
      </c>
      <c r="AA218" s="254">
        <f aca="true" t="shared" si="5" ref="AA218:AA254">Z218</f>
        <v>3.7914501785121804</v>
      </c>
      <c r="AB218" s="255"/>
    </row>
    <row r="219" spans="1:28" ht="19.5">
      <c r="A219" s="248">
        <v>143</v>
      </c>
      <c r="B219" s="2" t="s">
        <v>463</v>
      </c>
      <c r="C219" s="251" t="str">
        <f>МРСК!C222</f>
        <v>6,3+6,3</v>
      </c>
      <c r="D219" s="251">
        <f>МРСК!D222</f>
        <v>6128</v>
      </c>
      <c r="E219" s="251">
        <f>МРСК!E222</f>
        <v>2176</v>
      </c>
      <c r="F219" s="253">
        <f>МРСК!F222</f>
        <v>6.502873211127524</v>
      </c>
      <c r="G219" s="254">
        <f>МРСК!G222</f>
        <v>0.872</v>
      </c>
      <c r="H219" s="286">
        <f>МРСК!H222</f>
        <v>80</v>
      </c>
      <c r="I219" s="254">
        <f>МРСК!I222</f>
        <v>5.630873211127524</v>
      </c>
      <c r="J219" s="252">
        <f>МРСК!J222</f>
        <v>0</v>
      </c>
      <c r="K219" s="289">
        <f>МРСК!K222</f>
        <v>6.615</v>
      </c>
      <c r="L219" s="277">
        <f>МРСК!L222</f>
        <v>0.9841267888724765</v>
      </c>
      <c r="M219" s="254">
        <f t="shared" si="4"/>
        <v>0.9841267888724765</v>
      </c>
      <c r="N219" s="255"/>
      <c r="P219" s="248">
        <v>143</v>
      </c>
      <c r="Q219" s="2" t="s">
        <v>463</v>
      </c>
      <c r="R219" s="251" t="str">
        <f>'МРСК 2'!C222</f>
        <v>6,3+6,3</v>
      </c>
      <c r="S219" s="251">
        <f>'МРСК 2'!D222</f>
        <v>2.42</v>
      </c>
      <c r="T219" s="252">
        <f>'МРСК 2'!E222</f>
        <v>8.922873211127524</v>
      </c>
      <c r="U219" s="254">
        <f>'МРСК 2'!F222</f>
        <v>0.872</v>
      </c>
      <c r="V219" s="286">
        <f>'МРСК 2'!G222</f>
        <v>80</v>
      </c>
      <c r="W219" s="254">
        <f>'МРСК 2'!H222</f>
        <v>8.050873211127524</v>
      </c>
      <c r="X219" s="252">
        <f>'МРСК 2'!I222</f>
        <v>0</v>
      </c>
      <c r="Y219" s="290">
        <f>'МРСК 2'!J222</f>
        <v>6.615</v>
      </c>
      <c r="Z219" s="254">
        <f>'МРСК 2'!K222</f>
        <v>-1.4358732111275234</v>
      </c>
      <c r="AA219" s="254">
        <f t="shared" si="5"/>
        <v>-1.4358732111275234</v>
      </c>
      <c r="AB219" s="255"/>
    </row>
    <row r="220" spans="1:28" ht="19.5">
      <c r="A220" s="248">
        <v>144</v>
      </c>
      <c r="B220" s="2" t="s">
        <v>464</v>
      </c>
      <c r="C220" s="251" t="str">
        <f>МРСК!C223</f>
        <v>4+4</v>
      </c>
      <c r="D220" s="251">
        <f>МРСК!D223</f>
        <v>1836</v>
      </c>
      <c r="E220" s="251">
        <f>МРСК!E223</f>
        <v>756</v>
      </c>
      <c r="F220" s="253">
        <f>МРСК!F223</f>
        <v>1.9855558415718253</v>
      </c>
      <c r="G220" s="254">
        <f>МРСК!G223</f>
        <v>0.553</v>
      </c>
      <c r="H220" s="286">
        <f>МРСК!H223</f>
        <v>80</v>
      </c>
      <c r="I220" s="254">
        <f>МРСК!I223</f>
        <v>1.4325558415718254</v>
      </c>
      <c r="J220" s="252">
        <f>МРСК!J223</f>
        <v>0</v>
      </c>
      <c r="K220" s="289">
        <f>МРСК!K223</f>
        <v>4.2</v>
      </c>
      <c r="L220" s="277">
        <f>МРСК!L223</f>
        <v>2.767444158428175</v>
      </c>
      <c r="M220" s="254">
        <f t="shared" si="4"/>
        <v>2.767444158428175</v>
      </c>
      <c r="N220" s="255"/>
      <c r="P220" s="248">
        <v>144</v>
      </c>
      <c r="Q220" s="2" t="s">
        <v>464</v>
      </c>
      <c r="R220" s="251" t="str">
        <f>'МРСК 2'!C223</f>
        <v>4+4</v>
      </c>
      <c r="S220" s="251">
        <f>'МРСК 2'!D223</f>
        <v>0</v>
      </c>
      <c r="T220" s="252">
        <f>'МРСК 2'!E223</f>
        <v>1.9855558415718253</v>
      </c>
      <c r="U220" s="254">
        <f>'МРСК 2'!F223</f>
        <v>0.553</v>
      </c>
      <c r="V220" s="286">
        <f>'МРСК 2'!G223</f>
        <v>80</v>
      </c>
      <c r="W220" s="254">
        <f>'МРСК 2'!H223</f>
        <v>1.4325558415718254</v>
      </c>
      <c r="X220" s="252">
        <f>'МРСК 2'!I223</f>
        <v>0</v>
      </c>
      <c r="Y220" s="290">
        <f>'МРСК 2'!J223</f>
        <v>4.2</v>
      </c>
      <c r="Z220" s="254">
        <f>'МРСК 2'!K223</f>
        <v>2.767444158428175</v>
      </c>
      <c r="AA220" s="254">
        <f t="shared" si="5"/>
        <v>2.767444158428175</v>
      </c>
      <c r="AB220" s="255"/>
    </row>
    <row r="221" spans="1:28" ht="19.5">
      <c r="A221" s="248">
        <v>145</v>
      </c>
      <c r="B221" s="2" t="s">
        <v>465</v>
      </c>
      <c r="C221" s="251" t="str">
        <f>МРСК!C224</f>
        <v>2,5+2,5</v>
      </c>
      <c r="D221" s="251">
        <f>МРСК!D224</f>
        <v>2014</v>
      </c>
      <c r="E221" s="251">
        <f>МРСК!E224</f>
        <v>792</v>
      </c>
      <c r="F221" s="253">
        <f>МРСК!F224</f>
        <v>2.1641303103094325</v>
      </c>
      <c r="G221" s="254">
        <f>МРСК!G224</f>
        <v>1.1224919242012794</v>
      </c>
      <c r="H221" s="286">
        <f>МРСК!H224</f>
        <v>45</v>
      </c>
      <c r="I221" s="254">
        <f>МРСК!I224</f>
        <v>1.041638386108153</v>
      </c>
      <c r="J221" s="252">
        <f>МРСК!J224</f>
        <v>0</v>
      </c>
      <c r="K221" s="289">
        <f>МРСК!K224</f>
        <v>2.625</v>
      </c>
      <c r="L221" s="277">
        <f>МРСК!L224</f>
        <v>1.583361613891847</v>
      </c>
      <c r="M221" s="254">
        <f t="shared" si="4"/>
        <v>1.583361613891847</v>
      </c>
      <c r="N221" s="255"/>
      <c r="P221" s="248">
        <v>145</v>
      </c>
      <c r="Q221" s="2" t="s">
        <v>465</v>
      </c>
      <c r="R221" s="251" t="str">
        <f>'МРСК 2'!C224</f>
        <v>2,5+2,5</v>
      </c>
      <c r="S221" s="251">
        <f>'МРСК 2'!D224</f>
        <v>0.87</v>
      </c>
      <c r="T221" s="252">
        <f>'МРСК 2'!E224</f>
        <v>3.0341303103094326</v>
      </c>
      <c r="U221" s="254">
        <f>'МРСК 2'!F224</f>
        <v>1.1224919242012794</v>
      </c>
      <c r="V221" s="286">
        <f>'МРСК 2'!G224</f>
        <v>45</v>
      </c>
      <c r="W221" s="254">
        <f>'МРСК 2'!H224</f>
        <v>1.9116383861081532</v>
      </c>
      <c r="X221" s="252">
        <f>'МРСК 2'!I224</f>
        <v>0</v>
      </c>
      <c r="Y221" s="290">
        <f>'МРСК 2'!J224</f>
        <v>2.625</v>
      </c>
      <c r="Z221" s="254">
        <f>'МРСК 2'!K224</f>
        <v>0.7133616138918468</v>
      </c>
      <c r="AA221" s="254">
        <f t="shared" si="5"/>
        <v>0.7133616138918468</v>
      </c>
      <c r="AB221" s="255"/>
    </row>
    <row r="222" spans="1:28" ht="19.5">
      <c r="A222" s="248">
        <v>146</v>
      </c>
      <c r="B222" s="2" t="s">
        <v>466</v>
      </c>
      <c r="C222" s="251" t="str">
        <f>МРСК!C225</f>
        <v>6,3+4</v>
      </c>
      <c r="D222" s="251">
        <f>МРСК!D225</f>
        <v>1152</v>
      </c>
      <c r="E222" s="251">
        <f>МРСК!E225</f>
        <v>532</v>
      </c>
      <c r="F222" s="253">
        <f>МРСК!F225</f>
        <v>1.2689081921084755</v>
      </c>
      <c r="G222" s="254">
        <f>МРСК!G225</f>
        <v>0.6463610983551401</v>
      </c>
      <c r="H222" s="286">
        <f>МРСК!H225</f>
        <v>80</v>
      </c>
      <c r="I222" s="254">
        <f>МРСК!I225</f>
        <v>0.6225470937533354</v>
      </c>
      <c r="J222" s="252">
        <f>МРСК!J225</f>
        <v>0</v>
      </c>
      <c r="K222" s="289">
        <f>МРСК!K225</f>
        <v>4.2</v>
      </c>
      <c r="L222" s="277">
        <f>МРСК!L225</f>
        <v>3.577452906246665</v>
      </c>
      <c r="M222" s="254">
        <f t="shared" si="4"/>
        <v>3.577452906246665</v>
      </c>
      <c r="N222" s="255"/>
      <c r="P222" s="248">
        <v>146</v>
      </c>
      <c r="Q222" s="2" t="s">
        <v>466</v>
      </c>
      <c r="R222" s="251" t="str">
        <f>'МРСК 2'!C225</f>
        <v>6,3+4</v>
      </c>
      <c r="S222" s="251">
        <f>'МРСК 2'!D225</f>
        <v>0</v>
      </c>
      <c r="T222" s="252">
        <f>'МРСК 2'!E225</f>
        <v>1.2689081921084755</v>
      </c>
      <c r="U222" s="254">
        <f>'МРСК 2'!F225</f>
        <v>0.6463610983551401</v>
      </c>
      <c r="V222" s="286">
        <f>'МРСК 2'!G225</f>
        <v>80</v>
      </c>
      <c r="W222" s="254">
        <f>'МРСК 2'!H225</f>
        <v>0.6225470937533354</v>
      </c>
      <c r="X222" s="252">
        <f>'МРСК 2'!I225</f>
        <v>0</v>
      </c>
      <c r="Y222" s="290">
        <f>'МРСК 2'!J225</f>
        <v>4.2</v>
      </c>
      <c r="Z222" s="254">
        <f>'МРСК 2'!K225</f>
        <v>3.577452906246665</v>
      </c>
      <c r="AA222" s="254">
        <f t="shared" si="5"/>
        <v>3.577452906246665</v>
      </c>
      <c r="AB222" s="255"/>
    </row>
    <row r="223" spans="1:28" ht="19.5">
      <c r="A223" s="248">
        <v>147</v>
      </c>
      <c r="B223" s="2" t="s">
        <v>467</v>
      </c>
      <c r="C223" s="251" t="str">
        <f>МРСК!C226</f>
        <v>4+4</v>
      </c>
      <c r="D223" s="251">
        <f>МРСК!D226</f>
        <v>4020</v>
      </c>
      <c r="E223" s="251">
        <f>МРСК!E226</f>
        <v>1524</v>
      </c>
      <c r="F223" s="253">
        <f>МРСК!F226</f>
        <v>4.299183178232814</v>
      </c>
      <c r="G223" s="254">
        <f>МРСК!G226</f>
        <v>0</v>
      </c>
      <c r="H223" s="286">
        <f>МРСК!H226</f>
        <v>0</v>
      </c>
      <c r="I223" s="254">
        <f>МРСК!I226</f>
        <v>4.299183178232814</v>
      </c>
      <c r="J223" s="252">
        <f>МРСК!J226</f>
        <v>0</v>
      </c>
      <c r="K223" s="289">
        <f>МРСК!K226</f>
        <v>4.2</v>
      </c>
      <c r="L223" s="277">
        <f>МРСК!L226</f>
        <v>-0.09918317823281342</v>
      </c>
      <c r="M223" s="254">
        <f t="shared" si="4"/>
        <v>-0.09918317823281342</v>
      </c>
      <c r="N223" s="255"/>
      <c r="P223" s="248">
        <v>147</v>
      </c>
      <c r="Q223" s="2" t="s">
        <v>467</v>
      </c>
      <c r="R223" s="251" t="str">
        <f>'МРСК 2'!C226</f>
        <v>4+4</v>
      </c>
      <c r="S223" s="251">
        <f>'МРСК 2'!D226</f>
        <v>0</v>
      </c>
      <c r="T223" s="252">
        <f>'МРСК 2'!E226</f>
        <v>4.299183178232814</v>
      </c>
      <c r="U223" s="254">
        <f>'МРСК 2'!F226</f>
        <v>0</v>
      </c>
      <c r="V223" s="286">
        <f>'МРСК 2'!G226</f>
        <v>0</v>
      </c>
      <c r="W223" s="254">
        <f>'МРСК 2'!H226</f>
        <v>4.299183178232814</v>
      </c>
      <c r="X223" s="252">
        <f>'МРСК 2'!I226</f>
        <v>0</v>
      </c>
      <c r="Y223" s="290">
        <f>'МРСК 2'!J226</f>
        <v>4.2</v>
      </c>
      <c r="Z223" s="254">
        <f>'МРСК 2'!K226</f>
        <v>-0.09918317823281342</v>
      </c>
      <c r="AA223" s="254">
        <f t="shared" si="5"/>
        <v>-0.09918317823281342</v>
      </c>
      <c r="AB223" s="255"/>
    </row>
    <row r="224" spans="1:28" ht="19.5">
      <c r="A224" s="248">
        <v>148</v>
      </c>
      <c r="B224" s="2" t="s">
        <v>468</v>
      </c>
      <c r="C224" s="251" t="str">
        <f>МРСК!C227</f>
        <v>6,3+6,3</v>
      </c>
      <c r="D224" s="251">
        <f>МРСК!D227</f>
        <v>5242</v>
      </c>
      <c r="E224" s="251">
        <f>МРСК!E227</f>
        <v>2492</v>
      </c>
      <c r="F224" s="253">
        <f>МРСК!F227</f>
        <v>5.804190555107577</v>
      </c>
      <c r="G224" s="254">
        <f>МРСК!G227</f>
        <v>0</v>
      </c>
      <c r="H224" s="286">
        <f>МРСК!H227</f>
        <v>0</v>
      </c>
      <c r="I224" s="254">
        <f>МРСК!I227</f>
        <v>5.804190555107577</v>
      </c>
      <c r="J224" s="252">
        <f>МРСК!J227</f>
        <v>0</v>
      </c>
      <c r="K224" s="289">
        <f>МРСК!K227</f>
        <v>6.615</v>
      </c>
      <c r="L224" s="277">
        <f>МРСК!L227</f>
        <v>0.8108094448924232</v>
      </c>
      <c r="M224" s="254">
        <f t="shared" si="4"/>
        <v>0.8108094448924232</v>
      </c>
      <c r="N224" s="255"/>
      <c r="P224" s="248">
        <v>148</v>
      </c>
      <c r="Q224" s="2" t="s">
        <v>468</v>
      </c>
      <c r="R224" s="251" t="str">
        <f>'МРСК 2'!C227</f>
        <v>6,3+6,3</v>
      </c>
      <c r="S224" s="251">
        <f>'МРСК 2'!D227</f>
        <v>0</v>
      </c>
      <c r="T224" s="252">
        <f>'МРСК 2'!E227</f>
        <v>5.804190555107577</v>
      </c>
      <c r="U224" s="254">
        <f>'МРСК 2'!F227</f>
        <v>0</v>
      </c>
      <c r="V224" s="286">
        <f>'МРСК 2'!G227</f>
        <v>0</v>
      </c>
      <c r="W224" s="254">
        <f>'МРСК 2'!H227</f>
        <v>5.804190555107577</v>
      </c>
      <c r="X224" s="252">
        <f>'МРСК 2'!I227</f>
        <v>0</v>
      </c>
      <c r="Y224" s="290">
        <f>'МРСК 2'!J227</f>
        <v>6.615</v>
      </c>
      <c r="Z224" s="254">
        <f>'МРСК 2'!K227</f>
        <v>0.8108094448924232</v>
      </c>
      <c r="AA224" s="254">
        <f t="shared" si="5"/>
        <v>0.8108094448924232</v>
      </c>
      <c r="AB224" s="255"/>
    </row>
    <row r="225" spans="1:28" ht="19.5">
      <c r="A225" s="248">
        <v>149</v>
      </c>
      <c r="B225" s="2" t="s">
        <v>469</v>
      </c>
      <c r="C225" s="251" t="str">
        <f>МРСК!C228</f>
        <v>2,5+2,5</v>
      </c>
      <c r="D225" s="251">
        <f>МРСК!D228</f>
        <v>600</v>
      </c>
      <c r="E225" s="251">
        <f>МРСК!E228</f>
        <v>378</v>
      </c>
      <c r="F225" s="253">
        <f>МРСК!F228</f>
        <v>0.7091431449291462</v>
      </c>
      <c r="G225" s="254">
        <f>МРСК!G228</f>
        <v>0.3763754343811262</v>
      </c>
      <c r="H225" s="286">
        <f>МРСК!H228</f>
        <v>80</v>
      </c>
      <c r="I225" s="254">
        <f>МРСК!I228</f>
        <v>0.33276771054802</v>
      </c>
      <c r="J225" s="252">
        <f>МРСК!J228</f>
        <v>0</v>
      </c>
      <c r="K225" s="289">
        <f>МРСК!K228</f>
        <v>2.625</v>
      </c>
      <c r="L225" s="277">
        <f>МРСК!L228</f>
        <v>2.29223228945198</v>
      </c>
      <c r="M225" s="254">
        <f t="shared" si="4"/>
        <v>2.29223228945198</v>
      </c>
      <c r="N225" s="255"/>
      <c r="P225" s="248">
        <v>149</v>
      </c>
      <c r="Q225" s="2" t="s">
        <v>469</v>
      </c>
      <c r="R225" s="251" t="str">
        <f>'МРСК 2'!C228</f>
        <v>2,5+2,5</v>
      </c>
      <c r="S225" s="251">
        <f>'МРСК 2'!D228</f>
        <v>0</v>
      </c>
      <c r="T225" s="252">
        <f>'МРСК 2'!E228</f>
        <v>0.7091431449291462</v>
      </c>
      <c r="U225" s="254">
        <f>'МРСК 2'!F228</f>
        <v>0.3763754343811262</v>
      </c>
      <c r="V225" s="286">
        <f>'МРСК 2'!G228</f>
        <v>80</v>
      </c>
      <c r="W225" s="254">
        <f>'МРСК 2'!H228</f>
        <v>0.33276771054802</v>
      </c>
      <c r="X225" s="252">
        <f>'МРСК 2'!I228</f>
        <v>0</v>
      </c>
      <c r="Y225" s="290">
        <f>'МРСК 2'!J228</f>
        <v>2.625</v>
      </c>
      <c r="Z225" s="254">
        <f>'МРСК 2'!K228</f>
        <v>2.29223228945198</v>
      </c>
      <c r="AA225" s="254">
        <f t="shared" si="5"/>
        <v>2.29223228945198</v>
      </c>
      <c r="AB225" s="255"/>
    </row>
    <row r="226" spans="1:28" ht="19.5">
      <c r="A226" s="248">
        <v>150</v>
      </c>
      <c r="B226" s="2" t="s">
        <v>470</v>
      </c>
      <c r="C226" s="251" t="str">
        <f>МРСК!C229</f>
        <v>2,5+2,5</v>
      </c>
      <c r="D226" s="251">
        <f>МРСК!D229</f>
        <v>1616</v>
      </c>
      <c r="E226" s="251">
        <f>МРСК!E229</f>
        <v>640</v>
      </c>
      <c r="F226" s="253">
        <f>МРСК!F229</f>
        <v>1.7381185230012366</v>
      </c>
      <c r="G226" s="254">
        <f>МРСК!G229</f>
        <v>0.352</v>
      </c>
      <c r="H226" s="286">
        <f>МРСК!H229</f>
        <v>120</v>
      </c>
      <c r="I226" s="254">
        <f>МРСК!I229</f>
        <v>1.3861185230012367</v>
      </c>
      <c r="J226" s="252">
        <f>МРСК!J229</f>
        <v>0</v>
      </c>
      <c r="K226" s="289">
        <f>МРСК!K229</f>
        <v>2.625</v>
      </c>
      <c r="L226" s="277">
        <f>МРСК!L229</f>
        <v>1.2388814769987633</v>
      </c>
      <c r="M226" s="254">
        <f t="shared" si="4"/>
        <v>1.2388814769987633</v>
      </c>
      <c r="N226" s="255"/>
      <c r="P226" s="248">
        <v>150</v>
      </c>
      <c r="Q226" s="2" t="s">
        <v>470</v>
      </c>
      <c r="R226" s="251" t="str">
        <f>'МРСК 2'!C229</f>
        <v>2,5+2,5</v>
      </c>
      <c r="S226" s="251">
        <f>'МРСК 2'!D229</f>
        <v>0.09</v>
      </c>
      <c r="T226" s="252">
        <f>'МРСК 2'!E229</f>
        <v>1.8281185230012367</v>
      </c>
      <c r="U226" s="254">
        <f>'МРСК 2'!F229</f>
        <v>0.352</v>
      </c>
      <c r="V226" s="286">
        <f>'МРСК 2'!G229</f>
        <v>120</v>
      </c>
      <c r="W226" s="254">
        <f>'МРСК 2'!H229</f>
        <v>1.4761185230012366</v>
      </c>
      <c r="X226" s="252">
        <f>'МРСК 2'!I229</f>
        <v>0</v>
      </c>
      <c r="Y226" s="290">
        <f>'МРСК 2'!J229</f>
        <v>2.625</v>
      </c>
      <c r="Z226" s="254">
        <f>'МРСК 2'!K229</f>
        <v>1.1488814769987634</v>
      </c>
      <c r="AA226" s="254">
        <f t="shared" si="5"/>
        <v>1.1488814769987634</v>
      </c>
      <c r="AB226" s="255"/>
    </row>
    <row r="227" spans="1:28" ht="19.5">
      <c r="A227" s="248">
        <v>151</v>
      </c>
      <c r="B227" s="2" t="s">
        <v>471</v>
      </c>
      <c r="C227" s="251" t="str">
        <f>МРСК!C230</f>
        <v>6,3+6,3</v>
      </c>
      <c r="D227" s="251">
        <f>МРСК!D230</f>
        <v>4736</v>
      </c>
      <c r="E227" s="251">
        <f>МРСК!E230</f>
        <v>1888</v>
      </c>
      <c r="F227" s="253">
        <f>МРСК!F230</f>
        <v>5.098454667838089</v>
      </c>
      <c r="G227" s="254">
        <f>МРСК!G230</f>
        <v>0.164</v>
      </c>
      <c r="H227" s="286">
        <f>МРСК!H230</f>
        <v>45</v>
      </c>
      <c r="I227" s="254">
        <f>МРСК!I230</f>
        <v>4.934454667838089</v>
      </c>
      <c r="J227" s="252">
        <f>МРСК!J230</f>
        <v>0</v>
      </c>
      <c r="K227" s="289">
        <f>МРСК!K230</f>
        <v>6.615</v>
      </c>
      <c r="L227" s="277">
        <f>МРСК!L230</f>
        <v>1.6805453321619108</v>
      </c>
      <c r="M227" s="254">
        <f t="shared" si="4"/>
        <v>1.6805453321619108</v>
      </c>
      <c r="N227" s="255"/>
      <c r="P227" s="248">
        <v>151</v>
      </c>
      <c r="Q227" s="2" t="s">
        <v>471</v>
      </c>
      <c r="R227" s="251" t="str">
        <f>'МРСК 2'!C230</f>
        <v>6,3+6,3</v>
      </c>
      <c r="S227" s="251">
        <f>'МРСК 2'!D230</f>
        <v>0.02</v>
      </c>
      <c r="T227" s="252">
        <f>'МРСК 2'!E230</f>
        <v>5.118454667838089</v>
      </c>
      <c r="U227" s="254">
        <f>'МРСК 2'!F230</f>
        <v>0.164</v>
      </c>
      <c r="V227" s="286">
        <f>'МРСК 2'!G230</f>
        <v>45</v>
      </c>
      <c r="W227" s="254">
        <f>'МРСК 2'!H230</f>
        <v>4.954454667838089</v>
      </c>
      <c r="X227" s="252">
        <f>'МРСК 2'!I230</f>
        <v>0</v>
      </c>
      <c r="Y227" s="290">
        <f>'МРСК 2'!J230</f>
        <v>6.615</v>
      </c>
      <c r="Z227" s="254">
        <f>'МРСК 2'!K230</f>
        <v>1.6605453321619112</v>
      </c>
      <c r="AA227" s="254">
        <f t="shared" si="5"/>
        <v>1.6605453321619112</v>
      </c>
      <c r="AB227" s="255"/>
    </row>
    <row r="228" spans="1:28" ht="19.5">
      <c r="A228" s="248">
        <v>152</v>
      </c>
      <c r="B228" s="2" t="s">
        <v>472</v>
      </c>
      <c r="C228" s="251" t="str">
        <f>МРСК!C231</f>
        <v>2,5+2,5</v>
      </c>
      <c r="D228" s="251">
        <f>МРСК!D231</f>
        <v>1278</v>
      </c>
      <c r="E228" s="251">
        <f>МРСК!E231</f>
        <v>684</v>
      </c>
      <c r="F228" s="253">
        <f>МРСК!F231</f>
        <v>1.4495309586207534</v>
      </c>
      <c r="G228" s="254">
        <f>МРСК!G231</f>
        <v>0.662</v>
      </c>
      <c r="H228" s="286">
        <f>МРСК!H231</f>
        <v>80</v>
      </c>
      <c r="I228" s="254">
        <f>МРСК!I231</f>
        <v>0.7875309586207534</v>
      </c>
      <c r="J228" s="252">
        <f>МРСК!J231</f>
        <v>0</v>
      </c>
      <c r="K228" s="289">
        <f>МРСК!K231</f>
        <v>2.625</v>
      </c>
      <c r="L228" s="277">
        <f>МРСК!L231</f>
        <v>1.8374690413792467</v>
      </c>
      <c r="M228" s="254">
        <f t="shared" si="4"/>
        <v>1.8374690413792467</v>
      </c>
      <c r="N228" s="255"/>
      <c r="P228" s="248">
        <v>152</v>
      </c>
      <c r="Q228" s="2" t="s">
        <v>472</v>
      </c>
      <c r="R228" s="251" t="str">
        <f>'МРСК 2'!C231</f>
        <v>2,5+2,5</v>
      </c>
      <c r="S228" s="251">
        <f>'МРСК 2'!D231</f>
        <v>0</v>
      </c>
      <c r="T228" s="252">
        <f>'МРСК 2'!E231</f>
        <v>1.4495309586207534</v>
      </c>
      <c r="U228" s="254">
        <f>'МРСК 2'!F231</f>
        <v>0.662</v>
      </c>
      <c r="V228" s="286">
        <f>'МРСК 2'!G231</f>
        <v>80</v>
      </c>
      <c r="W228" s="254">
        <f>'МРСК 2'!H231</f>
        <v>0.7875309586207534</v>
      </c>
      <c r="X228" s="252">
        <f>'МРСК 2'!I231</f>
        <v>0</v>
      </c>
      <c r="Y228" s="290">
        <f>'МРСК 2'!J231</f>
        <v>2.625</v>
      </c>
      <c r="Z228" s="254">
        <f>'МРСК 2'!K231</f>
        <v>1.8374690413792467</v>
      </c>
      <c r="AA228" s="254">
        <f t="shared" si="5"/>
        <v>1.8374690413792467</v>
      </c>
      <c r="AB228" s="255"/>
    </row>
    <row r="229" spans="1:28" ht="19.5">
      <c r="A229" s="248">
        <v>153</v>
      </c>
      <c r="B229" s="2" t="s">
        <v>473</v>
      </c>
      <c r="C229" s="251" t="str">
        <f>МРСК!C232</f>
        <v>2,5+2,5</v>
      </c>
      <c r="D229" s="251">
        <f>МРСК!D232</f>
        <v>1536</v>
      </c>
      <c r="E229" s="251">
        <f>МРСК!E232</f>
        <v>744</v>
      </c>
      <c r="F229" s="253">
        <f>МРСК!F232</f>
        <v>1.7067020829658583</v>
      </c>
      <c r="G229" s="254">
        <f>МРСК!G232</f>
        <v>0.8849109793349925</v>
      </c>
      <c r="H229" s="286">
        <f>МРСК!H232</f>
        <v>80</v>
      </c>
      <c r="I229" s="254">
        <f>МРСК!I232</f>
        <v>0.8217911036308658</v>
      </c>
      <c r="J229" s="252">
        <f>МРСК!J232</f>
        <v>0</v>
      </c>
      <c r="K229" s="289">
        <f>МРСК!K232</f>
        <v>2.625</v>
      </c>
      <c r="L229" s="277">
        <f>МРСК!L232</f>
        <v>1.8032088963691342</v>
      </c>
      <c r="M229" s="254">
        <f t="shared" si="4"/>
        <v>1.8032088963691342</v>
      </c>
      <c r="N229" s="255"/>
      <c r="P229" s="248">
        <v>153</v>
      </c>
      <c r="Q229" s="2" t="s">
        <v>473</v>
      </c>
      <c r="R229" s="251" t="str">
        <f>'МРСК 2'!C232</f>
        <v>2,5+2,5</v>
      </c>
      <c r="S229" s="251">
        <f>'МРСК 2'!D232</f>
        <v>0.07</v>
      </c>
      <c r="T229" s="252">
        <f>'МРСК 2'!E232</f>
        <v>1.7767020829658584</v>
      </c>
      <c r="U229" s="254">
        <f>'МРСК 2'!F232</f>
        <v>0.8849109793349925</v>
      </c>
      <c r="V229" s="286">
        <f>'МРСК 2'!G232</f>
        <v>80</v>
      </c>
      <c r="W229" s="254">
        <f>'МРСК 2'!H232</f>
        <v>0.8917911036308659</v>
      </c>
      <c r="X229" s="252">
        <f>'МРСК 2'!I232</f>
        <v>0</v>
      </c>
      <c r="Y229" s="290">
        <f>'МРСК 2'!J232</f>
        <v>2.625</v>
      </c>
      <c r="Z229" s="254">
        <f>'МРСК 2'!K232</f>
        <v>1.7332088963691341</v>
      </c>
      <c r="AA229" s="254">
        <f t="shared" si="5"/>
        <v>1.7332088963691341</v>
      </c>
      <c r="AB229" s="255"/>
    </row>
    <row r="230" spans="1:28" ht="19.5">
      <c r="A230" s="248">
        <v>154</v>
      </c>
      <c r="B230" s="2" t="s">
        <v>474</v>
      </c>
      <c r="C230" s="251" t="str">
        <f>МРСК!C233</f>
        <v>10+10</v>
      </c>
      <c r="D230" s="251">
        <f>МРСК!D233</f>
        <v>5736</v>
      </c>
      <c r="E230" s="251">
        <f>МРСК!E233</f>
        <v>2664</v>
      </c>
      <c r="F230" s="253">
        <f>МРСК!F233</f>
        <v>6.324444007183556</v>
      </c>
      <c r="G230" s="254">
        <f>МРСК!G233</f>
        <v>2.53</v>
      </c>
      <c r="H230" s="286">
        <f>МРСК!H233</f>
        <v>45</v>
      </c>
      <c r="I230" s="254">
        <f>МРСК!I233</f>
        <v>3.794444007183556</v>
      </c>
      <c r="J230" s="252">
        <f>МРСК!J233</f>
        <v>0</v>
      </c>
      <c r="K230" s="289">
        <f>МРСК!K233</f>
        <v>10.5</v>
      </c>
      <c r="L230" s="277">
        <f>МРСК!L233</f>
        <v>6.7055559928164445</v>
      </c>
      <c r="M230" s="254">
        <f t="shared" si="4"/>
        <v>6.7055559928164445</v>
      </c>
      <c r="N230" s="255"/>
      <c r="P230" s="248">
        <v>154</v>
      </c>
      <c r="Q230" s="2" t="s">
        <v>474</v>
      </c>
      <c r="R230" s="251" t="str">
        <f>'МРСК 2'!C233</f>
        <v>10+10</v>
      </c>
      <c r="S230" s="251">
        <f>'МРСК 2'!D233</f>
        <v>0.1</v>
      </c>
      <c r="T230" s="252">
        <f>'МРСК 2'!E233</f>
        <v>6.424444007183555</v>
      </c>
      <c r="U230" s="254">
        <f>'МРСК 2'!F233</f>
        <v>2.53</v>
      </c>
      <c r="V230" s="286">
        <f>'МРСК 2'!G233</f>
        <v>45</v>
      </c>
      <c r="W230" s="254">
        <f>'МРСК 2'!H233</f>
        <v>3.8944440071835555</v>
      </c>
      <c r="X230" s="252">
        <f>'МРСК 2'!I233</f>
        <v>0</v>
      </c>
      <c r="Y230" s="290">
        <f>'МРСК 2'!J233</f>
        <v>10.5</v>
      </c>
      <c r="Z230" s="254">
        <f>'МРСК 2'!K233</f>
        <v>6.605555992816445</v>
      </c>
      <c r="AA230" s="254">
        <f t="shared" si="5"/>
        <v>6.605555992816445</v>
      </c>
      <c r="AB230" s="255"/>
    </row>
    <row r="231" spans="1:28" ht="19.5">
      <c r="A231" s="248">
        <v>155</v>
      </c>
      <c r="B231" s="2" t="s">
        <v>475</v>
      </c>
      <c r="C231" s="251" t="str">
        <f>МРСК!C234</f>
        <v>4+4</v>
      </c>
      <c r="D231" s="251">
        <f>МРСК!D234</f>
        <v>3000</v>
      </c>
      <c r="E231" s="251">
        <f>МРСК!E234</f>
        <v>1188</v>
      </c>
      <c r="F231" s="253">
        <f>МРСК!F234</f>
        <v>3.2266614325026417</v>
      </c>
      <c r="G231" s="254">
        <f>МРСК!G234</f>
        <v>1.7392964094713703</v>
      </c>
      <c r="H231" s="286">
        <f>МРСК!H234</f>
        <v>120</v>
      </c>
      <c r="I231" s="254">
        <f>МРСК!I234</f>
        <v>1.4873650230312714</v>
      </c>
      <c r="J231" s="252">
        <f>МРСК!J234</f>
        <v>0</v>
      </c>
      <c r="K231" s="289">
        <f>МРСК!K234</f>
        <v>4.2</v>
      </c>
      <c r="L231" s="277">
        <f>МРСК!L234</f>
        <v>2.7126349769687286</v>
      </c>
      <c r="M231" s="254">
        <f t="shared" si="4"/>
        <v>2.7126349769687286</v>
      </c>
      <c r="N231" s="255"/>
      <c r="P231" s="248">
        <v>155</v>
      </c>
      <c r="Q231" s="2" t="s">
        <v>475</v>
      </c>
      <c r="R231" s="251" t="str">
        <f>'МРСК 2'!C234</f>
        <v>4+4</v>
      </c>
      <c r="S231" s="251">
        <f>'МРСК 2'!D234</f>
        <v>0.03</v>
      </c>
      <c r="T231" s="252">
        <f>'МРСК 2'!E234</f>
        <v>3.2566614325026415</v>
      </c>
      <c r="U231" s="254">
        <f>'МРСК 2'!F234</f>
        <v>1.7392964094713703</v>
      </c>
      <c r="V231" s="286">
        <f>'МРСК 2'!G234</f>
        <v>120</v>
      </c>
      <c r="W231" s="254">
        <f>'МРСК 2'!H234</f>
        <v>1.5173650230312712</v>
      </c>
      <c r="X231" s="252">
        <f>'МРСК 2'!I234</f>
        <v>0</v>
      </c>
      <c r="Y231" s="290">
        <f>'МРСК 2'!J234</f>
        <v>4.2</v>
      </c>
      <c r="Z231" s="254">
        <f>'МРСК 2'!K234</f>
        <v>2.682634976968729</v>
      </c>
      <c r="AA231" s="254">
        <f t="shared" si="5"/>
        <v>2.682634976968729</v>
      </c>
      <c r="AB231" s="255"/>
    </row>
    <row r="232" spans="1:28" ht="19.5">
      <c r="A232" s="248">
        <v>156</v>
      </c>
      <c r="B232" s="2" t="s">
        <v>476</v>
      </c>
      <c r="C232" s="251" t="str">
        <f>МРСК!C235</f>
        <v>4+4</v>
      </c>
      <c r="D232" s="251">
        <f>МРСК!D235</f>
        <v>1648</v>
      </c>
      <c r="E232" s="251">
        <f>МРСК!E235</f>
        <v>736</v>
      </c>
      <c r="F232" s="253">
        <f>МРСК!F235</f>
        <v>1.8048822676285565</v>
      </c>
      <c r="G232" s="254">
        <f>МРСК!G235</f>
        <v>0</v>
      </c>
      <c r="H232" s="286">
        <f>МРСК!H235</f>
        <v>0</v>
      </c>
      <c r="I232" s="254">
        <f>МРСК!I235</f>
        <v>1.8048822676285565</v>
      </c>
      <c r="J232" s="252">
        <f>МРСК!J235</f>
        <v>0</v>
      </c>
      <c r="K232" s="289">
        <f>МРСК!K235</f>
        <v>2.625</v>
      </c>
      <c r="L232" s="277">
        <f>МРСК!L235</f>
        <v>0.8201177323714435</v>
      </c>
      <c r="M232" s="254">
        <f t="shared" si="4"/>
        <v>0.8201177323714435</v>
      </c>
      <c r="N232" s="255"/>
      <c r="P232" s="248">
        <v>156</v>
      </c>
      <c r="Q232" s="2" t="s">
        <v>476</v>
      </c>
      <c r="R232" s="251" t="str">
        <f>'МРСК 2'!C235</f>
        <v>4+4</v>
      </c>
      <c r="S232" s="251">
        <f>'МРСК 2'!D235</f>
        <v>0</v>
      </c>
      <c r="T232" s="252">
        <f>'МРСК 2'!E235</f>
        <v>1.8048822676285565</v>
      </c>
      <c r="U232" s="254">
        <f>'МРСК 2'!F235</f>
        <v>0</v>
      </c>
      <c r="V232" s="286">
        <f>'МРСК 2'!G235</f>
        <v>0</v>
      </c>
      <c r="W232" s="254">
        <f>'МРСК 2'!H235</f>
        <v>1.8048822676285565</v>
      </c>
      <c r="X232" s="252">
        <f>'МРСК 2'!I235</f>
        <v>0</v>
      </c>
      <c r="Y232" s="290">
        <f>'МРСК 2'!J235</f>
        <v>2.625</v>
      </c>
      <c r="Z232" s="254">
        <f>'МРСК 2'!K235</f>
        <v>0.8201177323714435</v>
      </c>
      <c r="AA232" s="254">
        <f t="shared" si="5"/>
        <v>0.8201177323714435</v>
      </c>
      <c r="AB232" s="255"/>
    </row>
    <row r="233" spans="1:28" ht="19.5">
      <c r="A233" s="248">
        <v>157</v>
      </c>
      <c r="B233" s="2" t="s">
        <v>477</v>
      </c>
      <c r="C233" s="251" t="str">
        <f>МРСК!C236</f>
        <v>2,5+2,5</v>
      </c>
      <c r="D233" s="251">
        <f>МРСК!D236</f>
        <v>805</v>
      </c>
      <c r="E233" s="251">
        <f>МРСК!E236</f>
        <v>381</v>
      </c>
      <c r="F233" s="253">
        <f>МРСК!F236</f>
        <v>0.8906099033808237</v>
      </c>
      <c r="G233" s="254">
        <f>МРСК!G236</f>
        <v>0</v>
      </c>
      <c r="H233" s="286">
        <f>МРСК!H236</f>
        <v>0</v>
      </c>
      <c r="I233" s="254">
        <f>МРСК!I236</f>
        <v>0.8906099033808237</v>
      </c>
      <c r="J233" s="252">
        <f>МРСК!J236</f>
        <v>0</v>
      </c>
      <c r="K233" s="289">
        <f>МРСК!K236</f>
        <v>2.625</v>
      </c>
      <c r="L233" s="277">
        <f>МРСК!L236</f>
        <v>1.7343900966191763</v>
      </c>
      <c r="M233" s="254">
        <f t="shared" si="4"/>
        <v>1.7343900966191763</v>
      </c>
      <c r="N233" s="255"/>
      <c r="P233" s="248">
        <v>157</v>
      </c>
      <c r="Q233" s="2" t="s">
        <v>477</v>
      </c>
      <c r="R233" s="251" t="str">
        <f>'МРСК 2'!C236</f>
        <v>2,5+2,5</v>
      </c>
      <c r="S233" s="251">
        <f>'МРСК 2'!D236</f>
        <v>0</v>
      </c>
      <c r="T233" s="252">
        <f>'МРСК 2'!E236</f>
        <v>0</v>
      </c>
      <c r="U233" s="254">
        <f>'МРСК 2'!F236</f>
        <v>0</v>
      </c>
      <c r="V233" s="286">
        <f>'МРСК 2'!G236</f>
        <v>0</v>
      </c>
      <c r="W233" s="254">
        <f>'МРСК 2'!H236</f>
        <v>0</v>
      </c>
      <c r="X233" s="252">
        <f>'МРСК 2'!I236</f>
        <v>0</v>
      </c>
      <c r="Y233" s="290">
        <f>'МРСК 2'!J236</f>
        <v>2.625</v>
      </c>
      <c r="Z233" s="254">
        <f>'МРСК 2'!K236</f>
        <v>2.625</v>
      </c>
      <c r="AA233" s="254">
        <f t="shared" si="5"/>
        <v>2.625</v>
      </c>
      <c r="AB233" s="255"/>
    </row>
    <row r="234" spans="1:28" ht="19.5">
      <c r="A234" s="248">
        <v>158</v>
      </c>
      <c r="B234" s="2" t="s">
        <v>478</v>
      </c>
      <c r="C234" s="251" t="str">
        <f>МРСК!C237</f>
        <v>2,5+2,5</v>
      </c>
      <c r="D234" s="251">
        <f>МРСК!D237</f>
        <v>288</v>
      </c>
      <c r="E234" s="251">
        <f>МРСК!E237</f>
        <v>152</v>
      </c>
      <c r="F234" s="253">
        <f>МРСК!F237</f>
        <v>0.3256501189927619</v>
      </c>
      <c r="G234" s="254">
        <f>МРСК!G237</f>
        <v>0.2275127113166862</v>
      </c>
      <c r="H234" s="286">
        <f>МРСК!H237</f>
        <v>120</v>
      </c>
      <c r="I234" s="254">
        <f>МРСК!I237</f>
        <v>0.0981374076760757</v>
      </c>
      <c r="J234" s="252">
        <f>МРСК!J237</f>
        <v>0</v>
      </c>
      <c r="K234" s="289">
        <f>МРСК!K237</f>
        <v>2.625</v>
      </c>
      <c r="L234" s="277">
        <f>МРСК!L237</f>
        <v>2.5268625923239245</v>
      </c>
      <c r="M234" s="254">
        <f t="shared" si="4"/>
        <v>2.5268625923239245</v>
      </c>
      <c r="N234" s="255"/>
      <c r="P234" s="248">
        <v>158</v>
      </c>
      <c r="Q234" s="2" t="s">
        <v>478</v>
      </c>
      <c r="R234" s="251" t="str">
        <f>'МРСК 2'!C237</f>
        <v>2,5+2,5</v>
      </c>
      <c r="S234" s="251">
        <f>'МРСК 2'!D237</f>
        <v>0</v>
      </c>
      <c r="T234" s="252">
        <f>'МРСК 2'!E237</f>
        <v>0.3256501189927619</v>
      </c>
      <c r="U234" s="254">
        <f>'МРСК 2'!F237</f>
        <v>0.2275127113166862</v>
      </c>
      <c r="V234" s="286">
        <f>'МРСК 2'!G237</f>
        <v>120</v>
      </c>
      <c r="W234" s="254">
        <f>'МРСК 2'!H237</f>
        <v>0.0981374076760757</v>
      </c>
      <c r="X234" s="252">
        <f>'МРСК 2'!I237</f>
        <v>0</v>
      </c>
      <c r="Y234" s="290">
        <f>'МРСК 2'!J237</f>
        <v>2.625</v>
      </c>
      <c r="Z234" s="254">
        <f>'МРСК 2'!K237</f>
        <v>2.5268625923239245</v>
      </c>
      <c r="AA234" s="254">
        <f t="shared" si="5"/>
        <v>2.5268625923239245</v>
      </c>
      <c r="AB234" s="255"/>
    </row>
    <row r="235" spans="1:28" ht="19.5">
      <c r="A235" s="248">
        <v>159</v>
      </c>
      <c r="B235" s="2" t="s">
        <v>479</v>
      </c>
      <c r="C235" s="251" t="str">
        <f>МРСК!C238</f>
        <v>6,3+6,3</v>
      </c>
      <c r="D235" s="251">
        <f>МРСК!D238</f>
        <v>6278</v>
      </c>
      <c r="E235" s="251">
        <f>МРСК!E238</f>
        <v>1901</v>
      </c>
      <c r="F235" s="253">
        <f>МРСК!F238</f>
        <v>6.559503411082275</v>
      </c>
      <c r="G235" s="254">
        <f>МРСК!G238</f>
        <v>4.804906036985494</v>
      </c>
      <c r="H235" s="286">
        <f>МРСК!H238</f>
        <v>120</v>
      </c>
      <c r="I235" s="254">
        <f>МРСК!I238</f>
        <v>1.7545973740967815</v>
      </c>
      <c r="J235" s="252">
        <f>МРСК!J238</f>
        <v>0</v>
      </c>
      <c r="K235" s="289">
        <f>МРСК!K238</f>
        <v>6.615</v>
      </c>
      <c r="L235" s="277">
        <f>МРСК!L238</f>
        <v>4.860402625903219</v>
      </c>
      <c r="M235" s="254">
        <f t="shared" si="4"/>
        <v>4.860402625903219</v>
      </c>
      <c r="N235" s="255"/>
      <c r="P235" s="248">
        <v>159</v>
      </c>
      <c r="Q235" s="2" t="s">
        <v>479</v>
      </c>
      <c r="R235" s="251" t="str">
        <f>'МРСК 2'!C238</f>
        <v>6,3+6,3</v>
      </c>
      <c r="S235" s="251">
        <f>'МРСК 2'!D238</f>
        <v>0.01</v>
      </c>
      <c r="T235" s="252">
        <f>'МРСК 2'!E238</f>
        <v>6.569503411082275</v>
      </c>
      <c r="U235" s="254">
        <f>'МРСК 2'!F238</f>
        <v>4.804906036985494</v>
      </c>
      <c r="V235" s="286">
        <f>'МРСК 2'!G238</f>
        <v>120</v>
      </c>
      <c r="W235" s="254">
        <f>'МРСК 2'!H238</f>
        <v>1.7645973740967813</v>
      </c>
      <c r="X235" s="252">
        <f>'МРСК 2'!I238</f>
        <v>0</v>
      </c>
      <c r="Y235" s="290">
        <f>'МРСК 2'!J238</f>
        <v>6.615</v>
      </c>
      <c r="Z235" s="254">
        <f>'МРСК 2'!K238</f>
        <v>4.850402625903219</v>
      </c>
      <c r="AA235" s="254">
        <f t="shared" si="5"/>
        <v>4.850402625903219</v>
      </c>
      <c r="AB235" s="255"/>
    </row>
    <row r="236" spans="1:28" ht="19.5">
      <c r="A236" s="248">
        <v>160</v>
      </c>
      <c r="B236" s="2" t="s">
        <v>480</v>
      </c>
      <c r="C236" s="251" t="str">
        <f>МРСК!C239</f>
        <v>2,5+2,5</v>
      </c>
      <c r="D236" s="251">
        <f>МРСК!D239</f>
        <v>1806</v>
      </c>
      <c r="E236" s="251">
        <f>МРСК!E239</f>
        <v>754</v>
      </c>
      <c r="F236" s="253">
        <f>МРСК!F239</f>
        <v>1.9570774128787036</v>
      </c>
      <c r="G236" s="254">
        <f>МРСК!G239</f>
        <v>1.062118637441223</v>
      </c>
      <c r="H236" s="286">
        <f>МРСК!H239</f>
        <v>80</v>
      </c>
      <c r="I236" s="254">
        <f>МРСК!I239</f>
        <v>0.8949587754374806</v>
      </c>
      <c r="J236" s="252">
        <f>МРСК!J239</f>
        <v>0</v>
      </c>
      <c r="K236" s="289">
        <f>МРСК!K239</f>
        <v>2.625</v>
      </c>
      <c r="L236" s="277">
        <f>МРСК!L239</f>
        <v>1.7300412245625194</v>
      </c>
      <c r="M236" s="254">
        <f t="shared" si="4"/>
        <v>1.7300412245625194</v>
      </c>
      <c r="N236" s="255"/>
      <c r="P236" s="248">
        <v>160</v>
      </c>
      <c r="Q236" s="2" t="s">
        <v>480</v>
      </c>
      <c r="R236" s="251" t="str">
        <f>'МРСК 2'!C239</f>
        <v>2,5+2,5</v>
      </c>
      <c r="S236" s="251">
        <f>'МРСК 2'!D239</f>
        <v>0.02</v>
      </c>
      <c r="T236" s="252">
        <f>'МРСК 2'!E239</f>
        <v>1.9770774128787036</v>
      </c>
      <c r="U236" s="254">
        <f>'МРСК 2'!F239</f>
        <v>1.062118637441223</v>
      </c>
      <c r="V236" s="286">
        <f>'МРСК 2'!G239</f>
        <v>80</v>
      </c>
      <c r="W236" s="254">
        <f>'МРСК 2'!H239</f>
        <v>0.9149587754374806</v>
      </c>
      <c r="X236" s="252">
        <f>'МРСК 2'!I239</f>
        <v>0</v>
      </c>
      <c r="Y236" s="290">
        <f>'МРСК 2'!J239</f>
        <v>2.625</v>
      </c>
      <c r="Z236" s="254">
        <f>'МРСК 2'!K239</f>
        <v>1.7100412245625194</v>
      </c>
      <c r="AA236" s="254">
        <f t="shared" si="5"/>
        <v>1.7100412245625194</v>
      </c>
      <c r="AB236" s="255"/>
    </row>
    <row r="237" spans="1:28" ht="19.5">
      <c r="A237" s="248">
        <v>161</v>
      </c>
      <c r="B237" s="2" t="s">
        <v>481</v>
      </c>
      <c r="C237" s="251" t="str">
        <f>МРСК!C240</f>
        <v>4+4</v>
      </c>
      <c r="D237" s="251">
        <f>МРСК!D240</f>
        <v>2288</v>
      </c>
      <c r="E237" s="251">
        <f>МРСК!E240</f>
        <v>1184</v>
      </c>
      <c r="F237" s="253">
        <f>МРСК!F240</f>
        <v>2.5761987500967387</v>
      </c>
      <c r="G237" s="254">
        <f>МРСК!G240</f>
        <v>1.1305772892533212</v>
      </c>
      <c r="H237" s="286">
        <f>МРСК!H240</f>
        <v>120</v>
      </c>
      <c r="I237" s="254">
        <f>МРСК!I240</f>
        <v>1.4456214608434175</v>
      </c>
      <c r="J237" s="252">
        <f>МРСК!J240</f>
        <v>0</v>
      </c>
      <c r="K237" s="289">
        <f>МРСК!K240</f>
        <v>4.2</v>
      </c>
      <c r="L237" s="277">
        <f>МРСК!L240</f>
        <v>2.7543785391565825</v>
      </c>
      <c r="M237" s="254">
        <f t="shared" si="4"/>
        <v>2.7543785391565825</v>
      </c>
      <c r="N237" s="255"/>
      <c r="P237" s="248">
        <v>161</v>
      </c>
      <c r="Q237" s="2" t="s">
        <v>481</v>
      </c>
      <c r="R237" s="251" t="str">
        <f>'МРСК 2'!C240</f>
        <v>4+4</v>
      </c>
      <c r="S237" s="251">
        <f>'МРСК 2'!D240</f>
        <v>0.95</v>
      </c>
      <c r="T237" s="252">
        <f>'МРСК 2'!E240</f>
        <v>3.5261987500967384</v>
      </c>
      <c r="U237" s="254">
        <f>'МРСК 2'!F240</f>
        <v>1.1305772892533212</v>
      </c>
      <c r="V237" s="286">
        <f>'МРСК 2'!G240</f>
        <v>120</v>
      </c>
      <c r="W237" s="254">
        <f>'МРСК 2'!H240</f>
        <v>2.395621460843417</v>
      </c>
      <c r="X237" s="252">
        <f>'МРСК 2'!I240</f>
        <v>0</v>
      </c>
      <c r="Y237" s="290">
        <f>'МРСК 2'!J240</f>
        <v>4.2</v>
      </c>
      <c r="Z237" s="254">
        <f>'МРСК 2'!K240</f>
        <v>1.8043785391565832</v>
      </c>
      <c r="AA237" s="254">
        <f t="shared" si="5"/>
        <v>1.8043785391565832</v>
      </c>
      <c r="AB237" s="255"/>
    </row>
    <row r="238" spans="1:28" ht="19.5">
      <c r="A238" s="248">
        <v>162</v>
      </c>
      <c r="B238" s="2" t="s">
        <v>482</v>
      </c>
      <c r="C238" s="251" t="str">
        <f>МРСК!C241</f>
        <v>16+16</v>
      </c>
      <c r="D238" s="251">
        <f>МРСК!D241</f>
        <v>10742</v>
      </c>
      <c r="E238" s="251">
        <f>МРСК!E241</f>
        <v>4668</v>
      </c>
      <c r="F238" s="253">
        <f>МРСК!F241</f>
        <v>11.712420245192707</v>
      </c>
      <c r="G238" s="254">
        <f>МРСК!G241</f>
        <v>1.21</v>
      </c>
      <c r="H238" s="286">
        <f>МРСК!H241</f>
        <v>80</v>
      </c>
      <c r="I238" s="254">
        <f>МРСК!I241</f>
        <v>10.502420245192706</v>
      </c>
      <c r="J238" s="252">
        <f>МРСК!J241</f>
        <v>0</v>
      </c>
      <c r="K238" s="289">
        <f>МРСК!K241</f>
        <v>16.8</v>
      </c>
      <c r="L238" s="277">
        <f>МРСК!L241</f>
        <v>6.297579754807295</v>
      </c>
      <c r="M238" s="254">
        <f t="shared" si="4"/>
        <v>6.297579754807295</v>
      </c>
      <c r="N238" s="255"/>
      <c r="P238" s="248">
        <v>162</v>
      </c>
      <c r="Q238" s="2" t="s">
        <v>482</v>
      </c>
      <c r="R238" s="251" t="str">
        <f>'МРСК 2'!C241</f>
        <v>16+16</v>
      </c>
      <c r="S238" s="251">
        <f>'МРСК 2'!D241</f>
        <v>0.34</v>
      </c>
      <c r="T238" s="252">
        <f>'МРСК 2'!E241</f>
        <v>12.052420245192707</v>
      </c>
      <c r="U238" s="254">
        <f>'МРСК 2'!F241</f>
        <v>1.21</v>
      </c>
      <c r="V238" s="286">
        <f>'МРСК 2'!G241</f>
        <v>80</v>
      </c>
      <c r="W238" s="254">
        <f>'МРСК 2'!H241</f>
        <v>10.842420245192706</v>
      </c>
      <c r="X238" s="252">
        <f>'МРСК 2'!I241</f>
        <v>0</v>
      </c>
      <c r="Y238" s="290">
        <f>'МРСК 2'!J241</f>
        <v>16.8</v>
      </c>
      <c r="Z238" s="254">
        <f>'МРСК 2'!K241</f>
        <v>5.957579754807295</v>
      </c>
      <c r="AA238" s="254">
        <f t="shared" si="5"/>
        <v>5.957579754807295</v>
      </c>
      <c r="AB238" s="255"/>
    </row>
    <row r="239" spans="1:28" ht="19.5">
      <c r="A239" s="248">
        <v>163</v>
      </c>
      <c r="B239" s="2" t="s">
        <v>483</v>
      </c>
      <c r="C239" s="251" t="str">
        <f>МРСК!C242</f>
        <v>4+4</v>
      </c>
      <c r="D239" s="251">
        <f>МРСК!D242</f>
        <v>2028</v>
      </c>
      <c r="E239" s="251">
        <f>МРСК!E242</f>
        <v>684</v>
      </c>
      <c r="F239" s="253">
        <f>МРСК!F242</f>
        <v>2.1402429768603377</v>
      </c>
      <c r="G239" s="254">
        <f>МРСК!G242</f>
        <v>1.3453007325017299</v>
      </c>
      <c r="H239" s="286">
        <f>МРСК!H242</f>
        <v>45</v>
      </c>
      <c r="I239" s="254">
        <f>МРСК!I242</f>
        <v>0.7949422443586078</v>
      </c>
      <c r="J239" s="252">
        <f>МРСК!J242</f>
        <v>0</v>
      </c>
      <c r="K239" s="289">
        <f>МРСК!K242</f>
        <v>4.2</v>
      </c>
      <c r="L239" s="277">
        <f>МРСК!L242</f>
        <v>3.4050577556413923</v>
      </c>
      <c r="M239" s="254">
        <f t="shared" si="4"/>
        <v>3.4050577556413923</v>
      </c>
      <c r="N239" s="255"/>
      <c r="P239" s="248">
        <v>163</v>
      </c>
      <c r="Q239" s="2" t="s">
        <v>483</v>
      </c>
      <c r="R239" s="251" t="str">
        <f>'МРСК 2'!C242</f>
        <v>4+4</v>
      </c>
      <c r="S239" s="251">
        <f>'МРСК 2'!D242</f>
        <v>0</v>
      </c>
      <c r="T239" s="252">
        <f>'МРСК 2'!E242</f>
        <v>2.1402429768603377</v>
      </c>
      <c r="U239" s="254">
        <f>'МРСК 2'!F242</f>
        <v>1.3453007325017299</v>
      </c>
      <c r="V239" s="286">
        <f>'МРСК 2'!G242</f>
        <v>45</v>
      </c>
      <c r="W239" s="254">
        <f>'МРСК 2'!H242</f>
        <v>0.7949422443586078</v>
      </c>
      <c r="X239" s="252">
        <f>'МРСК 2'!I242</f>
        <v>0</v>
      </c>
      <c r="Y239" s="290">
        <f>'МРСК 2'!J242</f>
        <v>4.2</v>
      </c>
      <c r="Z239" s="254">
        <f>'МРСК 2'!K242</f>
        <v>3.4050577556413923</v>
      </c>
      <c r="AA239" s="254">
        <f t="shared" si="5"/>
        <v>3.4050577556413923</v>
      </c>
      <c r="AB239" s="255"/>
    </row>
    <row r="240" spans="1:28" ht="19.5">
      <c r="A240" s="248">
        <v>164</v>
      </c>
      <c r="B240" s="2" t="s">
        <v>484</v>
      </c>
      <c r="C240" s="251" t="str">
        <f>МРСК!C243</f>
        <v>10+10</v>
      </c>
      <c r="D240" s="251">
        <f>МРСК!D243</f>
        <v>8592</v>
      </c>
      <c r="E240" s="251">
        <f>МРСК!E243</f>
        <v>1656</v>
      </c>
      <c r="F240" s="253">
        <f>МРСК!F243</f>
        <v>8.750131427584389</v>
      </c>
      <c r="G240" s="254">
        <f>МРСК!G243</f>
        <v>0.531</v>
      </c>
      <c r="H240" s="286">
        <f>МРСК!H243</f>
        <v>45</v>
      </c>
      <c r="I240" s="254">
        <f>МРСК!I243</f>
        <v>8.219131427584388</v>
      </c>
      <c r="J240" s="252">
        <f>МРСК!J243</f>
        <v>0</v>
      </c>
      <c r="K240" s="289">
        <f>МРСК!K243</f>
        <v>10.5</v>
      </c>
      <c r="L240" s="277">
        <f>МРСК!L243</f>
        <v>2.2808685724156117</v>
      </c>
      <c r="M240" s="254">
        <f t="shared" si="4"/>
        <v>2.2808685724156117</v>
      </c>
      <c r="N240" s="255"/>
      <c r="P240" s="248">
        <v>164</v>
      </c>
      <c r="Q240" s="2" t="s">
        <v>484</v>
      </c>
      <c r="R240" s="251" t="str">
        <f>'МРСК 2'!C243</f>
        <v>10+10</v>
      </c>
      <c r="S240" s="251">
        <f>'МРСК 2'!D243</f>
        <v>2.45</v>
      </c>
      <c r="T240" s="252">
        <f>'МРСК 2'!E243</f>
        <v>11.200131427584388</v>
      </c>
      <c r="U240" s="254">
        <f>'МРСК 2'!F243</f>
        <v>0.531</v>
      </c>
      <c r="V240" s="286">
        <f>'МРСК 2'!G243</f>
        <v>45</v>
      </c>
      <c r="W240" s="254">
        <f>'МРСК 2'!H243</f>
        <v>10.669131427584388</v>
      </c>
      <c r="X240" s="252">
        <f>'МРСК 2'!I243</f>
        <v>0</v>
      </c>
      <c r="Y240" s="290">
        <f>'МРСК 2'!J243</f>
        <v>10.5</v>
      </c>
      <c r="Z240" s="254">
        <f>'МРСК 2'!K243</f>
        <v>-0.1691314275843876</v>
      </c>
      <c r="AA240" s="254">
        <f t="shared" si="5"/>
        <v>-0.1691314275843876</v>
      </c>
      <c r="AB240" s="255"/>
    </row>
    <row r="241" spans="1:28" ht="19.5">
      <c r="A241" s="248">
        <v>165</v>
      </c>
      <c r="B241" s="2" t="s">
        <v>485</v>
      </c>
      <c r="C241" s="251" t="str">
        <f>МРСК!C244</f>
        <v>2,5+2,5</v>
      </c>
      <c r="D241" s="251">
        <f>МРСК!D244</f>
        <v>960</v>
      </c>
      <c r="E241" s="251">
        <f>МРСК!E244</f>
        <v>504</v>
      </c>
      <c r="F241" s="253">
        <f>МРСК!F244</f>
        <v>1.0842582718153455</v>
      </c>
      <c r="G241" s="254">
        <f>МРСК!G244</f>
        <v>0.4497830700715363</v>
      </c>
      <c r="H241" s="286">
        <f>МРСК!H244</f>
        <v>80</v>
      </c>
      <c r="I241" s="254">
        <f>МРСК!I244</f>
        <v>0.6344752017438092</v>
      </c>
      <c r="J241" s="252">
        <f>МРСК!J244</f>
        <v>0</v>
      </c>
      <c r="K241" s="289">
        <f>МРСК!K244</f>
        <v>2.625</v>
      </c>
      <c r="L241" s="277">
        <f>МРСК!L244</f>
        <v>1.9905247982561907</v>
      </c>
      <c r="M241" s="254">
        <f t="shared" si="4"/>
        <v>1.9905247982561907</v>
      </c>
      <c r="N241" s="255"/>
      <c r="P241" s="248">
        <v>165</v>
      </c>
      <c r="Q241" s="2" t="s">
        <v>485</v>
      </c>
      <c r="R241" s="251" t="str">
        <f>'МРСК 2'!C244</f>
        <v>2,5+2,5</v>
      </c>
      <c r="S241" s="251">
        <f>'МРСК 2'!D244</f>
        <v>0</v>
      </c>
      <c r="T241" s="252">
        <f>'МРСК 2'!E244</f>
        <v>1.0842582718153455</v>
      </c>
      <c r="U241" s="254">
        <f>'МРСК 2'!F244</f>
        <v>0.4497830700715363</v>
      </c>
      <c r="V241" s="286">
        <f>'МРСК 2'!G244</f>
        <v>80</v>
      </c>
      <c r="W241" s="254">
        <f>'МРСК 2'!H244</f>
        <v>0.6344752017438092</v>
      </c>
      <c r="X241" s="252">
        <f>'МРСК 2'!I244</f>
        <v>0</v>
      </c>
      <c r="Y241" s="290">
        <f>'МРСК 2'!J244</f>
        <v>2.625</v>
      </c>
      <c r="Z241" s="254">
        <f>'МРСК 2'!K244</f>
        <v>1.9905247982561907</v>
      </c>
      <c r="AA241" s="254">
        <f t="shared" si="5"/>
        <v>1.9905247982561907</v>
      </c>
      <c r="AB241" s="255"/>
    </row>
    <row r="242" spans="1:28" ht="19.5">
      <c r="A242" s="248">
        <v>166</v>
      </c>
      <c r="B242" s="2" t="s">
        <v>486</v>
      </c>
      <c r="C242" s="251" t="str">
        <f>МРСК!C245</f>
        <v>6,3+6,3</v>
      </c>
      <c r="D242" s="251">
        <f>МРСК!D245</f>
        <v>4116</v>
      </c>
      <c r="E242" s="251">
        <f>МРСК!E245</f>
        <v>1140</v>
      </c>
      <c r="F242" s="253">
        <f>МРСК!F245</f>
        <v>4.270954928350333</v>
      </c>
      <c r="G242" s="254">
        <f>МРСК!G245</f>
        <v>1.39</v>
      </c>
      <c r="H242" s="286">
        <f>МРСК!H245</f>
        <v>120</v>
      </c>
      <c r="I242" s="254">
        <f>МРСК!I245</f>
        <v>2.8809549283503335</v>
      </c>
      <c r="J242" s="252">
        <f>МРСК!J245</f>
        <v>0</v>
      </c>
      <c r="K242" s="289">
        <f>МРСК!K245</f>
        <v>6.615</v>
      </c>
      <c r="L242" s="277">
        <f>МРСК!L245</f>
        <v>3.7340450716496667</v>
      </c>
      <c r="M242" s="254">
        <f t="shared" si="4"/>
        <v>3.7340450716496667</v>
      </c>
      <c r="N242" s="255"/>
      <c r="P242" s="248">
        <v>166</v>
      </c>
      <c r="Q242" s="2" t="s">
        <v>486</v>
      </c>
      <c r="R242" s="251" t="str">
        <f>'МРСК 2'!C245</f>
        <v>6,3+6,3</v>
      </c>
      <c r="S242" s="251">
        <f>'МРСК 2'!D245</f>
        <v>0.06</v>
      </c>
      <c r="T242" s="252">
        <f>'МРСК 2'!E245</f>
        <v>4.330954928350333</v>
      </c>
      <c r="U242" s="254">
        <f>'МРСК 2'!F245</f>
        <v>1.39</v>
      </c>
      <c r="V242" s="286">
        <f>'МРСК 2'!G245</f>
        <v>120</v>
      </c>
      <c r="W242" s="254">
        <f>'МРСК 2'!H245</f>
        <v>2.940954928350333</v>
      </c>
      <c r="X242" s="252">
        <f>'МРСК 2'!I245</f>
        <v>0</v>
      </c>
      <c r="Y242" s="290">
        <f>'МРСК 2'!J245</f>
        <v>6.615</v>
      </c>
      <c r="Z242" s="254">
        <f>'МРСК 2'!K245</f>
        <v>3.674045071649667</v>
      </c>
      <c r="AA242" s="254">
        <f t="shared" si="5"/>
        <v>3.674045071649667</v>
      </c>
      <c r="AB242" s="255"/>
    </row>
    <row r="243" spans="1:28" ht="19.5">
      <c r="A243" s="248">
        <v>167</v>
      </c>
      <c r="B243" s="2" t="s">
        <v>487</v>
      </c>
      <c r="C243" s="251" t="str">
        <f>МРСК!C246</f>
        <v>1,6+2,5</v>
      </c>
      <c r="D243" s="251">
        <f>МРСК!D246</f>
        <v>728</v>
      </c>
      <c r="E243" s="251">
        <f>МРСК!E246</f>
        <v>284</v>
      </c>
      <c r="F243" s="253">
        <f>МРСК!F246</f>
        <v>0.7814345781957694</v>
      </c>
      <c r="G243" s="254">
        <f>МРСК!G246</f>
        <v>0.4724167338631652</v>
      </c>
      <c r="H243" s="286">
        <f>МРСК!H246</f>
        <v>80</v>
      </c>
      <c r="I243" s="254">
        <f>МРСК!I246</f>
        <v>0.30901784433260426</v>
      </c>
      <c r="J243" s="252">
        <f>МРСК!J246</f>
        <v>0</v>
      </c>
      <c r="K243" s="289">
        <f>МРСК!K246</f>
        <v>1.6800000000000002</v>
      </c>
      <c r="L243" s="277">
        <f>МРСК!L246</f>
        <v>1.370982155667396</v>
      </c>
      <c r="M243" s="254">
        <f t="shared" si="4"/>
        <v>1.370982155667396</v>
      </c>
      <c r="N243" s="255"/>
      <c r="P243" s="248">
        <v>167</v>
      </c>
      <c r="Q243" s="2" t="s">
        <v>487</v>
      </c>
      <c r="R243" s="251" t="str">
        <f>'МРСК 2'!C246</f>
        <v>1,6+2,5</v>
      </c>
      <c r="S243" s="251">
        <f>'МРСК 2'!D246</f>
        <v>0</v>
      </c>
      <c r="T243" s="252">
        <f>'МРСК 2'!E246</f>
        <v>0.7814345781957694</v>
      </c>
      <c r="U243" s="254">
        <f>'МРСК 2'!F246</f>
        <v>0.4724167338631652</v>
      </c>
      <c r="V243" s="286">
        <f>'МРСК 2'!G246</f>
        <v>80</v>
      </c>
      <c r="W243" s="254">
        <f>'МРСК 2'!H246</f>
        <v>0.30901784433260426</v>
      </c>
      <c r="X243" s="252">
        <f>'МРСК 2'!I246</f>
        <v>0</v>
      </c>
      <c r="Y243" s="290">
        <f>'МРСК 2'!J246</f>
        <v>1.6800000000000002</v>
      </c>
      <c r="Z243" s="254">
        <f>'МРСК 2'!K246</f>
        <v>1.370982155667396</v>
      </c>
      <c r="AA243" s="254">
        <f t="shared" si="5"/>
        <v>1.370982155667396</v>
      </c>
      <c r="AB243" s="255"/>
    </row>
    <row r="244" spans="1:28" ht="19.5">
      <c r="A244" s="248">
        <v>168</v>
      </c>
      <c r="B244" s="2" t="s">
        <v>488</v>
      </c>
      <c r="C244" s="251" t="str">
        <f>МРСК!C247</f>
        <v>4+4</v>
      </c>
      <c r="D244" s="251">
        <f>МРСК!D247</f>
        <v>1795</v>
      </c>
      <c r="E244" s="251">
        <f>МРСК!E247</f>
        <v>643</v>
      </c>
      <c r="F244" s="253">
        <f>МРСК!F247</f>
        <v>1.9066918995999327</v>
      </c>
      <c r="G244" s="254">
        <f>МРСК!G247</f>
        <v>0</v>
      </c>
      <c r="H244" s="286">
        <f>МРСК!H247</f>
        <v>0</v>
      </c>
      <c r="I244" s="254">
        <f>МРСК!I247</f>
        <v>1.9066918995999327</v>
      </c>
      <c r="J244" s="252">
        <f>МРСК!J247</f>
        <v>0</v>
      </c>
      <c r="K244" s="289">
        <f>МРСК!K247</f>
        <v>4.2</v>
      </c>
      <c r="L244" s="277">
        <f>МРСК!L247</f>
        <v>2.2933081004000675</v>
      </c>
      <c r="M244" s="254">
        <f t="shared" si="4"/>
        <v>2.2933081004000675</v>
      </c>
      <c r="N244" s="255"/>
      <c r="P244" s="248">
        <v>168</v>
      </c>
      <c r="Q244" s="2" t="s">
        <v>488</v>
      </c>
      <c r="R244" s="251" t="str">
        <f>'МРСК 2'!C247</f>
        <v>4+4</v>
      </c>
      <c r="S244" s="251">
        <f>'МРСК 2'!D247</f>
        <v>0.14</v>
      </c>
      <c r="T244" s="252">
        <f>'МРСК 2'!E247</f>
        <v>2.046691899599933</v>
      </c>
      <c r="U244" s="254">
        <f>'МРСК 2'!F247</f>
        <v>0</v>
      </c>
      <c r="V244" s="286">
        <f>'МРСК 2'!G247</f>
        <v>0</v>
      </c>
      <c r="W244" s="254">
        <f>'МРСК 2'!H247</f>
        <v>2.046691899599933</v>
      </c>
      <c r="X244" s="252">
        <f>'МРСК 2'!I247</f>
        <v>0</v>
      </c>
      <c r="Y244" s="290">
        <f>'МРСК 2'!J247</f>
        <v>4.2</v>
      </c>
      <c r="Z244" s="254">
        <f>'МРСК 2'!K247</f>
        <v>2.1533081004000674</v>
      </c>
      <c r="AA244" s="254">
        <f t="shared" si="5"/>
        <v>2.1533081004000674</v>
      </c>
      <c r="AB244" s="255"/>
    </row>
    <row r="245" spans="1:28" ht="19.5">
      <c r="A245" s="248">
        <v>169</v>
      </c>
      <c r="B245" s="2" t="s">
        <v>489</v>
      </c>
      <c r="C245" s="251" t="str">
        <f>МРСК!C248</f>
        <v>1,6+2,5</v>
      </c>
      <c r="D245" s="251">
        <f>МРСК!D248</f>
        <v>872</v>
      </c>
      <c r="E245" s="251">
        <f>МРСК!E248</f>
        <v>392</v>
      </c>
      <c r="F245" s="253">
        <f>МРСК!F248</f>
        <v>0.9560585756113481</v>
      </c>
      <c r="G245" s="254">
        <f>МРСК!G248</f>
        <v>0.7868064298244878</v>
      </c>
      <c r="H245" s="286">
        <f>МРСК!H248</f>
        <v>45</v>
      </c>
      <c r="I245" s="254">
        <f>МРСК!I248</f>
        <v>0.16925214578686032</v>
      </c>
      <c r="J245" s="252">
        <f>МРСК!J248</f>
        <v>0</v>
      </c>
      <c r="K245" s="289">
        <f>МРСК!K248</f>
        <v>1.6800000000000002</v>
      </c>
      <c r="L245" s="277">
        <f>МРСК!L248</f>
        <v>1.5107478542131398</v>
      </c>
      <c r="M245" s="254">
        <f t="shared" si="4"/>
        <v>1.5107478542131398</v>
      </c>
      <c r="N245" s="255"/>
      <c r="P245" s="248">
        <v>169</v>
      </c>
      <c r="Q245" s="2" t="s">
        <v>489</v>
      </c>
      <c r="R245" s="251" t="str">
        <f>'МРСК 2'!C248</f>
        <v>1,6+2,5</v>
      </c>
      <c r="S245" s="251">
        <f>'МРСК 2'!D248</f>
        <v>0.01</v>
      </c>
      <c r="T245" s="252">
        <f>'МРСК 2'!E248</f>
        <v>0.9660585756113481</v>
      </c>
      <c r="U245" s="254">
        <f>'МРСК 2'!F248</f>
        <v>0.7868064298244878</v>
      </c>
      <c r="V245" s="286">
        <f>'МРСК 2'!G248</f>
        <v>45</v>
      </c>
      <c r="W245" s="254">
        <f>'МРСК 2'!H248</f>
        <v>0.17925214578686033</v>
      </c>
      <c r="X245" s="252">
        <f>'МРСК 2'!I248</f>
        <v>0</v>
      </c>
      <c r="Y245" s="290">
        <f>'МРСК 2'!J248</f>
        <v>1.6800000000000002</v>
      </c>
      <c r="Z245" s="254">
        <f>'МРСК 2'!K248</f>
        <v>1.5007478542131398</v>
      </c>
      <c r="AA245" s="254">
        <f t="shared" si="5"/>
        <v>1.5007478542131398</v>
      </c>
      <c r="AB245" s="255"/>
    </row>
    <row r="246" spans="1:28" ht="19.5">
      <c r="A246" s="248">
        <v>170</v>
      </c>
      <c r="B246" s="2" t="s">
        <v>490</v>
      </c>
      <c r="C246" s="251" t="str">
        <f>МРСК!C249</f>
        <v>4+4</v>
      </c>
      <c r="D246" s="251">
        <f>МРСК!D249</f>
        <v>1796</v>
      </c>
      <c r="E246" s="251">
        <f>МРСК!E249</f>
        <v>556</v>
      </c>
      <c r="F246" s="253">
        <f>МРСК!F249</f>
        <v>1.8800936146905025</v>
      </c>
      <c r="G246" s="254">
        <f>МРСК!G249</f>
        <v>0</v>
      </c>
      <c r="H246" s="286">
        <f>МРСК!H249</f>
        <v>0</v>
      </c>
      <c r="I246" s="254">
        <f>МРСК!I249</f>
        <v>1.8800936146905025</v>
      </c>
      <c r="J246" s="252">
        <f>МРСК!J249</f>
        <v>0</v>
      </c>
      <c r="K246" s="289">
        <f>МРСК!K249</f>
        <v>4.2</v>
      </c>
      <c r="L246" s="277">
        <f>МРСК!L249</f>
        <v>2.3199063853094977</v>
      </c>
      <c r="M246" s="254">
        <f t="shared" si="4"/>
        <v>2.3199063853094977</v>
      </c>
      <c r="N246" s="255"/>
      <c r="P246" s="248">
        <v>170</v>
      </c>
      <c r="Q246" s="2" t="s">
        <v>490</v>
      </c>
      <c r="R246" s="251" t="str">
        <f>'МРСК 2'!C249</f>
        <v>4+4</v>
      </c>
      <c r="S246" s="251">
        <f>'МРСК 2'!D249</f>
        <v>0.37</v>
      </c>
      <c r="T246" s="252">
        <f>'МРСК 2'!E249</f>
        <v>2.2500936146905026</v>
      </c>
      <c r="U246" s="254">
        <f>'МРСК 2'!F249</f>
        <v>0</v>
      </c>
      <c r="V246" s="286">
        <f>'МРСК 2'!G249</f>
        <v>0</v>
      </c>
      <c r="W246" s="254">
        <f>'МРСК 2'!H249</f>
        <v>2.2500936146905026</v>
      </c>
      <c r="X246" s="252">
        <f>'МРСК 2'!I249</f>
        <v>0</v>
      </c>
      <c r="Y246" s="290">
        <f>'МРСК 2'!J249</f>
        <v>4.2</v>
      </c>
      <c r="Z246" s="254">
        <f>'МРСК 2'!K249</f>
        <v>1.9499063853094976</v>
      </c>
      <c r="AA246" s="254">
        <f t="shared" si="5"/>
        <v>1.9499063853094976</v>
      </c>
      <c r="AB246" s="255"/>
    </row>
    <row r="247" spans="1:28" ht="19.5">
      <c r="A247" s="248">
        <v>171</v>
      </c>
      <c r="B247" s="6" t="s">
        <v>491</v>
      </c>
      <c r="C247" s="251" t="str">
        <f>МРСК!C250</f>
        <v>7,5+6,3</v>
      </c>
      <c r="D247" s="251">
        <f>МРСК!D250</f>
        <v>2160</v>
      </c>
      <c r="E247" s="251">
        <f>МРСК!E250</f>
        <v>1500</v>
      </c>
      <c r="F247" s="252">
        <f>МРСК!F250</f>
        <v>2.629752840097335</v>
      </c>
      <c r="G247" s="254">
        <f>МРСК!G250</f>
        <v>1.3512660729848878</v>
      </c>
      <c r="H247" s="286">
        <f>МРСК!H250</f>
        <v>20</v>
      </c>
      <c r="I247" s="254">
        <f>МРСК!I250</f>
        <v>1.2784867671124474</v>
      </c>
      <c r="J247" s="252">
        <f>МРСК!J250</f>
        <v>0</v>
      </c>
      <c r="K247" s="289">
        <f>МРСК!K250</f>
        <v>6.615</v>
      </c>
      <c r="L247" s="277">
        <f>МРСК!L250</f>
        <v>5.336513232887553</v>
      </c>
      <c r="M247" s="254">
        <f t="shared" si="4"/>
        <v>5.336513232887553</v>
      </c>
      <c r="N247" s="255"/>
      <c r="P247" s="248">
        <v>171</v>
      </c>
      <c r="Q247" s="6" t="s">
        <v>491</v>
      </c>
      <c r="R247" s="251" t="str">
        <f>'МРСК 2'!C250</f>
        <v>7,5+6,3</v>
      </c>
      <c r="S247" s="251">
        <f>'МРСК 2'!D250</f>
        <v>0.19</v>
      </c>
      <c r="T247" s="252">
        <f>'МРСК 2'!E250</f>
        <v>2.819752840097335</v>
      </c>
      <c r="U247" s="254">
        <f>'МРСК 2'!F250</f>
        <v>1.3512660729848878</v>
      </c>
      <c r="V247" s="286">
        <f>'МРСК 2'!G250</f>
        <v>20</v>
      </c>
      <c r="W247" s="254">
        <f>'МРСК 2'!H250</f>
        <v>1.4684867671124473</v>
      </c>
      <c r="X247" s="252">
        <f>'МРСК 2'!I250</f>
        <v>0</v>
      </c>
      <c r="Y247" s="290">
        <f>'МРСК 2'!J250</f>
        <v>6.615</v>
      </c>
      <c r="Z247" s="254">
        <f>'МРСК 2'!K250</f>
        <v>5.146513232887553</v>
      </c>
      <c r="AA247" s="254">
        <f t="shared" si="5"/>
        <v>5.146513232887553</v>
      </c>
      <c r="AB247" s="255"/>
    </row>
    <row r="248" spans="1:28" ht="19.5">
      <c r="A248" s="248">
        <v>172</v>
      </c>
      <c r="B248" s="25" t="s">
        <v>492</v>
      </c>
      <c r="C248" s="299" t="str">
        <f>МРСК!C251</f>
        <v>2,5+2,5</v>
      </c>
      <c r="D248" s="299">
        <f>МРСК!D251</f>
        <v>0</v>
      </c>
      <c r="E248" s="300">
        <f>МРСК!E251</f>
        <v>0</v>
      </c>
      <c r="F248" s="275">
        <f>МРСК!F251</f>
        <v>0</v>
      </c>
      <c r="G248" s="301">
        <f>МРСК!G251</f>
        <v>1</v>
      </c>
      <c r="H248" s="302">
        <f>МРСК!H251</f>
        <v>80</v>
      </c>
      <c r="I248" s="254">
        <f>МРСК!I251</f>
        <v>-1</v>
      </c>
      <c r="J248" s="303">
        <f>МРСК!J251</f>
        <v>0</v>
      </c>
      <c r="K248" s="289">
        <f>МРСК!K251</f>
        <v>2.625</v>
      </c>
      <c r="L248" s="277">
        <f>МРСК!L251</f>
        <v>3.625</v>
      </c>
      <c r="M248" s="254">
        <f t="shared" si="4"/>
        <v>3.625</v>
      </c>
      <c r="N248" s="304"/>
      <c r="P248" s="248">
        <v>172</v>
      </c>
      <c r="Q248" s="25" t="s">
        <v>492</v>
      </c>
      <c r="R248" s="305" t="str">
        <f>'МРСК 2'!C251</f>
        <v>2,5+2,5</v>
      </c>
      <c r="S248" s="305">
        <f>'МРСК 2'!D251</f>
        <v>0.45</v>
      </c>
      <c r="T248" s="306">
        <f>'МРСК 2'!E251</f>
        <v>0.45</v>
      </c>
      <c r="U248" s="303">
        <f>'МРСК 2'!F251</f>
        <v>1</v>
      </c>
      <c r="V248" s="307">
        <f>'МРСК 2'!G251</f>
        <v>80</v>
      </c>
      <c r="W248" s="254">
        <f>'МРСК 2'!H251</f>
        <v>-0.55</v>
      </c>
      <c r="X248" s="252">
        <f>'МРСК 2'!I251</f>
        <v>0</v>
      </c>
      <c r="Y248" s="303">
        <f>'МРСК 2'!J251</f>
        <v>1</v>
      </c>
      <c r="Z248" s="254">
        <f>'МРСК 2'!K251</f>
        <v>1.55</v>
      </c>
      <c r="AA248" s="254">
        <f t="shared" si="5"/>
        <v>1.55</v>
      </c>
      <c r="AB248" s="304"/>
    </row>
    <row r="249" spans="1:28" ht="19.5">
      <c r="A249" s="248">
        <v>173</v>
      </c>
      <c r="B249" s="2" t="s">
        <v>493</v>
      </c>
      <c r="C249" s="251" t="str">
        <f>МРСК!C252</f>
        <v>6,3+6,3</v>
      </c>
      <c r="D249" s="251">
        <f>МРСК!D252</f>
        <v>1704</v>
      </c>
      <c r="E249" s="251">
        <f>МРСК!E252</f>
        <v>744</v>
      </c>
      <c r="F249" s="253">
        <f>МРСК!F252</f>
        <v>1.8593418190316702</v>
      </c>
      <c r="G249" s="254">
        <f>МРСК!G252</f>
        <v>0</v>
      </c>
      <c r="H249" s="286">
        <f>МРСК!H252</f>
        <v>0</v>
      </c>
      <c r="I249" s="254">
        <f>МРСК!I252</f>
        <v>1.8593418190316702</v>
      </c>
      <c r="J249" s="252">
        <f>МРСК!J252</f>
        <v>0</v>
      </c>
      <c r="K249" s="289">
        <f>МРСК!K252</f>
        <v>6.615</v>
      </c>
      <c r="L249" s="277">
        <f>МРСК!L252</f>
        <v>4.7556581809683305</v>
      </c>
      <c r="M249" s="254">
        <f t="shared" si="4"/>
        <v>4.7556581809683305</v>
      </c>
      <c r="N249" s="255"/>
      <c r="P249" s="248">
        <v>173</v>
      </c>
      <c r="Q249" s="2" t="s">
        <v>493</v>
      </c>
      <c r="R249" s="251" t="str">
        <f>'МРСК 2'!C252</f>
        <v>6,3+6,3</v>
      </c>
      <c r="S249" s="251">
        <f>'МРСК 2'!D252</f>
        <v>0</v>
      </c>
      <c r="T249" s="252">
        <f>'МРСК 2'!E252</f>
        <v>1.8593418190316702</v>
      </c>
      <c r="U249" s="254">
        <f>'МРСК 2'!F252</f>
        <v>0</v>
      </c>
      <c r="V249" s="286">
        <f>'МРСК 2'!G252</f>
        <v>0</v>
      </c>
      <c r="W249" s="254">
        <f>'МРСК 2'!H252</f>
        <v>1.8593418190316702</v>
      </c>
      <c r="X249" s="252">
        <f>'МРСК 2'!I252</f>
        <v>0</v>
      </c>
      <c r="Y249" s="290">
        <f>'МРСК 2'!J252</f>
        <v>6.615</v>
      </c>
      <c r="Z249" s="254">
        <f>'МРСК 2'!K252</f>
        <v>4.7556581809683305</v>
      </c>
      <c r="AA249" s="254">
        <f t="shared" si="5"/>
        <v>4.7556581809683305</v>
      </c>
      <c r="AB249" s="255"/>
    </row>
    <row r="250" spans="1:28" ht="19.5">
      <c r="A250" s="248">
        <v>174</v>
      </c>
      <c r="B250" s="2" t="s">
        <v>494</v>
      </c>
      <c r="C250" s="251" t="str">
        <f>МРСК!C253</f>
        <v>2,5+2,5</v>
      </c>
      <c r="D250" s="251">
        <f>МРСК!D253</f>
        <v>1668</v>
      </c>
      <c r="E250" s="251">
        <f>МРСК!E253</f>
        <v>582</v>
      </c>
      <c r="F250" s="253">
        <f>МРСК!F253</f>
        <v>1.7666205025415052</v>
      </c>
      <c r="G250" s="254">
        <f>МРСК!G253</f>
        <v>0.7906646371233466</v>
      </c>
      <c r="H250" s="286">
        <f>МРСК!H253</f>
        <v>80</v>
      </c>
      <c r="I250" s="254">
        <f>МРСК!I253</f>
        <v>0.9759558654181586</v>
      </c>
      <c r="J250" s="252">
        <f>МРСК!J253</f>
        <v>0</v>
      </c>
      <c r="K250" s="289">
        <f>МРСК!K253</f>
        <v>2.625</v>
      </c>
      <c r="L250" s="277">
        <f>МРСК!L253</f>
        <v>1.6490441345818414</v>
      </c>
      <c r="M250" s="254">
        <f t="shared" si="4"/>
        <v>1.6490441345818414</v>
      </c>
      <c r="N250" s="255"/>
      <c r="P250" s="248">
        <v>174</v>
      </c>
      <c r="Q250" s="2" t="s">
        <v>494</v>
      </c>
      <c r="R250" s="251" t="str">
        <f>'МРСК 2'!C253</f>
        <v>2,5+2,5</v>
      </c>
      <c r="S250" s="251">
        <f>'МРСК 2'!D253</f>
        <v>1.5000000000000002</v>
      </c>
      <c r="T250" s="252">
        <f>'МРСК 2'!E253</f>
        <v>3.2666205025415054</v>
      </c>
      <c r="U250" s="254">
        <f>'МРСК 2'!F253</f>
        <v>0.7906646371233466</v>
      </c>
      <c r="V250" s="286">
        <f>'МРСК 2'!G253</f>
        <v>80</v>
      </c>
      <c r="W250" s="254">
        <f>'МРСК 2'!H253</f>
        <v>2.475955865418159</v>
      </c>
      <c r="X250" s="252">
        <f>'МРСК 2'!I253</f>
        <v>0</v>
      </c>
      <c r="Y250" s="290">
        <f>'МРСК 2'!J253</f>
        <v>2.625</v>
      </c>
      <c r="Z250" s="254">
        <f>'МРСК 2'!K253</f>
        <v>0.14904413458184118</v>
      </c>
      <c r="AA250" s="254">
        <f t="shared" si="5"/>
        <v>0.14904413458184118</v>
      </c>
      <c r="AB250" s="255"/>
    </row>
    <row r="251" spans="1:28" ht="19.5">
      <c r="A251" s="248">
        <v>175</v>
      </c>
      <c r="B251" s="2" t="s">
        <v>495</v>
      </c>
      <c r="C251" s="251" t="str">
        <f>МРСК!C254</f>
        <v>6,3+6,3</v>
      </c>
      <c r="D251" s="251">
        <f>МРСК!D254</f>
        <v>3376</v>
      </c>
      <c r="E251" s="251">
        <f>МРСК!E254</f>
        <v>944</v>
      </c>
      <c r="F251" s="253">
        <f>МРСК!F254</f>
        <v>3.505497396946687</v>
      </c>
      <c r="G251" s="254">
        <f>МРСК!G254</f>
        <v>1.03</v>
      </c>
      <c r="H251" s="286">
        <f>МРСК!H254</f>
        <v>80</v>
      </c>
      <c r="I251" s="254">
        <f>МРСК!I254</f>
        <v>2.475497396946687</v>
      </c>
      <c r="J251" s="252">
        <f>МРСК!J254</f>
        <v>0</v>
      </c>
      <c r="K251" s="289">
        <f>МРСК!K254</f>
        <v>4.2</v>
      </c>
      <c r="L251" s="277">
        <f>МРСК!L254</f>
        <v>1.7245026030533133</v>
      </c>
      <c r="M251" s="254">
        <f t="shared" si="4"/>
        <v>1.7245026030533133</v>
      </c>
      <c r="N251" s="255"/>
      <c r="P251" s="248">
        <v>175</v>
      </c>
      <c r="Q251" s="2" t="s">
        <v>495</v>
      </c>
      <c r="R251" s="251" t="str">
        <f>'МРСК 2'!C254</f>
        <v>6,3+6,3</v>
      </c>
      <c r="S251" s="251">
        <f>'МРСК 2'!D254</f>
        <v>1.1300000000000001</v>
      </c>
      <c r="T251" s="252">
        <f>'МРСК 2'!E254</f>
        <v>4.635497396946687</v>
      </c>
      <c r="U251" s="254">
        <f>'МРСК 2'!F254</f>
        <v>1.03</v>
      </c>
      <c r="V251" s="286">
        <f>'МРСК 2'!G254</f>
        <v>80</v>
      </c>
      <c r="W251" s="254">
        <f>'МРСК 2'!H254</f>
        <v>3.605497396946687</v>
      </c>
      <c r="X251" s="252">
        <f>'МРСК 2'!I254</f>
        <v>0</v>
      </c>
      <c r="Y251" s="290">
        <f>'МРСК 2'!J254</f>
        <v>4.2</v>
      </c>
      <c r="Z251" s="254">
        <f>'МРСК 2'!K254</f>
        <v>0.5945026030533134</v>
      </c>
      <c r="AA251" s="254">
        <f t="shared" si="5"/>
        <v>0.5945026030533134</v>
      </c>
      <c r="AB251" s="255"/>
    </row>
    <row r="252" spans="1:28" ht="19.5">
      <c r="A252" s="248">
        <v>176</v>
      </c>
      <c r="B252" s="2" t="s">
        <v>496</v>
      </c>
      <c r="C252" s="251" t="str">
        <f>МРСК!C255</f>
        <v>1,6+1,6</v>
      </c>
      <c r="D252" s="251">
        <f>МРСК!D255</f>
        <v>254</v>
      </c>
      <c r="E252" s="251">
        <f>МРСК!E255</f>
        <v>197</v>
      </c>
      <c r="F252" s="253">
        <f>МРСК!F255</f>
        <v>0.3214420632089086</v>
      </c>
      <c r="G252" s="254">
        <f>МРСК!G255</f>
        <v>0</v>
      </c>
      <c r="H252" s="286">
        <f>МРСК!H255</f>
        <v>0</v>
      </c>
      <c r="I252" s="254">
        <f>МРСК!I255</f>
        <v>0.3214420632089086</v>
      </c>
      <c r="J252" s="252">
        <f>МРСК!J255</f>
        <v>0</v>
      </c>
      <c r="K252" s="289">
        <f>МРСК!K255</f>
        <v>1.6800000000000002</v>
      </c>
      <c r="L252" s="277">
        <f>МРСК!L255</f>
        <v>1.3585579367910916</v>
      </c>
      <c r="M252" s="254">
        <f t="shared" si="4"/>
        <v>1.3585579367910916</v>
      </c>
      <c r="N252" s="255"/>
      <c r="P252" s="248">
        <v>176</v>
      </c>
      <c r="Q252" s="2" t="s">
        <v>496</v>
      </c>
      <c r="R252" s="251" t="str">
        <f>'МРСК 2'!C255</f>
        <v>1,6+1,6</v>
      </c>
      <c r="S252" s="251">
        <f>'МРСК 2'!D255</f>
        <v>0</v>
      </c>
      <c r="T252" s="252">
        <f>'МРСК 2'!E255</f>
        <v>0</v>
      </c>
      <c r="U252" s="254">
        <f>'МРСК 2'!F255</f>
        <v>0</v>
      </c>
      <c r="V252" s="286">
        <f>'МРСК 2'!G255</f>
        <v>0</v>
      </c>
      <c r="W252" s="254">
        <f>'МРСК 2'!H255</f>
        <v>0</v>
      </c>
      <c r="X252" s="252">
        <f>'МРСК 2'!I255</f>
        <v>0</v>
      </c>
      <c r="Y252" s="290">
        <f>'МРСК 2'!J255</f>
        <v>1.6800000000000002</v>
      </c>
      <c r="Z252" s="254">
        <f>'МРСК 2'!K255</f>
        <v>1.6800000000000002</v>
      </c>
      <c r="AA252" s="254">
        <f t="shared" si="5"/>
        <v>1.6800000000000002</v>
      </c>
      <c r="AB252" s="255"/>
    </row>
    <row r="253" spans="1:28" ht="19.5">
      <c r="A253" s="248">
        <v>177</v>
      </c>
      <c r="B253" s="2" t="s">
        <v>497</v>
      </c>
      <c r="C253" s="251" t="str">
        <f>МРСК!C256</f>
        <v>4+4</v>
      </c>
      <c r="D253" s="251">
        <f>МРСК!D256</f>
        <v>1440</v>
      </c>
      <c r="E253" s="251">
        <f>МРСК!E256</f>
        <v>624</v>
      </c>
      <c r="F253" s="253">
        <f>МРСК!F256</f>
        <v>1.5693871415300942</v>
      </c>
      <c r="G253" s="254">
        <f>МРСК!G256</f>
        <v>1.1284260177094108</v>
      </c>
      <c r="H253" s="286">
        <f>МРСК!H256</f>
        <v>80</v>
      </c>
      <c r="I253" s="254">
        <f>МРСК!I256</f>
        <v>0.4409611238206834</v>
      </c>
      <c r="J253" s="252">
        <f>МРСК!J256</f>
        <v>0</v>
      </c>
      <c r="K253" s="289">
        <f>МРСК!K256</f>
        <v>4.2</v>
      </c>
      <c r="L253" s="277">
        <f>МРСК!L256</f>
        <v>3.759038876179317</v>
      </c>
      <c r="M253" s="254">
        <f t="shared" si="4"/>
        <v>3.759038876179317</v>
      </c>
      <c r="N253" s="255"/>
      <c r="P253" s="248">
        <v>177</v>
      </c>
      <c r="Q253" s="2" t="s">
        <v>497</v>
      </c>
      <c r="R253" s="251" t="str">
        <f>'МРСК 2'!C256</f>
        <v>4+4</v>
      </c>
      <c r="S253" s="251">
        <f>'МРСК 2'!D256</f>
        <v>0.46</v>
      </c>
      <c r="T253" s="252">
        <f>'МРСК 2'!E256</f>
        <v>2.029387141530094</v>
      </c>
      <c r="U253" s="254">
        <f>'МРСК 2'!F256</f>
        <v>1.1284260177094108</v>
      </c>
      <c r="V253" s="286">
        <f>'МРСК 2'!G256</f>
        <v>80</v>
      </c>
      <c r="W253" s="254">
        <f>'МРСК 2'!H256</f>
        <v>0.9009611238206834</v>
      </c>
      <c r="X253" s="252">
        <f>'МРСК 2'!I256</f>
        <v>0</v>
      </c>
      <c r="Y253" s="290">
        <f>'МРСК 2'!J256</f>
        <v>4.2</v>
      </c>
      <c r="Z253" s="254">
        <f>'МРСК 2'!K256</f>
        <v>3.299038876179317</v>
      </c>
      <c r="AA253" s="254">
        <f t="shared" si="5"/>
        <v>3.299038876179317</v>
      </c>
      <c r="AB253" s="255"/>
    </row>
    <row r="254" spans="1:28" ht="20.25" thickBot="1">
      <c r="A254" s="248">
        <v>178</v>
      </c>
      <c r="B254" s="3" t="s">
        <v>498</v>
      </c>
      <c r="C254" s="281" t="str">
        <f>МРСК!C257</f>
        <v>2,5+2,5</v>
      </c>
      <c r="D254" s="251">
        <f>МРСК!D257</f>
        <v>492</v>
      </c>
      <c r="E254" s="251">
        <f>МРСК!E257</f>
        <v>204</v>
      </c>
      <c r="F254" s="253">
        <f>МРСК!F257</f>
        <v>0.5326161845081315</v>
      </c>
      <c r="G254" s="284">
        <f>МРСК!G257</f>
        <v>0.14647866738880444</v>
      </c>
      <c r="H254" s="308">
        <f>МРСК!H257</f>
        <v>80</v>
      </c>
      <c r="I254" s="284">
        <f>МРСК!I257</f>
        <v>0.3861375171193271</v>
      </c>
      <c r="J254" s="303">
        <f>МРСК!J257</f>
        <v>0</v>
      </c>
      <c r="K254" s="289">
        <f>МРСК!K257</f>
        <v>2.625</v>
      </c>
      <c r="L254" s="277">
        <f>МРСК!L257</f>
        <v>2.238862482880673</v>
      </c>
      <c r="M254" s="254">
        <f t="shared" si="4"/>
        <v>2.238862482880673</v>
      </c>
      <c r="N254" s="304"/>
      <c r="P254" s="248">
        <v>178</v>
      </c>
      <c r="Q254" s="3" t="s">
        <v>498</v>
      </c>
      <c r="R254" s="281" t="str">
        <f>'МРСК 2'!C257</f>
        <v>2,5+2,5</v>
      </c>
      <c r="S254" s="281">
        <f>'МРСК 2'!D257</f>
        <v>0</v>
      </c>
      <c r="T254" s="282">
        <f>'МРСК 2'!E257</f>
        <v>0.5326161845081315</v>
      </c>
      <c r="U254" s="284">
        <f>'МРСК 2'!F257</f>
        <v>0.14647866738880444</v>
      </c>
      <c r="V254" s="308">
        <f>'МРСК 2'!G257</f>
        <v>80</v>
      </c>
      <c r="W254" s="254">
        <f>'МРСК 2'!H257</f>
        <v>0.3861375171193271</v>
      </c>
      <c r="X254" s="252">
        <f>'МРСК 2'!I257</f>
        <v>0</v>
      </c>
      <c r="Y254" s="309">
        <f>'МРСК 2'!J257</f>
        <v>2.625</v>
      </c>
      <c r="Z254" s="254">
        <f>'МРСК 2'!K257</f>
        <v>2.238862482880673</v>
      </c>
      <c r="AA254" s="254">
        <f t="shared" si="5"/>
        <v>2.238862482880673</v>
      </c>
      <c r="AB254" s="285"/>
    </row>
    <row r="255" spans="1:28" ht="20.25">
      <c r="A255" s="310"/>
      <c r="B255" s="348" t="s">
        <v>394</v>
      </c>
      <c r="C255" s="311">
        <f>'МРСК 2'!C258</f>
        <v>3271.0999999999985</v>
      </c>
      <c r="D255" s="311"/>
      <c r="E255" s="311"/>
      <c r="F255" s="312" t="e">
        <f>#VALUE!</f>
        <v>#VALUE!</v>
      </c>
      <c r="G255" s="313" t="e">
        <f>#VALUE!</f>
        <v>#VALUE!</v>
      </c>
      <c r="H255" s="313"/>
      <c r="I255" s="313" t="e">
        <f>#VALUE!</f>
        <v>#VALUE!</v>
      </c>
      <c r="J255" s="314"/>
      <c r="K255" s="314"/>
      <c r="L255" s="314"/>
      <c r="M255" s="314"/>
      <c r="N255" s="315"/>
      <c r="P255" s="316"/>
      <c r="Q255" s="348" t="s">
        <v>394</v>
      </c>
      <c r="R255" s="311">
        <f>C255</f>
        <v>3271.0999999999985</v>
      </c>
      <c r="S255" s="313" t="e">
        <f>#VALUE!</f>
        <v>#VALUE!</v>
      </c>
      <c r="T255" s="313" t="e">
        <f>#VALUE!</f>
        <v>#VALUE!</v>
      </c>
      <c r="U255" s="313" t="e">
        <f>#VALUE!</f>
        <v>#VALUE!</v>
      </c>
      <c r="V255" s="317"/>
      <c r="W255" s="313" t="e">
        <f>#VALUE!</f>
        <v>#VALUE!</v>
      </c>
      <c r="X255" s="318"/>
      <c r="Y255" s="318"/>
      <c r="Z255" s="318"/>
      <c r="AA255" s="318"/>
      <c r="AB255" s="319"/>
    </row>
    <row r="256" spans="1:28" ht="20.25">
      <c r="A256" s="320"/>
      <c r="B256" s="349" t="s">
        <v>395</v>
      </c>
      <c r="C256" s="321"/>
      <c r="D256" s="321"/>
      <c r="E256" s="321"/>
      <c r="F256" s="322"/>
      <c r="G256" s="323"/>
      <c r="H256" s="323"/>
      <c r="I256" s="323"/>
      <c r="J256" s="323"/>
      <c r="K256" s="323"/>
      <c r="L256" s="324"/>
      <c r="M256" s="325">
        <f>M149+M71+M223+M38+M36+M35+M30+M29+M28+M27+M26+M24+M23+M22+M21+M12+M9</f>
        <v>-21.34528007453123</v>
      </c>
      <c r="N256" s="326"/>
      <c r="P256" s="320"/>
      <c r="Q256" s="349" t="s">
        <v>395</v>
      </c>
      <c r="R256" s="321"/>
      <c r="S256" s="321"/>
      <c r="T256" s="327"/>
      <c r="U256" s="321"/>
      <c r="V256" s="321"/>
      <c r="W256" s="321"/>
      <c r="X256" s="328"/>
      <c r="Y256" s="328"/>
      <c r="Z256" s="328"/>
      <c r="AA256" s="325" t="e">
        <f>#REF!</f>
        <v>#REF!</v>
      </c>
      <c r="AB256" s="329"/>
    </row>
    <row r="257" spans="1:28" ht="21" thickBot="1">
      <c r="A257" s="330"/>
      <c r="B257" s="350" t="s">
        <v>396</v>
      </c>
      <c r="C257" s="331"/>
      <c r="D257" s="331"/>
      <c r="E257" s="331"/>
      <c r="F257" s="332"/>
      <c r="G257" s="333"/>
      <c r="H257" s="333"/>
      <c r="I257" s="333"/>
      <c r="J257" s="333"/>
      <c r="K257" s="333"/>
      <c r="L257" s="333"/>
      <c r="M257" s="334">
        <f>SUM(M6:M254)-M256</f>
        <v>961.9971351908509</v>
      </c>
      <c r="N257" s="335"/>
      <c r="P257" s="330"/>
      <c r="Q257" s="350" t="s">
        <v>396</v>
      </c>
      <c r="R257" s="331"/>
      <c r="S257" s="336"/>
      <c r="T257" s="331"/>
      <c r="U257" s="331"/>
      <c r="V257" s="331"/>
      <c r="W257" s="331"/>
      <c r="X257" s="337"/>
      <c r="Y257" s="337"/>
      <c r="Z257" s="337"/>
      <c r="AA257" s="334" t="e">
        <f>SUM(AA6:AA254)-AA256</f>
        <v>#REF!</v>
      </c>
      <c r="AB257" s="335"/>
    </row>
    <row r="258" spans="3:25" ht="15.75">
      <c r="C258" s="339"/>
      <c r="D258" s="339"/>
      <c r="E258" s="339"/>
      <c r="F258" s="340"/>
      <c r="G258" s="339"/>
      <c r="H258" s="339"/>
      <c r="I258" s="339"/>
      <c r="J258" s="339"/>
      <c r="K258" s="339"/>
      <c r="R258" s="339"/>
      <c r="S258" s="339"/>
      <c r="T258" s="339"/>
      <c r="U258" s="339"/>
      <c r="V258" s="339"/>
      <c r="W258" s="339"/>
      <c r="X258" s="339"/>
      <c r="Y258" s="339"/>
    </row>
    <row r="259" spans="3:27" ht="20.25">
      <c r="C259" s="390"/>
      <c r="D259" s="390"/>
      <c r="E259" s="390"/>
      <c r="F259" s="390"/>
      <c r="G259" s="390"/>
      <c r="H259" s="390"/>
      <c r="I259" s="390"/>
      <c r="J259" s="390"/>
      <c r="K259" s="390"/>
      <c r="R259" s="390"/>
      <c r="S259" s="390"/>
      <c r="T259" s="390"/>
      <c r="U259" s="390"/>
      <c r="V259" s="390"/>
      <c r="W259" s="390"/>
      <c r="X259" s="390"/>
      <c r="Y259" s="390"/>
      <c r="AA259" s="341"/>
    </row>
  </sheetData>
  <sheetProtection/>
  <mergeCells count="95">
    <mergeCell ref="M121:M123"/>
    <mergeCell ref="M143:M145"/>
    <mergeCell ref="M146:M148"/>
    <mergeCell ref="M150:M152"/>
    <mergeCell ref="M125:M127"/>
    <mergeCell ref="M128:M130"/>
    <mergeCell ref="M131:M133"/>
    <mergeCell ref="M135:M137"/>
    <mergeCell ref="M140:M142"/>
    <mergeCell ref="M104:M106"/>
    <mergeCell ref="M107:M109"/>
    <mergeCell ref="M112:M114"/>
    <mergeCell ref="M118:M120"/>
    <mergeCell ref="N1:N3"/>
    <mergeCell ref="C2:C3"/>
    <mergeCell ref="G2:H2"/>
    <mergeCell ref="I2:I3"/>
    <mergeCell ref="J2:J3"/>
    <mergeCell ref="K2:K3"/>
    <mergeCell ref="L2:M3"/>
    <mergeCell ref="M78:M80"/>
    <mergeCell ref="A1:A3"/>
    <mergeCell ref="B1:B3"/>
    <mergeCell ref="C1:M1"/>
    <mergeCell ref="L4:M4"/>
    <mergeCell ref="M6:M8"/>
    <mergeCell ref="M9:M11"/>
    <mergeCell ref="M12:M14"/>
    <mergeCell ref="M15:M17"/>
    <mergeCell ref="M64:M66"/>
    <mergeCell ref="M68:M70"/>
    <mergeCell ref="M71:M73"/>
    <mergeCell ref="M74:M76"/>
    <mergeCell ref="M51:M53"/>
    <mergeCell ref="M54:M56"/>
    <mergeCell ref="M58:M60"/>
    <mergeCell ref="M61:M63"/>
    <mergeCell ref="AA12:AA14"/>
    <mergeCell ref="M45:M47"/>
    <mergeCell ref="M48:M50"/>
    <mergeCell ref="M18:M20"/>
    <mergeCell ref="AB1:AB3"/>
    <mergeCell ref="R2:R3"/>
    <mergeCell ref="S2:S3"/>
    <mergeCell ref="T2:T3"/>
    <mergeCell ref="U2:V2"/>
    <mergeCell ref="W2:W3"/>
    <mergeCell ref="X2:X3"/>
    <mergeCell ref="Y2:Y3"/>
    <mergeCell ref="Z2:AA3"/>
    <mergeCell ref="M93:M95"/>
    <mergeCell ref="M96:M98"/>
    <mergeCell ref="AA9:AA11"/>
    <mergeCell ref="P1:P3"/>
    <mergeCell ref="Q1:Q3"/>
    <mergeCell ref="R1:AA1"/>
    <mergeCell ref="AA6:AA8"/>
    <mergeCell ref="AA15:AA17"/>
    <mergeCell ref="AA18:AA20"/>
    <mergeCell ref="AA96:AA98"/>
    <mergeCell ref="AA87:AA89"/>
    <mergeCell ref="AA90:AA92"/>
    <mergeCell ref="M83:M85"/>
    <mergeCell ref="M87:M89"/>
    <mergeCell ref="M90:M92"/>
    <mergeCell ref="AA71:AA73"/>
    <mergeCell ref="AA74:AA76"/>
    <mergeCell ref="AA78:AA80"/>
    <mergeCell ref="AA83:AA85"/>
    <mergeCell ref="M100:M102"/>
    <mergeCell ref="C259:K259"/>
    <mergeCell ref="AA45:AA47"/>
    <mergeCell ref="AA48:AA50"/>
    <mergeCell ref="AA51:AA53"/>
    <mergeCell ref="AA54:AA56"/>
    <mergeCell ref="AA58:AA60"/>
    <mergeCell ref="AA61:AA63"/>
    <mergeCell ref="AA64:AA66"/>
    <mergeCell ref="AA68:AA70"/>
    <mergeCell ref="AA135:AA137"/>
    <mergeCell ref="AA93:AA95"/>
    <mergeCell ref="AA99:AA101"/>
    <mergeCell ref="AA104:AA106"/>
    <mergeCell ref="AA107:AA109"/>
    <mergeCell ref="AA112:AA114"/>
    <mergeCell ref="R259:Y259"/>
    <mergeCell ref="AA118:AA120"/>
    <mergeCell ref="AA140:AA142"/>
    <mergeCell ref="AA143:AA145"/>
    <mergeCell ref="AA146:AA148"/>
    <mergeCell ref="AA150:AA152"/>
    <mergeCell ref="AA121:AA123"/>
    <mergeCell ref="AA125:AA127"/>
    <mergeCell ref="AA128:AA130"/>
    <mergeCell ref="AA131:AA133"/>
  </mergeCells>
  <conditionalFormatting sqref="M255 M101:M252 AA9 AA154:AA252 AA78 AA111:AA112 AA68 AA135 AA139:AA140 AA58 AA116:AA118 AA12 AA21:AA43 AA18 AA15 AA104 AA87 AA150 AA82:AA83 AA125 AA6 AB100 M6:M99 AA45">
    <cfRule type="cellIs" priority="28" dxfId="0" operator="lessThan">
      <formula>0</formula>
    </cfRule>
  </conditionalFormatting>
  <conditionalFormatting sqref="M257 M6:M254">
    <cfRule type="cellIs" priority="2" dxfId="0" operator="lessThan">
      <formula>0</formula>
    </cfRule>
  </conditionalFormatting>
  <conditionalFormatting sqref="AA257 AB102 AA48 AA153:AA254 AA149:AA150 AA146 AA143 AA138:AA140 AA134:AA135 AA131 AA128 AA124:AA125 AA121 AA115:AA118 AA110:AA112 AA107 AA102:AA104 AA99 AA96 AA93 AA90 AA86:AA87 AA81:AA83 AA77:AA78 AA74 AA71 AA67:AA68 AA64 AA61 AA57:AA58 AA54 AA51 AA44:AA45 AA21:AA42 AA18 AA15 AA12 AA6 AA9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2010-03-30T12:31:47Z</cp:lastPrinted>
  <dcterms:created xsi:type="dcterms:W3CDTF">2008-10-03T08:18:33Z</dcterms:created>
  <dcterms:modified xsi:type="dcterms:W3CDTF">2011-06-06T11:47:25Z</dcterms:modified>
  <cp:category/>
  <cp:version/>
  <cp:contentType/>
  <cp:contentStatus/>
</cp:coreProperties>
</file>