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270" windowWidth="7740" windowHeight="8250" activeTab="0"/>
  </bookViews>
  <sheets>
    <sheet name="Lipetsk" sheetId="1" r:id="rId1"/>
    <sheet name="Total current deficit" sheetId="2" r:id="rId2"/>
    <sheet name="Total expected deficit" sheetId="3" r:id="rId3"/>
  </sheets>
  <definedNames/>
  <calcPr fullCalcOnLoad="1"/>
</workbook>
</file>

<file path=xl/sharedStrings.xml><?xml version="1.0" encoding="utf-8"?>
<sst xmlns="http://schemas.openxmlformats.org/spreadsheetml/2006/main" count="1552" uniqueCount="310">
  <si>
    <t>40+40</t>
  </si>
  <si>
    <t>6,3+10</t>
  </si>
  <si>
    <t>16+16</t>
  </si>
  <si>
    <t>2,5+6,3</t>
  </si>
  <si>
    <t>2,5+2,5</t>
  </si>
  <si>
    <t>10+10</t>
  </si>
  <si>
    <t>10+6,3</t>
  </si>
  <si>
    <t>20+20+25</t>
  </si>
  <si>
    <t>15+15</t>
  </si>
  <si>
    <t>63+63</t>
  </si>
  <si>
    <t>4+4</t>
  </si>
  <si>
    <t>10+16</t>
  </si>
  <si>
    <t>1,8+1,6</t>
  </si>
  <si>
    <t>6,3+6,3</t>
  </si>
  <si>
    <t>3,2+1,6</t>
  </si>
  <si>
    <t>2,5+1,6</t>
  </si>
  <si>
    <t>1,6+2,5</t>
  </si>
  <si>
    <t>2,5+4</t>
  </si>
  <si>
    <t>2,5+3,2</t>
  </si>
  <si>
    <t>6,3+3,2</t>
  </si>
  <si>
    <t>6,3+4</t>
  </si>
  <si>
    <t>4+6,3</t>
  </si>
  <si>
    <t>1,8+1,8</t>
  </si>
  <si>
    <t>1,6+1,6</t>
  </si>
  <si>
    <t>1+1+1</t>
  </si>
  <si>
    <t>6,3+5,6</t>
  </si>
  <si>
    <t>5,6+4</t>
  </si>
  <si>
    <t>3,2+4</t>
  </si>
  <si>
    <t>4+2,5</t>
  </si>
  <si>
    <t>4+3,2</t>
  </si>
  <si>
    <t>3,2+3,2</t>
  </si>
  <si>
    <t>16+10</t>
  </si>
  <si>
    <t>10+2,5</t>
  </si>
  <si>
    <t>*</t>
  </si>
  <si>
    <t>25+25</t>
  </si>
  <si>
    <t>12,5+12,5</t>
  </si>
  <si>
    <t>63+15+25</t>
  </si>
  <si>
    <t>63+32+63</t>
  </si>
  <si>
    <t>cosφ</t>
  </si>
  <si>
    <t>unavailable</t>
  </si>
  <si>
    <t>available</t>
  </si>
  <si>
    <t>table 1</t>
  </si>
  <si>
    <t>One-transformer substations</t>
  </si>
  <si>
    <t>Two- and more transformer substations (for two voltage levels)</t>
  </si>
  <si>
    <t>Two- and more transformer substations (for three voltage levels)</t>
  </si>
  <si>
    <t>Transmission capacity calculation of supply centers of IDGC of Centre - Lipetskenergo division following the results of measurements of peak loads in winter 2011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</si>
  <si>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</si>
  <si>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</si>
  <si>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</si>
  <si>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</si>
  <si>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</si>
  <si>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</si>
  <si>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</si>
  <si>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</si>
  <si>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</si>
  <si>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</si>
  <si>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</si>
  <si>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</si>
  <si>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</si>
  <si>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 xml:space="preserve">MVA 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</si>
  <si>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</si>
  <si>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</si>
  <si>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</si>
  <si>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</si>
  <si>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</si>
  <si>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</si>
  <si>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SS 110/10 kV Lev Tolstoy</t>
  </si>
  <si>
    <t>SS 110/10 kV Dvurechki</t>
  </si>
  <si>
    <t>SS 35/10 kV Vesyoloe</t>
  </si>
  <si>
    <t>SS 35/10 kV Kr.Palna</t>
  </si>
  <si>
    <t>SS 35/10 kV Kamenka</t>
  </si>
  <si>
    <t>SS 35/10 kV Krasotynovka</t>
  </si>
  <si>
    <t>SS 35/10 kV Ozyorki</t>
  </si>
  <si>
    <t>SS 35/10 kV Pankratovka</t>
  </si>
  <si>
    <t>SS 35/10 kV Preobrazhenye</t>
  </si>
  <si>
    <t>SS 35/10 kV Yakovlevo</t>
  </si>
  <si>
    <t>SS 35/10 kV Pervomayskaya</t>
  </si>
  <si>
    <t>SS 35/10 kV Kamennaya Lubna</t>
  </si>
  <si>
    <t>SS 35/10 kV Znamenka</t>
  </si>
  <si>
    <t>SS 35/10 kV Pikovo</t>
  </si>
  <si>
    <t>SS 35/10 kV Nikolskoe</t>
  </si>
  <si>
    <t>SS 35/10 kV Peskovatka</t>
  </si>
  <si>
    <t>SS 35/6 kV Druzhba</t>
  </si>
  <si>
    <t>SS 35/10 kV  SOM</t>
  </si>
  <si>
    <t>SS 35/6 kV Novonikolaevka</t>
  </si>
  <si>
    <t>SS 35/10 kV Sindyakino</t>
  </si>
  <si>
    <t>SS 35/10 kV Kurino</t>
  </si>
  <si>
    <t>SS 35/10 kV Novodubovoe</t>
  </si>
  <si>
    <t>SS 35/10 kV Beryozovka</t>
  </si>
  <si>
    <t>SS 35/6 kV Karyer</t>
  </si>
  <si>
    <t>SS 110/35/10 kV Chaplygin</t>
  </si>
  <si>
    <t>SS 110/6 kV Agregatnaya</t>
  </si>
  <si>
    <t>SS 110/6 kV Zapadnaya</t>
  </si>
  <si>
    <t>SS 110/10 kV Kashary</t>
  </si>
  <si>
    <t>SS 110/10kV Terbun potter</t>
  </si>
  <si>
    <t>SS 110/6 kV Tabak</t>
  </si>
  <si>
    <t>SS 110/10 kV Lukoshkino</t>
  </si>
  <si>
    <t>SS 110/10kV Niva</t>
  </si>
  <si>
    <t>SS 110/10 kV Olkhovets</t>
  </si>
  <si>
    <t>SS 110/10 kV Kuyman</t>
  </si>
  <si>
    <t>SS 110/10 kV Lutoshkino</t>
  </si>
  <si>
    <t>SS 110/10 kV Krugloe</t>
  </si>
  <si>
    <t>SS 110/10/6 kV Yugo-Zapadnaya</t>
  </si>
  <si>
    <t>SS 110/6 kV Privokzalnaya</t>
  </si>
  <si>
    <t>SS 110/10/6 kV Yuzhnaya</t>
  </si>
  <si>
    <t>SS 110/6 kV Sitovka</t>
  </si>
  <si>
    <t>SS 110/6 kV LTP</t>
  </si>
  <si>
    <t>SS 110/6 kV KPD</t>
  </si>
  <si>
    <t>SS 110/10 kV Oktyabskaya</t>
  </si>
  <si>
    <t xml:space="preserve">SS 110/10 kV Manezhnaya </t>
  </si>
  <si>
    <t>SS 110/10 kV Universitetskaya</t>
  </si>
  <si>
    <t>SS 110/6 kV Teplichnaya</t>
  </si>
  <si>
    <t>SS 110/6 kV Trubnaya-2</t>
  </si>
  <si>
    <t>SS 110/6 kV GPP-2 LTZ</t>
  </si>
  <si>
    <t>SS 35/10 kV Avangard</t>
  </si>
  <si>
    <t>SS 35/10 kV Afanasysevo</t>
  </si>
  <si>
    <t>SS 35/10 kV Babarykino</t>
  </si>
  <si>
    <t>SS 35/10 kV Avrora</t>
  </si>
  <si>
    <t>SS 35/10 kV B.Boyovka</t>
  </si>
  <si>
    <t>SS 35/10 kV Borki</t>
  </si>
  <si>
    <t>SS 35/6kV Vostochnaya</t>
  </si>
  <si>
    <t>SS 35/10 kV Vasilyevka</t>
  </si>
  <si>
    <t>SS 35/10 kV Voronets</t>
  </si>
  <si>
    <t>SS 35/6 kV Golikovo</t>
  </si>
  <si>
    <t>SS 35/10 kV Gatishche</t>
  </si>
  <si>
    <t>SS 35/10 kV Gnilusha</t>
  </si>
  <si>
    <t>SS 35/10kV Gryzlovo</t>
  </si>
  <si>
    <t>SS 35/10 kV Zhernovnoe</t>
  </si>
  <si>
    <t>SS 35/10 kV Zadonsk-selsk.</t>
  </si>
  <si>
    <t>SS 35/10 kV Zakharovka</t>
  </si>
  <si>
    <t>SS 35/10 kV Kazaki</t>
  </si>
  <si>
    <t>SS 35/10 kV Kolesovo</t>
  </si>
  <si>
    <t>SS 35/10 kV Knyazevo</t>
  </si>
  <si>
    <t>SS 35/10 kV Kirillovo</t>
  </si>
  <si>
    <t>SS 35/10 kV Ksizovo</t>
  </si>
  <si>
    <t>SS 35/10 kV Lamskoe</t>
  </si>
  <si>
    <t>SS 35/10 kV Kazachye</t>
  </si>
  <si>
    <t>SS 35/10 kV Lebyazhye</t>
  </si>
  <si>
    <t>SS 35/10 kV Lomovets</t>
  </si>
  <si>
    <t>SS 35/10 kV Olshanets</t>
  </si>
  <si>
    <t>SS 35/10 kV Ploskoe</t>
  </si>
  <si>
    <t>SS 35/10 kV Stegalovka</t>
  </si>
  <si>
    <t>SS 35/10 kV Solidarnost</t>
  </si>
  <si>
    <t>SS 35/10 kV Timiryazevo</t>
  </si>
  <si>
    <t>SS 35/10 kV Talitsa</t>
  </si>
  <si>
    <t>SS 35/10 kV the II Terbuny</t>
  </si>
  <si>
    <t>SS 35/10 kV Tikhii Don</t>
  </si>
  <si>
    <t>SS 35/10 kV Khitrovo</t>
  </si>
  <si>
    <t>SS 35/10 kV Chernava</t>
  </si>
  <si>
    <t>SS 35/10 kV Chernoles</t>
  </si>
  <si>
    <t>SS 35/6 kV SS No. 5</t>
  </si>
  <si>
    <t>SS 35/10 kV Krasnoe</t>
  </si>
  <si>
    <t>SS 35/10 kV Tyoploe</t>
  </si>
  <si>
    <t>SS 35/10 kV Dankov-selskaya</t>
  </si>
  <si>
    <t>SS 35/10 kV Kolybelskaya</t>
  </si>
  <si>
    <t>SS 35/10 kV Topki</t>
  </si>
  <si>
    <t>SS 35/10 kV Agronom</t>
  </si>
  <si>
    <t>SS 35/10 kV Troekurovo-sovkhoznaya</t>
  </si>
  <si>
    <t>SS 35/10 kV Gagarino</t>
  </si>
  <si>
    <t>SS 35/10 kV Ranenburg</t>
  </si>
  <si>
    <t>SS 35/10 kV Sergievka</t>
  </si>
  <si>
    <t>SS 35/10 kV Drezgalovo</t>
  </si>
  <si>
    <t>SS 35/10 kV Dolgoe</t>
  </si>
  <si>
    <t>SS 35/10 kV Voskresenovka</t>
  </si>
  <si>
    <t>SS 35/10 kV Saprykino</t>
  </si>
  <si>
    <t>SS 35/10 kV Nopolyanye</t>
  </si>
  <si>
    <t>SS 35/10 kV Vednoe</t>
  </si>
  <si>
    <t>SS 35/10 kV Bigildino</t>
  </si>
  <si>
    <t>SS 35/10 kV Kultura</t>
  </si>
  <si>
    <t>SS 35/10 kV Boryatino</t>
  </si>
  <si>
    <t>SS 35/10 kV B.Popovo</t>
  </si>
  <si>
    <t>SS 35/10 kV B. Izbishchi</t>
  </si>
  <si>
    <t>SS 35/10 kV Polibino</t>
  </si>
  <si>
    <t>SS 35/10 kV Dubrava</t>
  </si>
  <si>
    <t>SS 35/10 kV Khrushchevo</t>
  </si>
  <si>
    <t>SS 35/10 kV B. Verkh</t>
  </si>
  <si>
    <t>SS 35/10 kV Golovinshchino</t>
  </si>
  <si>
    <t>SS 35/10 kV Yablonevoe</t>
  </si>
  <si>
    <t>SS 35/10 kV Politovo</t>
  </si>
  <si>
    <t>SS 35/10 kV Complex</t>
  </si>
  <si>
    <t>SS 35/10 kV No.1</t>
  </si>
  <si>
    <t>SS 35/6 kV No. 2</t>
  </si>
  <si>
    <t>SS 35/10 kV No. 3</t>
  </si>
  <si>
    <t>SS 35/6 kV No. 4</t>
  </si>
  <si>
    <t>SS 35/6 kV Gryazi-gorod</t>
  </si>
  <si>
    <t>SS 35/10 kV Butyrki</t>
  </si>
  <si>
    <t>SS 35/10 kV Yarlukovo</t>
  </si>
  <si>
    <t>SS 35/10 kV Knyazhya Baygora</t>
  </si>
  <si>
    <t>SS 35/10 kV Pravda</t>
  </si>
  <si>
    <t>SS 35/10 kV Krasnaya Dubrava</t>
  </si>
  <si>
    <t>SS 35/10 kV Matyra</t>
  </si>
  <si>
    <t>SS 35/10 kV Vperyod</t>
  </si>
  <si>
    <t>SS 35/10 kV Maley</t>
  </si>
  <si>
    <t>SS 35/10 kV SKhТ</t>
  </si>
  <si>
    <t>SS 35/10 kV Soshki</t>
  </si>
  <si>
    <t>SS 35/6 kV Tavolzhanka</t>
  </si>
  <si>
    <t>SS 35/10 kV Trubetchino</t>
  </si>
  <si>
    <t>SS 35/10 kV Ratchino</t>
  </si>
  <si>
    <t>SS 35/10 kV Kalikino</t>
  </si>
  <si>
    <t>SS 35/10 kV Borisovka</t>
  </si>
  <si>
    <t>SS 35/10 kV Vvedenka</t>
  </si>
  <si>
    <t>SS 35/10 kV Gryaznoe</t>
  </si>
  <si>
    <t>SS 35/10 kV Borino</t>
  </si>
  <si>
    <t>SS 35/10 kV Chastaya Dubrava</t>
  </si>
  <si>
    <t>SS 35/10 kV Troitskaya</t>
  </si>
  <si>
    <t>SS 35/6 kV Veshalovka</t>
  </si>
  <si>
    <t>SS 35/10 kV Pruzhinki</t>
  </si>
  <si>
    <t>SS 35/10 kV Stebaevo</t>
  </si>
  <si>
    <t>SS 35/10 kV Khleboprodukty</t>
  </si>
  <si>
    <t>SS 35/10 kV Sentsovo</t>
  </si>
  <si>
    <t>SS 35/10 kV Meet processing plant</t>
  </si>
  <si>
    <t>SS 35/6 kV Poultry plant</t>
  </si>
  <si>
    <t>SS 35/6 kV Water intake</t>
  </si>
  <si>
    <t>SS 35/10 kV Petrovskaya</t>
  </si>
  <si>
    <t>SS 35/10 kV Lebedyanka</t>
  </si>
  <si>
    <t>SS 35/10 kV Novocherkutino</t>
  </si>
  <si>
    <t>SS 35/10 kV Ivanovka</t>
  </si>
  <si>
    <t>SS 35/10 kV Poddubrovka</t>
  </si>
  <si>
    <t>SS 35/10 kV Plavitsa</t>
  </si>
  <si>
    <t>SS 35/10 kV Parshinovka</t>
  </si>
  <si>
    <t>SS 35/10 kV Talitsky Chamlyk</t>
  </si>
  <si>
    <t>SS 35/10 kV Demshinka</t>
  </si>
  <si>
    <t>SS 35/10 kV Bereznyagovka</t>
  </si>
  <si>
    <t>SS 35/10 kV Dmitrievka</t>
  </si>
  <si>
    <t>SS 35/10 kV Pashkovo</t>
  </si>
  <si>
    <t>SS 35/10 kV Moskovka</t>
  </si>
  <si>
    <t>SS 35/10 kV Bochinovka</t>
  </si>
  <si>
    <t>SS 35/10 kV Fyodorovka</t>
  </si>
  <si>
    <t>SS 35/10 kV Kulikovo</t>
  </si>
  <si>
    <t>SS 35/10 kV Kon-Kolodez</t>
  </si>
  <si>
    <t>SS 35/10 kV Dmitryashevka</t>
  </si>
  <si>
    <t>SS 35/10 kV Rechnaya</t>
  </si>
  <si>
    <t>SS 35/10 kV Negachevka</t>
  </si>
  <si>
    <t>SS 35/10 kV Karamyshevo</t>
  </si>
  <si>
    <t>SS 35/10 kV Tyushevka</t>
  </si>
  <si>
    <t>SS 35/10 kV Sselki</t>
  </si>
  <si>
    <t>SS 110/35/10 kV Terbuny-110</t>
  </si>
  <si>
    <t xml:space="preserve">Nom. Capacity MV, МVA </t>
  </si>
  <si>
    <t>Nom. capacity LV, МVA</t>
  </si>
  <si>
    <t>SS 110/35/10 kV Dolgorukovo</t>
  </si>
  <si>
    <t xml:space="preserve">Nom. capacity MV, МVA </t>
  </si>
  <si>
    <t>SS 110/35/10 kV Volovo</t>
  </si>
  <si>
    <t>Nom. capacity LV, МVА</t>
  </si>
  <si>
    <t>SS 110/35/10 kV Izmalkovo</t>
  </si>
  <si>
    <t xml:space="preserve">Nom. capacity MV, МVА </t>
  </si>
  <si>
    <t>SS 110/35/10 kV Gorokhovskaya</t>
  </si>
  <si>
    <t>SS 110/35/10 kV Donskaya</t>
  </si>
  <si>
    <t>SS 110/35/10 kV Lebedyan</t>
  </si>
  <si>
    <t>SS 110/35/10 kV Chaplygin-novaya</t>
  </si>
  <si>
    <t>SS 110/35/10 kV Kompressornaya</t>
  </si>
  <si>
    <t xml:space="preserve">Nom. Capacity MV, МVА </t>
  </si>
  <si>
    <t>SS 110/35/10 kV Rossiya</t>
  </si>
  <si>
    <t>SS 110/35/10 kV Beryozovka</t>
  </si>
  <si>
    <t>SS 110/35/10 kV Astapovo</t>
  </si>
  <si>
    <t>SS 110/35/10 kV Khimicheskaya</t>
  </si>
  <si>
    <t>SS 110/35/6 kV Bugor</t>
  </si>
  <si>
    <t>SS 110/35/6 kVВ Tsementnaya</t>
  </si>
  <si>
    <t>SS 110/35/10/60 kV Gidrooborudovanie</t>
  </si>
  <si>
    <t xml:space="preserve">SS 110/35 kV T-3 Gidrooborudovanie </t>
  </si>
  <si>
    <t>SS 110/35/10 kV Usman</t>
  </si>
  <si>
    <t>Nom. Capacity LV, МVА</t>
  </si>
  <si>
    <t>SS 110/35/10 kV Aksai</t>
  </si>
  <si>
    <t>SS 110/35/10 kV Nikolskaya</t>
  </si>
  <si>
    <t>SS 110/35/10 kV Khvorostyanka</t>
  </si>
  <si>
    <t>SS 110/35/10 kV Dobrinka</t>
  </si>
  <si>
    <t xml:space="preserve">Nom. capacity СН, МВА </t>
  </si>
  <si>
    <t>SS 110/35/10 kV Verkhnyaya Matryonka</t>
  </si>
  <si>
    <t>SS 110/35/10 kV Kazinka</t>
  </si>
  <si>
    <t>SS 110/35/10 kV Dobroe</t>
  </si>
  <si>
    <t>SS 110/35/6 kV Novaya Derevnya</t>
  </si>
  <si>
    <t>SS 110/35/6 kV Verbilovo</t>
  </si>
  <si>
    <t>SS 110/35/10 kV Khlevnoe</t>
  </si>
  <si>
    <t>SS 110/35/10 kV Naberezhnoe</t>
  </si>
  <si>
    <t>SS 110/35/10 kV Troekurovo</t>
  </si>
  <si>
    <t>Total:</t>
  </si>
  <si>
    <t>deficit</t>
  </si>
  <si>
    <t xml:space="preserve">proficit </t>
  </si>
  <si>
    <t>taken into account *</t>
  </si>
  <si>
    <t xml:space="preserve">                         *  Restriction on connected capacity in the grid operation mode 110, 220 kV (according to Lipetsk Transmission Control Centre)</t>
  </si>
  <si>
    <t>КРУНН-6kV не наши</t>
  </si>
  <si>
    <t>SS 35/6 kV № 2</t>
  </si>
  <si>
    <t>SS 35/10 kV № 3</t>
  </si>
  <si>
    <t>The list of closed supply centers of IDGC of Centre following the results of measurements of winter peak loads in 2011 (current capacity deficit).</t>
  </si>
  <si>
    <t>Item #</t>
  </si>
  <si>
    <t>Lipetskenergo</t>
  </si>
  <si>
    <t>Expected deficit</t>
  </si>
  <si>
    <t>The list of closed supply centers of IDGC of Centre following the results of measurements of winter peak loads in 2011 (expected capacity deficit).</t>
  </si>
  <si>
    <t>Total expected deficit (winter)</t>
  </si>
  <si>
    <t>Total current deficit (winter)</t>
  </si>
  <si>
    <t>SS 110/10kV Leo Tolstoy</t>
  </si>
  <si>
    <t>SS 35/10 kV Cheerful</t>
  </si>
  <si>
    <t>SS 35/10 kV Ozerki</t>
  </si>
  <si>
    <t>SS 35/10 kV Transformation</t>
  </si>
  <si>
    <t>SS 35/10 kV Stone Lubna</t>
  </si>
  <si>
    <t>SS 35/10 kV Chicken</t>
  </si>
  <si>
    <t>SS 35/10 kV Zadonsk-rural.</t>
  </si>
  <si>
    <t>SS 110/35 kV T-3 Hydraulic Equipment</t>
  </si>
  <si>
    <t>SS 35/10 kV Peak</t>
  </si>
  <si>
    <t>SS 110/10 kV October</t>
  </si>
  <si>
    <t>SS 110/10 kV University</t>
  </si>
  <si>
    <t>SS 35/10 kV Flat</t>
  </si>
  <si>
    <t>SS 35/10 kV Apple</t>
  </si>
  <si>
    <t>SS 35/10 kV Frequent Dubrava</t>
  </si>
  <si>
    <t>SS 35/10 kV Trinity</t>
  </si>
  <si>
    <t>SS 35/6 kV Poultry</t>
  </si>
  <si>
    <t>SS 110/35/10 kV Compressor</t>
  </si>
  <si>
    <t>Nom. capacity MV, MVA</t>
  </si>
  <si>
    <t>Nom. capacity LV, MVA</t>
  </si>
  <si>
    <t>SS 110/35/6 kV Hillock</t>
  </si>
  <si>
    <t>SS 110/35/6 kV New Village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</si>
</sst>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4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2" fontId="9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48" fillId="0" borderId="0" xfId="0" applyFont="1" applyFill="1" applyAlignment="1">
      <alignment horizontal="left" vertical="center"/>
    </xf>
    <xf numFmtId="2" fontId="48" fillId="0" borderId="0" xfId="0" applyNumberFormat="1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48" fillId="0" borderId="11" xfId="0" applyFont="1" applyFill="1" applyBorder="1" applyAlignment="1">
      <alignment/>
    </xf>
    <xf numFmtId="0" fontId="48" fillId="0" borderId="16" xfId="0" applyFont="1" applyFill="1" applyBorder="1" applyAlignment="1">
      <alignment vertical="center"/>
    </xf>
    <xf numFmtId="0" fontId="50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49" fontId="51" fillId="0" borderId="0" xfId="0" applyNumberFormat="1" applyFont="1" applyFill="1" applyAlignment="1">
      <alignment horizontal="left" vertical="center"/>
    </xf>
    <xf numFmtId="2" fontId="51" fillId="0" borderId="0" xfId="0" applyNumberFormat="1" applyFont="1" applyFill="1" applyAlignment="1">
      <alignment horizontal="center" vertical="center"/>
    </xf>
    <xf numFmtId="2" fontId="51" fillId="0" borderId="0" xfId="0" applyNumberFormat="1" applyFont="1" applyFill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2" fontId="7" fillId="0" borderId="17" xfId="0" applyNumberFormat="1" applyFont="1" applyFill="1" applyBorder="1" applyAlignment="1">
      <alignment horizontal="left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left" vertical="center" wrapText="1"/>
    </xf>
    <xf numFmtId="2" fontId="7" fillId="33" borderId="12" xfId="0" applyNumberFormat="1" applyFont="1" applyFill="1" applyBorder="1" applyAlignment="1">
      <alignment horizontal="left" vertical="center" wrapText="1"/>
    </xf>
    <xf numFmtId="2" fontId="7" fillId="33" borderId="17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8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7.8515625" style="7" customWidth="1"/>
    <col min="2" max="2" width="29.7109375" style="7" customWidth="1"/>
    <col min="3" max="3" width="11.8515625" style="7" customWidth="1"/>
    <col min="4" max="4" width="11.140625" style="7" hidden="1" customWidth="1"/>
    <col min="5" max="5" width="9.57421875" style="7" customWidth="1"/>
    <col min="6" max="6" width="10.140625" style="7" customWidth="1"/>
    <col min="7" max="7" width="9.00390625" style="8" customWidth="1"/>
    <col min="8" max="9" width="10.57421875" style="7" customWidth="1"/>
    <col min="10" max="10" width="10.421875" style="7" customWidth="1"/>
    <col min="11" max="11" width="11.7109375" style="7" customWidth="1"/>
    <col min="12" max="12" width="10.421875" style="7" customWidth="1"/>
    <col min="13" max="13" width="10.8515625" style="7" customWidth="1"/>
    <col min="14" max="14" width="10.57421875" style="8" customWidth="1"/>
    <col min="15" max="15" width="13.57421875" style="9" customWidth="1"/>
    <col min="16" max="16" width="6.7109375" style="7" customWidth="1"/>
    <col min="17" max="17" width="35.140625" style="7" customWidth="1"/>
    <col min="18" max="18" width="19.421875" style="7" customWidth="1"/>
    <col min="19" max="19" width="10.7109375" style="7" customWidth="1"/>
    <col min="20" max="20" width="8.421875" style="7" customWidth="1"/>
    <col min="21" max="21" width="10.00390625" style="7" customWidth="1"/>
    <col min="22" max="22" width="10.28125" style="7" customWidth="1"/>
    <col min="23" max="23" width="12.57421875" style="7" customWidth="1"/>
    <col min="24" max="24" width="11.57421875" style="7" customWidth="1"/>
    <col min="25" max="25" width="11.421875" style="7" customWidth="1"/>
    <col min="26" max="26" width="11.57421875" style="7" customWidth="1"/>
    <col min="27" max="27" width="11.140625" style="7" customWidth="1"/>
    <col min="28" max="28" width="14.28125" style="7" customWidth="1"/>
    <col min="29" max="16384" width="9.140625" style="7" customWidth="1"/>
  </cols>
  <sheetData>
    <row r="1" spans="11:12" ht="11.25">
      <c r="K1" s="122"/>
      <c r="L1" s="122"/>
    </row>
    <row r="2" spans="1:15" ht="11.25">
      <c r="A2" s="124" t="s">
        <v>45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1"/>
      <c r="O2" s="11"/>
    </row>
    <row r="3" spans="11:12" ht="11.25">
      <c r="K3" s="123" t="s">
        <v>41</v>
      </c>
      <c r="L3" s="123"/>
    </row>
    <row r="4" spans="1:28" s="79" customFormat="1" ht="24.75" customHeight="1">
      <c r="A4" s="106" t="s">
        <v>46</v>
      </c>
      <c r="B4" s="109" t="s">
        <v>47</v>
      </c>
      <c r="C4" s="112" t="s">
        <v>48</v>
      </c>
      <c r="D4" s="113"/>
      <c r="E4" s="113"/>
      <c r="F4" s="113"/>
      <c r="G4" s="113"/>
      <c r="H4" s="113"/>
      <c r="I4" s="113"/>
      <c r="J4" s="113"/>
      <c r="K4" s="113"/>
      <c r="L4" s="114" t="s">
        <v>49</v>
      </c>
      <c r="M4" s="109" t="s">
        <v>49</v>
      </c>
      <c r="N4" s="96" t="s">
        <v>38</v>
      </c>
      <c r="O4" s="78"/>
      <c r="P4" s="106" t="s">
        <v>46</v>
      </c>
      <c r="Q4" s="109" t="s">
        <v>47</v>
      </c>
      <c r="R4" s="112" t="s">
        <v>61</v>
      </c>
      <c r="S4" s="113"/>
      <c r="T4" s="113"/>
      <c r="U4" s="113"/>
      <c r="V4" s="113"/>
      <c r="W4" s="113"/>
      <c r="X4" s="113"/>
      <c r="Y4" s="113"/>
      <c r="Z4" s="113"/>
      <c r="AA4" s="114"/>
      <c r="AB4" s="109" t="s">
        <v>49</v>
      </c>
    </row>
    <row r="5" spans="1:28" s="79" customFormat="1" ht="79.5" customHeight="1">
      <c r="A5" s="107"/>
      <c r="B5" s="110"/>
      <c r="C5" s="109" t="s">
        <v>50</v>
      </c>
      <c r="D5" s="91" t="s">
        <v>51</v>
      </c>
      <c r="E5" s="109" t="s">
        <v>52</v>
      </c>
      <c r="F5" s="112" t="s">
        <v>52</v>
      </c>
      <c r="G5" s="114" t="s">
        <v>53</v>
      </c>
      <c r="H5" s="109" t="s">
        <v>54</v>
      </c>
      <c r="I5" s="109" t="s">
        <v>55</v>
      </c>
      <c r="J5" s="109" t="s">
        <v>56</v>
      </c>
      <c r="K5" s="115" t="s">
        <v>57</v>
      </c>
      <c r="L5" s="116"/>
      <c r="M5" s="110"/>
      <c r="N5" s="96"/>
      <c r="O5" s="78"/>
      <c r="P5" s="107"/>
      <c r="Q5" s="110"/>
      <c r="R5" s="109" t="s">
        <v>50</v>
      </c>
      <c r="S5" s="109" t="s">
        <v>62</v>
      </c>
      <c r="T5" s="109" t="s">
        <v>63</v>
      </c>
      <c r="U5" s="112" t="s">
        <v>52</v>
      </c>
      <c r="V5" s="114"/>
      <c r="W5" s="109" t="s">
        <v>53</v>
      </c>
      <c r="X5" s="109" t="s">
        <v>54</v>
      </c>
      <c r="Y5" s="109" t="s">
        <v>55</v>
      </c>
      <c r="Z5" s="115" t="s">
        <v>64</v>
      </c>
      <c r="AA5" s="116" t="s">
        <v>65</v>
      </c>
      <c r="AB5" s="110"/>
    </row>
    <row r="6" spans="1:28" s="79" customFormat="1" ht="56.25" customHeight="1">
      <c r="A6" s="108"/>
      <c r="B6" s="111"/>
      <c r="C6" s="111"/>
      <c r="D6" s="91" t="s">
        <v>58</v>
      </c>
      <c r="E6" s="111" t="s">
        <v>58</v>
      </c>
      <c r="F6" s="91" t="s">
        <v>59</v>
      </c>
      <c r="G6" s="91" t="s">
        <v>60</v>
      </c>
      <c r="H6" s="111"/>
      <c r="I6" s="111"/>
      <c r="J6" s="111"/>
      <c r="K6" s="117"/>
      <c r="L6" s="118"/>
      <c r="M6" s="111"/>
      <c r="N6" s="96"/>
      <c r="O6" s="78"/>
      <c r="P6" s="108"/>
      <c r="Q6" s="111"/>
      <c r="R6" s="111"/>
      <c r="S6" s="111"/>
      <c r="T6" s="111"/>
      <c r="U6" s="91" t="s">
        <v>58</v>
      </c>
      <c r="V6" s="91" t="s">
        <v>60</v>
      </c>
      <c r="W6" s="111"/>
      <c r="X6" s="111"/>
      <c r="Y6" s="111"/>
      <c r="Z6" s="117"/>
      <c r="AA6" s="118"/>
      <c r="AB6" s="111"/>
    </row>
    <row r="7" spans="1:28" ht="11.25">
      <c r="A7" s="13">
        <v>1</v>
      </c>
      <c r="B7" s="13">
        <v>2</v>
      </c>
      <c r="C7" s="13">
        <v>3</v>
      </c>
      <c r="D7" s="13"/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5">
        <v>12</v>
      </c>
      <c r="N7" s="15"/>
      <c r="O7" s="12"/>
      <c r="P7" s="14">
        <v>1</v>
      </c>
      <c r="Q7" s="14">
        <v>2</v>
      </c>
      <c r="R7" s="14">
        <v>3</v>
      </c>
      <c r="S7" s="14">
        <v>4</v>
      </c>
      <c r="T7" s="14">
        <v>5</v>
      </c>
      <c r="U7" s="14">
        <v>6</v>
      </c>
      <c r="V7" s="14">
        <v>7</v>
      </c>
      <c r="W7" s="14">
        <v>8</v>
      </c>
      <c r="X7" s="14">
        <v>9</v>
      </c>
      <c r="Y7" s="14">
        <v>10</v>
      </c>
      <c r="Z7" s="14">
        <v>11</v>
      </c>
      <c r="AA7" s="14">
        <v>12</v>
      </c>
      <c r="AB7" s="10">
        <v>13</v>
      </c>
    </row>
    <row r="8" spans="1:28" ht="11.25">
      <c r="A8" s="119" t="s">
        <v>42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1"/>
      <c r="N8" s="15"/>
      <c r="O8" s="12"/>
      <c r="P8" s="105" t="s">
        <v>42</v>
      </c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</row>
    <row r="9" spans="1:28" ht="11.25">
      <c r="A9" s="16">
        <v>1</v>
      </c>
      <c r="B9" s="17" t="s">
        <v>66</v>
      </c>
      <c r="C9" s="18">
        <v>10</v>
      </c>
      <c r="D9" s="18">
        <v>10</v>
      </c>
      <c r="E9" s="20">
        <v>2</v>
      </c>
      <c r="F9" s="20">
        <v>1.8</v>
      </c>
      <c r="G9" s="21">
        <v>30</v>
      </c>
      <c r="H9" s="20">
        <f aca="true" t="shared" si="0" ref="H9:H18">E9-F9</f>
        <v>0.19999999999999996</v>
      </c>
      <c r="I9" s="21">
        <v>0</v>
      </c>
      <c r="J9" s="20">
        <f>F9</f>
        <v>1.8</v>
      </c>
      <c r="K9" s="20">
        <f aca="true" t="shared" si="1" ref="K9:K18">J9-E9</f>
        <v>-0.19999999999999996</v>
      </c>
      <c r="L9" s="20">
        <f>K9</f>
        <v>-0.19999999999999996</v>
      </c>
      <c r="M9" s="18" t="s">
        <v>39</v>
      </c>
      <c r="N9" s="18">
        <v>0.98</v>
      </c>
      <c r="O9" s="12"/>
      <c r="P9" s="16">
        <v>1</v>
      </c>
      <c r="Q9" s="17" t="s">
        <v>66</v>
      </c>
      <c r="R9" s="18">
        <v>10</v>
      </c>
      <c r="S9" s="18">
        <v>0.801</v>
      </c>
      <c r="T9" s="19">
        <f aca="true" t="shared" si="2" ref="T9:T18">S9+E9</f>
        <v>2.801</v>
      </c>
      <c r="U9" s="20">
        <v>1.8</v>
      </c>
      <c r="V9" s="21">
        <v>30</v>
      </c>
      <c r="W9" s="23">
        <f>T9-U9</f>
        <v>1.0010000000000001</v>
      </c>
      <c r="X9" s="18">
        <v>0</v>
      </c>
      <c r="Y9" s="23">
        <f>U9</f>
        <v>1.8</v>
      </c>
      <c r="Z9" s="23">
        <f>Y9-T9</f>
        <v>-1.0010000000000001</v>
      </c>
      <c r="AA9" s="23">
        <f>Z9</f>
        <v>-1.0010000000000001</v>
      </c>
      <c r="AB9" s="18" t="s">
        <v>39</v>
      </c>
    </row>
    <row r="10" spans="1:28" ht="11.25">
      <c r="A10" s="16">
        <v>2</v>
      </c>
      <c r="B10" s="24" t="s">
        <v>67</v>
      </c>
      <c r="C10" s="18">
        <v>6.3</v>
      </c>
      <c r="D10" s="18">
        <v>6.3</v>
      </c>
      <c r="E10" s="20">
        <v>1.6</v>
      </c>
      <c r="F10" s="20">
        <v>0.1</v>
      </c>
      <c r="G10" s="21">
        <v>70</v>
      </c>
      <c r="H10" s="20">
        <f t="shared" si="0"/>
        <v>1.5</v>
      </c>
      <c r="I10" s="21">
        <v>0</v>
      </c>
      <c r="J10" s="20">
        <f aca="true" t="shared" si="3" ref="J10:J31">F10</f>
        <v>0.1</v>
      </c>
      <c r="K10" s="20">
        <f t="shared" si="1"/>
        <v>-1.5</v>
      </c>
      <c r="L10" s="20">
        <f aca="true" t="shared" si="4" ref="L10:L31">K10</f>
        <v>-1.5</v>
      </c>
      <c r="M10" s="18" t="s">
        <v>39</v>
      </c>
      <c r="N10" s="18">
        <v>0.95</v>
      </c>
      <c r="O10" s="12"/>
      <c r="P10" s="16">
        <v>2</v>
      </c>
      <c r="Q10" s="24" t="s">
        <v>67</v>
      </c>
      <c r="R10" s="18">
        <v>6.3</v>
      </c>
      <c r="S10" s="18">
        <v>0.898</v>
      </c>
      <c r="T10" s="19">
        <f t="shared" si="2"/>
        <v>2.498</v>
      </c>
      <c r="U10" s="20">
        <v>0.1</v>
      </c>
      <c r="V10" s="21">
        <v>70</v>
      </c>
      <c r="W10" s="23">
        <f aca="true" t="shared" si="5" ref="W10:W31">T10-U10</f>
        <v>2.398</v>
      </c>
      <c r="X10" s="18">
        <v>0</v>
      </c>
      <c r="Y10" s="23">
        <f aca="true" t="shared" si="6" ref="Y10:Y31">U10</f>
        <v>0.1</v>
      </c>
      <c r="Z10" s="23">
        <f aca="true" t="shared" si="7" ref="Z10:Z31">Y10-T10</f>
        <v>-2.398</v>
      </c>
      <c r="AA10" s="23">
        <f aca="true" t="shared" si="8" ref="AA10:AA31">Z10</f>
        <v>-2.398</v>
      </c>
      <c r="AB10" s="18" t="s">
        <v>39</v>
      </c>
    </row>
    <row r="11" spans="1:28" ht="11.25">
      <c r="A11" s="16">
        <v>3</v>
      </c>
      <c r="B11" s="25" t="s">
        <v>68</v>
      </c>
      <c r="C11" s="18">
        <v>2.5</v>
      </c>
      <c r="D11" s="18">
        <v>2.5</v>
      </c>
      <c r="E11" s="20">
        <v>0.107952</v>
      </c>
      <c r="F11" s="20">
        <v>0.07</v>
      </c>
      <c r="G11" s="21">
        <v>100</v>
      </c>
      <c r="H11" s="20">
        <f t="shared" si="0"/>
        <v>0.037952</v>
      </c>
      <c r="I11" s="21">
        <v>0</v>
      </c>
      <c r="J11" s="20">
        <f t="shared" si="3"/>
        <v>0.07</v>
      </c>
      <c r="K11" s="20">
        <f t="shared" si="1"/>
        <v>-0.037952</v>
      </c>
      <c r="L11" s="20">
        <f t="shared" si="4"/>
        <v>-0.037952</v>
      </c>
      <c r="M11" s="18" t="s">
        <v>39</v>
      </c>
      <c r="N11" s="18">
        <v>0.87</v>
      </c>
      <c r="O11" s="12"/>
      <c r="P11" s="16">
        <v>3</v>
      </c>
      <c r="Q11" s="25" t="s">
        <v>68</v>
      </c>
      <c r="R11" s="18">
        <v>2.5</v>
      </c>
      <c r="S11" s="18">
        <v>0.026</v>
      </c>
      <c r="T11" s="19">
        <f t="shared" si="2"/>
        <v>0.13395200000000002</v>
      </c>
      <c r="U11" s="20">
        <v>0.07</v>
      </c>
      <c r="V11" s="21">
        <v>100</v>
      </c>
      <c r="W11" s="23">
        <f t="shared" si="5"/>
        <v>0.06395200000000001</v>
      </c>
      <c r="X11" s="18">
        <v>0</v>
      </c>
      <c r="Y11" s="23">
        <f t="shared" si="6"/>
        <v>0.07</v>
      </c>
      <c r="Z11" s="23">
        <f t="shared" si="7"/>
        <v>-0.06395200000000001</v>
      </c>
      <c r="AA11" s="23">
        <f t="shared" si="8"/>
        <v>-0.06395200000000001</v>
      </c>
      <c r="AB11" s="18" t="s">
        <v>39</v>
      </c>
    </row>
    <row r="12" spans="1:28" ht="11.25">
      <c r="A12" s="16">
        <v>4</v>
      </c>
      <c r="B12" s="25" t="s">
        <v>69</v>
      </c>
      <c r="C12" s="18">
        <v>3.2</v>
      </c>
      <c r="D12" s="18">
        <v>3.2</v>
      </c>
      <c r="E12" s="20">
        <v>0.8816080000000001</v>
      </c>
      <c r="F12" s="20">
        <v>0.11</v>
      </c>
      <c r="G12" s="21">
        <v>180</v>
      </c>
      <c r="H12" s="20">
        <f t="shared" si="0"/>
        <v>0.7716080000000001</v>
      </c>
      <c r="I12" s="21">
        <v>0</v>
      </c>
      <c r="J12" s="20">
        <f t="shared" si="3"/>
        <v>0.11</v>
      </c>
      <c r="K12" s="20">
        <f t="shared" si="1"/>
        <v>-0.7716080000000001</v>
      </c>
      <c r="L12" s="20">
        <f t="shared" si="4"/>
        <v>-0.7716080000000001</v>
      </c>
      <c r="M12" s="18" t="s">
        <v>39</v>
      </c>
      <c r="N12" s="18">
        <v>0.92</v>
      </c>
      <c r="O12" s="12"/>
      <c r="P12" s="16">
        <v>4</v>
      </c>
      <c r="Q12" s="25" t="s">
        <v>69</v>
      </c>
      <c r="R12" s="18">
        <v>3.2</v>
      </c>
      <c r="S12" s="18">
        <v>0.519</v>
      </c>
      <c r="T12" s="19">
        <f t="shared" si="2"/>
        <v>1.400608</v>
      </c>
      <c r="U12" s="20">
        <v>0.11</v>
      </c>
      <c r="V12" s="21">
        <v>180</v>
      </c>
      <c r="W12" s="23">
        <f t="shared" si="5"/>
        <v>1.290608</v>
      </c>
      <c r="X12" s="18">
        <v>0</v>
      </c>
      <c r="Y12" s="23">
        <f t="shared" si="6"/>
        <v>0.11</v>
      </c>
      <c r="Z12" s="23">
        <f t="shared" si="7"/>
        <v>-1.290608</v>
      </c>
      <c r="AA12" s="23">
        <f t="shared" si="8"/>
        <v>-1.290608</v>
      </c>
      <c r="AB12" s="18" t="s">
        <v>39</v>
      </c>
    </row>
    <row r="13" spans="1:28" ht="11.25">
      <c r="A13" s="16">
        <v>5</v>
      </c>
      <c r="B13" s="25" t="s">
        <v>70</v>
      </c>
      <c r="C13" s="18">
        <v>2.5</v>
      </c>
      <c r="D13" s="18">
        <v>2.5</v>
      </c>
      <c r="E13" s="20">
        <v>0.817425</v>
      </c>
      <c r="F13" s="20">
        <v>0</v>
      </c>
      <c r="G13" s="21">
        <v>0</v>
      </c>
      <c r="H13" s="20">
        <f t="shared" si="0"/>
        <v>0.817425</v>
      </c>
      <c r="I13" s="21">
        <v>0</v>
      </c>
      <c r="J13" s="20">
        <f t="shared" si="3"/>
        <v>0</v>
      </c>
      <c r="K13" s="20">
        <f t="shared" si="1"/>
        <v>-0.817425</v>
      </c>
      <c r="L13" s="20">
        <f t="shared" si="4"/>
        <v>-0.817425</v>
      </c>
      <c r="M13" s="18" t="s">
        <v>39</v>
      </c>
      <c r="N13" s="18">
        <v>0.94</v>
      </c>
      <c r="O13" s="12"/>
      <c r="P13" s="16">
        <v>5</v>
      </c>
      <c r="Q13" s="25" t="s">
        <v>70</v>
      </c>
      <c r="R13" s="18">
        <v>2.5</v>
      </c>
      <c r="S13" s="18">
        <v>0.503</v>
      </c>
      <c r="T13" s="19">
        <f t="shared" si="2"/>
        <v>1.320425</v>
      </c>
      <c r="U13" s="20">
        <v>0</v>
      </c>
      <c r="V13" s="21">
        <v>0</v>
      </c>
      <c r="W13" s="23">
        <f t="shared" si="5"/>
        <v>1.320425</v>
      </c>
      <c r="X13" s="18">
        <v>0</v>
      </c>
      <c r="Y13" s="23">
        <f t="shared" si="6"/>
        <v>0</v>
      </c>
      <c r="Z13" s="23">
        <f t="shared" si="7"/>
        <v>-1.320425</v>
      </c>
      <c r="AA13" s="23">
        <f t="shared" si="8"/>
        <v>-1.320425</v>
      </c>
      <c r="AB13" s="18" t="s">
        <v>39</v>
      </c>
    </row>
    <row r="14" spans="1:28" ht="15" customHeight="1">
      <c r="A14" s="16">
        <v>6</v>
      </c>
      <c r="B14" s="25" t="s">
        <v>71</v>
      </c>
      <c r="C14" s="18">
        <v>2.5</v>
      </c>
      <c r="D14" s="18">
        <v>2.5</v>
      </c>
      <c r="E14" s="20">
        <v>0.47229000000000004</v>
      </c>
      <c r="F14" s="20">
        <v>0.29</v>
      </c>
      <c r="G14" s="21">
        <v>60</v>
      </c>
      <c r="H14" s="20">
        <f t="shared" si="0"/>
        <v>0.18229000000000006</v>
      </c>
      <c r="I14" s="21">
        <v>0</v>
      </c>
      <c r="J14" s="20">
        <f t="shared" si="3"/>
        <v>0.29</v>
      </c>
      <c r="K14" s="20">
        <f t="shared" si="1"/>
        <v>-0.18229000000000006</v>
      </c>
      <c r="L14" s="20">
        <f t="shared" si="4"/>
        <v>-0.18229000000000006</v>
      </c>
      <c r="M14" s="18" t="s">
        <v>39</v>
      </c>
      <c r="N14" s="18">
        <v>0.92</v>
      </c>
      <c r="O14" s="12"/>
      <c r="P14" s="16">
        <v>6</v>
      </c>
      <c r="Q14" s="25" t="s">
        <v>71</v>
      </c>
      <c r="R14" s="18">
        <v>2.5</v>
      </c>
      <c r="S14" s="18"/>
      <c r="T14" s="19">
        <f t="shared" si="2"/>
        <v>0.47229000000000004</v>
      </c>
      <c r="U14" s="20">
        <v>0.29</v>
      </c>
      <c r="V14" s="21">
        <v>60</v>
      </c>
      <c r="W14" s="23">
        <f t="shared" si="5"/>
        <v>0.18229000000000006</v>
      </c>
      <c r="X14" s="18">
        <v>0</v>
      </c>
      <c r="Y14" s="23">
        <f t="shared" si="6"/>
        <v>0.29</v>
      </c>
      <c r="Z14" s="23">
        <f t="shared" si="7"/>
        <v>-0.18229000000000006</v>
      </c>
      <c r="AA14" s="23">
        <f t="shared" si="8"/>
        <v>-0.18229000000000006</v>
      </c>
      <c r="AB14" s="18" t="s">
        <v>39</v>
      </c>
    </row>
    <row r="15" spans="1:28" ht="11.25">
      <c r="A15" s="16">
        <v>7</v>
      </c>
      <c r="B15" s="25" t="s">
        <v>72</v>
      </c>
      <c r="C15" s="18">
        <v>2.5</v>
      </c>
      <c r="D15" s="18">
        <v>2.5</v>
      </c>
      <c r="E15" s="20">
        <v>0.11002799999999999</v>
      </c>
      <c r="F15" s="20">
        <v>0</v>
      </c>
      <c r="G15" s="21">
        <v>0</v>
      </c>
      <c r="H15" s="20">
        <f t="shared" si="0"/>
        <v>0.11002799999999999</v>
      </c>
      <c r="I15" s="21">
        <v>0</v>
      </c>
      <c r="J15" s="20">
        <f t="shared" si="3"/>
        <v>0</v>
      </c>
      <c r="K15" s="20">
        <f t="shared" si="1"/>
        <v>-0.11002799999999999</v>
      </c>
      <c r="L15" s="20">
        <f t="shared" si="4"/>
        <v>-0.11002799999999999</v>
      </c>
      <c r="M15" s="18" t="s">
        <v>39</v>
      </c>
      <c r="N15" s="18">
        <v>0.79</v>
      </c>
      <c r="O15" s="12"/>
      <c r="P15" s="16">
        <v>7</v>
      </c>
      <c r="Q15" s="25" t="s">
        <v>72</v>
      </c>
      <c r="R15" s="18">
        <v>2.5</v>
      </c>
      <c r="S15" s="18"/>
      <c r="T15" s="19">
        <f t="shared" si="2"/>
        <v>0.11002799999999999</v>
      </c>
      <c r="U15" s="20">
        <v>0</v>
      </c>
      <c r="V15" s="21">
        <v>0</v>
      </c>
      <c r="W15" s="23">
        <f t="shared" si="5"/>
        <v>0.11002799999999999</v>
      </c>
      <c r="X15" s="18">
        <v>0</v>
      </c>
      <c r="Y15" s="23">
        <f t="shared" si="6"/>
        <v>0</v>
      </c>
      <c r="Z15" s="23">
        <f t="shared" si="7"/>
        <v>-0.11002799999999999</v>
      </c>
      <c r="AA15" s="23">
        <f t="shared" si="8"/>
        <v>-0.11002799999999999</v>
      </c>
      <c r="AB15" s="18" t="s">
        <v>39</v>
      </c>
    </row>
    <row r="16" spans="1:28" ht="11.25">
      <c r="A16" s="16">
        <v>8</v>
      </c>
      <c r="B16" s="25" t="s">
        <v>73</v>
      </c>
      <c r="C16" s="18">
        <v>2.5</v>
      </c>
      <c r="D16" s="18">
        <v>2.5</v>
      </c>
      <c r="E16" s="20">
        <v>0.50862</v>
      </c>
      <c r="F16" s="20">
        <v>0.05</v>
      </c>
      <c r="G16" s="21">
        <v>90</v>
      </c>
      <c r="H16" s="20">
        <f t="shared" si="0"/>
        <v>0.45861999999999997</v>
      </c>
      <c r="I16" s="21">
        <v>0</v>
      </c>
      <c r="J16" s="20">
        <f t="shared" si="3"/>
        <v>0.05</v>
      </c>
      <c r="K16" s="20">
        <f t="shared" si="1"/>
        <v>-0.45861999999999997</v>
      </c>
      <c r="L16" s="20">
        <f t="shared" si="4"/>
        <v>-0.45861999999999997</v>
      </c>
      <c r="M16" s="18" t="s">
        <v>39</v>
      </c>
      <c r="N16" s="18">
        <v>0.86</v>
      </c>
      <c r="O16" s="12"/>
      <c r="P16" s="16">
        <v>8</v>
      </c>
      <c r="Q16" s="25" t="s">
        <v>73</v>
      </c>
      <c r="R16" s="18">
        <v>2.5</v>
      </c>
      <c r="S16" s="18">
        <v>0.015</v>
      </c>
      <c r="T16" s="19">
        <f t="shared" si="2"/>
        <v>0.52362</v>
      </c>
      <c r="U16" s="20">
        <v>0.05</v>
      </c>
      <c r="V16" s="21">
        <v>90</v>
      </c>
      <c r="W16" s="23">
        <f t="shared" si="5"/>
        <v>0.47362</v>
      </c>
      <c r="X16" s="18">
        <v>0</v>
      </c>
      <c r="Y16" s="23">
        <f t="shared" si="6"/>
        <v>0.05</v>
      </c>
      <c r="Z16" s="23">
        <f t="shared" si="7"/>
        <v>-0.47362</v>
      </c>
      <c r="AA16" s="23">
        <f t="shared" si="8"/>
        <v>-0.47362</v>
      </c>
      <c r="AB16" s="18" t="s">
        <v>39</v>
      </c>
    </row>
    <row r="17" spans="1:28" ht="11.25">
      <c r="A17" s="16">
        <v>9</v>
      </c>
      <c r="B17" s="24" t="s">
        <v>74</v>
      </c>
      <c r="C17" s="18">
        <v>2.5</v>
      </c>
      <c r="D17" s="18">
        <v>2.5</v>
      </c>
      <c r="E17" s="20">
        <v>0.41485400000000006</v>
      </c>
      <c r="F17" s="20">
        <v>0</v>
      </c>
      <c r="G17" s="21">
        <v>0</v>
      </c>
      <c r="H17" s="20">
        <f t="shared" si="0"/>
        <v>0.41485400000000006</v>
      </c>
      <c r="I17" s="21">
        <v>0</v>
      </c>
      <c r="J17" s="20">
        <f t="shared" si="3"/>
        <v>0</v>
      </c>
      <c r="K17" s="20">
        <f t="shared" si="1"/>
        <v>-0.41485400000000006</v>
      </c>
      <c r="L17" s="20">
        <f t="shared" si="4"/>
        <v>-0.41485400000000006</v>
      </c>
      <c r="M17" s="18" t="s">
        <v>39</v>
      </c>
      <c r="N17" s="18">
        <v>0.87</v>
      </c>
      <c r="O17" s="12"/>
      <c r="P17" s="16">
        <v>9</v>
      </c>
      <c r="Q17" s="24" t="s">
        <v>74</v>
      </c>
      <c r="R17" s="18">
        <v>2.5</v>
      </c>
      <c r="S17" s="18">
        <v>0.038</v>
      </c>
      <c r="T17" s="19">
        <f t="shared" si="2"/>
        <v>0.45285400000000003</v>
      </c>
      <c r="U17" s="20">
        <v>0</v>
      </c>
      <c r="V17" s="21">
        <v>0</v>
      </c>
      <c r="W17" s="23">
        <f t="shared" si="5"/>
        <v>0.45285400000000003</v>
      </c>
      <c r="X17" s="18">
        <v>0</v>
      </c>
      <c r="Y17" s="23">
        <f t="shared" si="6"/>
        <v>0</v>
      </c>
      <c r="Z17" s="23">
        <f t="shared" si="7"/>
        <v>-0.45285400000000003</v>
      </c>
      <c r="AA17" s="23">
        <f t="shared" si="8"/>
        <v>-0.45285400000000003</v>
      </c>
      <c r="AB17" s="18" t="s">
        <v>39</v>
      </c>
    </row>
    <row r="18" spans="1:28" ht="11.25">
      <c r="A18" s="16">
        <v>10</v>
      </c>
      <c r="B18" s="25" t="s">
        <v>75</v>
      </c>
      <c r="C18" s="18">
        <v>2.5</v>
      </c>
      <c r="D18" s="18">
        <v>2.5</v>
      </c>
      <c r="E18" s="20">
        <v>0.8108224219889334</v>
      </c>
      <c r="F18" s="20">
        <v>0</v>
      </c>
      <c r="G18" s="21">
        <v>0</v>
      </c>
      <c r="H18" s="20">
        <f t="shared" si="0"/>
        <v>0.8108224219889334</v>
      </c>
      <c r="I18" s="21">
        <v>0</v>
      </c>
      <c r="J18" s="20">
        <f t="shared" si="3"/>
        <v>0</v>
      </c>
      <c r="K18" s="20">
        <f t="shared" si="1"/>
        <v>-0.8108224219889334</v>
      </c>
      <c r="L18" s="20">
        <f t="shared" si="4"/>
        <v>-0.8108224219889334</v>
      </c>
      <c r="M18" s="18" t="s">
        <v>39</v>
      </c>
      <c r="N18" s="18">
        <v>0.9</v>
      </c>
      <c r="O18" s="12"/>
      <c r="P18" s="16">
        <v>10</v>
      </c>
      <c r="Q18" s="25" t="s">
        <v>75</v>
      </c>
      <c r="R18" s="18">
        <v>2.5</v>
      </c>
      <c r="S18" s="18">
        <v>0.268</v>
      </c>
      <c r="T18" s="19">
        <f t="shared" si="2"/>
        <v>1.0788224219889333</v>
      </c>
      <c r="U18" s="20">
        <v>0</v>
      </c>
      <c r="V18" s="21">
        <v>0</v>
      </c>
      <c r="W18" s="23">
        <f t="shared" si="5"/>
        <v>1.0788224219889333</v>
      </c>
      <c r="X18" s="18">
        <v>0</v>
      </c>
      <c r="Y18" s="23">
        <f t="shared" si="6"/>
        <v>0</v>
      </c>
      <c r="Z18" s="23">
        <f t="shared" si="7"/>
        <v>-1.0788224219889333</v>
      </c>
      <c r="AA18" s="23">
        <f t="shared" si="8"/>
        <v>-1.0788224219889333</v>
      </c>
      <c r="AB18" s="18" t="s">
        <v>39</v>
      </c>
    </row>
    <row r="19" spans="1:28" ht="11.25">
      <c r="A19" s="16">
        <v>11</v>
      </c>
      <c r="B19" s="17" t="s">
        <v>76</v>
      </c>
      <c r="C19" s="26">
        <v>2.5</v>
      </c>
      <c r="D19" s="26">
        <v>2.5</v>
      </c>
      <c r="E19" s="20">
        <v>0.8363636363636363</v>
      </c>
      <c r="F19" s="20">
        <v>0.3</v>
      </c>
      <c r="G19" s="21">
        <v>60</v>
      </c>
      <c r="H19" s="20">
        <f aca="true" t="shared" si="9" ref="H19:H24">E19-F19</f>
        <v>0.5363636363636364</v>
      </c>
      <c r="I19" s="21">
        <v>0</v>
      </c>
      <c r="J19" s="20">
        <f t="shared" si="3"/>
        <v>0.3</v>
      </c>
      <c r="K19" s="20">
        <f aca="true" t="shared" si="10" ref="K19:K24">J19-E19</f>
        <v>-0.5363636363636364</v>
      </c>
      <c r="L19" s="20">
        <f t="shared" si="4"/>
        <v>-0.5363636363636364</v>
      </c>
      <c r="M19" s="18" t="s">
        <v>39</v>
      </c>
      <c r="N19" s="18">
        <v>0.88</v>
      </c>
      <c r="O19" s="12"/>
      <c r="P19" s="16">
        <v>11</v>
      </c>
      <c r="Q19" s="17" t="s">
        <v>76</v>
      </c>
      <c r="R19" s="26">
        <v>2.5</v>
      </c>
      <c r="S19" s="26">
        <v>0.028</v>
      </c>
      <c r="T19" s="19">
        <f aca="true" t="shared" si="11" ref="T19:T24">S19+E19</f>
        <v>0.8643636363636363</v>
      </c>
      <c r="U19" s="20">
        <v>0.3</v>
      </c>
      <c r="V19" s="21">
        <v>60</v>
      </c>
      <c r="W19" s="23">
        <f t="shared" si="5"/>
        <v>0.5643636363636364</v>
      </c>
      <c r="X19" s="18">
        <v>0</v>
      </c>
      <c r="Y19" s="23">
        <f t="shared" si="6"/>
        <v>0.3</v>
      </c>
      <c r="Z19" s="23">
        <f t="shared" si="7"/>
        <v>-0.5643636363636364</v>
      </c>
      <c r="AA19" s="23">
        <f t="shared" si="8"/>
        <v>-0.5643636363636364</v>
      </c>
      <c r="AB19" s="18" t="s">
        <v>39</v>
      </c>
    </row>
    <row r="20" spans="1:28" ht="11.25">
      <c r="A20" s="16">
        <v>12</v>
      </c>
      <c r="B20" s="17" t="s">
        <v>77</v>
      </c>
      <c r="C20" s="26">
        <v>2.5</v>
      </c>
      <c r="D20" s="26">
        <v>2.5</v>
      </c>
      <c r="E20" s="20">
        <v>0.9454545454545454</v>
      </c>
      <c r="F20" s="20">
        <v>0.9</v>
      </c>
      <c r="G20" s="21">
        <v>90</v>
      </c>
      <c r="H20" s="20">
        <f t="shared" si="9"/>
        <v>0.045454545454545414</v>
      </c>
      <c r="I20" s="21">
        <v>0</v>
      </c>
      <c r="J20" s="20">
        <f t="shared" si="3"/>
        <v>0.9</v>
      </c>
      <c r="K20" s="20">
        <f t="shared" si="10"/>
        <v>-0.045454545454545414</v>
      </c>
      <c r="L20" s="20">
        <f t="shared" si="4"/>
        <v>-0.045454545454545414</v>
      </c>
      <c r="M20" s="18" t="s">
        <v>39</v>
      </c>
      <c r="N20" s="18">
        <v>0.96</v>
      </c>
      <c r="O20" s="12"/>
      <c r="P20" s="16">
        <v>12</v>
      </c>
      <c r="Q20" s="17" t="s">
        <v>77</v>
      </c>
      <c r="R20" s="26">
        <v>2.5</v>
      </c>
      <c r="S20" s="26">
        <v>0.062</v>
      </c>
      <c r="T20" s="19">
        <f t="shared" si="11"/>
        <v>1.0074545454545454</v>
      </c>
      <c r="U20" s="20">
        <v>0.9</v>
      </c>
      <c r="V20" s="21">
        <v>90</v>
      </c>
      <c r="W20" s="23">
        <f t="shared" si="5"/>
        <v>0.10745454545454536</v>
      </c>
      <c r="X20" s="18">
        <v>0</v>
      </c>
      <c r="Y20" s="23">
        <f t="shared" si="6"/>
        <v>0.9</v>
      </c>
      <c r="Z20" s="23">
        <f t="shared" si="7"/>
        <v>-0.10745454545454536</v>
      </c>
      <c r="AA20" s="23">
        <f t="shared" si="8"/>
        <v>-0.10745454545454536</v>
      </c>
      <c r="AB20" s="18" t="s">
        <v>39</v>
      </c>
    </row>
    <row r="21" spans="1:28" ht="11.25">
      <c r="A21" s="16">
        <v>13</v>
      </c>
      <c r="B21" s="17" t="s">
        <v>78</v>
      </c>
      <c r="C21" s="26">
        <v>2.5</v>
      </c>
      <c r="D21" s="26">
        <v>2.5</v>
      </c>
      <c r="E21" s="20">
        <v>0.5454545454545454</v>
      </c>
      <c r="F21" s="20">
        <v>0</v>
      </c>
      <c r="G21" s="21">
        <v>0</v>
      </c>
      <c r="H21" s="20">
        <f t="shared" si="9"/>
        <v>0.5454545454545454</v>
      </c>
      <c r="I21" s="21">
        <v>0</v>
      </c>
      <c r="J21" s="20">
        <f t="shared" si="3"/>
        <v>0</v>
      </c>
      <c r="K21" s="20">
        <f t="shared" si="10"/>
        <v>-0.5454545454545454</v>
      </c>
      <c r="L21" s="20">
        <f t="shared" si="4"/>
        <v>-0.5454545454545454</v>
      </c>
      <c r="M21" s="18" t="s">
        <v>39</v>
      </c>
      <c r="N21" s="18">
        <v>0.93</v>
      </c>
      <c r="O21" s="12"/>
      <c r="P21" s="16">
        <v>13</v>
      </c>
      <c r="Q21" s="17" t="s">
        <v>78</v>
      </c>
      <c r="R21" s="26">
        <v>2.5</v>
      </c>
      <c r="S21" s="26"/>
      <c r="T21" s="19">
        <f t="shared" si="11"/>
        <v>0.5454545454545454</v>
      </c>
      <c r="U21" s="20">
        <v>0</v>
      </c>
      <c r="V21" s="21">
        <v>0</v>
      </c>
      <c r="W21" s="23">
        <f t="shared" si="5"/>
        <v>0.5454545454545454</v>
      </c>
      <c r="X21" s="18">
        <v>0</v>
      </c>
      <c r="Y21" s="23">
        <f t="shared" si="6"/>
        <v>0</v>
      </c>
      <c r="Z21" s="23">
        <f t="shared" si="7"/>
        <v>-0.5454545454545454</v>
      </c>
      <c r="AA21" s="23">
        <f t="shared" si="8"/>
        <v>-0.5454545454545454</v>
      </c>
      <c r="AB21" s="18" t="s">
        <v>39</v>
      </c>
    </row>
    <row r="22" spans="1:28" ht="11.25">
      <c r="A22" s="16">
        <v>14</v>
      </c>
      <c r="B22" s="17" t="s">
        <v>79</v>
      </c>
      <c r="C22" s="26">
        <v>2.5</v>
      </c>
      <c r="D22" s="26">
        <v>2.5</v>
      </c>
      <c r="E22" s="20">
        <v>0.509090909090909</v>
      </c>
      <c r="F22" s="20">
        <v>0.5</v>
      </c>
      <c r="G22" s="21">
        <v>120</v>
      </c>
      <c r="H22" s="20">
        <f t="shared" si="9"/>
        <v>0.009090909090909038</v>
      </c>
      <c r="I22" s="21">
        <v>0</v>
      </c>
      <c r="J22" s="20">
        <f t="shared" si="3"/>
        <v>0.5</v>
      </c>
      <c r="K22" s="20">
        <f t="shared" si="10"/>
        <v>-0.009090909090909038</v>
      </c>
      <c r="L22" s="20">
        <f t="shared" si="4"/>
        <v>-0.009090909090909038</v>
      </c>
      <c r="M22" s="18" t="s">
        <v>39</v>
      </c>
      <c r="N22" s="18">
        <v>0.88</v>
      </c>
      <c r="O22" s="12"/>
      <c r="P22" s="16">
        <v>14</v>
      </c>
      <c r="Q22" s="17" t="s">
        <v>79</v>
      </c>
      <c r="R22" s="26">
        <v>2.5</v>
      </c>
      <c r="S22" s="26">
        <v>0.027</v>
      </c>
      <c r="T22" s="19">
        <f t="shared" si="11"/>
        <v>0.5360909090909091</v>
      </c>
      <c r="U22" s="20">
        <v>0.5</v>
      </c>
      <c r="V22" s="21">
        <v>120</v>
      </c>
      <c r="W22" s="23">
        <f t="shared" si="5"/>
        <v>0.03609090909090906</v>
      </c>
      <c r="X22" s="18">
        <v>0</v>
      </c>
      <c r="Y22" s="23">
        <f t="shared" si="6"/>
        <v>0.5</v>
      </c>
      <c r="Z22" s="23">
        <f t="shared" si="7"/>
        <v>-0.03609090909090906</v>
      </c>
      <c r="AA22" s="23">
        <f t="shared" si="8"/>
        <v>-0.03609090909090906</v>
      </c>
      <c r="AB22" s="18" t="s">
        <v>39</v>
      </c>
    </row>
    <row r="23" spans="1:28" ht="11.25">
      <c r="A23" s="13">
        <v>15</v>
      </c>
      <c r="B23" s="27" t="s">
        <v>80</v>
      </c>
      <c r="C23" s="28">
        <v>4</v>
      </c>
      <c r="D23" s="28">
        <v>4</v>
      </c>
      <c r="E23" s="30">
        <v>0.2727272727272727</v>
      </c>
      <c r="F23" s="30">
        <v>0.8</v>
      </c>
      <c r="G23" s="14">
        <v>120</v>
      </c>
      <c r="H23" s="30">
        <f t="shared" si="9"/>
        <v>-0.5272727272727273</v>
      </c>
      <c r="I23" s="14">
        <v>0</v>
      </c>
      <c r="J23" s="30">
        <f t="shared" si="3"/>
        <v>0.8</v>
      </c>
      <c r="K23" s="30">
        <f t="shared" si="10"/>
        <v>0.5272727272727273</v>
      </c>
      <c r="L23" s="30">
        <f t="shared" si="4"/>
        <v>0.5272727272727273</v>
      </c>
      <c r="M23" s="10" t="s">
        <v>40</v>
      </c>
      <c r="N23" s="10">
        <v>0.97</v>
      </c>
      <c r="O23" s="12"/>
      <c r="P23" s="13">
        <v>15</v>
      </c>
      <c r="Q23" s="27" t="s">
        <v>80</v>
      </c>
      <c r="R23" s="28">
        <v>4</v>
      </c>
      <c r="S23" s="28">
        <v>0.006</v>
      </c>
      <c r="T23" s="29">
        <f t="shared" si="11"/>
        <v>0.2787272727272727</v>
      </c>
      <c r="U23" s="30">
        <v>0.8</v>
      </c>
      <c r="V23" s="14">
        <v>120</v>
      </c>
      <c r="W23" s="31">
        <f t="shared" si="5"/>
        <v>-0.5212727272727273</v>
      </c>
      <c r="X23" s="10">
        <v>0</v>
      </c>
      <c r="Y23" s="31">
        <f t="shared" si="6"/>
        <v>0.8</v>
      </c>
      <c r="Z23" s="31">
        <f t="shared" si="7"/>
        <v>0.5212727272727273</v>
      </c>
      <c r="AA23" s="31">
        <f t="shared" si="8"/>
        <v>0.5212727272727273</v>
      </c>
      <c r="AB23" s="10" t="s">
        <v>40</v>
      </c>
    </row>
    <row r="24" spans="1:28" ht="11.25">
      <c r="A24" s="16">
        <v>16</v>
      </c>
      <c r="B24" s="24" t="s">
        <v>81</v>
      </c>
      <c r="C24" s="18">
        <v>1.6</v>
      </c>
      <c r="D24" s="18">
        <v>1.6</v>
      </c>
      <c r="E24" s="20">
        <v>0.52</v>
      </c>
      <c r="F24" s="20">
        <v>0.13</v>
      </c>
      <c r="G24" s="21">
        <v>70</v>
      </c>
      <c r="H24" s="20">
        <f t="shared" si="9"/>
        <v>0.39</v>
      </c>
      <c r="I24" s="21">
        <v>0</v>
      </c>
      <c r="J24" s="20">
        <f t="shared" si="3"/>
        <v>0.13</v>
      </c>
      <c r="K24" s="20">
        <f t="shared" si="10"/>
        <v>-0.39</v>
      </c>
      <c r="L24" s="20">
        <f t="shared" si="4"/>
        <v>-0.39</v>
      </c>
      <c r="M24" s="18" t="s">
        <v>39</v>
      </c>
      <c r="N24" s="18">
        <v>0.95</v>
      </c>
      <c r="O24" s="12"/>
      <c r="P24" s="16">
        <v>16</v>
      </c>
      <c r="Q24" s="24" t="s">
        <v>81</v>
      </c>
      <c r="R24" s="18">
        <v>1.6</v>
      </c>
      <c r="S24" s="18"/>
      <c r="T24" s="19">
        <f t="shared" si="11"/>
        <v>0.52</v>
      </c>
      <c r="U24" s="20">
        <v>0.13</v>
      </c>
      <c r="V24" s="21">
        <v>70</v>
      </c>
      <c r="W24" s="23">
        <f t="shared" si="5"/>
        <v>0.39</v>
      </c>
      <c r="X24" s="18">
        <v>0</v>
      </c>
      <c r="Y24" s="23">
        <f t="shared" si="6"/>
        <v>0.13</v>
      </c>
      <c r="Z24" s="23">
        <f t="shared" si="7"/>
        <v>-0.39</v>
      </c>
      <c r="AA24" s="23">
        <f t="shared" si="8"/>
        <v>-0.39</v>
      </c>
      <c r="AB24" s="18" t="s">
        <v>39</v>
      </c>
    </row>
    <row r="25" spans="1:28" ht="33.75">
      <c r="A25" s="13">
        <v>17</v>
      </c>
      <c r="B25" s="32" t="s">
        <v>82</v>
      </c>
      <c r="C25" s="10">
        <v>5.6</v>
      </c>
      <c r="D25" s="10">
        <v>5.6</v>
      </c>
      <c r="E25" s="89" t="s">
        <v>279</v>
      </c>
      <c r="F25" s="30"/>
      <c r="G25" s="14"/>
      <c r="H25" s="30"/>
      <c r="I25" s="14"/>
      <c r="J25" s="30"/>
      <c r="K25" s="30"/>
      <c r="L25" s="30"/>
      <c r="M25" s="10"/>
      <c r="N25" s="10"/>
      <c r="O25" s="12"/>
      <c r="P25" s="13">
        <v>17</v>
      </c>
      <c r="Q25" s="32" t="s">
        <v>82</v>
      </c>
      <c r="R25" s="10">
        <v>5.6</v>
      </c>
      <c r="S25" s="10"/>
      <c r="T25" s="29">
        <f>S25</f>
        <v>0</v>
      </c>
      <c r="U25" s="30"/>
      <c r="V25" s="14"/>
      <c r="W25" s="31"/>
      <c r="X25" s="10"/>
      <c r="Y25" s="31"/>
      <c r="Z25" s="31"/>
      <c r="AA25" s="31"/>
      <c r="AB25" s="10"/>
    </row>
    <row r="26" spans="1:28" ht="11.25">
      <c r="A26" s="13">
        <v>18</v>
      </c>
      <c r="B26" s="32" t="s">
        <v>83</v>
      </c>
      <c r="C26" s="10">
        <v>1.6</v>
      </c>
      <c r="D26" s="10">
        <v>1.6</v>
      </c>
      <c r="E26" s="30">
        <v>0.17300000000000001</v>
      </c>
      <c r="F26" s="30">
        <v>0</v>
      </c>
      <c r="G26" s="14">
        <v>0</v>
      </c>
      <c r="H26" s="30">
        <f aca="true" t="shared" si="12" ref="H26:H31">E26-F26</f>
        <v>0.17300000000000001</v>
      </c>
      <c r="I26" s="14">
        <v>0</v>
      </c>
      <c r="J26" s="30">
        <f t="shared" si="3"/>
        <v>0</v>
      </c>
      <c r="K26" s="30">
        <f aca="true" t="shared" si="13" ref="K26:K31">J26-E26</f>
        <v>-0.17300000000000001</v>
      </c>
      <c r="L26" s="30">
        <f t="shared" si="4"/>
        <v>-0.17300000000000001</v>
      </c>
      <c r="M26" s="10" t="s">
        <v>39</v>
      </c>
      <c r="N26" s="10">
        <v>0.85</v>
      </c>
      <c r="O26" s="12"/>
      <c r="P26" s="13">
        <v>18</v>
      </c>
      <c r="Q26" s="32" t="s">
        <v>83</v>
      </c>
      <c r="R26" s="10">
        <v>1.6</v>
      </c>
      <c r="S26" s="10"/>
      <c r="T26" s="29">
        <f aca="true" t="shared" si="14" ref="T26:T33">S26+E26</f>
        <v>0.17300000000000001</v>
      </c>
      <c r="U26" s="30">
        <v>0</v>
      </c>
      <c r="V26" s="14">
        <v>0</v>
      </c>
      <c r="W26" s="31">
        <f t="shared" si="5"/>
        <v>0.17300000000000001</v>
      </c>
      <c r="X26" s="10">
        <v>0</v>
      </c>
      <c r="Y26" s="31">
        <f t="shared" si="6"/>
        <v>0</v>
      </c>
      <c r="Z26" s="31">
        <f>Y26-T26</f>
        <v>-0.17300000000000001</v>
      </c>
      <c r="AA26" s="31">
        <f>Z26</f>
        <v>-0.17300000000000001</v>
      </c>
      <c r="AB26" s="10" t="s">
        <v>39</v>
      </c>
    </row>
    <row r="27" spans="1:28" ht="11.25">
      <c r="A27" s="16">
        <v>19</v>
      </c>
      <c r="B27" s="24" t="s">
        <v>84</v>
      </c>
      <c r="C27" s="18">
        <v>4</v>
      </c>
      <c r="D27" s="18">
        <v>4</v>
      </c>
      <c r="E27" s="23">
        <f>((82*6.2)/1000)*1.73</f>
        <v>0.8795320000000001</v>
      </c>
      <c r="F27" s="20">
        <v>0</v>
      </c>
      <c r="G27" s="21">
        <v>0</v>
      </c>
      <c r="H27" s="20">
        <f t="shared" si="12"/>
        <v>0.8795320000000001</v>
      </c>
      <c r="I27" s="21">
        <v>0</v>
      </c>
      <c r="J27" s="20">
        <f t="shared" si="3"/>
        <v>0</v>
      </c>
      <c r="K27" s="20">
        <f t="shared" si="13"/>
        <v>-0.8795320000000001</v>
      </c>
      <c r="L27" s="20">
        <f t="shared" si="4"/>
        <v>-0.8795320000000001</v>
      </c>
      <c r="M27" s="18" t="s">
        <v>39</v>
      </c>
      <c r="N27" s="18">
        <v>0.944</v>
      </c>
      <c r="O27" s="12"/>
      <c r="P27" s="16">
        <v>19</v>
      </c>
      <c r="Q27" s="24" t="s">
        <v>84</v>
      </c>
      <c r="R27" s="18">
        <v>4</v>
      </c>
      <c r="S27" s="18">
        <v>0.015</v>
      </c>
      <c r="T27" s="19">
        <f t="shared" si="14"/>
        <v>0.8945320000000001</v>
      </c>
      <c r="U27" s="20">
        <v>0</v>
      </c>
      <c r="V27" s="21">
        <v>0</v>
      </c>
      <c r="W27" s="23">
        <f t="shared" si="5"/>
        <v>0.8945320000000001</v>
      </c>
      <c r="X27" s="18">
        <v>0</v>
      </c>
      <c r="Y27" s="23">
        <f t="shared" si="6"/>
        <v>0</v>
      </c>
      <c r="Z27" s="23">
        <f t="shared" si="7"/>
        <v>-0.8945320000000001</v>
      </c>
      <c r="AA27" s="23">
        <f t="shared" si="8"/>
        <v>-0.8945320000000001</v>
      </c>
      <c r="AB27" s="18" t="s">
        <v>39</v>
      </c>
    </row>
    <row r="28" spans="1:28" ht="11.25">
      <c r="A28" s="16">
        <v>20</v>
      </c>
      <c r="B28" s="24" t="s">
        <v>85</v>
      </c>
      <c r="C28" s="18">
        <v>2.5</v>
      </c>
      <c r="D28" s="18">
        <v>2.5</v>
      </c>
      <c r="E28" s="23">
        <f>((12*10.6)/1000)*1.73</f>
        <v>0.22005599999999997</v>
      </c>
      <c r="F28" s="20">
        <v>0</v>
      </c>
      <c r="G28" s="21">
        <v>0</v>
      </c>
      <c r="H28" s="20">
        <f t="shared" si="12"/>
        <v>0.22005599999999997</v>
      </c>
      <c r="I28" s="21">
        <v>0</v>
      </c>
      <c r="J28" s="20">
        <f t="shared" si="3"/>
        <v>0</v>
      </c>
      <c r="K28" s="20">
        <f t="shared" si="13"/>
        <v>-0.22005599999999997</v>
      </c>
      <c r="L28" s="20">
        <f t="shared" si="4"/>
        <v>-0.22005599999999997</v>
      </c>
      <c r="M28" s="18" t="s">
        <v>39</v>
      </c>
      <c r="N28" s="18">
        <v>0.89</v>
      </c>
      <c r="O28" s="12"/>
      <c r="P28" s="16">
        <v>20</v>
      </c>
      <c r="Q28" s="24" t="s">
        <v>85</v>
      </c>
      <c r="R28" s="18">
        <v>2.5</v>
      </c>
      <c r="S28" s="18">
        <v>0.05</v>
      </c>
      <c r="T28" s="19">
        <f t="shared" si="14"/>
        <v>0.27005599999999996</v>
      </c>
      <c r="U28" s="20">
        <v>0</v>
      </c>
      <c r="V28" s="21">
        <v>0</v>
      </c>
      <c r="W28" s="23">
        <f t="shared" si="5"/>
        <v>0.27005599999999996</v>
      </c>
      <c r="X28" s="18">
        <v>0</v>
      </c>
      <c r="Y28" s="23">
        <f t="shared" si="6"/>
        <v>0</v>
      </c>
      <c r="Z28" s="23">
        <f t="shared" si="7"/>
        <v>-0.27005599999999996</v>
      </c>
      <c r="AA28" s="23">
        <f t="shared" si="8"/>
        <v>-0.27005599999999996</v>
      </c>
      <c r="AB28" s="18" t="s">
        <v>39</v>
      </c>
    </row>
    <row r="29" spans="1:28" ht="11.25">
      <c r="A29" s="16">
        <v>21</v>
      </c>
      <c r="B29" s="24" t="s">
        <v>86</v>
      </c>
      <c r="C29" s="18">
        <v>2.5</v>
      </c>
      <c r="D29" s="18">
        <v>2.5</v>
      </c>
      <c r="E29" s="23">
        <f>((25*10.6)/1000)*1.73</f>
        <v>0.45845</v>
      </c>
      <c r="F29" s="23">
        <v>0.09</v>
      </c>
      <c r="G29" s="21">
        <v>40</v>
      </c>
      <c r="H29" s="20">
        <f t="shared" si="12"/>
        <v>0.36845000000000006</v>
      </c>
      <c r="I29" s="21">
        <v>0</v>
      </c>
      <c r="J29" s="20">
        <f t="shared" si="3"/>
        <v>0.09</v>
      </c>
      <c r="K29" s="20">
        <f t="shared" si="13"/>
        <v>-0.36845000000000006</v>
      </c>
      <c r="L29" s="20">
        <f t="shared" si="4"/>
        <v>-0.36845000000000006</v>
      </c>
      <c r="M29" s="18" t="s">
        <v>39</v>
      </c>
      <c r="N29" s="18">
        <v>0.901</v>
      </c>
      <c r="O29" s="12"/>
      <c r="P29" s="16">
        <v>21</v>
      </c>
      <c r="Q29" s="24" t="s">
        <v>86</v>
      </c>
      <c r="R29" s="18">
        <v>2.5</v>
      </c>
      <c r="S29" s="18">
        <v>0.816</v>
      </c>
      <c r="T29" s="19">
        <f t="shared" si="14"/>
        <v>1.2744499999999999</v>
      </c>
      <c r="U29" s="23">
        <v>0.09</v>
      </c>
      <c r="V29" s="21">
        <v>40</v>
      </c>
      <c r="W29" s="23">
        <f t="shared" si="5"/>
        <v>1.1844499999999998</v>
      </c>
      <c r="X29" s="18">
        <v>0</v>
      </c>
      <c r="Y29" s="23">
        <f t="shared" si="6"/>
        <v>0.09</v>
      </c>
      <c r="Z29" s="23">
        <f t="shared" si="7"/>
        <v>-1.1844499999999998</v>
      </c>
      <c r="AA29" s="23">
        <f t="shared" si="8"/>
        <v>-1.1844499999999998</v>
      </c>
      <c r="AB29" s="18" t="s">
        <v>39</v>
      </c>
    </row>
    <row r="30" spans="1:28" ht="11.25">
      <c r="A30" s="16">
        <v>22</v>
      </c>
      <c r="B30" s="24" t="s">
        <v>87</v>
      </c>
      <c r="C30" s="18">
        <v>2.5</v>
      </c>
      <c r="D30" s="18">
        <v>2.5</v>
      </c>
      <c r="E30" s="23">
        <f>((58*10.5)/1000)*1.73</f>
        <v>1.05357</v>
      </c>
      <c r="F30" s="23">
        <v>0</v>
      </c>
      <c r="G30" s="21">
        <v>0</v>
      </c>
      <c r="H30" s="20">
        <f t="shared" si="12"/>
        <v>1.05357</v>
      </c>
      <c r="I30" s="21">
        <v>0</v>
      </c>
      <c r="J30" s="20">
        <f t="shared" si="3"/>
        <v>0</v>
      </c>
      <c r="K30" s="20">
        <f t="shared" si="13"/>
        <v>-1.05357</v>
      </c>
      <c r="L30" s="20">
        <f t="shared" si="4"/>
        <v>-1.05357</v>
      </c>
      <c r="M30" s="18" t="s">
        <v>39</v>
      </c>
      <c r="N30" s="18">
        <v>0.87</v>
      </c>
      <c r="O30" s="12"/>
      <c r="P30" s="16">
        <v>22</v>
      </c>
      <c r="Q30" s="24" t="s">
        <v>87</v>
      </c>
      <c r="R30" s="18">
        <v>2.5</v>
      </c>
      <c r="S30" s="18"/>
      <c r="T30" s="19">
        <f t="shared" si="14"/>
        <v>1.05357</v>
      </c>
      <c r="U30" s="23">
        <v>0</v>
      </c>
      <c r="V30" s="21">
        <v>0</v>
      </c>
      <c r="W30" s="23">
        <f t="shared" si="5"/>
        <v>1.05357</v>
      </c>
      <c r="X30" s="18">
        <v>0</v>
      </c>
      <c r="Y30" s="23">
        <f t="shared" si="6"/>
        <v>0</v>
      </c>
      <c r="Z30" s="23">
        <f t="shared" si="7"/>
        <v>-1.05357</v>
      </c>
      <c r="AA30" s="23">
        <f t="shared" si="8"/>
        <v>-1.05357</v>
      </c>
      <c r="AB30" s="18" t="s">
        <v>39</v>
      </c>
    </row>
    <row r="31" spans="1:28" ht="11.25">
      <c r="A31" s="13">
        <v>23</v>
      </c>
      <c r="B31" s="32" t="s">
        <v>88</v>
      </c>
      <c r="C31" s="10">
        <v>2.5</v>
      </c>
      <c r="D31" s="10">
        <v>2.5</v>
      </c>
      <c r="E31" s="30">
        <v>0</v>
      </c>
      <c r="F31" s="31">
        <v>0</v>
      </c>
      <c r="G31" s="14">
        <v>0</v>
      </c>
      <c r="H31" s="30">
        <f t="shared" si="12"/>
        <v>0</v>
      </c>
      <c r="I31" s="14">
        <v>0</v>
      </c>
      <c r="J31" s="30">
        <f t="shared" si="3"/>
        <v>0</v>
      </c>
      <c r="K31" s="30">
        <f t="shared" si="13"/>
        <v>0</v>
      </c>
      <c r="L31" s="30">
        <f t="shared" si="4"/>
        <v>0</v>
      </c>
      <c r="M31" s="10"/>
      <c r="N31" s="10"/>
      <c r="O31" s="12"/>
      <c r="P31" s="13">
        <v>23</v>
      </c>
      <c r="Q31" s="32" t="s">
        <v>88</v>
      </c>
      <c r="R31" s="10">
        <v>2.5</v>
      </c>
      <c r="S31" s="10"/>
      <c r="T31" s="29">
        <f t="shared" si="14"/>
        <v>0</v>
      </c>
      <c r="U31" s="31">
        <v>0</v>
      </c>
      <c r="V31" s="14">
        <v>0</v>
      </c>
      <c r="W31" s="31">
        <f t="shared" si="5"/>
        <v>0</v>
      </c>
      <c r="X31" s="10">
        <v>0</v>
      </c>
      <c r="Y31" s="31">
        <f t="shared" si="6"/>
        <v>0</v>
      </c>
      <c r="Z31" s="31">
        <f t="shared" si="7"/>
        <v>0</v>
      </c>
      <c r="AA31" s="31">
        <f t="shared" si="8"/>
        <v>0</v>
      </c>
      <c r="AB31" s="10" t="s">
        <v>39</v>
      </c>
    </row>
    <row r="32" spans="1:28" ht="11.25">
      <c r="A32" s="13">
        <v>24</v>
      </c>
      <c r="B32" s="32" t="s">
        <v>89</v>
      </c>
      <c r="C32" s="10">
        <v>4</v>
      </c>
      <c r="D32" s="10">
        <v>4</v>
      </c>
      <c r="E32" s="30">
        <v>0.00865</v>
      </c>
      <c r="F32" s="31"/>
      <c r="G32" s="14"/>
      <c r="H32" s="30"/>
      <c r="I32" s="14"/>
      <c r="J32" s="30"/>
      <c r="K32" s="30"/>
      <c r="L32" s="30"/>
      <c r="M32" s="10"/>
      <c r="N32" s="10">
        <v>0.99</v>
      </c>
      <c r="O32" s="12"/>
      <c r="P32" s="13">
        <v>24</v>
      </c>
      <c r="Q32" s="34" t="s">
        <v>89</v>
      </c>
      <c r="R32" s="35">
        <v>4</v>
      </c>
      <c r="S32" s="35"/>
      <c r="T32" s="29">
        <f t="shared" si="14"/>
        <v>0.00865</v>
      </c>
      <c r="U32" s="31"/>
      <c r="V32" s="14"/>
      <c r="W32" s="31"/>
      <c r="X32" s="10"/>
      <c r="Y32" s="31"/>
      <c r="Z32" s="31"/>
      <c r="AA32" s="31"/>
      <c r="AB32" s="10"/>
    </row>
    <row r="33" spans="1:28" ht="11.25">
      <c r="A33" s="16">
        <v>25</v>
      </c>
      <c r="B33" s="24" t="s">
        <v>90</v>
      </c>
      <c r="C33" s="18">
        <v>6.3</v>
      </c>
      <c r="D33" s="18">
        <v>6.3</v>
      </c>
      <c r="E33" s="20">
        <v>3.9454545454545453</v>
      </c>
      <c r="F33" s="23">
        <v>2.5</v>
      </c>
      <c r="G33" s="21">
        <v>120</v>
      </c>
      <c r="H33" s="20">
        <f>E33-F33</f>
        <v>1.4454545454545453</v>
      </c>
      <c r="I33" s="21">
        <v>0</v>
      </c>
      <c r="J33" s="20">
        <f>F33</f>
        <v>2.5</v>
      </c>
      <c r="K33" s="20">
        <f>J33-E33</f>
        <v>-1.4454545454545453</v>
      </c>
      <c r="L33" s="20">
        <f>K33</f>
        <v>-1.4454545454545453</v>
      </c>
      <c r="M33" s="18" t="s">
        <v>39</v>
      </c>
      <c r="N33" s="18">
        <v>0.84</v>
      </c>
      <c r="O33" s="12"/>
      <c r="P33" s="16">
        <v>25</v>
      </c>
      <c r="Q33" s="24" t="s">
        <v>90</v>
      </c>
      <c r="R33" s="18">
        <v>6.3</v>
      </c>
      <c r="S33" s="36">
        <v>0.611</v>
      </c>
      <c r="T33" s="19">
        <f t="shared" si="14"/>
        <v>4.556454545454545</v>
      </c>
      <c r="U33" s="23">
        <v>2.5</v>
      </c>
      <c r="V33" s="21">
        <v>120</v>
      </c>
      <c r="W33" s="20">
        <f>T33-U33</f>
        <v>2.056454545454545</v>
      </c>
      <c r="X33" s="18">
        <v>0</v>
      </c>
      <c r="Y33" s="19">
        <f>U33</f>
        <v>2.5</v>
      </c>
      <c r="Z33" s="19">
        <f>Y33-T33</f>
        <v>-2.056454545454545</v>
      </c>
      <c r="AA33" s="19">
        <f>Z33</f>
        <v>-2.056454545454545</v>
      </c>
      <c r="AB33" s="18" t="s">
        <v>39</v>
      </c>
    </row>
    <row r="34" spans="1:28" ht="11.25">
      <c r="A34" s="119" t="s">
        <v>43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1"/>
      <c r="N34" s="15"/>
      <c r="O34" s="12"/>
      <c r="P34" s="105" t="s">
        <v>43</v>
      </c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5" customHeight="1">
      <c r="A35" s="13">
        <v>26</v>
      </c>
      <c r="B35" s="37" t="s">
        <v>91</v>
      </c>
      <c r="C35" s="10" t="s">
        <v>2</v>
      </c>
      <c r="D35" s="10">
        <v>32</v>
      </c>
      <c r="E35" s="30">
        <v>13.301469972856982</v>
      </c>
      <c r="F35" s="31">
        <v>0</v>
      </c>
      <c r="G35" s="14">
        <v>0</v>
      </c>
      <c r="H35" s="30">
        <f aca="true" t="shared" si="15" ref="H35:H68">E35-F35</f>
        <v>13.301469972856982</v>
      </c>
      <c r="I35" s="38">
        <v>0</v>
      </c>
      <c r="J35" s="30">
        <f>16*1.05</f>
        <v>16.8</v>
      </c>
      <c r="K35" s="30">
        <f aca="true" t="shared" si="16" ref="K35:K100">J35-I35-H35</f>
        <v>3.498530027143019</v>
      </c>
      <c r="L35" s="30">
        <f aca="true" t="shared" si="17" ref="L35:L100">K35</f>
        <v>3.498530027143019</v>
      </c>
      <c r="M35" s="10" t="s">
        <v>40</v>
      </c>
      <c r="N35" s="15">
        <v>0.93</v>
      </c>
      <c r="O35" s="12"/>
      <c r="P35" s="13">
        <v>26</v>
      </c>
      <c r="Q35" s="37" t="s">
        <v>91</v>
      </c>
      <c r="R35" s="10" t="s">
        <v>2</v>
      </c>
      <c r="S35" s="10">
        <v>1.499</v>
      </c>
      <c r="T35" s="30">
        <f aca="true" t="shared" si="18" ref="T35:T68">S35+E35</f>
        <v>14.800469972856982</v>
      </c>
      <c r="U35" s="31">
        <v>0</v>
      </c>
      <c r="V35" s="14">
        <v>0</v>
      </c>
      <c r="W35" s="31">
        <f>T35-U35</f>
        <v>14.800469972856982</v>
      </c>
      <c r="X35" s="10">
        <v>0</v>
      </c>
      <c r="Y35" s="10">
        <v>16.8</v>
      </c>
      <c r="Z35" s="31">
        <f>Y35-X35-W35</f>
        <v>1.9995300271430185</v>
      </c>
      <c r="AA35" s="31">
        <f>Z35</f>
        <v>1.9995300271430185</v>
      </c>
      <c r="AB35" s="10" t="s">
        <v>40</v>
      </c>
    </row>
    <row r="36" spans="1:28" ht="11.25">
      <c r="A36" s="13">
        <v>27</v>
      </c>
      <c r="B36" s="37" t="s">
        <v>92</v>
      </c>
      <c r="C36" s="10" t="s">
        <v>0</v>
      </c>
      <c r="D36" s="10">
        <v>80</v>
      </c>
      <c r="E36" s="30">
        <v>17.666372555490593</v>
      </c>
      <c r="F36" s="31">
        <v>0</v>
      </c>
      <c r="G36" s="14">
        <v>0</v>
      </c>
      <c r="H36" s="30">
        <f t="shared" si="15"/>
        <v>17.666372555490593</v>
      </c>
      <c r="I36" s="38">
        <v>0</v>
      </c>
      <c r="J36" s="30">
        <f>40*1.05</f>
        <v>42</v>
      </c>
      <c r="K36" s="30">
        <f t="shared" si="16"/>
        <v>24.333627444509407</v>
      </c>
      <c r="L36" s="30">
        <f t="shared" si="17"/>
        <v>24.333627444509407</v>
      </c>
      <c r="M36" s="10" t="s">
        <v>40</v>
      </c>
      <c r="N36" s="15">
        <v>0.89</v>
      </c>
      <c r="O36" s="12"/>
      <c r="P36" s="13">
        <v>27</v>
      </c>
      <c r="Q36" s="37" t="s">
        <v>92</v>
      </c>
      <c r="R36" s="10" t="s">
        <v>0</v>
      </c>
      <c r="S36" s="10">
        <v>4.153</v>
      </c>
      <c r="T36" s="30">
        <f t="shared" si="18"/>
        <v>21.81937255549059</v>
      </c>
      <c r="U36" s="31">
        <v>0</v>
      </c>
      <c r="V36" s="14">
        <v>0</v>
      </c>
      <c r="W36" s="31">
        <f aca="true" t="shared" si="19" ref="W36:W103">T36-U36</f>
        <v>21.81937255549059</v>
      </c>
      <c r="X36" s="10">
        <v>0</v>
      </c>
      <c r="Y36" s="10">
        <v>42</v>
      </c>
      <c r="Z36" s="31">
        <f aca="true" t="shared" si="20" ref="Z36:Z103">Y36-X36-W36</f>
        <v>20.18062744450941</v>
      </c>
      <c r="AA36" s="31">
        <f aca="true" t="shared" si="21" ref="AA36:AA103">Z36</f>
        <v>20.18062744450941</v>
      </c>
      <c r="AB36" s="10" t="s">
        <v>40</v>
      </c>
    </row>
    <row r="37" spans="1:28" ht="11.25">
      <c r="A37" s="13">
        <v>28</v>
      </c>
      <c r="B37" s="37" t="s">
        <v>93</v>
      </c>
      <c r="C37" s="10" t="s">
        <v>3</v>
      </c>
      <c r="D37" s="10">
        <v>8.8</v>
      </c>
      <c r="E37" s="30">
        <v>1.785864496539421</v>
      </c>
      <c r="F37" s="31">
        <v>0.433</v>
      </c>
      <c r="G37" s="14">
        <v>60</v>
      </c>
      <c r="H37" s="30">
        <f t="shared" si="15"/>
        <v>1.352864496539421</v>
      </c>
      <c r="I37" s="38">
        <v>0</v>
      </c>
      <c r="J37" s="30">
        <f>2.5*1.05</f>
        <v>2.625</v>
      </c>
      <c r="K37" s="30">
        <f t="shared" si="16"/>
        <v>1.272135503460579</v>
      </c>
      <c r="L37" s="30">
        <f t="shared" si="17"/>
        <v>1.272135503460579</v>
      </c>
      <c r="M37" s="10" t="s">
        <v>40</v>
      </c>
      <c r="N37" s="15">
        <v>0.66</v>
      </c>
      <c r="O37" s="12"/>
      <c r="P37" s="16">
        <v>28</v>
      </c>
      <c r="Q37" s="25" t="s">
        <v>93</v>
      </c>
      <c r="R37" s="18" t="s">
        <v>3</v>
      </c>
      <c r="S37" s="18">
        <v>1.298</v>
      </c>
      <c r="T37" s="20">
        <f t="shared" si="18"/>
        <v>3.0838644965394213</v>
      </c>
      <c r="U37" s="23">
        <v>0.433</v>
      </c>
      <c r="V37" s="21">
        <v>60</v>
      </c>
      <c r="W37" s="23">
        <f t="shared" si="19"/>
        <v>2.6508644965394215</v>
      </c>
      <c r="X37" s="18">
        <v>0</v>
      </c>
      <c r="Y37" s="18">
        <v>2.625</v>
      </c>
      <c r="Z37" s="23">
        <f t="shared" si="20"/>
        <v>-0.025864496539421467</v>
      </c>
      <c r="AA37" s="23">
        <f t="shared" si="21"/>
        <v>-0.025864496539421467</v>
      </c>
      <c r="AB37" s="18" t="s">
        <v>39</v>
      </c>
    </row>
    <row r="38" spans="1:28" ht="11.25">
      <c r="A38" s="13">
        <v>29</v>
      </c>
      <c r="B38" s="39" t="s">
        <v>94</v>
      </c>
      <c r="C38" s="10" t="s">
        <v>34</v>
      </c>
      <c r="D38" s="10">
        <f>25+25</f>
        <v>50</v>
      </c>
      <c r="E38" s="30">
        <v>0</v>
      </c>
      <c r="F38" s="31">
        <v>0</v>
      </c>
      <c r="G38" s="14">
        <v>0</v>
      </c>
      <c r="H38" s="30">
        <f t="shared" si="15"/>
        <v>0</v>
      </c>
      <c r="I38" s="38">
        <v>0</v>
      </c>
      <c r="J38" s="30">
        <f>25*1.05</f>
        <v>26.25</v>
      </c>
      <c r="K38" s="30">
        <f>J38-I38-H38</f>
        <v>26.25</v>
      </c>
      <c r="L38" s="30">
        <f>K38</f>
        <v>26.25</v>
      </c>
      <c r="M38" s="10" t="s">
        <v>40</v>
      </c>
      <c r="N38" s="15"/>
      <c r="O38" s="12"/>
      <c r="P38" s="13">
        <v>29</v>
      </c>
      <c r="Q38" s="39" t="s">
        <v>94</v>
      </c>
      <c r="R38" s="10" t="s">
        <v>34</v>
      </c>
      <c r="S38" s="10">
        <v>13.15</v>
      </c>
      <c r="T38" s="30">
        <f>S38+E38</f>
        <v>13.15</v>
      </c>
      <c r="U38" s="31">
        <v>0</v>
      </c>
      <c r="V38" s="14">
        <v>0</v>
      </c>
      <c r="W38" s="31">
        <f>T38-U38</f>
        <v>13.15</v>
      </c>
      <c r="X38" s="10">
        <v>0</v>
      </c>
      <c r="Y38" s="10">
        <v>26.25</v>
      </c>
      <c r="Z38" s="31">
        <f>Y38-X38-W38</f>
        <v>13.1</v>
      </c>
      <c r="AA38" s="31">
        <f>Z38</f>
        <v>13.1</v>
      </c>
      <c r="AB38" s="10"/>
    </row>
    <row r="39" spans="1:28" ht="15" customHeight="1">
      <c r="A39" s="13">
        <v>30</v>
      </c>
      <c r="B39" s="37" t="s">
        <v>95</v>
      </c>
      <c r="C39" s="10" t="s">
        <v>2</v>
      </c>
      <c r="D39" s="10">
        <v>32</v>
      </c>
      <c r="E39" s="30">
        <v>7.832294859107387</v>
      </c>
      <c r="F39" s="31">
        <v>3.2</v>
      </c>
      <c r="G39" s="14">
        <v>20</v>
      </c>
      <c r="H39" s="30">
        <f t="shared" si="15"/>
        <v>4.632294859107387</v>
      </c>
      <c r="I39" s="38">
        <v>0</v>
      </c>
      <c r="J39" s="30">
        <f>16*1.05</f>
        <v>16.8</v>
      </c>
      <c r="K39" s="30">
        <f t="shared" si="16"/>
        <v>12.167705140892615</v>
      </c>
      <c r="L39" s="30">
        <f t="shared" si="17"/>
        <v>12.167705140892615</v>
      </c>
      <c r="M39" s="10" t="s">
        <v>40</v>
      </c>
      <c r="N39" s="15">
        <v>0.96</v>
      </c>
      <c r="O39" s="12"/>
      <c r="P39" s="13">
        <v>30</v>
      </c>
      <c r="Q39" s="37" t="s">
        <v>95</v>
      </c>
      <c r="R39" s="10" t="s">
        <v>2</v>
      </c>
      <c r="S39" s="10">
        <v>0.125</v>
      </c>
      <c r="T39" s="30">
        <f t="shared" si="18"/>
        <v>7.957294859107387</v>
      </c>
      <c r="U39" s="31">
        <v>3.2</v>
      </c>
      <c r="V39" s="14">
        <v>20</v>
      </c>
      <c r="W39" s="31">
        <f t="shared" si="19"/>
        <v>4.757294859107387</v>
      </c>
      <c r="X39" s="10">
        <v>0</v>
      </c>
      <c r="Y39" s="10">
        <v>16.8</v>
      </c>
      <c r="Z39" s="31">
        <f t="shared" si="20"/>
        <v>12.042705140892615</v>
      </c>
      <c r="AA39" s="31">
        <f t="shared" si="21"/>
        <v>12.042705140892615</v>
      </c>
      <c r="AB39" s="10" t="s">
        <v>40</v>
      </c>
    </row>
    <row r="40" spans="1:28" ht="15" customHeight="1">
      <c r="A40" s="13">
        <v>31</v>
      </c>
      <c r="B40" s="37" t="s">
        <v>96</v>
      </c>
      <c r="C40" s="10" t="s">
        <v>32</v>
      </c>
      <c r="D40" s="10">
        <v>12.5</v>
      </c>
      <c r="E40" s="30">
        <v>0.6510326967045073</v>
      </c>
      <c r="F40" s="31">
        <v>0</v>
      </c>
      <c r="G40" s="14">
        <v>0</v>
      </c>
      <c r="H40" s="30">
        <f t="shared" si="15"/>
        <v>0.6510326967045073</v>
      </c>
      <c r="I40" s="38">
        <v>0</v>
      </c>
      <c r="J40" s="30">
        <f>2.5*1.05</f>
        <v>2.625</v>
      </c>
      <c r="K40" s="30">
        <f t="shared" si="16"/>
        <v>1.9739673032954927</v>
      </c>
      <c r="L40" s="30">
        <f t="shared" si="17"/>
        <v>1.9739673032954927</v>
      </c>
      <c r="M40" s="10" t="s">
        <v>40</v>
      </c>
      <c r="N40" s="15">
        <v>0.95</v>
      </c>
      <c r="O40" s="12"/>
      <c r="P40" s="13">
        <v>31</v>
      </c>
      <c r="Q40" s="37" t="s">
        <v>96</v>
      </c>
      <c r="R40" s="10" t="s">
        <v>32</v>
      </c>
      <c r="S40" s="10">
        <v>0.063</v>
      </c>
      <c r="T40" s="30">
        <f t="shared" si="18"/>
        <v>0.7140326967045072</v>
      </c>
      <c r="U40" s="31">
        <v>0</v>
      </c>
      <c r="V40" s="14">
        <v>0</v>
      </c>
      <c r="W40" s="31">
        <f t="shared" si="19"/>
        <v>0.7140326967045072</v>
      </c>
      <c r="X40" s="10">
        <v>0</v>
      </c>
      <c r="Y40" s="10">
        <v>2.625</v>
      </c>
      <c r="Z40" s="31">
        <f t="shared" si="20"/>
        <v>1.9109673032954928</v>
      </c>
      <c r="AA40" s="31">
        <f t="shared" si="21"/>
        <v>1.9109673032954928</v>
      </c>
      <c r="AB40" s="10" t="s">
        <v>40</v>
      </c>
    </row>
    <row r="41" spans="1:28" ht="16.5" customHeight="1">
      <c r="A41" s="13">
        <v>32</v>
      </c>
      <c r="B41" s="27" t="s">
        <v>97</v>
      </c>
      <c r="C41" s="10" t="s">
        <v>5</v>
      </c>
      <c r="D41" s="10">
        <v>20</v>
      </c>
      <c r="E41" s="30">
        <v>5.09</v>
      </c>
      <c r="F41" s="31">
        <v>3</v>
      </c>
      <c r="G41" s="14">
        <v>120</v>
      </c>
      <c r="H41" s="30">
        <f t="shared" si="15"/>
        <v>2.09</v>
      </c>
      <c r="I41" s="38">
        <v>0</v>
      </c>
      <c r="J41" s="30">
        <f>10*1.05</f>
        <v>10.5</v>
      </c>
      <c r="K41" s="30">
        <f t="shared" si="16"/>
        <v>8.41</v>
      </c>
      <c r="L41" s="30">
        <f t="shared" si="17"/>
        <v>8.41</v>
      </c>
      <c r="M41" s="10" t="s">
        <v>40</v>
      </c>
      <c r="N41" s="15">
        <v>0.91</v>
      </c>
      <c r="O41" s="12"/>
      <c r="P41" s="13">
        <v>32</v>
      </c>
      <c r="Q41" s="27" t="s">
        <v>97</v>
      </c>
      <c r="R41" s="10" t="s">
        <v>5</v>
      </c>
      <c r="S41" s="10">
        <v>0.418</v>
      </c>
      <c r="T41" s="30">
        <f t="shared" si="18"/>
        <v>5.508</v>
      </c>
      <c r="U41" s="31">
        <v>3</v>
      </c>
      <c r="V41" s="14">
        <v>120</v>
      </c>
      <c r="W41" s="31">
        <f t="shared" si="19"/>
        <v>2.508</v>
      </c>
      <c r="X41" s="10">
        <v>0</v>
      </c>
      <c r="Y41" s="10">
        <v>10.5</v>
      </c>
      <c r="Z41" s="31">
        <f t="shared" si="20"/>
        <v>7.992</v>
      </c>
      <c r="AA41" s="31">
        <f t="shared" si="21"/>
        <v>7.992</v>
      </c>
      <c r="AB41" s="10" t="s">
        <v>40</v>
      </c>
    </row>
    <row r="42" spans="1:28" ht="11.25">
      <c r="A42" s="13">
        <v>33</v>
      </c>
      <c r="B42" s="27" t="s">
        <v>98</v>
      </c>
      <c r="C42" s="10" t="s">
        <v>4</v>
      </c>
      <c r="D42" s="10">
        <v>5</v>
      </c>
      <c r="E42" s="30">
        <v>1.2</v>
      </c>
      <c r="F42" s="31">
        <v>1</v>
      </c>
      <c r="G42" s="14">
        <v>90</v>
      </c>
      <c r="H42" s="30">
        <f t="shared" si="15"/>
        <v>0.19999999999999996</v>
      </c>
      <c r="I42" s="38">
        <v>0</v>
      </c>
      <c r="J42" s="30">
        <f>2.5*1.05</f>
        <v>2.625</v>
      </c>
      <c r="K42" s="30">
        <f t="shared" si="16"/>
        <v>2.425</v>
      </c>
      <c r="L42" s="30">
        <f t="shared" si="17"/>
        <v>2.425</v>
      </c>
      <c r="M42" s="10" t="s">
        <v>40</v>
      </c>
      <c r="N42" s="15">
        <v>0.89</v>
      </c>
      <c r="O42" s="12"/>
      <c r="P42" s="13">
        <v>33</v>
      </c>
      <c r="Q42" s="27" t="s">
        <v>98</v>
      </c>
      <c r="R42" s="10" t="s">
        <v>4</v>
      </c>
      <c r="S42" s="10">
        <v>0.166</v>
      </c>
      <c r="T42" s="30">
        <f t="shared" si="18"/>
        <v>1.3659999999999999</v>
      </c>
      <c r="U42" s="31">
        <v>1</v>
      </c>
      <c r="V42" s="14">
        <v>90</v>
      </c>
      <c r="W42" s="31">
        <f t="shared" si="19"/>
        <v>0.3659999999999999</v>
      </c>
      <c r="X42" s="10">
        <v>0</v>
      </c>
      <c r="Y42" s="10">
        <v>2.625</v>
      </c>
      <c r="Z42" s="31">
        <f t="shared" si="20"/>
        <v>2.2590000000000003</v>
      </c>
      <c r="AA42" s="31">
        <f t="shared" si="21"/>
        <v>2.2590000000000003</v>
      </c>
      <c r="AB42" s="10" t="s">
        <v>40</v>
      </c>
    </row>
    <row r="43" spans="1:28" ht="15" customHeight="1">
      <c r="A43" s="13">
        <v>34</v>
      </c>
      <c r="B43" s="27" t="s">
        <v>99</v>
      </c>
      <c r="C43" s="10" t="s">
        <v>4</v>
      </c>
      <c r="D43" s="10">
        <v>5</v>
      </c>
      <c r="E43" s="30">
        <v>0.7272727272727273</v>
      </c>
      <c r="F43" s="31">
        <v>1</v>
      </c>
      <c r="G43" s="14">
        <v>90</v>
      </c>
      <c r="H43" s="30">
        <f t="shared" si="15"/>
        <v>-0.2727272727272727</v>
      </c>
      <c r="I43" s="38">
        <v>0</v>
      </c>
      <c r="J43" s="30">
        <f>2.5*1.05</f>
        <v>2.625</v>
      </c>
      <c r="K43" s="30">
        <f t="shared" si="16"/>
        <v>2.8977272727272725</v>
      </c>
      <c r="L43" s="30">
        <f t="shared" si="17"/>
        <v>2.8977272727272725</v>
      </c>
      <c r="M43" s="40" t="s">
        <v>33</v>
      </c>
      <c r="N43" s="15">
        <v>0.93</v>
      </c>
      <c r="O43" s="12"/>
      <c r="P43" s="13">
        <v>34</v>
      </c>
      <c r="Q43" s="27" t="s">
        <v>99</v>
      </c>
      <c r="R43" s="10" t="s">
        <v>4</v>
      </c>
      <c r="S43" s="10">
        <v>1.635</v>
      </c>
      <c r="T43" s="30">
        <f t="shared" si="18"/>
        <v>2.3622727272727273</v>
      </c>
      <c r="U43" s="31">
        <v>1</v>
      </c>
      <c r="V43" s="14">
        <v>90</v>
      </c>
      <c r="W43" s="31">
        <f t="shared" si="19"/>
        <v>1.3622727272727273</v>
      </c>
      <c r="X43" s="10">
        <v>0</v>
      </c>
      <c r="Y43" s="10">
        <v>2.625</v>
      </c>
      <c r="Z43" s="31">
        <f t="shared" si="20"/>
        <v>1.2627272727272727</v>
      </c>
      <c r="AA43" s="31">
        <f t="shared" si="21"/>
        <v>1.2627272727272727</v>
      </c>
      <c r="AB43" s="10" t="s">
        <v>40</v>
      </c>
    </row>
    <row r="44" spans="1:28" ht="11.25">
      <c r="A44" s="13">
        <v>35</v>
      </c>
      <c r="B44" s="27" t="s">
        <v>100</v>
      </c>
      <c r="C44" s="10" t="s">
        <v>4</v>
      </c>
      <c r="D44" s="10">
        <v>5</v>
      </c>
      <c r="E44" s="30">
        <v>0.2909090909090909</v>
      </c>
      <c r="F44" s="31">
        <v>0.4</v>
      </c>
      <c r="G44" s="14">
        <v>60</v>
      </c>
      <c r="H44" s="30">
        <f t="shared" si="15"/>
        <v>-0.10909090909090913</v>
      </c>
      <c r="I44" s="38">
        <v>0</v>
      </c>
      <c r="J44" s="30">
        <f>2.5*1.05</f>
        <v>2.625</v>
      </c>
      <c r="K44" s="30">
        <f t="shared" si="16"/>
        <v>2.7340909090909093</v>
      </c>
      <c r="L44" s="30">
        <f t="shared" si="17"/>
        <v>2.7340909090909093</v>
      </c>
      <c r="M44" s="10" t="s">
        <v>40</v>
      </c>
      <c r="N44" s="15">
        <v>0.91</v>
      </c>
      <c r="O44" s="12"/>
      <c r="P44" s="13">
        <v>35</v>
      </c>
      <c r="Q44" s="27" t="s">
        <v>100</v>
      </c>
      <c r="R44" s="10" t="s">
        <v>4</v>
      </c>
      <c r="S44" s="10">
        <v>0.063</v>
      </c>
      <c r="T44" s="30">
        <f t="shared" si="18"/>
        <v>0.3539090909090909</v>
      </c>
      <c r="U44" s="31">
        <v>0.4</v>
      </c>
      <c r="V44" s="14">
        <v>60</v>
      </c>
      <c r="W44" s="31">
        <f t="shared" si="19"/>
        <v>-0.04609090909090913</v>
      </c>
      <c r="X44" s="10">
        <v>0</v>
      </c>
      <c r="Y44" s="10">
        <v>2.625</v>
      </c>
      <c r="Z44" s="31">
        <f t="shared" si="20"/>
        <v>2.671090909090909</v>
      </c>
      <c r="AA44" s="31">
        <f t="shared" si="21"/>
        <v>2.671090909090909</v>
      </c>
      <c r="AB44" s="10" t="s">
        <v>40</v>
      </c>
    </row>
    <row r="45" spans="1:28" ht="11.25">
      <c r="A45" s="13">
        <v>36</v>
      </c>
      <c r="B45" s="27" t="s">
        <v>101</v>
      </c>
      <c r="C45" s="10" t="s">
        <v>4</v>
      </c>
      <c r="D45" s="10">
        <v>5</v>
      </c>
      <c r="E45" s="30">
        <v>0.5454545454545454</v>
      </c>
      <c r="F45" s="31">
        <v>0.5</v>
      </c>
      <c r="G45" s="14">
        <v>60</v>
      </c>
      <c r="H45" s="30">
        <f t="shared" si="15"/>
        <v>0.045454545454545414</v>
      </c>
      <c r="I45" s="38">
        <v>0</v>
      </c>
      <c r="J45" s="30">
        <f>2.5*1.05</f>
        <v>2.625</v>
      </c>
      <c r="K45" s="30">
        <f t="shared" si="16"/>
        <v>2.5795454545454546</v>
      </c>
      <c r="L45" s="30">
        <f t="shared" si="17"/>
        <v>2.5795454545454546</v>
      </c>
      <c r="M45" s="10" t="s">
        <v>40</v>
      </c>
      <c r="N45" s="15">
        <v>0.93</v>
      </c>
      <c r="O45" s="12"/>
      <c r="P45" s="13">
        <v>36</v>
      </c>
      <c r="Q45" s="27" t="s">
        <v>101</v>
      </c>
      <c r="R45" s="10" t="s">
        <v>4</v>
      </c>
      <c r="S45" s="10"/>
      <c r="T45" s="30">
        <f t="shared" si="18"/>
        <v>0.5454545454545454</v>
      </c>
      <c r="U45" s="31">
        <v>0.5</v>
      </c>
      <c r="V45" s="14">
        <v>60</v>
      </c>
      <c r="W45" s="31">
        <f t="shared" si="19"/>
        <v>0.045454545454545414</v>
      </c>
      <c r="X45" s="10">
        <v>0</v>
      </c>
      <c r="Y45" s="10">
        <v>2.625</v>
      </c>
      <c r="Z45" s="31">
        <f t="shared" si="20"/>
        <v>2.5795454545454546</v>
      </c>
      <c r="AA45" s="31">
        <f t="shared" si="21"/>
        <v>2.5795454545454546</v>
      </c>
      <c r="AB45" s="10" t="s">
        <v>40</v>
      </c>
    </row>
    <row r="46" spans="1:28" ht="11.25">
      <c r="A46" s="13">
        <v>37</v>
      </c>
      <c r="B46" s="32" t="s">
        <v>102</v>
      </c>
      <c r="C46" s="10" t="s">
        <v>0</v>
      </c>
      <c r="D46" s="10">
        <v>80</v>
      </c>
      <c r="E46" s="30">
        <v>40.03</v>
      </c>
      <c r="F46" s="31">
        <v>4.5</v>
      </c>
      <c r="G46" s="41">
        <v>30</v>
      </c>
      <c r="H46" s="30">
        <f t="shared" si="15"/>
        <v>35.53</v>
      </c>
      <c r="I46" s="38">
        <v>0</v>
      </c>
      <c r="J46" s="30">
        <f>40*1.05</f>
        <v>42</v>
      </c>
      <c r="K46" s="30">
        <f t="shared" si="16"/>
        <v>6.469999999999999</v>
      </c>
      <c r="L46" s="30">
        <f t="shared" si="17"/>
        <v>6.469999999999999</v>
      </c>
      <c r="M46" s="42" t="s">
        <v>33</v>
      </c>
      <c r="N46" s="15">
        <v>0.93</v>
      </c>
      <c r="O46" s="12"/>
      <c r="P46" s="13">
        <v>37</v>
      </c>
      <c r="Q46" s="32" t="s">
        <v>102</v>
      </c>
      <c r="R46" s="10" t="s">
        <v>0</v>
      </c>
      <c r="S46" s="10">
        <v>1.47</v>
      </c>
      <c r="T46" s="30">
        <f t="shared" si="18"/>
        <v>41.5</v>
      </c>
      <c r="U46" s="31">
        <v>4.5</v>
      </c>
      <c r="V46" s="41">
        <v>30</v>
      </c>
      <c r="W46" s="31">
        <f t="shared" si="19"/>
        <v>37</v>
      </c>
      <c r="X46" s="10">
        <v>0</v>
      </c>
      <c r="Y46" s="10">
        <v>42</v>
      </c>
      <c r="Z46" s="31">
        <f t="shared" si="20"/>
        <v>5</v>
      </c>
      <c r="AA46" s="31">
        <f t="shared" si="21"/>
        <v>5</v>
      </c>
      <c r="AB46" s="10" t="s">
        <v>40</v>
      </c>
    </row>
    <row r="47" spans="1:28" ht="15" customHeight="1">
      <c r="A47" s="13">
        <v>38</v>
      </c>
      <c r="B47" s="32" t="s">
        <v>103</v>
      </c>
      <c r="C47" s="10" t="s">
        <v>7</v>
      </c>
      <c r="D47" s="10">
        <v>65</v>
      </c>
      <c r="E47" s="43">
        <v>40.51</v>
      </c>
      <c r="F47" s="31">
        <v>1.38</v>
      </c>
      <c r="G47" s="41">
        <v>30</v>
      </c>
      <c r="H47" s="30">
        <f t="shared" si="15"/>
        <v>39.129999999999995</v>
      </c>
      <c r="I47" s="38">
        <v>0</v>
      </c>
      <c r="J47" s="30">
        <f>40*1.05</f>
        <v>42</v>
      </c>
      <c r="K47" s="30">
        <f t="shared" si="16"/>
        <v>2.8700000000000045</v>
      </c>
      <c r="L47" s="30">
        <f t="shared" si="17"/>
        <v>2.8700000000000045</v>
      </c>
      <c r="M47" s="10" t="s">
        <v>40</v>
      </c>
      <c r="N47" s="15">
        <v>0.95</v>
      </c>
      <c r="O47" s="12"/>
      <c r="P47" s="13">
        <v>38</v>
      </c>
      <c r="Q47" s="32" t="s">
        <v>103</v>
      </c>
      <c r="R47" s="10" t="s">
        <v>7</v>
      </c>
      <c r="S47" s="10">
        <v>0.357</v>
      </c>
      <c r="T47" s="30">
        <f t="shared" si="18"/>
        <v>40.867</v>
      </c>
      <c r="U47" s="31">
        <v>1.38</v>
      </c>
      <c r="V47" s="41">
        <v>30</v>
      </c>
      <c r="W47" s="31">
        <f t="shared" si="19"/>
        <v>39.486999999999995</v>
      </c>
      <c r="X47" s="10">
        <v>0</v>
      </c>
      <c r="Y47" s="10">
        <v>42</v>
      </c>
      <c r="Z47" s="31">
        <f t="shared" si="20"/>
        <v>2.5130000000000052</v>
      </c>
      <c r="AA47" s="31">
        <f t="shared" si="21"/>
        <v>2.5130000000000052</v>
      </c>
      <c r="AB47" s="10" t="s">
        <v>40</v>
      </c>
    </row>
    <row r="48" spans="1:28" ht="15" customHeight="1">
      <c r="A48" s="13">
        <v>39</v>
      </c>
      <c r="B48" s="32" t="s">
        <v>104</v>
      </c>
      <c r="C48" s="10" t="s">
        <v>0</v>
      </c>
      <c r="D48" s="10">
        <v>80</v>
      </c>
      <c r="E48" s="43">
        <v>40.39</v>
      </c>
      <c r="F48" s="31">
        <v>6</v>
      </c>
      <c r="G48" s="41">
        <v>30</v>
      </c>
      <c r="H48" s="30">
        <f t="shared" si="15"/>
        <v>34.39</v>
      </c>
      <c r="I48" s="38">
        <v>0</v>
      </c>
      <c r="J48" s="30">
        <f>40*1.05</f>
        <v>42</v>
      </c>
      <c r="K48" s="30">
        <f t="shared" si="16"/>
        <v>7.609999999999999</v>
      </c>
      <c r="L48" s="30">
        <f t="shared" si="17"/>
        <v>7.609999999999999</v>
      </c>
      <c r="M48" s="42" t="s">
        <v>33</v>
      </c>
      <c r="N48" s="15">
        <v>0.98</v>
      </c>
      <c r="O48" s="12"/>
      <c r="P48" s="13">
        <v>39</v>
      </c>
      <c r="Q48" s="32" t="s">
        <v>104</v>
      </c>
      <c r="R48" s="10" t="s">
        <v>0</v>
      </c>
      <c r="S48" s="10">
        <v>6.846</v>
      </c>
      <c r="T48" s="30">
        <f t="shared" si="18"/>
        <v>47.236000000000004</v>
      </c>
      <c r="U48" s="31">
        <v>6</v>
      </c>
      <c r="V48" s="41">
        <v>30</v>
      </c>
      <c r="W48" s="31">
        <f t="shared" si="19"/>
        <v>41.236000000000004</v>
      </c>
      <c r="X48" s="10">
        <v>0</v>
      </c>
      <c r="Y48" s="10">
        <v>42</v>
      </c>
      <c r="Z48" s="31">
        <f t="shared" si="20"/>
        <v>0.7639999999999958</v>
      </c>
      <c r="AA48" s="31">
        <f t="shared" si="21"/>
        <v>0.7639999999999958</v>
      </c>
      <c r="AB48" s="40" t="s">
        <v>33</v>
      </c>
    </row>
    <row r="49" spans="1:28" ht="15" customHeight="1">
      <c r="A49" s="13">
        <v>40</v>
      </c>
      <c r="B49" s="32" t="s">
        <v>105</v>
      </c>
      <c r="C49" s="10" t="s">
        <v>5</v>
      </c>
      <c r="D49" s="10">
        <v>20</v>
      </c>
      <c r="E49" s="43">
        <v>4.1</v>
      </c>
      <c r="F49" s="31">
        <v>1.29</v>
      </c>
      <c r="G49" s="41">
        <v>30</v>
      </c>
      <c r="H49" s="30">
        <f t="shared" si="15"/>
        <v>2.8099999999999996</v>
      </c>
      <c r="I49" s="38">
        <v>0</v>
      </c>
      <c r="J49" s="30">
        <v>10.5</v>
      </c>
      <c r="K49" s="30">
        <f t="shared" si="16"/>
        <v>7.69</v>
      </c>
      <c r="L49" s="30">
        <f t="shared" si="17"/>
        <v>7.69</v>
      </c>
      <c r="M49" s="42" t="s">
        <v>33</v>
      </c>
      <c r="N49" s="15">
        <v>0.95</v>
      </c>
      <c r="O49" s="12"/>
      <c r="P49" s="13">
        <v>40</v>
      </c>
      <c r="Q49" s="32" t="s">
        <v>105</v>
      </c>
      <c r="R49" s="10" t="s">
        <v>5</v>
      </c>
      <c r="S49" s="10"/>
      <c r="T49" s="30">
        <f t="shared" si="18"/>
        <v>4.1</v>
      </c>
      <c r="U49" s="31">
        <v>1.29</v>
      </c>
      <c r="V49" s="41">
        <v>30</v>
      </c>
      <c r="W49" s="31">
        <f t="shared" si="19"/>
        <v>2.8099999999999996</v>
      </c>
      <c r="X49" s="10">
        <v>0</v>
      </c>
      <c r="Y49" s="10">
        <v>10.5</v>
      </c>
      <c r="Z49" s="31">
        <f t="shared" si="20"/>
        <v>7.69</v>
      </c>
      <c r="AA49" s="31">
        <f t="shared" si="21"/>
        <v>7.69</v>
      </c>
      <c r="AB49" s="40" t="s">
        <v>33</v>
      </c>
    </row>
    <row r="50" spans="1:28" ht="15" customHeight="1">
      <c r="A50" s="13">
        <v>41</v>
      </c>
      <c r="B50" s="32" t="s">
        <v>106</v>
      </c>
      <c r="C50" s="10" t="s">
        <v>1</v>
      </c>
      <c r="D50" s="10">
        <v>16.3</v>
      </c>
      <c r="E50" s="43">
        <v>2.54</v>
      </c>
      <c r="F50" s="31">
        <v>0</v>
      </c>
      <c r="G50" s="41">
        <v>0</v>
      </c>
      <c r="H50" s="30">
        <f t="shared" si="15"/>
        <v>2.54</v>
      </c>
      <c r="I50" s="38">
        <v>0</v>
      </c>
      <c r="J50" s="30">
        <f>6.3*1.05</f>
        <v>6.615</v>
      </c>
      <c r="K50" s="30">
        <f t="shared" si="16"/>
        <v>4.075</v>
      </c>
      <c r="L50" s="30">
        <f t="shared" si="17"/>
        <v>4.075</v>
      </c>
      <c r="M50" s="42" t="s">
        <v>33</v>
      </c>
      <c r="N50" s="15">
        <v>0.95</v>
      </c>
      <c r="O50" s="12"/>
      <c r="P50" s="13">
        <v>41</v>
      </c>
      <c r="Q50" s="32" t="s">
        <v>106</v>
      </c>
      <c r="R50" s="10" t="s">
        <v>1</v>
      </c>
      <c r="S50" s="10"/>
      <c r="T50" s="30">
        <f t="shared" si="18"/>
        <v>2.54</v>
      </c>
      <c r="U50" s="31">
        <v>0</v>
      </c>
      <c r="V50" s="41">
        <v>0</v>
      </c>
      <c r="W50" s="31">
        <f t="shared" si="19"/>
        <v>2.54</v>
      </c>
      <c r="X50" s="10">
        <v>0</v>
      </c>
      <c r="Y50" s="10">
        <v>6.615</v>
      </c>
      <c r="Z50" s="31">
        <f t="shared" si="20"/>
        <v>4.075</v>
      </c>
      <c r="AA50" s="31">
        <f t="shared" si="21"/>
        <v>4.075</v>
      </c>
      <c r="AB50" s="40" t="s">
        <v>33</v>
      </c>
    </row>
    <row r="51" spans="1:28" ht="15" customHeight="1">
      <c r="A51" s="13">
        <v>42</v>
      </c>
      <c r="B51" s="32" t="s">
        <v>107</v>
      </c>
      <c r="C51" s="10" t="s">
        <v>11</v>
      </c>
      <c r="D51" s="10">
        <f>10+16</f>
        <v>26</v>
      </c>
      <c r="E51" s="43">
        <v>2.1</v>
      </c>
      <c r="F51" s="31">
        <v>0</v>
      </c>
      <c r="G51" s="41">
        <v>0</v>
      </c>
      <c r="H51" s="30">
        <f t="shared" si="15"/>
        <v>2.1</v>
      </c>
      <c r="I51" s="38">
        <v>0</v>
      </c>
      <c r="J51" s="30">
        <v>10.5</v>
      </c>
      <c r="K51" s="30">
        <f t="shared" si="16"/>
        <v>8.4</v>
      </c>
      <c r="L51" s="30">
        <f t="shared" si="17"/>
        <v>8.4</v>
      </c>
      <c r="M51" s="42" t="s">
        <v>33</v>
      </c>
      <c r="N51" s="15">
        <v>0.97</v>
      </c>
      <c r="O51" s="12"/>
      <c r="P51" s="13">
        <v>42</v>
      </c>
      <c r="Q51" s="32" t="s">
        <v>107</v>
      </c>
      <c r="R51" s="10" t="s">
        <v>11</v>
      </c>
      <c r="S51" s="10">
        <v>4.005</v>
      </c>
      <c r="T51" s="30">
        <f t="shared" si="18"/>
        <v>6.105</v>
      </c>
      <c r="U51" s="31">
        <v>0</v>
      </c>
      <c r="V51" s="41">
        <v>0</v>
      </c>
      <c r="W51" s="31">
        <f t="shared" si="19"/>
        <v>6.105</v>
      </c>
      <c r="X51" s="10">
        <v>0</v>
      </c>
      <c r="Y51" s="10">
        <v>10.5</v>
      </c>
      <c r="Z51" s="31">
        <f t="shared" si="20"/>
        <v>4.395</v>
      </c>
      <c r="AA51" s="31">
        <f t="shared" si="21"/>
        <v>4.395</v>
      </c>
      <c r="AB51" s="40" t="s">
        <v>33</v>
      </c>
    </row>
    <row r="52" spans="1:28" ht="11.25">
      <c r="A52" s="13">
        <v>43</v>
      </c>
      <c r="B52" s="32" t="s">
        <v>108</v>
      </c>
      <c r="C52" s="10" t="s">
        <v>0</v>
      </c>
      <c r="D52" s="10">
        <v>80</v>
      </c>
      <c r="E52" s="43">
        <v>19.779</v>
      </c>
      <c r="F52" s="31">
        <v>0.12</v>
      </c>
      <c r="G52" s="41">
        <v>20</v>
      </c>
      <c r="H52" s="30">
        <f t="shared" si="15"/>
        <v>19.659</v>
      </c>
      <c r="I52" s="38">
        <v>0</v>
      </c>
      <c r="J52" s="30">
        <f>40*1.05</f>
        <v>42</v>
      </c>
      <c r="K52" s="30">
        <f t="shared" si="16"/>
        <v>22.341</v>
      </c>
      <c r="L52" s="30">
        <f t="shared" si="17"/>
        <v>22.341</v>
      </c>
      <c r="M52" s="42" t="s">
        <v>33</v>
      </c>
      <c r="N52" s="15">
        <v>0.98</v>
      </c>
      <c r="O52" s="12"/>
      <c r="P52" s="16">
        <v>43</v>
      </c>
      <c r="Q52" s="24" t="s">
        <v>108</v>
      </c>
      <c r="R52" s="18" t="s">
        <v>0</v>
      </c>
      <c r="S52" s="18">
        <v>26.543</v>
      </c>
      <c r="T52" s="20">
        <f t="shared" si="18"/>
        <v>46.322</v>
      </c>
      <c r="U52" s="23">
        <v>0.12</v>
      </c>
      <c r="V52" s="44">
        <v>20</v>
      </c>
      <c r="W52" s="23">
        <f t="shared" si="19"/>
        <v>46.202000000000005</v>
      </c>
      <c r="X52" s="18">
        <v>0</v>
      </c>
      <c r="Y52" s="18">
        <v>42</v>
      </c>
      <c r="Z52" s="23">
        <f t="shared" si="20"/>
        <v>-4.202000000000005</v>
      </c>
      <c r="AA52" s="23">
        <f t="shared" si="21"/>
        <v>-4.202000000000005</v>
      </c>
      <c r="AB52" s="45" t="s">
        <v>33</v>
      </c>
    </row>
    <row r="53" spans="1:28" ht="11.25">
      <c r="A53" s="13">
        <v>44</v>
      </c>
      <c r="B53" s="32" t="s">
        <v>109</v>
      </c>
      <c r="C53" s="10" t="s">
        <v>0</v>
      </c>
      <c r="D53" s="10">
        <f>40+40</f>
        <v>80</v>
      </c>
      <c r="E53" s="43">
        <v>0.48</v>
      </c>
      <c r="F53" s="31">
        <v>0</v>
      </c>
      <c r="G53" s="41">
        <v>0</v>
      </c>
      <c r="H53" s="30">
        <f t="shared" si="15"/>
        <v>0.48</v>
      </c>
      <c r="I53" s="38">
        <v>0</v>
      </c>
      <c r="J53" s="30">
        <f>40*1.05</f>
        <v>42</v>
      </c>
      <c r="K53" s="30">
        <f>J53-I53-H53</f>
        <v>41.52</v>
      </c>
      <c r="L53" s="30">
        <f>K53</f>
        <v>41.52</v>
      </c>
      <c r="M53" s="42" t="s">
        <v>33</v>
      </c>
      <c r="N53" s="15"/>
      <c r="O53" s="12"/>
      <c r="P53" s="13">
        <v>44</v>
      </c>
      <c r="Q53" s="32" t="s">
        <v>109</v>
      </c>
      <c r="R53" s="10" t="s">
        <v>0</v>
      </c>
      <c r="S53" s="10">
        <v>41.34</v>
      </c>
      <c r="T53" s="30">
        <f>S53+E53</f>
        <v>41.82</v>
      </c>
      <c r="U53" s="31">
        <v>0</v>
      </c>
      <c r="V53" s="41">
        <v>0</v>
      </c>
      <c r="W53" s="31">
        <f>T53-U53</f>
        <v>41.82</v>
      </c>
      <c r="X53" s="10">
        <v>0</v>
      </c>
      <c r="Y53" s="10">
        <v>42</v>
      </c>
      <c r="Z53" s="31">
        <f>Y53-X53-W53</f>
        <v>0.17999999999999972</v>
      </c>
      <c r="AA53" s="31">
        <f>Z53</f>
        <v>0.17999999999999972</v>
      </c>
      <c r="AB53" s="10" t="s">
        <v>40</v>
      </c>
    </row>
    <row r="54" spans="1:28" ht="11.25">
      <c r="A54" s="13">
        <v>45</v>
      </c>
      <c r="B54" s="32" t="s">
        <v>110</v>
      </c>
      <c r="C54" s="10" t="s">
        <v>0</v>
      </c>
      <c r="D54" s="10">
        <v>80</v>
      </c>
      <c r="E54" s="43">
        <v>0.21</v>
      </c>
      <c r="F54" s="31">
        <v>0</v>
      </c>
      <c r="G54" s="41">
        <v>0</v>
      </c>
      <c r="H54" s="30">
        <f t="shared" si="15"/>
        <v>0.21</v>
      </c>
      <c r="I54" s="38">
        <v>0</v>
      </c>
      <c r="J54" s="30">
        <v>42</v>
      </c>
      <c r="K54" s="30">
        <f t="shared" si="16"/>
        <v>41.79</v>
      </c>
      <c r="L54" s="30">
        <f t="shared" si="17"/>
        <v>41.79</v>
      </c>
      <c r="M54" s="10" t="s">
        <v>40</v>
      </c>
      <c r="N54" s="15">
        <v>0.99</v>
      </c>
      <c r="O54" s="12"/>
      <c r="P54" s="16">
        <v>45</v>
      </c>
      <c r="Q54" s="24" t="s">
        <v>110</v>
      </c>
      <c r="R54" s="18" t="s">
        <v>0</v>
      </c>
      <c r="S54" s="18">
        <v>42.74</v>
      </c>
      <c r="T54" s="20">
        <f t="shared" si="18"/>
        <v>42.95</v>
      </c>
      <c r="U54" s="23">
        <v>0</v>
      </c>
      <c r="V54" s="44">
        <v>0</v>
      </c>
      <c r="W54" s="23">
        <f t="shared" si="19"/>
        <v>42.95</v>
      </c>
      <c r="X54" s="18">
        <v>0</v>
      </c>
      <c r="Y54" s="18">
        <v>42</v>
      </c>
      <c r="Z54" s="23">
        <f t="shared" si="20"/>
        <v>-0.9500000000000028</v>
      </c>
      <c r="AA54" s="23">
        <f t="shared" si="21"/>
        <v>-0.9500000000000028</v>
      </c>
      <c r="AB54" s="18" t="s">
        <v>39</v>
      </c>
    </row>
    <row r="55" spans="1:28" ht="15" customHeight="1">
      <c r="A55" s="13">
        <v>46</v>
      </c>
      <c r="B55" s="32" t="s">
        <v>111</v>
      </c>
      <c r="C55" s="10" t="s">
        <v>8</v>
      </c>
      <c r="D55" s="10">
        <v>30</v>
      </c>
      <c r="E55" s="43">
        <v>6.96</v>
      </c>
      <c r="F55" s="31">
        <v>0</v>
      </c>
      <c r="G55" s="41">
        <v>0</v>
      </c>
      <c r="H55" s="30">
        <f t="shared" si="15"/>
        <v>6.96</v>
      </c>
      <c r="I55" s="38">
        <v>0</v>
      </c>
      <c r="J55" s="30">
        <f>15*1.05</f>
        <v>15.75</v>
      </c>
      <c r="K55" s="30">
        <f t="shared" si="16"/>
        <v>8.79</v>
      </c>
      <c r="L55" s="30">
        <f t="shared" si="17"/>
        <v>8.79</v>
      </c>
      <c r="M55" s="42" t="s">
        <v>33</v>
      </c>
      <c r="N55" s="15">
        <v>1</v>
      </c>
      <c r="O55" s="12"/>
      <c r="P55" s="13">
        <v>46</v>
      </c>
      <c r="Q55" s="32" t="s">
        <v>111</v>
      </c>
      <c r="R55" s="10" t="s">
        <v>8</v>
      </c>
      <c r="S55" s="10">
        <v>3.39</v>
      </c>
      <c r="T55" s="30">
        <f t="shared" si="18"/>
        <v>10.35</v>
      </c>
      <c r="U55" s="31">
        <v>0</v>
      </c>
      <c r="V55" s="41">
        <v>0</v>
      </c>
      <c r="W55" s="31">
        <f t="shared" si="19"/>
        <v>10.35</v>
      </c>
      <c r="X55" s="10">
        <v>0</v>
      </c>
      <c r="Y55" s="10">
        <v>15.75</v>
      </c>
      <c r="Z55" s="31">
        <f t="shared" si="20"/>
        <v>5.4</v>
      </c>
      <c r="AA55" s="31">
        <f t="shared" si="21"/>
        <v>5.4</v>
      </c>
      <c r="AB55" s="40" t="s">
        <v>33</v>
      </c>
    </row>
    <row r="56" spans="1:28" ht="15" customHeight="1">
      <c r="A56" s="13">
        <v>47</v>
      </c>
      <c r="B56" s="32" t="s">
        <v>112</v>
      </c>
      <c r="C56" s="10" t="s">
        <v>34</v>
      </c>
      <c r="D56" s="10">
        <v>50</v>
      </c>
      <c r="E56" s="43">
        <v>3.6</v>
      </c>
      <c r="F56" s="31">
        <v>0</v>
      </c>
      <c r="G56" s="41">
        <v>0</v>
      </c>
      <c r="H56" s="30">
        <f t="shared" si="15"/>
        <v>3.6</v>
      </c>
      <c r="I56" s="38">
        <v>0</v>
      </c>
      <c r="J56" s="30">
        <f>25*1.05</f>
        <v>26.25</v>
      </c>
      <c r="K56" s="30">
        <f>J56-I56-H56</f>
        <v>22.65</v>
      </c>
      <c r="L56" s="30">
        <f>K56</f>
        <v>22.65</v>
      </c>
      <c r="M56" s="42" t="s">
        <v>33</v>
      </c>
      <c r="N56" s="15">
        <v>0.96</v>
      </c>
      <c r="O56" s="12"/>
      <c r="P56" s="13">
        <v>47</v>
      </c>
      <c r="Q56" s="32" t="s">
        <v>112</v>
      </c>
      <c r="R56" s="10" t="s">
        <v>34</v>
      </c>
      <c r="S56" s="10">
        <v>20.64</v>
      </c>
      <c r="T56" s="30">
        <f t="shared" si="18"/>
        <v>24.240000000000002</v>
      </c>
      <c r="U56" s="31">
        <v>0</v>
      </c>
      <c r="V56" s="41">
        <v>0</v>
      </c>
      <c r="W56" s="31">
        <f t="shared" si="19"/>
        <v>24.240000000000002</v>
      </c>
      <c r="X56" s="10">
        <v>0</v>
      </c>
      <c r="Y56" s="30">
        <f>25*1.05</f>
        <v>26.25</v>
      </c>
      <c r="Z56" s="30">
        <f t="shared" si="20"/>
        <v>2.009999999999998</v>
      </c>
      <c r="AA56" s="30">
        <f t="shared" si="21"/>
        <v>2.009999999999998</v>
      </c>
      <c r="AB56" s="40" t="s">
        <v>33</v>
      </c>
    </row>
    <row r="57" spans="1:28" ht="15" customHeight="1">
      <c r="A57" s="13">
        <v>48</v>
      </c>
      <c r="B57" s="32" t="s">
        <v>113</v>
      </c>
      <c r="C57" s="10" t="s">
        <v>9</v>
      </c>
      <c r="D57" s="10">
        <v>126</v>
      </c>
      <c r="E57" s="30">
        <v>12.37</v>
      </c>
      <c r="F57" s="31">
        <v>0</v>
      </c>
      <c r="G57" s="41">
        <v>0</v>
      </c>
      <c r="H57" s="30">
        <f t="shared" si="15"/>
        <v>12.37</v>
      </c>
      <c r="I57" s="38">
        <v>0</v>
      </c>
      <c r="J57" s="30">
        <f>63*1.05</f>
        <v>66.15</v>
      </c>
      <c r="K57" s="30">
        <f t="shared" si="16"/>
        <v>53.78000000000001</v>
      </c>
      <c r="L57" s="30">
        <f t="shared" si="17"/>
        <v>53.78000000000001</v>
      </c>
      <c r="M57" s="42" t="s">
        <v>33</v>
      </c>
      <c r="N57" s="15">
        <v>0.93</v>
      </c>
      <c r="O57" s="12"/>
      <c r="P57" s="13">
        <v>48</v>
      </c>
      <c r="Q57" s="32" t="s">
        <v>113</v>
      </c>
      <c r="R57" s="10" t="s">
        <v>9</v>
      </c>
      <c r="S57" s="10">
        <v>3.27</v>
      </c>
      <c r="T57" s="30">
        <f t="shared" si="18"/>
        <v>15.639999999999999</v>
      </c>
      <c r="U57" s="31">
        <v>0</v>
      </c>
      <c r="V57" s="41">
        <v>0</v>
      </c>
      <c r="W57" s="31">
        <f t="shared" si="19"/>
        <v>15.639999999999999</v>
      </c>
      <c r="X57" s="10">
        <v>0</v>
      </c>
      <c r="Y57" s="10">
        <v>66.15</v>
      </c>
      <c r="Z57" s="31">
        <f t="shared" si="20"/>
        <v>50.510000000000005</v>
      </c>
      <c r="AA57" s="31">
        <f t="shared" si="21"/>
        <v>50.510000000000005</v>
      </c>
      <c r="AB57" s="40" t="s">
        <v>33</v>
      </c>
    </row>
    <row r="58" spans="1:28" ht="15" customHeight="1">
      <c r="A58" s="13">
        <v>49</v>
      </c>
      <c r="B58" s="37" t="s">
        <v>114</v>
      </c>
      <c r="C58" s="10" t="s">
        <v>10</v>
      </c>
      <c r="D58" s="10">
        <v>8</v>
      </c>
      <c r="E58" s="30">
        <v>1.41</v>
      </c>
      <c r="F58" s="31">
        <v>1.2</v>
      </c>
      <c r="G58" s="41">
        <v>1.2</v>
      </c>
      <c r="H58" s="30">
        <f t="shared" si="15"/>
        <v>0.20999999999999996</v>
      </c>
      <c r="I58" s="38">
        <v>0</v>
      </c>
      <c r="J58" s="30">
        <f>4*1.05</f>
        <v>4.2</v>
      </c>
      <c r="K58" s="30">
        <f t="shared" si="16"/>
        <v>3.99</v>
      </c>
      <c r="L58" s="30">
        <f t="shared" si="17"/>
        <v>3.99</v>
      </c>
      <c r="M58" s="10" t="s">
        <v>40</v>
      </c>
      <c r="N58" s="46">
        <v>0.8779199634105694</v>
      </c>
      <c r="O58" s="47"/>
      <c r="P58" s="13">
        <v>49</v>
      </c>
      <c r="Q58" s="37" t="s">
        <v>114</v>
      </c>
      <c r="R58" s="10" t="s">
        <v>10</v>
      </c>
      <c r="S58" s="10">
        <v>0.23</v>
      </c>
      <c r="T58" s="30">
        <f t="shared" si="18"/>
        <v>1.64</v>
      </c>
      <c r="U58" s="31">
        <v>1.2</v>
      </c>
      <c r="V58" s="41">
        <v>1.2</v>
      </c>
      <c r="W58" s="31">
        <f t="shared" si="19"/>
        <v>0.43999999999999995</v>
      </c>
      <c r="X58" s="10">
        <v>0</v>
      </c>
      <c r="Y58" s="10">
        <v>4.2</v>
      </c>
      <c r="Z58" s="31">
        <f t="shared" si="20"/>
        <v>3.7600000000000002</v>
      </c>
      <c r="AA58" s="31">
        <f t="shared" si="21"/>
        <v>3.7600000000000002</v>
      </c>
      <c r="AB58" s="10" t="s">
        <v>40</v>
      </c>
    </row>
    <row r="59" spans="1:28" ht="15" customHeight="1">
      <c r="A59" s="13">
        <v>50</v>
      </c>
      <c r="B59" s="37" t="s">
        <v>115</v>
      </c>
      <c r="C59" s="10" t="s">
        <v>4</v>
      </c>
      <c r="D59" s="10">
        <v>5</v>
      </c>
      <c r="E59" s="30">
        <v>1.4</v>
      </c>
      <c r="F59" s="31">
        <v>0</v>
      </c>
      <c r="G59" s="41">
        <v>0</v>
      </c>
      <c r="H59" s="30">
        <f t="shared" si="15"/>
        <v>1.4</v>
      </c>
      <c r="I59" s="38">
        <v>0</v>
      </c>
      <c r="J59" s="30">
        <f aca="true" t="shared" si="22" ref="J59:J65">2.5*1.05</f>
        <v>2.625</v>
      </c>
      <c r="K59" s="30">
        <f t="shared" si="16"/>
        <v>1.225</v>
      </c>
      <c r="L59" s="30">
        <f t="shared" si="17"/>
        <v>1.225</v>
      </c>
      <c r="M59" s="10" t="s">
        <v>40</v>
      </c>
      <c r="N59" s="15">
        <v>0.91</v>
      </c>
      <c r="O59" s="12"/>
      <c r="P59" s="13">
        <v>50</v>
      </c>
      <c r="Q59" s="37" t="s">
        <v>115</v>
      </c>
      <c r="R59" s="10" t="s">
        <v>4</v>
      </c>
      <c r="S59" s="10">
        <v>0.13</v>
      </c>
      <c r="T59" s="30">
        <f t="shared" si="18"/>
        <v>1.5299999999999998</v>
      </c>
      <c r="U59" s="31">
        <v>0</v>
      </c>
      <c r="V59" s="41">
        <v>0</v>
      </c>
      <c r="W59" s="31">
        <f t="shared" si="19"/>
        <v>1.5299999999999998</v>
      </c>
      <c r="X59" s="10">
        <v>0</v>
      </c>
      <c r="Y59" s="10">
        <v>2.625</v>
      </c>
      <c r="Z59" s="31">
        <f t="shared" si="20"/>
        <v>1.0950000000000002</v>
      </c>
      <c r="AA59" s="31">
        <f t="shared" si="21"/>
        <v>1.0950000000000002</v>
      </c>
      <c r="AB59" s="10" t="s">
        <v>40</v>
      </c>
    </row>
    <row r="60" spans="1:28" ht="15" customHeight="1">
      <c r="A60" s="13">
        <v>51</v>
      </c>
      <c r="B60" s="37" t="s">
        <v>116</v>
      </c>
      <c r="C60" s="10" t="s">
        <v>4</v>
      </c>
      <c r="D60" s="10">
        <v>5</v>
      </c>
      <c r="E60" s="30">
        <v>0.66</v>
      </c>
      <c r="F60" s="31">
        <v>0.15</v>
      </c>
      <c r="G60" s="41">
        <v>260</v>
      </c>
      <c r="H60" s="30">
        <f t="shared" si="15"/>
        <v>0.51</v>
      </c>
      <c r="I60" s="38">
        <v>0</v>
      </c>
      <c r="J60" s="30">
        <f t="shared" si="22"/>
        <v>2.625</v>
      </c>
      <c r="K60" s="30">
        <f t="shared" si="16"/>
        <v>2.115</v>
      </c>
      <c r="L60" s="30">
        <f t="shared" si="17"/>
        <v>2.115</v>
      </c>
      <c r="M60" s="10" t="s">
        <v>40</v>
      </c>
      <c r="N60" s="15">
        <v>0.94</v>
      </c>
      <c r="O60" s="12"/>
      <c r="P60" s="13">
        <v>51</v>
      </c>
      <c r="Q60" s="37" t="s">
        <v>116</v>
      </c>
      <c r="R60" s="10" t="s">
        <v>4</v>
      </c>
      <c r="S60" s="10">
        <v>0.47</v>
      </c>
      <c r="T60" s="30">
        <f t="shared" si="18"/>
        <v>1.13</v>
      </c>
      <c r="U60" s="31">
        <v>0.15</v>
      </c>
      <c r="V60" s="41">
        <v>260</v>
      </c>
      <c r="W60" s="31">
        <f t="shared" si="19"/>
        <v>0.9799999999999999</v>
      </c>
      <c r="X60" s="10">
        <v>0</v>
      </c>
      <c r="Y60" s="10">
        <v>2.625</v>
      </c>
      <c r="Z60" s="31">
        <f t="shared" si="20"/>
        <v>1.645</v>
      </c>
      <c r="AA60" s="31">
        <f t="shared" si="21"/>
        <v>1.645</v>
      </c>
      <c r="AB60" s="10" t="s">
        <v>40</v>
      </c>
    </row>
    <row r="61" spans="1:28" ht="15" customHeight="1">
      <c r="A61" s="13">
        <v>52</v>
      </c>
      <c r="B61" s="37" t="s">
        <v>117</v>
      </c>
      <c r="C61" s="10" t="s">
        <v>4</v>
      </c>
      <c r="D61" s="10">
        <v>5</v>
      </c>
      <c r="E61" s="30">
        <v>1.195776</v>
      </c>
      <c r="F61" s="31">
        <v>0.618</v>
      </c>
      <c r="G61" s="41">
        <v>60</v>
      </c>
      <c r="H61" s="30">
        <f t="shared" si="15"/>
        <v>0.577776</v>
      </c>
      <c r="I61" s="38">
        <v>0</v>
      </c>
      <c r="J61" s="30">
        <f t="shared" si="22"/>
        <v>2.625</v>
      </c>
      <c r="K61" s="30">
        <f t="shared" si="16"/>
        <v>2.047224</v>
      </c>
      <c r="L61" s="30">
        <f t="shared" si="17"/>
        <v>2.047224</v>
      </c>
      <c r="M61" s="10" t="s">
        <v>40</v>
      </c>
      <c r="N61" s="15">
        <v>0.92</v>
      </c>
      <c r="O61" s="12"/>
      <c r="P61" s="13">
        <v>52</v>
      </c>
      <c r="Q61" s="37" t="s">
        <v>117</v>
      </c>
      <c r="R61" s="10" t="s">
        <v>4</v>
      </c>
      <c r="S61" s="10">
        <v>0.13</v>
      </c>
      <c r="T61" s="30">
        <f t="shared" si="18"/>
        <v>1.3257759999999998</v>
      </c>
      <c r="U61" s="31">
        <v>0.618</v>
      </c>
      <c r="V61" s="41">
        <v>60</v>
      </c>
      <c r="W61" s="31">
        <f t="shared" si="19"/>
        <v>0.7077759999999998</v>
      </c>
      <c r="X61" s="10">
        <v>0</v>
      </c>
      <c r="Y61" s="10">
        <v>2.625</v>
      </c>
      <c r="Z61" s="31">
        <f t="shared" si="20"/>
        <v>1.917224</v>
      </c>
      <c r="AA61" s="31">
        <f t="shared" si="21"/>
        <v>1.917224</v>
      </c>
      <c r="AB61" s="10" t="s">
        <v>40</v>
      </c>
    </row>
    <row r="62" spans="1:28" ht="15" customHeight="1">
      <c r="A62" s="13">
        <v>53</v>
      </c>
      <c r="B62" s="37" t="s">
        <v>118</v>
      </c>
      <c r="C62" s="10" t="s">
        <v>4</v>
      </c>
      <c r="D62" s="10">
        <v>5</v>
      </c>
      <c r="E62" s="30">
        <v>0.34946</v>
      </c>
      <c r="F62" s="31">
        <v>0.15</v>
      </c>
      <c r="G62" s="41">
        <v>100</v>
      </c>
      <c r="H62" s="30">
        <f t="shared" si="15"/>
        <v>0.19946</v>
      </c>
      <c r="I62" s="38">
        <v>0</v>
      </c>
      <c r="J62" s="30">
        <f t="shared" si="22"/>
        <v>2.625</v>
      </c>
      <c r="K62" s="30">
        <f t="shared" si="16"/>
        <v>2.42554</v>
      </c>
      <c r="L62" s="30">
        <f t="shared" si="17"/>
        <v>2.42554</v>
      </c>
      <c r="M62" s="10" t="s">
        <v>40</v>
      </c>
      <c r="N62" s="15">
        <v>0.9</v>
      </c>
      <c r="O62" s="12"/>
      <c r="P62" s="13">
        <v>53</v>
      </c>
      <c r="Q62" s="37" t="s">
        <v>118</v>
      </c>
      <c r="R62" s="10" t="s">
        <v>4</v>
      </c>
      <c r="S62" s="10"/>
      <c r="T62" s="30">
        <f t="shared" si="18"/>
        <v>0.34946</v>
      </c>
      <c r="U62" s="31">
        <v>0.15</v>
      </c>
      <c r="V62" s="41">
        <v>100</v>
      </c>
      <c r="W62" s="31">
        <f t="shared" si="19"/>
        <v>0.19946</v>
      </c>
      <c r="X62" s="10">
        <v>0</v>
      </c>
      <c r="Y62" s="10">
        <v>2.625</v>
      </c>
      <c r="Z62" s="31">
        <f t="shared" si="20"/>
        <v>2.42554</v>
      </c>
      <c r="AA62" s="31">
        <f t="shared" si="21"/>
        <v>2.42554</v>
      </c>
      <c r="AB62" s="10" t="s">
        <v>40</v>
      </c>
    </row>
    <row r="63" spans="1:28" ht="15" customHeight="1">
      <c r="A63" s="13">
        <v>54</v>
      </c>
      <c r="B63" s="37" t="s">
        <v>119</v>
      </c>
      <c r="C63" s="10" t="s">
        <v>4</v>
      </c>
      <c r="D63" s="10">
        <v>5</v>
      </c>
      <c r="E63" s="30">
        <v>0.917592</v>
      </c>
      <c r="F63" s="31">
        <v>0</v>
      </c>
      <c r="G63" s="41">
        <v>0</v>
      </c>
      <c r="H63" s="30">
        <f t="shared" si="15"/>
        <v>0.917592</v>
      </c>
      <c r="I63" s="38">
        <v>0</v>
      </c>
      <c r="J63" s="30">
        <f t="shared" si="22"/>
        <v>2.625</v>
      </c>
      <c r="K63" s="30">
        <f t="shared" si="16"/>
        <v>1.707408</v>
      </c>
      <c r="L63" s="30">
        <f t="shared" si="17"/>
        <v>1.707408</v>
      </c>
      <c r="M63" s="10" t="s">
        <v>40</v>
      </c>
      <c r="N63" s="15">
        <v>0.9</v>
      </c>
      <c r="O63" s="12"/>
      <c r="P63" s="13">
        <v>54</v>
      </c>
      <c r="Q63" s="37" t="s">
        <v>119</v>
      </c>
      <c r="R63" s="10" t="s">
        <v>4</v>
      </c>
      <c r="S63" s="10">
        <v>0.02</v>
      </c>
      <c r="T63" s="30">
        <f t="shared" si="18"/>
        <v>0.937592</v>
      </c>
      <c r="U63" s="31">
        <v>0</v>
      </c>
      <c r="V63" s="41">
        <v>0</v>
      </c>
      <c r="W63" s="31">
        <f t="shared" si="19"/>
        <v>0.937592</v>
      </c>
      <c r="X63" s="10">
        <v>0</v>
      </c>
      <c r="Y63" s="10">
        <v>2.625</v>
      </c>
      <c r="Z63" s="31">
        <f t="shared" si="20"/>
        <v>1.687408</v>
      </c>
      <c r="AA63" s="31">
        <f t="shared" si="21"/>
        <v>1.687408</v>
      </c>
      <c r="AB63" s="10" t="s">
        <v>40</v>
      </c>
    </row>
    <row r="64" spans="1:28" ht="15" customHeight="1">
      <c r="A64" s="13">
        <v>55</v>
      </c>
      <c r="B64" s="37" t="s">
        <v>120</v>
      </c>
      <c r="C64" s="10" t="s">
        <v>11</v>
      </c>
      <c r="D64" s="10">
        <v>26</v>
      </c>
      <c r="E64" s="30">
        <v>6.294967151305036</v>
      </c>
      <c r="F64" s="31">
        <v>4.8</v>
      </c>
      <c r="G64" s="41">
        <v>20</v>
      </c>
      <c r="H64" s="30">
        <f t="shared" si="15"/>
        <v>1.494967151305036</v>
      </c>
      <c r="I64" s="38">
        <v>0</v>
      </c>
      <c r="J64" s="30">
        <f>10*1.05</f>
        <v>10.5</v>
      </c>
      <c r="K64" s="30">
        <f t="shared" si="16"/>
        <v>9.005032848694963</v>
      </c>
      <c r="L64" s="30">
        <f t="shared" si="17"/>
        <v>9.005032848694963</v>
      </c>
      <c r="M64" s="10" t="s">
        <v>40</v>
      </c>
      <c r="N64" s="15">
        <v>0.94</v>
      </c>
      <c r="O64" s="12"/>
      <c r="P64" s="13">
        <v>55</v>
      </c>
      <c r="Q64" s="37" t="s">
        <v>120</v>
      </c>
      <c r="R64" s="10" t="s">
        <v>11</v>
      </c>
      <c r="S64" s="10">
        <v>0.7</v>
      </c>
      <c r="T64" s="30">
        <f t="shared" si="18"/>
        <v>6.994967151305036</v>
      </c>
      <c r="U64" s="31">
        <v>4.8</v>
      </c>
      <c r="V64" s="41">
        <v>20</v>
      </c>
      <c r="W64" s="31">
        <f t="shared" si="19"/>
        <v>2.194967151305036</v>
      </c>
      <c r="X64" s="10">
        <v>0</v>
      </c>
      <c r="Y64" s="10">
        <v>10.5</v>
      </c>
      <c r="Z64" s="31">
        <f t="shared" si="20"/>
        <v>8.305032848694964</v>
      </c>
      <c r="AA64" s="31">
        <f t="shared" si="21"/>
        <v>8.305032848694964</v>
      </c>
      <c r="AB64" s="10" t="s">
        <v>40</v>
      </c>
    </row>
    <row r="65" spans="1:28" ht="15" customHeight="1">
      <c r="A65" s="13">
        <v>56</v>
      </c>
      <c r="B65" s="37" t="s">
        <v>121</v>
      </c>
      <c r="C65" s="10" t="s">
        <v>4</v>
      </c>
      <c r="D65" s="10">
        <v>5</v>
      </c>
      <c r="E65" s="30">
        <v>0.73179</v>
      </c>
      <c r="F65" s="31">
        <v>0.02</v>
      </c>
      <c r="G65" s="41">
        <v>60</v>
      </c>
      <c r="H65" s="30">
        <f t="shared" si="15"/>
        <v>0.71179</v>
      </c>
      <c r="I65" s="38">
        <v>0</v>
      </c>
      <c r="J65" s="30">
        <f t="shared" si="22"/>
        <v>2.625</v>
      </c>
      <c r="K65" s="30">
        <f t="shared" si="16"/>
        <v>1.9132099999999999</v>
      </c>
      <c r="L65" s="30">
        <f t="shared" si="17"/>
        <v>1.9132099999999999</v>
      </c>
      <c r="M65" s="10" t="s">
        <v>40</v>
      </c>
      <c r="N65" s="15">
        <v>0.89</v>
      </c>
      <c r="O65" s="12"/>
      <c r="P65" s="13">
        <v>56</v>
      </c>
      <c r="Q65" s="37" t="s">
        <v>121</v>
      </c>
      <c r="R65" s="10" t="s">
        <v>4</v>
      </c>
      <c r="S65" s="10">
        <v>0.02</v>
      </c>
      <c r="T65" s="30">
        <f t="shared" si="18"/>
        <v>0.7517900000000001</v>
      </c>
      <c r="U65" s="31">
        <v>0.02</v>
      </c>
      <c r="V65" s="41">
        <v>60</v>
      </c>
      <c r="W65" s="31">
        <f t="shared" si="19"/>
        <v>0.73179</v>
      </c>
      <c r="X65" s="10">
        <v>0</v>
      </c>
      <c r="Y65" s="10">
        <v>2.625</v>
      </c>
      <c r="Z65" s="31">
        <f t="shared" si="20"/>
        <v>1.8932099999999998</v>
      </c>
      <c r="AA65" s="31">
        <f t="shared" si="21"/>
        <v>1.8932099999999998</v>
      </c>
      <c r="AB65" s="10" t="s">
        <v>40</v>
      </c>
    </row>
    <row r="66" spans="1:28" ht="15" customHeight="1">
      <c r="A66" s="13">
        <v>57</v>
      </c>
      <c r="B66" s="37" t="s">
        <v>122</v>
      </c>
      <c r="C66" s="10" t="s">
        <v>10</v>
      </c>
      <c r="D66" s="10">
        <v>8</v>
      </c>
      <c r="E66" s="30">
        <v>1.53</v>
      </c>
      <c r="F66" s="31">
        <v>1.2</v>
      </c>
      <c r="G66" s="41">
        <v>120</v>
      </c>
      <c r="H66" s="30">
        <f t="shared" si="15"/>
        <v>0.33000000000000007</v>
      </c>
      <c r="I66" s="38">
        <v>0</v>
      </c>
      <c r="J66" s="30">
        <f>4*1.05</f>
        <v>4.2</v>
      </c>
      <c r="K66" s="30">
        <f t="shared" si="16"/>
        <v>3.87</v>
      </c>
      <c r="L66" s="30">
        <f t="shared" si="17"/>
        <v>3.87</v>
      </c>
      <c r="M66" s="10" t="s">
        <v>40</v>
      </c>
      <c r="N66" s="15">
        <v>0.86</v>
      </c>
      <c r="O66" s="12"/>
      <c r="P66" s="13">
        <v>57</v>
      </c>
      <c r="Q66" s="37" t="s">
        <v>122</v>
      </c>
      <c r="R66" s="10" t="s">
        <v>10</v>
      </c>
      <c r="S66" s="10">
        <v>0.18</v>
      </c>
      <c r="T66" s="30">
        <f t="shared" si="18"/>
        <v>1.71</v>
      </c>
      <c r="U66" s="31">
        <v>1.2</v>
      </c>
      <c r="V66" s="41">
        <v>120</v>
      </c>
      <c r="W66" s="31">
        <f t="shared" si="19"/>
        <v>0.51</v>
      </c>
      <c r="X66" s="10">
        <v>0</v>
      </c>
      <c r="Y66" s="10">
        <v>4.2</v>
      </c>
      <c r="Z66" s="31">
        <f t="shared" si="20"/>
        <v>3.6900000000000004</v>
      </c>
      <c r="AA66" s="31">
        <f t="shared" si="21"/>
        <v>3.6900000000000004</v>
      </c>
      <c r="AB66" s="10" t="s">
        <v>40</v>
      </c>
    </row>
    <row r="67" spans="1:28" ht="15" customHeight="1">
      <c r="A67" s="13">
        <v>58</v>
      </c>
      <c r="B67" s="37" t="s">
        <v>123</v>
      </c>
      <c r="C67" s="10" t="s">
        <v>12</v>
      </c>
      <c r="D67" s="10">
        <v>3.4</v>
      </c>
      <c r="E67" s="30">
        <v>1.427769</v>
      </c>
      <c r="F67" s="31">
        <v>0</v>
      </c>
      <c r="G67" s="41">
        <v>0</v>
      </c>
      <c r="H67" s="30">
        <f t="shared" si="15"/>
        <v>1.427769</v>
      </c>
      <c r="I67" s="38">
        <v>0</v>
      </c>
      <c r="J67" s="30">
        <f>1.6*1.05</f>
        <v>1.6800000000000002</v>
      </c>
      <c r="K67" s="30">
        <f t="shared" si="16"/>
        <v>0.2522310000000001</v>
      </c>
      <c r="L67" s="30">
        <f t="shared" si="17"/>
        <v>0.2522310000000001</v>
      </c>
      <c r="M67" s="10" t="s">
        <v>40</v>
      </c>
      <c r="N67" s="15">
        <v>0.81</v>
      </c>
      <c r="O67" s="12"/>
      <c r="P67" s="13">
        <v>58</v>
      </c>
      <c r="Q67" s="37" t="s">
        <v>123</v>
      </c>
      <c r="R67" s="10" t="s">
        <v>12</v>
      </c>
      <c r="S67" s="10">
        <v>0.04</v>
      </c>
      <c r="T67" s="30">
        <f t="shared" si="18"/>
        <v>1.467769</v>
      </c>
      <c r="U67" s="31">
        <v>0</v>
      </c>
      <c r="V67" s="41">
        <v>0</v>
      </c>
      <c r="W67" s="31">
        <f t="shared" si="19"/>
        <v>1.467769</v>
      </c>
      <c r="X67" s="10">
        <v>0</v>
      </c>
      <c r="Y67" s="10">
        <v>1.6800000000000002</v>
      </c>
      <c r="Z67" s="31">
        <f t="shared" si="20"/>
        <v>0.21223100000000006</v>
      </c>
      <c r="AA67" s="31">
        <f t="shared" si="21"/>
        <v>0.21223100000000006</v>
      </c>
      <c r="AB67" s="10" t="s">
        <v>40</v>
      </c>
    </row>
    <row r="68" spans="1:28" ht="15" customHeight="1">
      <c r="A68" s="13">
        <v>59</v>
      </c>
      <c r="B68" s="37" t="s">
        <v>124</v>
      </c>
      <c r="C68" s="10" t="s">
        <v>4</v>
      </c>
      <c r="D68" s="10">
        <v>5</v>
      </c>
      <c r="E68" s="30">
        <v>0.367452</v>
      </c>
      <c r="F68" s="31">
        <v>0</v>
      </c>
      <c r="G68" s="41">
        <v>0</v>
      </c>
      <c r="H68" s="30">
        <f t="shared" si="15"/>
        <v>0.367452</v>
      </c>
      <c r="I68" s="38">
        <v>0</v>
      </c>
      <c r="J68" s="30">
        <f>2.5*1.05</f>
        <v>2.625</v>
      </c>
      <c r="K68" s="30">
        <f t="shared" si="16"/>
        <v>2.257548</v>
      </c>
      <c r="L68" s="30">
        <f t="shared" si="17"/>
        <v>2.257548</v>
      </c>
      <c r="M68" s="10" t="s">
        <v>40</v>
      </c>
      <c r="N68" s="15">
        <v>0.81</v>
      </c>
      <c r="O68" s="12"/>
      <c r="P68" s="13">
        <v>59</v>
      </c>
      <c r="Q68" s="37" t="s">
        <v>124</v>
      </c>
      <c r="R68" s="10" t="s">
        <v>4</v>
      </c>
      <c r="S68" s="10"/>
      <c r="T68" s="30">
        <f t="shared" si="18"/>
        <v>0.367452</v>
      </c>
      <c r="U68" s="31">
        <v>0</v>
      </c>
      <c r="V68" s="41">
        <v>0</v>
      </c>
      <c r="W68" s="31">
        <f t="shared" si="19"/>
        <v>0.367452</v>
      </c>
      <c r="X68" s="10">
        <v>0</v>
      </c>
      <c r="Y68" s="10">
        <v>2.625</v>
      </c>
      <c r="Z68" s="31">
        <f t="shared" si="20"/>
        <v>2.257548</v>
      </c>
      <c r="AA68" s="31">
        <f t="shared" si="21"/>
        <v>2.257548</v>
      </c>
      <c r="AB68" s="10" t="s">
        <v>40</v>
      </c>
    </row>
    <row r="69" spans="1:28" ht="15" customHeight="1">
      <c r="A69" s="13">
        <v>60</v>
      </c>
      <c r="B69" s="37" t="s">
        <v>125</v>
      </c>
      <c r="C69" s="10" t="s">
        <v>13</v>
      </c>
      <c r="D69" s="10">
        <v>12.6</v>
      </c>
      <c r="E69" s="30">
        <v>2.101604</v>
      </c>
      <c r="F69" s="31">
        <v>0.05</v>
      </c>
      <c r="G69" s="41">
        <v>40</v>
      </c>
      <c r="H69" s="30">
        <f aca="true" t="shared" si="23" ref="H69:H100">E69-F69</f>
        <v>2.051604</v>
      </c>
      <c r="I69" s="38">
        <v>0</v>
      </c>
      <c r="J69" s="30">
        <f>6.3*1.05</f>
        <v>6.615</v>
      </c>
      <c r="K69" s="30">
        <f t="shared" si="16"/>
        <v>4.563396</v>
      </c>
      <c r="L69" s="30">
        <f t="shared" si="17"/>
        <v>4.563396</v>
      </c>
      <c r="M69" s="10" t="s">
        <v>40</v>
      </c>
      <c r="N69" s="15">
        <v>0.86</v>
      </c>
      <c r="O69" s="12"/>
      <c r="P69" s="13">
        <v>60</v>
      </c>
      <c r="Q69" s="37" t="s">
        <v>125</v>
      </c>
      <c r="R69" s="10" t="s">
        <v>13</v>
      </c>
      <c r="S69" s="10">
        <v>1.33</v>
      </c>
      <c r="T69" s="30">
        <f aca="true" t="shared" si="24" ref="T69:T100">S69+E69</f>
        <v>3.431604</v>
      </c>
      <c r="U69" s="31">
        <v>0.05</v>
      </c>
      <c r="V69" s="41">
        <v>40</v>
      </c>
      <c r="W69" s="31">
        <f t="shared" si="19"/>
        <v>3.3816040000000003</v>
      </c>
      <c r="X69" s="10">
        <v>0</v>
      </c>
      <c r="Y69" s="10">
        <v>6.615</v>
      </c>
      <c r="Z69" s="31">
        <f t="shared" si="20"/>
        <v>3.233396</v>
      </c>
      <c r="AA69" s="31">
        <f t="shared" si="21"/>
        <v>3.233396</v>
      </c>
      <c r="AB69" s="10" t="s">
        <v>40</v>
      </c>
    </row>
    <row r="70" spans="1:28" ht="15" customHeight="1">
      <c r="A70" s="13">
        <v>61</v>
      </c>
      <c r="B70" s="37" t="s">
        <v>126</v>
      </c>
      <c r="C70" s="10" t="s">
        <v>4</v>
      </c>
      <c r="D70" s="10">
        <v>5</v>
      </c>
      <c r="E70" s="30">
        <v>0.614669</v>
      </c>
      <c r="F70" s="31">
        <v>0.4</v>
      </c>
      <c r="G70" s="41">
        <v>260</v>
      </c>
      <c r="H70" s="30">
        <f t="shared" si="23"/>
        <v>0.214669</v>
      </c>
      <c r="I70" s="38">
        <v>0</v>
      </c>
      <c r="J70" s="30">
        <f>2.5*1.05</f>
        <v>2.625</v>
      </c>
      <c r="K70" s="30">
        <f t="shared" si="16"/>
        <v>2.4103310000000002</v>
      </c>
      <c r="L70" s="30">
        <f t="shared" si="17"/>
        <v>2.4103310000000002</v>
      </c>
      <c r="M70" s="10" t="s">
        <v>40</v>
      </c>
      <c r="N70" s="15">
        <v>0.91</v>
      </c>
      <c r="O70" s="12"/>
      <c r="P70" s="13">
        <v>61</v>
      </c>
      <c r="Q70" s="37" t="s">
        <v>126</v>
      </c>
      <c r="R70" s="10" t="s">
        <v>4</v>
      </c>
      <c r="S70" s="10"/>
      <c r="T70" s="30">
        <f t="shared" si="24"/>
        <v>0.614669</v>
      </c>
      <c r="U70" s="31">
        <v>0.4</v>
      </c>
      <c r="V70" s="41">
        <v>260</v>
      </c>
      <c r="W70" s="31">
        <f t="shared" si="19"/>
        <v>0.214669</v>
      </c>
      <c r="X70" s="10">
        <v>0</v>
      </c>
      <c r="Y70" s="10">
        <v>2.625</v>
      </c>
      <c r="Z70" s="31">
        <f t="shared" si="20"/>
        <v>2.4103310000000002</v>
      </c>
      <c r="AA70" s="31">
        <f t="shared" si="21"/>
        <v>2.4103310000000002</v>
      </c>
      <c r="AB70" s="10" t="s">
        <v>40</v>
      </c>
    </row>
    <row r="71" spans="1:28" ht="15" customHeight="1">
      <c r="A71" s="13">
        <v>62</v>
      </c>
      <c r="B71" s="37" t="s">
        <v>127</v>
      </c>
      <c r="C71" s="10" t="s">
        <v>4</v>
      </c>
      <c r="D71" s="10">
        <v>5</v>
      </c>
      <c r="E71" s="30">
        <v>0.36157</v>
      </c>
      <c r="F71" s="31">
        <v>0</v>
      </c>
      <c r="G71" s="41">
        <v>0</v>
      </c>
      <c r="H71" s="30">
        <f t="shared" si="23"/>
        <v>0.36157</v>
      </c>
      <c r="I71" s="38">
        <v>0</v>
      </c>
      <c r="J71" s="30">
        <f>2.5*1.05</f>
        <v>2.625</v>
      </c>
      <c r="K71" s="30">
        <f t="shared" si="16"/>
        <v>2.26343</v>
      </c>
      <c r="L71" s="30">
        <f t="shared" si="17"/>
        <v>2.26343</v>
      </c>
      <c r="M71" s="10" t="s">
        <v>40</v>
      </c>
      <c r="N71" s="15">
        <v>0.9</v>
      </c>
      <c r="O71" s="12"/>
      <c r="P71" s="13">
        <v>62</v>
      </c>
      <c r="Q71" s="37" t="s">
        <v>127</v>
      </c>
      <c r="R71" s="10" t="s">
        <v>4</v>
      </c>
      <c r="S71" s="10">
        <v>0.36</v>
      </c>
      <c r="T71" s="30">
        <f t="shared" si="24"/>
        <v>0.72157</v>
      </c>
      <c r="U71" s="31">
        <v>0</v>
      </c>
      <c r="V71" s="41">
        <v>0</v>
      </c>
      <c r="W71" s="31">
        <f t="shared" si="19"/>
        <v>0.72157</v>
      </c>
      <c r="X71" s="10">
        <v>0</v>
      </c>
      <c r="Y71" s="10">
        <v>2.625</v>
      </c>
      <c r="Z71" s="31">
        <f t="shared" si="20"/>
        <v>1.90343</v>
      </c>
      <c r="AA71" s="31">
        <f t="shared" si="21"/>
        <v>1.90343</v>
      </c>
      <c r="AB71" s="10" t="s">
        <v>40</v>
      </c>
    </row>
    <row r="72" spans="1:28" ht="15" customHeight="1">
      <c r="A72" s="16">
        <v>63</v>
      </c>
      <c r="B72" s="25" t="s">
        <v>128</v>
      </c>
      <c r="C72" s="18" t="s">
        <v>14</v>
      </c>
      <c r="D72" s="18">
        <v>4.8</v>
      </c>
      <c r="E72" s="20">
        <v>1.9227219999999998</v>
      </c>
      <c r="F72" s="23">
        <v>0</v>
      </c>
      <c r="G72" s="44">
        <v>0</v>
      </c>
      <c r="H72" s="20">
        <f t="shared" si="23"/>
        <v>1.9227219999999998</v>
      </c>
      <c r="I72" s="48">
        <v>0</v>
      </c>
      <c r="J72" s="20">
        <f>1.6*1.05</f>
        <v>1.6800000000000002</v>
      </c>
      <c r="K72" s="20">
        <f t="shared" si="16"/>
        <v>-0.24272199999999966</v>
      </c>
      <c r="L72" s="20">
        <f t="shared" si="17"/>
        <v>-0.24272199999999966</v>
      </c>
      <c r="M72" s="18" t="s">
        <v>39</v>
      </c>
      <c r="N72" s="22">
        <v>0.82</v>
      </c>
      <c r="O72" s="12"/>
      <c r="P72" s="16">
        <v>63</v>
      </c>
      <c r="Q72" s="25" t="s">
        <v>128</v>
      </c>
      <c r="R72" s="18" t="s">
        <v>14</v>
      </c>
      <c r="S72" s="18">
        <v>0.14</v>
      </c>
      <c r="T72" s="20">
        <f t="shared" si="24"/>
        <v>2.062722</v>
      </c>
      <c r="U72" s="23">
        <v>0</v>
      </c>
      <c r="V72" s="44">
        <v>0</v>
      </c>
      <c r="W72" s="23">
        <f t="shared" si="19"/>
        <v>2.062722</v>
      </c>
      <c r="X72" s="18">
        <v>0</v>
      </c>
      <c r="Y72" s="18">
        <v>1.6800000000000002</v>
      </c>
      <c r="Z72" s="23">
        <f t="shared" si="20"/>
        <v>-0.3827219999999998</v>
      </c>
      <c r="AA72" s="23">
        <f t="shared" si="21"/>
        <v>-0.3827219999999998</v>
      </c>
      <c r="AB72" s="18" t="s">
        <v>39</v>
      </c>
    </row>
    <row r="73" spans="1:28" ht="15" customHeight="1">
      <c r="A73" s="13">
        <v>64</v>
      </c>
      <c r="B73" s="37" t="s">
        <v>129</v>
      </c>
      <c r="C73" s="10" t="s">
        <v>4</v>
      </c>
      <c r="D73" s="10">
        <v>5</v>
      </c>
      <c r="E73" s="30">
        <v>0.43820899999999996</v>
      </c>
      <c r="F73" s="31">
        <v>0.02</v>
      </c>
      <c r="G73" s="41">
        <v>60</v>
      </c>
      <c r="H73" s="30">
        <f t="shared" si="23"/>
        <v>0.41820899999999994</v>
      </c>
      <c r="I73" s="38">
        <v>0</v>
      </c>
      <c r="J73" s="30">
        <f>2.5*1.05</f>
        <v>2.625</v>
      </c>
      <c r="K73" s="30">
        <f t="shared" si="16"/>
        <v>2.206791</v>
      </c>
      <c r="L73" s="30">
        <f t="shared" si="17"/>
        <v>2.206791</v>
      </c>
      <c r="M73" s="10" t="s">
        <v>40</v>
      </c>
      <c r="N73" s="15">
        <v>0.8</v>
      </c>
      <c r="O73" s="12"/>
      <c r="P73" s="13">
        <v>64</v>
      </c>
      <c r="Q73" s="37" t="s">
        <v>129</v>
      </c>
      <c r="R73" s="10" t="s">
        <v>4</v>
      </c>
      <c r="S73" s="10">
        <v>0.02</v>
      </c>
      <c r="T73" s="30">
        <f t="shared" si="24"/>
        <v>0.458209</v>
      </c>
      <c r="U73" s="31">
        <v>0.02</v>
      </c>
      <c r="V73" s="41">
        <v>60</v>
      </c>
      <c r="W73" s="31">
        <f t="shared" si="19"/>
        <v>0.43820899999999996</v>
      </c>
      <c r="X73" s="10">
        <v>0</v>
      </c>
      <c r="Y73" s="10">
        <v>2.625</v>
      </c>
      <c r="Z73" s="31">
        <f t="shared" si="20"/>
        <v>2.186791</v>
      </c>
      <c r="AA73" s="31">
        <f t="shared" si="21"/>
        <v>2.186791</v>
      </c>
      <c r="AB73" s="10" t="s">
        <v>40</v>
      </c>
    </row>
    <row r="74" spans="1:28" ht="15" customHeight="1">
      <c r="A74" s="13">
        <v>65</v>
      </c>
      <c r="B74" s="37" t="s">
        <v>130</v>
      </c>
      <c r="C74" s="10" t="s">
        <v>10</v>
      </c>
      <c r="D74" s="10">
        <v>8</v>
      </c>
      <c r="E74" s="30">
        <v>1.67</v>
      </c>
      <c r="F74" s="31">
        <v>0</v>
      </c>
      <c r="G74" s="41">
        <v>0</v>
      </c>
      <c r="H74" s="30">
        <f t="shared" si="23"/>
        <v>1.67</v>
      </c>
      <c r="I74" s="38">
        <v>0</v>
      </c>
      <c r="J74" s="30">
        <f>4*1.05</f>
        <v>4.2</v>
      </c>
      <c r="K74" s="30">
        <f t="shared" si="16"/>
        <v>2.5300000000000002</v>
      </c>
      <c r="L74" s="30">
        <f t="shared" si="17"/>
        <v>2.5300000000000002</v>
      </c>
      <c r="M74" s="10" t="s">
        <v>40</v>
      </c>
      <c r="N74" s="15">
        <v>0.9</v>
      </c>
      <c r="O74" s="12"/>
      <c r="P74" s="13">
        <v>65</v>
      </c>
      <c r="Q74" s="37" t="s">
        <v>130</v>
      </c>
      <c r="R74" s="10" t="s">
        <v>10</v>
      </c>
      <c r="S74" s="10">
        <v>0.14</v>
      </c>
      <c r="T74" s="30">
        <f t="shared" si="24"/>
        <v>1.81</v>
      </c>
      <c r="U74" s="31">
        <v>0</v>
      </c>
      <c r="V74" s="41">
        <v>0</v>
      </c>
      <c r="W74" s="31">
        <f t="shared" si="19"/>
        <v>1.81</v>
      </c>
      <c r="X74" s="10">
        <v>0</v>
      </c>
      <c r="Y74" s="10">
        <v>4.2</v>
      </c>
      <c r="Z74" s="31">
        <f t="shared" si="20"/>
        <v>2.39</v>
      </c>
      <c r="AA74" s="31">
        <f t="shared" si="21"/>
        <v>2.39</v>
      </c>
      <c r="AB74" s="10" t="s">
        <v>40</v>
      </c>
    </row>
    <row r="75" spans="1:28" ht="15" customHeight="1">
      <c r="A75" s="13">
        <v>66</v>
      </c>
      <c r="B75" s="37" t="s">
        <v>131</v>
      </c>
      <c r="C75" s="10" t="s">
        <v>13</v>
      </c>
      <c r="D75" s="10">
        <v>12.6</v>
      </c>
      <c r="E75" s="30">
        <v>2.55348</v>
      </c>
      <c r="F75" s="31">
        <v>0.4</v>
      </c>
      <c r="G75" s="41">
        <v>60</v>
      </c>
      <c r="H75" s="30">
        <f t="shared" si="23"/>
        <v>2.15348</v>
      </c>
      <c r="I75" s="38">
        <v>0</v>
      </c>
      <c r="J75" s="30">
        <f>6.3*1.05</f>
        <v>6.615</v>
      </c>
      <c r="K75" s="30">
        <f t="shared" si="16"/>
        <v>4.46152</v>
      </c>
      <c r="L75" s="30">
        <f t="shared" si="17"/>
        <v>4.46152</v>
      </c>
      <c r="M75" s="10" t="s">
        <v>40</v>
      </c>
      <c r="N75" s="15">
        <v>0.91</v>
      </c>
      <c r="O75" s="12"/>
      <c r="P75" s="13">
        <v>66</v>
      </c>
      <c r="Q75" s="37" t="s">
        <v>131</v>
      </c>
      <c r="R75" s="10" t="s">
        <v>13</v>
      </c>
      <c r="S75" s="10">
        <v>0.23</v>
      </c>
      <c r="T75" s="30">
        <f t="shared" si="24"/>
        <v>2.78348</v>
      </c>
      <c r="U75" s="31">
        <v>0.4</v>
      </c>
      <c r="V75" s="41">
        <v>60</v>
      </c>
      <c r="W75" s="31">
        <f t="shared" si="19"/>
        <v>2.38348</v>
      </c>
      <c r="X75" s="10">
        <v>0</v>
      </c>
      <c r="Y75" s="10">
        <v>6.615</v>
      </c>
      <c r="Z75" s="31">
        <f t="shared" si="20"/>
        <v>4.23152</v>
      </c>
      <c r="AA75" s="31">
        <f t="shared" si="21"/>
        <v>4.23152</v>
      </c>
      <c r="AB75" s="10" t="s">
        <v>40</v>
      </c>
    </row>
    <row r="76" spans="1:28" ht="15" customHeight="1">
      <c r="A76" s="13">
        <v>67</v>
      </c>
      <c r="B76" s="37" t="s">
        <v>132</v>
      </c>
      <c r="C76" s="10" t="s">
        <v>4</v>
      </c>
      <c r="D76" s="10">
        <v>5</v>
      </c>
      <c r="E76" s="30">
        <v>0.38509800000000005</v>
      </c>
      <c r="F76" s="31">
        <v>0</v>
      </c>
      <c r="G76" s="41">
        <v>0</v>
      </c>
      <c r="H76" s="30">
        <f t="shared" si="23"/>
        <v>0.38509800000000005</v>
      </c>
      <c r="I76" s="38">
        <v>0</v>
      </c>
      <c r="J76" s="30">
        <f>2.5*1.05</f>
        <v>2.625</v>
      </c>
      <c r="K76" s="30">
        <f t="shared" si="16"/>
        <v>2.239902</v>
      </c>
      <c r="L76" s="30">
        <f t="shared" si="17"/>
        <v>2.239902</v>
      </c>
      <c r="M76" s="10" t="s">
        <v>40</v>
      </c>
      <c r="N76" s="15">
        <v>0.75</v>
      </c>
      <c r="O76" s="12"/>
      <c r="P76" s="13">
        <v>67</v>
      </c>
      <c r="Q76" s="37" t="s">
        <v>132</v>
      </c>
      <c r="R76" s="10" t="s">
        <v>4</v>
      </c>
      <c r="S76" s="10">
        <v>0.05</v>
      </c>
      <c r="T76" s="30">
        <f t="shared" si="24"/>
        <v>0.43509800000000004</v>
      </c>
      <c r="U76" s="31">
        <v>0</v>
      </c>
      <c r="V76" s="41">
        <v>0</v>
      </c>
      <c r="W76" s="31">
        <f t="shared" si="19"/>
        <v>0.43509800000000004</v>
      </c>
      <c r="X76" s="10">
        <v>0</v>
      </c>
      <c r="Y76" s="10">
        <v>2.625</v>
      </c>
      <c r="Z76" s="31">
        <f t="shared" si="20"/>
        <v>2.189902</v>
      </c>
      <c r="AA76" s="31">
        <f t="shared" si="21"/>
        <v>2.189902</v>
      </c>
      <c r="AB76" s="10" t="s">
        <v>40</v>
      </c>
    </row>
    <row r="77" spans="1:28" ht="15" customHeight="1">
      <c r="A77" s="13">
        <v>68</v>
      </c>
      <c r="B77" s="37" t="s">
        <v>133</v>
      </c>
      <c r="C77" s="10" t="s">
        <v>4</v>
      </c>
      <c r="D77" s="10">
        <v>5</v>
      </c>
      <c r="E77" s="30">
        <v>0.346</v>
      </c>
      <c r="F77" s="31">
        <v>0.05</v>
      </c>
      <c r="G77" s="41">
        <v>60</v>
      </c>
      <c r="H77" s="30">
        <f t="shared" si="23"/>
        <v>0.296</v>
      </c>
      <c r="I77" s="38">
        <v>0</v>
      </c>
      <c r="J77" s="30">
        <f>2.5*1.05</f>
        <v>2.625</v>
      </c>
      <c r="K77" s="30">
        <f t="shared" si="16"/>
        <v>2.329</v>
      </c>
      <c r="L77" s="30">
        <f t="shared" si="17"/>
        <v>2.329</v>
      </c>
      <c r="M77" s="10" t="s">
        <v>40</v>
      </c>
      <c r="N77" s="15">
        <v>0.91</v>
      </c>
      <c r="O77" s="12"/>
      <c r="P77" s="13">
        <v>68</v>
      </c>
      <c r="Q77" s="37" t="s">
        <v>133</v>
      </c>
      <c r="R77" s="10" t="s">
        <v>4</v>
      </c>
      <c r="S77" s="10">
        <v>0.01</v>
      </c>
      <c r="T77" s="30">
        <f t="shared" si="24"/>
        <v>0.356</v>
      </c>
      <c r="U77" s="31">
        <v>0.05</v>
      </c>
      <c r="V77" s="41">
        <v>60</v>
      </c>
      <c r="W77" s="31">
        <f t="shared" si="19"/>
        <v>0.306</v>
      </c>
      <c r="X77" s="10">
        <v>0</v>
      </c>
      <c r="Y77" s="10">
        <v>2.625</v>
      </c>
      <c r="Z77" s="31">
        <f t="shared" si="20"/>
        <v>2.319</v>
      </c>
      <c r="AA77" s="31">
        <f t="shared" si="21"/>
        <v>2.319</v>
      </c>
      <c r="AB77" s="10" t="s">
        <v>40</v>
      </c>
    </row>
    <row r="78" spans="1:28" ht="15" customHeight="1">
      <c r="A78" s="13">
        <v>69</v>
      </c>
      <c r="B78" s="37" t="s">
        <v>134</v>
      </c>
      <c r="C78" s="10" t="s">
        <v>4</v>
      </c>
      <c r="D78" s="10">
        <v>5</v>
      </c>
      <c r="E78" s="30">
        <v>0.23147399999999999</v>
      </c>
      <c r="F78" s="31">
        <v>0</v>
      </c>
      <c r="G78" s="41">
        <v>0</v>
      </c>
      <c r="H78" s="30">
        <f t="shared" si="23"/>
        <v>0.23147399999999999</v>
      </c>
      <c r="I78" s="38">
        <v>0</v>
      </c>
      <c r="J78" s="30">
        <f>2.5*1.05</f>
        <v>2.625</v>
      </c>
      <c r="K78" s="30">
        <f t="shared" si="16"/>
        <v>2.393526</v>
      </c>
      <c r="L78" s="30">
        <f t="shared" si="17"/>
        <v>2.393526</v>
      </c>
      <c r="M78" s="10" t="s">
        <v>40</v>
      </c>
      <c r="N78" s="15">
        <v>0.94</v>
      </c>
      <c r="O78" s="12"/>
      <c r="P78" s="13">
        <v>69</v>
      </c>
      <c r="Q78" s="37" t="s">
        <v>134</v>
      </c>
      <c r="R78" s="10" t="s">
        <v>4</v>
      </c>
      <c r="S78" s="10">
        <v>0.05</v>
      </c>
      <c r="T78" s="30">
        <f t="shared" si="24"/>
        <v>0.281474</v>
      </c>
      <c r="U78" s="31">
        <v>0</v>
      </c>
      <c r="V78" s="41">
        <v>0</v>
      </c>
      <c r="W78" s="31">
        <f t="shared" si="19"/>
        <v>0.281474</v>
      </c>
      <c r="X78" s="10">
        <v>0</v>
      </c>
      <c r="Y78" s="10">
        <v>2.625</v>
      </c>
      <c r="Z78" s="31">
        <f t="shared" si="20"/>
        <v>2.3435259999999998</v>
      </c>
      <c r="AA78" s="31">
        <f t="shared" si="21"/>
        <v>2.3435259999999998</v>
      </c>
      <c r="AB78" s="10" t="s">
        <v>40</v>
      </c>
    </row>
    <row r="79" spans="1:28" ht="15" customHeight="1">
      <c r="A79" s="13">
        <v>70</v>
      </c>
      <c r="B79" s="37" t="s">
        <v>135</v>
      </c>
      <c r="C79" s="10" t="s">
        <v>4</v>
      </c>
      <c r="D79" s="10">
        <v>5</v>
      </c>
      <c r="E79" s="30">
        <v>1.6165120000000002</v>
      </c>
      <c r="F79" s="31">
        <v>0.22</v>
      </c>
      <c r="G79" s="41">
        <v>180</v>
      </c>
      <c r="H79" s="30">
        <f t="shared" si="23"/>
        <v>1.3965120000000002</v>
      </c>
      <c r="I79" s="38">
        <v>0</v>
      </c>
      <c r="J79" s="30">
        <f>2.5*1.05</f>
        <v>2.625</v>
      </c>
      <c r="K79" s="30">
        <f t="shared" si="16"/>
        <v>1.2284879999999998</v>
      </c>
      <c r="L79" s="30">
        <f t="shared" si="17"/>
        <v>1.2284879999999998</v>
      </c>
      <c r="M79" s="10" t="s">
        <v>40</v>
      </c>
      <c r="N79" s="15">
        <v>0.9</v>
      </c>
      <c r="O79" s="12"/>
      <c r="P79" s="13">
        <v>70</v>
      </c>
      <c r="Q79" s="37" t="s">
        <v>135</v>
      </c>
      <c r="R79" s="10" t="s">
        <v>4</v>
      </c>
      <c r="S79" s="10">
        <v>0.04</v>
      </c>
      <c r="T79" s="30">
        <f t="shared" si="24"/>
        <v>1.6565120000000002</v>
      </c>
      <c r="U79" s="31">
        <v>0.22</v>
      </c>
      <c r="V79" s="41">
        <v>180</v>
      </c>
      <c r="W79" s="31">
        <f t="shared" si="19"/>
        <v>1.4365120000000002</v>
      </c>
      <c r="X79" s="10">
        <v>0</v>
      </c>
      <c r="Y79" s="10">
        <v>2.625</v>
      </c>
      <c r="Z79" s="31">
        <f t="shared" si="20"/>
        <v>1.1884879999999998</v>
      </c>
      <c r="AA79" s="31">
        <f t="shared" si="21"/>
        <v>1.1884879999999998</v>
      </c>
      <c r="AB79" s="10" t="s">
        <v>40</v>
      </c>
    </row>
    <row r="80" spans="1:28" ht="15" customHeight="1">
      <c r="A80" s="13">
        <v>71</v>
      </c>
      <c r="B80" s="37" t="s">
        <v>136</v>
      </c>
      <c r="C80" s="10" t="s">
        <v>4</v>
      </c>
      <c r="D80" s="10">
        <v>5</v>
      </c>
      <c r="E80" s="30">
        <v>0.458796</v>
      </c>
      <c r="F80" s="31">
        <v>0</v>
      </c>
      <c r="G80" s="41">
        <v>0</v>
      </c>
      <c r="H80" s="30">
        <f t="shared" si="23"/>
        <v>0.458796</v>
      </c>
      <c r="I80" s="38">
        <v>0</v>
      </c>
      <c r="J80" s="30">
        <f>2.5*1.05</f>
        <v>2.625</v>
      </c>
      <c r="K80" s="30">
        <f t="shared" si="16"/>
        <v>2.166204</v>
      </c>
      <c r="L80" s="30">
        <f t="shared" si="17"/>
        <v>2.166204</v>
      </c>
      <c r="M80" s="10" t="s">
        <v>40</v>
      </c>
      <c r="N80" s="15">
        <v>0.88</v>
      </c>
      <c r="O80" s="12"/>
      <c r="P80" s="13">
        <v>71</v>
      </c>
      <c r="Q80" s="37" t="s">
        <v>136</v>
      </c>
      <c r="R80" s="10" t="s">
        <v>4</v>
      </c>
      <c r="S80" s="10">
        <v>0.17</v>
      </c>
      <c r="T80" s="30">
        <f t="shared" si="24"/>
        <v>0.628796</v>
      </c>
      <c r="U80" s="31">
        <v>0</v>
      </c>
      <c r="V80" s="41">
        <v>0</v>
      </c>
      <c r="W80" s="31">
        <f t="shared" si="19"/>
        <v>0.628796</v>
      </c>
      <c r="X80" s="10">
        <v>0</v>
      </c>
      <c r="Y80" s="10">
        <v>2.625</v>
      </c>
      <c r="Z80" s="31">
        <f t="shared" si="20"/>
        <v>1.996204</v>
      </c>
      <c r="AA80" s="31">
        <f t="shared" si="21"/>
        <v>1.996204</v>
      </c>
      <c r="AB80" s="10" t="s">
        <v>40</v>
      </c>
    </row>
    <row r="81" spans="1:28" ht="15" customHeight="1">
      <c r="A81" s="13">
        <v>72</v>
      </c>
      <c r="B81" s="37" t="s">
        <v>137</v>
      </c>
      <c r="C81" s="10" t="s">
        <v>15</v>
      </c>
      <c r="D81" s="10">
        <v>4.1</v>
      </c>
      <c r="E81" s="30">
        <v>0.29064</v>
      </c>
      <c r="F81" s="31">
        <v>0</v>
      </c>
      <c r="G81" s="41">
        <v>0</v>
      </c>
      <c r="H81" s="30">
        <f t="shared" si="23"/>
        <v>0.29064</v>
      </c>
      <c r="I81" s="38">
        <v>0</v>
      </c>
      <c r="J81" s="30">
        <f>1.6*1.05</f>
        <v>1.6800000000000002</v>
      </c>
      <c r="K81" s="30">
        <f t="shared" si="16"/>
        <v>1.3893600000000002</v>
      </c>
      <c r="L81" s="30">
        <f t="shared" si="17"/>
        <v>1.3893600000000002</v>
      </c>
      <c r="M81" s="10" t="s">
        <v>40</v>
      </c>
      <c r="N81" s="15">
        <v>0.95</v>
      </c>
      <c r="O81" s="12"/>
      <c r="P81" s="13">
        <v>72</v>
      </c>
      <c r="Q81" s="37" t="s">
        <v>137</v>
      </c>
      <c r="R81" s="10" t="s">
        <v>15</v>
      </c>
      <c r="S81" s="10"/>
      <c r="T81" s="30">
        <f t="shared" si="24"/>
        <v>0.29064</v>
      </c>
      <c r="U81" s="31">
        <v>0</v>
      </c>
      <c r="V81" s="41">
        <v>0</v>
      </c>
      <c r="W81" s="31">
        <f t="shared" si="19"/>
        <v>0.29064</v>
      </c>
      <c r="X81" s="10">
        <v>0</v>
      </c>
      <c r="Y81" s="10">
        <v>1.6800000000000002</v>
      </c>
      <c r="Z81" s="31">
        <f t="shared" si="20"/>
        <v>1.3893600000000002</v>
      </c>
      <c r="AA81" s="31">
        <f t="shared" si="21"/>
        <v>1.3893600000000002</v>
      </c>
      <c r="AB81" s="10" t="s">
        <v>40</v>
      </c>
    </row>
    <row r="82" spans="1:28" ht="15" customHeight="1">
      <c r="A82" s="13">
        <v>73</v>
      </c>
      <c r="B82" s="37" t="s">
        <v>138</v>
      </c>
      <c r="C82" s="10" t="s">
        <v>16</v>
      </c>
      <c r="D82" s="10">
        <v>4.1</v>
      </c>
      <c r="E82" s="30">
        <v>0.381465</v>
      </c>
      <c r="F82" s="31">
        <v>0</v>
      </c>
      <c r="G82" s="41">
        <v>0</v>
      </c>
      <c r="H82" s="30">
        <f t="shared" si="23"/>
        <v>0.381465</v>
      </c>
      <c r="I82" s="38">
        <v>0</v>
      </c>
      <c r="J82" s="30">
        <f>1.6*1.05</f>
        <v>1.6800000000000002</v>
      </c>
      <c r="K82" s="30">
        <f t="shared" si="16"/>
        <v>1.2985350000000002</v>
      </c>
      <c r="L82" s="30">
        <f t="shared" si="17"/>
        <v>1.2985350000000002</v>
      </c>
      <c r="M82" s="10" t="s">
        <v>40</v>
      </c>
      <c r="N82" s="15">
        <v>0.8</v>
      </c>
      <c r="O82" s="12"/>
      <c r="P82" s="13">
        <v>73</v>
      </c>
      <c r="Q82" s="37" t="s">
        <v>138</v>
      </c>
      <c r="R82" s="10" t="s">
        <v>16</v>
      </c>
      <c r="S82" s="10">
        <v>0.01</v>
      </c>
      <c r="T82" s="30">
        <f t="shared" si="24"/>
        <v>0.391465</v>
      </c>
      <c r="U82" s="31">
        <v>0</v>
      </c>
      <c r="V82" s="41">
        <v>0</v>
      </c>
      <c r="W82" s="31">
        <f t="shared" si="19"/>
        <v>0.391465</v>
      </c>
      <c r="X82" s="10">
        <v>0</v>
      </c>
      <c r="Y82" s="10">
        <v>1.6800000000000002</v>
      </c>
      <c r="Z82" s="31">
        <f t="shared" si="20"/>
        <v>1.2885350000000002</v>
      </c>
      <c r="AA82" s="31">
        <f t="shared" si="21"/>
        <v>1.2885350000000002</v>
      </c>
      <c r="AB82" s="10" t="s">
        <v>40</v>
      </c>
    </row>
    <row r="83" spans="1:28" ht="15" customHeight="1">
      <c r="A83" s="13">
        <v>74</v>
      </c>
      <c r="B83" s="37" t="s">
        <v>139</v>
      </c>
      <c r="C83" s="10" t="s">
        <v>17</v>
      </c>
      <c r="D83" s="10">
        <v>6.5</v>
      </c>
      <c r="E83" s="30">
        <v>1.29577</v>
      </c>
      <c r="F83" s="31">
        <v>0</v>
      </c>
      <c r="G83" s="41">
        <v>0</v>
      </c>
      <c r="H83" s="30">
        <f t="shared" si="23"/>
        <v>1.29577</v>
      </c>
      <c r="I83" s="38">
        <v>0</v>
      </c>
      <c r="J83" s="30">
        <f>2.5*1.05</f>
        <v>2.625</v>
      </c>
      <c r="K83" s="30">
        <f t="shared" si="16"/>
        <v>1.32923</v>
      </c>
      <c r="L83" s="30">
        <f t="shared" si="17"/>
        <v>1.32923</v>
      </c>
      <c r="M83" s="10" t="s">
        <v>40</v>
      </c>
      <c r="N83" s="15">
        <v>0.87</v>
      </c>
      <c r="O83" s="12"/>
      <c r="P83" s="13">
        <v>74</v>
      </c>
      <c r="Q83" s="37" t="s">
        <v>139</v>
      </c>
      <c r="R83" s="10" t="s">
        <v>17</v>
      </c>
      <c r="S83" s="10">
        <v>0.04</v>
      </c>
      <c r="T83" s="30">
        <f t="shared" si="24"/>
        <v>1.3357700000000001</v>
      </c>
      <c r="U83" s="31">
        <v>0</v>
      </c>
      <c r="V83" s="41">
        <v>0</v>
      </c>
      <c r="W83" s="31">
        <f t="shared" si="19"/>
        <v>1.3357700000000001</v>
      </c>
      <c r="X83" s="10">
        <v>0</v>
      </c>
      <c r="Y83" s="10">
        <v>2.625</v>
      </c>
      <c r="Z83" s="31">
        <f t="shared" si="20"/>
        <v>1.2892299999999999</v>
      </c>
      <c r="AA83" s="31">
        <f t="shared" si="21"/>
        <v>1.2892299999999999</v>
      </c>
      <c r="AB83" s="10" t="s">
        <v>40</v>
      </c>
    </row>
    <row r="84" spans="1:28" ht="15" customHeight="1">
      <c r="A84" s="13">
        <v>75</v>
      </c>
      <c r="B84" s="37" t="s">
        <v>140</v>
      </c>
      <c r="C84" s="10" t="s">
        <v>10</v>
      </c>
      <c r="D84" s="10">
        <v>8</v>
      </c>
      <c r="E84" s="30">
        <v>3.292536</v>
      </c>
      <c r="F84" s="31">
        <v>0.74</v>
      </c>
      <c r="G84" s="41">
        <v>140</v>
      </c>
      <c r="H84" s="30">
        <f t="shared" si="23"/>
        <v>2.552536</v>
      </c>
      <c r="I84" s="38">
        <v>0</v>
      </c>
      <c r="J84" s="30">
        <f>4*1.05</f>
        <v>4.2</v>
      </c>
      <c r="K84" s="30">
        <f t="shared" si="16"/>
        <v>1.6474640000000003</v>
      </c>
      <c r="L84" s="30">
        <f t="shared" si="17"/>
        <v>1.6474640000000003</v>
      </c>
      <c r="M84" s="10" t="s">
        <v>40</v>
      </c>
      <c r="N84" s="15">
        <v>0.93</v>
      </c>
      <c r="O84" s="12"/>
      <c r="P84" s="16">
        <v>75</v>
      </c>
      <c r="Q84" s="25" t="s">
        <v>140</v>
      </c>
      <c r="R84" s="18" t="s">
        <v>10</v>
      </c>
      <c r="S84" s="18">
        <v>2.02</v>
      </c>
      <c r="T84" s="20">
        <f t="shared" si="24"/>
        <v>5.312536</v>
      </c>
      <c r="U84" s="23">
        <v>0.74</v>
      </c>
      <c r="V84" s="44">
        <v>140</v>
      </c>
      <c r="W84" s="23">
        <f t="shared" si="19"/>
        <v>4.5725359999999995</v>
      </c>
      <c r="X84" s="18">
        <v>0</v>
      </c>
      <c r="Y84" s="18">
        <v>4.2</v>
      </c>
      <c r="Z84" s="23">
        <f t="shared" si="20"/>
        <v>-0.3725359999999993</v>
      </c>
      <c r="AA84" s="23">
        <f t="shared" si="21"/>
        <v>-0.3725359999999993</v>
      </c>
      <c r="AB84" s="18" t="s">
        <v>39</v>
      </c>
    </row>
    <row r="85" spans="1:28" ht="15" customHeight="1">
      <c r="A85" s="13">
        <v>76</v>
      </c>
      <c r="B85" s="37" t="s">
        <v>141</v>
      </c>
      <c r="C85" s="10" t="s">
        <v>18</v>
      </c>
      <c r="D85" s="10">
        <v>5.7</v>
      </c>
      <c r="E85" s="30">
        <v>0.46882999999999997</v>
      </c>
      <c r="F85" s="31">
        <v>0.1</v>
      </c>
      <c r="G85" s="41">
        <v>80</v>
      </c>
      <c r="H85" s="30">
        <f t="shared" si="23"/>
        <v>0.36883</v>
      </c>
      <c r="I85" s="38">
        <v>0</v>
      </c>
      <c r="J85" s="30">
        <f>2.5*1.05</f>
        <v>2.625</v>
      </c>
      <c r="K85" s="30">
        <f t="shared" si="16"/>
        <v>2.25617</v>
      </c>
      <c r="L85" s="30">
        <f t="shared" si="17"/>
        <v>2.25617</v>
      </c>
      <c r="M85" s="10" t="s">
        <v>40</v>
      </c>
      <c r="N85" s="15">
        <v>0.9</v>
      </c>
      <c r="O85" s="12"/>
      <c r="P85" s="13">
        <v>76</v>
      </c>
      <c r="Q85" s="37" t="s">
        <v>141</v>
      </c>
      <c r="R85" s="10" t="s">
        <v>18</v>
      </c>
      <c r="S85" s="10">
        <v>0.01</v>
      </c>
      <c r="T85" s="30">
        <f t="shared" si="24"/>
        <v>0.47883</v>
      </c>
      <c r="U85" s="31">
        <v>0.1</v>
      </c>
      <c r="V85" s="41">
        <v>80</v>
      </c>
      <c r="W85" s="31">
        <f t="shared" si="19"/>
        <v>0.37883</v>
      </c>
      <c r="X85" s="10">
        <v>0</v>
      </c>
      <c r="Y85" s="10">
        <v>2.625</v>
      </c>
      <c r="Z85" s="31">
        <f t="shared" si="20"/>
        <v>2.24617</v>
      </c>
      <c r="AA85" s="31">
        <f t="shared" si="21"/>
        <v>2.24617</v>
      </c>
      <c r="AB85" s="10" t="s">
        <v>40</v>
      </c>
    </row>
    <row r="86" spans="1:28" ht="11.25">
      <c r="A86" s="13">
        <v>77</v>
      </c>
      <c r="B86" s="37" t="s">
        <v>142</v>
      </c>
      <c r="C86" s="10" t="s">
        <v>10</v>
      </c>
      <c r="D86" s="10">
        <v>8</v>
      </c>
      <c r="E86" s="30">
        <v>1.8</v>
      </c>
      <c r="F86" s="31">
        <v>1.2</v>
      </c>
      <c r="G86" s="41">
        <v>70</v>
      </c>
      <c r="H86" s="30">
        <f t="shared" si="23"/>
        <v>0.6000000000000001</v>
      </c>
      <c r="I86" s="38">
        <v>0</v>
      </c>
      <c r="J86" s="30">
        <f>4*1.05</f>
        <v>4.2</v>
      </c>
      <c r="K86" s="30">
        <f t="shared" si="16"/>
        <v>3.6</v>
      </c>
      <c r="L86" s="30">
        <f t="shared" si="17"/>
        <v>3.6</v>
      </c>
      <c r="M86" s="10" t="s">
        <v>40</v>
      </c>
      <c r="N86" s="15">
        <v>0.93</v>
      </c>
      <c r="O86" s="12"/>
      <c r="P86" s="13">
        <v>77</v>
      </c>
      <c r="Q86" s="37" t="s">
        <v>142</v>
      </c>
      <c r="R86" s="10" t="s">
        <v>10</v>
      </c>
      <c r="S86" s="10">
        <v>1.89</v>
      </c>
      <c r="T86" s="30">
        <f t="shared" si="24"/>
        <v>3.69</v>
      </c>
      <c r="U86" s="31">
        <v>1.2</v>
      </c>
      <c r="V86" s="41">
        <v>70</v>
      </c>
      <c r="W86" s="31">
        <f t="shared" si="19"/>
        <v>2.49</v>
      </c>
      <c r="X86" s="10">
        <v>0</v>
      </c>
      <c r="Y86" s="10">
        <v>4.2</v>
      </c>
      <c r="Z86" s="31">
        <f t="shared" si="20"/>
        <v>1.71</v>
      </c>
      <c r="AA86" s="31">
        <f t="shared" si="21"/>
        <v>1.71</v>
      </c>
      <c r="AB86" s="10" t="s">
        <v>40</v>
      </c>
    </row>
    <row r="87" spans="1:28" ht="15" customHeight="1">
      <c r="A87" s="13">
        <v>78</v>
      </c>
      <c r="B87" s="37" t="s">
        <v>143</v>
      </c>
      <c r="C87" s="10" t="s">
        <v>10</v>
      </c>
      <c r="D87" s="10">
        <v>8</v>
      </c>
      <c r="E87" s="30">
        <v>1.218266</v>
      </c>
      <c r="F87" s="31">
        <v>0.35</v>
      </c>
      <c r="G87" s="41">
        <v>60</v>
      </c>
      <c r="H87" s="30">
        <f t="shared" si="23"/>
        <v>0.8682660000000001</v>
      </c>
      <c r="I87" s="38">
        <v>0</v>
      </c>
      <c r="J87" s="30">
        <f>4*1.05</f>
        <v>4.2</v>
      </c>
      <c r="K87" s="30">
        <f t="shared" si="16"/>
        <v>3.331734</v>
      </c>
      <c r="L87" s="30">
        <f t="shared" si="17"/>
        <v>3.331734</v>
      </c>
      <c r="M87" s="10" t="s">
        <v>40</v>
      </c>
      <c r="N87" s="15">
        <v>0.93</v>
      </c>
      <c r="O87" s="12"/>
      <c r="P87" s="13">
        <v>78</v>
      </c>
      <c r="Q87" s="37" t="s">
        <v>143</v>
      </c>
      <c r="R87" s="10" t="s">
        <v>10</v>
      </c>
      <c r="S87" s="10">
        <v>0.14</v>
      </c>
      <c r="T87" s="30">
        <f t="shared" si="24"/>
        <v>1.358266</v>
      </c>
      <c r="U87" s="31">
        <v>0.35</v>
      </c>
      <c r="V87" s="41">
        <v>60</v>
      </c>
      <c r="W87" s="31">
        <f t="shared" si="19"/>
        <v>1.0082659999999999</v>
      </c>
      <c r="X87" s="10">
        <v>0</v>
      </c>
      <c r="Y87" s="10">
        <v>4.2</v>
      </c>
      <c r="Z87" s="31">
        <f t="shared" si="20"/>
        <v>3.1917340000000003</v>
      </c>
      <c r="AA87" s="31">
        <f t="shared" si="21"/>
        <v>3.1917340000000003</v>
      </c>
      <c r="AB87" s="10" t="s">
        <v>40</v>
      </c>
    </row>
    <row r="88" spans="1:28" ht="15" customHeight="1">
      <c r="A88" s="13">
        <v>79</v>
      </c>
      <c r="B88" s="37" t="s">
        <v>144</v>
      </c>
      <c r="C88" s="10" t="s">
        <v>4</v>
      </c>
      <c r="D88" s="10">
        <v>5</v>
      </c>
      <c r="E88" s="30">
        <v>1.5085600000000001</v>
      </c>
      <c r="F88" s="31">
        <v>0.55</v>
      </c>
      <c r="G88" s="41">
        <v>110</v>
      </c>
      <c r="H88" s="30">
        <f t="shared" si="23"/>
        <v>0.9585600000000001</v>
      </c>
      <c r="I88" s="38">
        <v>0</v>
      </c>
      <c r="J88" s="30">
        <f>2.5*1.05</f>
        <v>2.625</v>
      </c>
      <c r="K88" s="30">
        <f t="shared" si="16"/>
        <v>1.66644</v>
      </c>
      <c r="L88" s="30">
        <f t="shared" si="17"/>
        <v>1.66644</v>
      </c>
      <c r="M88" s="10" t="s">
        <v>40</v>
      </c>
      <c r="N88" s="15">
        <v>0.94</v>
      </c>
      <c r="O88" s="12"/>
      <c r="P88" s="13">
        <v>79</v>
      </c>
      <c r="Q88" s="37" t="s">
        <v>144</v>
      </c>
      <c r="R88" s="10" t="s">
        <v>4</v>
      </c>
      <c r="S88" s="10">
        <v>0.343</v>
      </c>
      <c r="T88" s="30">
        <f t="shared" si="24"/>
        <v>1.85156</v>
      </c>
      <c r="U88" s="31">
        <v>0.55</v>
      </c>
      <c r="V88" s="41">
        <v>110</v>
      </c>
      <c r="W88" s="31">
        <f t="shared" si="19"/>
        <v>1.30156</v>
      </c>
      <c r="X88" s="10">
        <v>0</v>
      </c>
      <c r="Y88" s="10">
        <v>2.625</v>
      </c>
      <c r="Z88" s="31">
        <f t="shared" si="20"/>
        <v>1.32344</v>
      </c>
      <c r="AA88" s="31">
        <f t="shared" si="21"/>
        <v>1.32344</v>
      </c>
      <c r="AB88" s="10" t="s">
        <v>40</v>
      </c>
    </row>
    <row r="89" spans="1:28" ht="15" customHeight="1">
      <c r="A89" s="13">
        <v>80</v>
      </c>
      <c r="B89" s="37" t="s">
        <v>145</v>
      </c>
      <c r="C89" s="10" t="s">
        <v>4</v>
      </c>
      <c r="D89" s="10">
        <v>5</v>
      </c>
      <c r="E89" s="30">
        <v>1.2653219999999998</v>
      </c>
      <c r="F89" s="31">
        <v>0</v>
      </c>
      <c r="G89" s="41">
        <v>0</v>
      </c>
      <c r="H89" s="30">
        <f t="shared" si="23"/>
        <v>1.2653219999999998</v>
      </c>
      <c r="I89" s="38">
        <v>0</v>
      </c>
      <c r="J89" s="30">
        <f>2.5*1.05</f>
        <v>2.625</v>
      </c>
      <c r="K89" s="30">
        <f t="shared" si="16"/>
        <v>1.3596780000000002</v>
      </c>
      <c r="L89" s="30">
        <f t="shared" si="17"/>
        <v>1.3596780000000002</v>
      </c>
      <c r="M89" s="10" t="s">
        <v>40</v>
      </c>
      <c r="N89" s="15">
        <v>0.92</v>
      </c>
      <c r="O89" s="12"/>
      <c r="P89" s="13">
        <v>80</v>
      </c>
      <c r="Q89" s="37" t="s">
        <v>145</v>
      </c>
      <c r="R89" s="10" t="s">
        <v>4</v>
      </c>
      <c r="S89" s="10">
        <v>0.1</v>
      </c>
      <c r="T89" s="30">
        <f t="shared" si="24"/>
        <v>1.365322</v>
      </c>
      <c r="U89" s="31">
        <v>0</v>
      </c>
      <c r="V89" s="41">
        <v>0</v>
      </c>
      <c r="W89" s="31">
        <f t="shared" si="19"/>
        <v>1.365322</v>
      </c>
      <c r="X89" s="10">
        <v>0</v>
      </c>
      <c r="Y89" s="10">
        <v>2.625</v>
      </c>
      <c r="Z89" s="31">
        <f t="shared" si="20"/>
        <v>1.259678</v>
      </c>
      <c r="AA89" s="31">
        <f t="shared" si="21"/>
        <v>1.259678</v>
      </c>
      <c r="AB89" s="10" t="s">
        <v>40</v>
      </c>
    </row>
    <row r="90" spans="1:28" ht="15" customHeight="1">
      <c r="A90" s="13">
        <v>81</v>
      </c>
      <c r="B90" s="37" t="s">
        <v>146</v>
      </c>
      <c r="C90" s="10" t="s">
        <v>10</v>
      </c>
      <c r="D90" s="10">
        <v>8</v>
      </c>
      <c r="E90" s="30">
        <v>0.5882</v>
      </c>
      <c r="F90" s="31">
        <v>0.103</v>
      </c>
      <c r="G90" s="41">
        <v>60</v>
      </c>
      <c r="H90" s="30">
        <f t="shared" si="23"/>
        <v>0.48519999999999996</v>
      </c>
      <c r="I90" s="38">
        <v>0</v>
      </c>
      <c r="J90" s="30">
        <f>4*1.05</f>
        <v>4.2</v>
      </c>
      <c r="K90" s="30">
        <f t="shared" si="16"/>
        <v>3.7148000000000003</v>
      </c>
      <c r="L90" s="30">
        <f t="shared" si="17"/>
        <v>3.7148000000000003</v>
      </c>
      <c r="M90" s="10" t="s">
        <v>40</v>
      </c>
      <c r="N90" s="15">
        <v>0.94</v>
      </c>
      <c r="O90" s="12"/>
      <c r="P90" s="13">
        <v>81</v>
      </c>
      <c r="Q90" s="37" t="s">
        <v>146</v>
      </c>
      <c r="R90" s="10" t="s">
        <v>10</v>
      </c>
      <c r="S90" s="10">
        <v>0.11</v>
      </c>
      <c r="T90" s="30">
        <f t="shared" si="24"/>
        <v>0.6981999999999999</v>
      </c>
      <c r="U90" s="31">
        <v>0.103</v>
      </c>
      <c r="V90" s="41">
        <v>60</v>
      </c>
      <c r="W90" s="31">
        <f t="shared" si="19"/>
        <v>0.5952</v>
      </c>
      <c r="X90" s="10">
        <v>0</v>
      </c>
      <c r="Y90" s="10">
        <v>4.2</v>
      </c>
      <c r="Z90" s="31">
        <f t="shared" si="20"/>
        <v>3.6048</v>
      </c>
      <c r="AA90" s="31">
        <f t="shared" si="21"/>
        <v>3.6048</v>
      </c>
      <c r="AB90" s="10" t="s">
        <v>40</v>
      </c>
    </row>
    <row r="91" spans="1:28" ht="15" customHeight="1">
      <c r="A91" s="13">
        <v>82</v>
      </c>
      <c r="B91" s="37" t="s">
        <v>147</v>
      </c>
      <c r="C91" s="10" t="s">
        <v>13</v>
      </c>
      <c r="D91" s="10">
        <v>12.6</v>
      </c>
      <c r="E91" s="30">
        <v>1.3182600000000002</v>
      </c>
      <c r="F91" s="31">
        <v>0</v>
      </c>
      <c r="G91" s="41">
        <v>0</v>
      </c>
      <c r="H91" s="30">
        <f t="shared" si="23"/>
        <v>1.3182600000000002</v>
      </c>
      <c r="I91" s="38">
        <v>0</v>
      </c>
      <c r="J91" s="30">
        <f>6.3*1.05</f>
        <v>6.615</v>
      </c>
      <c r="K91" s="30">
        <f t="shared" si="16"/>
        <v>5.29674</v>
      </c>
      <c r="L91" s="30">
        <f t="shared" si="17"/>
        <v>5.29674</v>
      </c>
      <c r="M91" s="10" t="s">
        <v>40</v>
      </c>
      <c r="N91" s="15">
        <v>0.95</v>
      </c>
      <c r="O91" s="12"/>
      <c r="P91" s="13">
        <v>82</v>
      </c>
      <c r="Q91" s="37" t="s">
        <v>147</v>
      </c>
      <c r="R91" s="10" t="s">
        <v>13</v>
      </c>
      <c r="S91" s="10">
        <v>0.17</v>
      </c>
      <c r="T91" s="30">
        <f t="shared" si="24"/>
        <v>1.4882600000000001</v>
      </c>
      <c r="U91" s="31">
        <v>0</v>
      </c>
      <c r="V91" s="41">
        <v>0</v>
      </c>
      <c r="W91" s="31">
        <f t="shared" si="19"/>
        <v>1.4882600000000001</v>
      </c>
      <c r="X91" s="10">
        <v>0</v>
      </c>
      <c r="Y91" s="10">
        <v>6.62</v>
      </c>
      <c r="Z91" s="31">
        <f t="shared" si="20"/>
        <v>5.13174</v>
      </c>
      <c r="AA91" s="31">
        <f t="shared" si="21"/>
        <v>5.13174</v>
      </c>
      <c r="AB91" s="10" t="s">
        <v>40</v>
      </c>
    </row>
    <row r="92" spans="1:28" ht="15" customHeight="1">
      <c r="A92" s="13">
        <v>83</v>
      </c>
      <c r="B92" s="37" t="s">
        <v>148</v>
      </c>
      <c r="C92" s="10" t="s">
        <v>4</v>
      </c>
      <c r="D92" s="10">
        <v>5</v>
      </c>
      <c r="E92" s="30">
        <v>1.4789770000000002</v>
      </c>
      <c r="F92" s="31">
        <v>0</v>
      </c>
      <c r="G92" s="41">
        <v>0</v>
      </c>
      <c r="H92" s="30">
        <f t="shared" si="23"/>
        <v>1.4789770000000002</v>
      </c>
      <c r="I92" s="38">
        <v>0</v>
      </c>
      <c r="J92" s="30">
        <f>2.5*1.05</f>
        <v>2.625</v>
      </c>
      <c r="K92" s="30">
        <f t="shared" si="16"/>
        <v>1.1460229999999998</v>
      </c>
      <c r="L92" s="30">
        <f t="shared" si="17"/>
        <v>1.1460229999999998</v>
      </c>
      <c r="M92" s="10" t="s">
        <v>40</v>
      </c>
      <c r="N92" s="15">
        <v>0.87</v>
      </c>
      <c r="O92" s="12"/>
      <c r="P92" s="13">
        <v>83</v>
      </c>
      <c r="Q92" s="37" t="s">
        <v>148</v>
      </c>
      <c r="R92" s="10" t="s">
        <v>4</v>
      </c>
      <c r="S92" s="10">
        <v>0.06</v>
      </c>
      <c r="T92" s="30">
        <f t="shared" si="24"/>
        <v>1.5389770000000003</v>
      </c>
      <c r="U92" s="31">
        <v>0</v>
      </c>
      <c r="V92" s="41">
        <v>0</v>
      </c>
      <c r="W92" s="31">
        <f t="shared" si="19"/>
        <v>1.5389770000000003</v>
      </c>
      <c r="X92" s="10">
        <v>0</v>
      </c>
      <c r="Y92" s="10">
        <v>2.625</v>
      </c>
      <c r="Z92" s="31">
        <f t="shared" si="20"/>
        <v>1.0860229999999997</v>
      </c>
      <c r="AA92" s="31">
        <f t="shared" si="21"/>
        <v>1.0860229999999997</v>
      </c>
      <c r="AB92" s="10" t="s">
        <v>40</v>
      </c>
    </row>
    <row r="93" spans="1:28" ht="15" customHeight="1">
      <c r="A93" s="13">
        <v>84</v>
      </c>
      <c r="B93" s="37" t="s">
        <v>149</v>
      </c>
      <c r="C93" s="10" t="s">
        <v>4</v>
      </c>
      <c r="D93" s="10">
        <v>5</v>
      </c>
      <c r="E93" s="30">
        <v>0.251888</v>
      </c>
      <c r="F93" s="31">
        <v>0</v>
      </c>
      <c r="G93" s="41">
        <v>0</v>
      </c>
      <c r="H93" s="30">
        <f t="shared" si="23"/>
        <v>0.251888</v>
      </c>
      <c r="I93" s="38">
        <v>0</v>
      </c>
      <c r="J93" s="30">
        <f>2.5*1.05</f>
        <v>2.625</v>
      </c>
      <c r="K93" s="30">
        <f t="shared" si="16"/>
        <v>2.373112</v>
      </c>
      <c r="L93" s="30">
        <f t="shared" si="17"/>
        <v>2.373112</v>
      </c>
      <c r="M93" s="10" t="s">
        <v>40</v>
      </c>
      <c r="N93" s="15">
        <v>0.96</v>
      </c>
      <c r="O93" s="12"/>
      <c r="P93" s="13">
        <v>84</v>
      </c>
      <c r="Q93" s="37" t="s">
        <v>149</v>
      </c>
      <c r="R93" s="10" t="s">
        <v>4</v>
      </c>
      <c r="S93" s="10">
        <v>0.02</v>
      </c>
      <c r="T93" s="30">
        <f t="shared" si="24"/>
        <v>0.271888</v>
      </c>
      <c r="U93" s="31">
        <v>0</v>
      </c>
      <c r="V93" s="41">
        <v>0</v>
      </c>
      <c r="W93" s="31">
        <f t="shared" si="19"/>
        <v>0.271888</v>
      </c>
      <c r="X93" s="10">
        <v>0</v>
      </c>
      <c r="Y93" s="10">
        <v>2.625</v>
      </c>
      <c r="Z93" s="31">
        <f t="shared" si="20"/>
        <v>2.353112</v>
      </c>
      <c r="AA93" s="31">
        <f t="shared" si="21"/>
        <v>2.353112</v>
      </c>
      <c r="AB93" s="10" t="s">
        <v>40</v>
      </c>
    </row>
    <row r="94" spans="1:28" ht="15" customHeight="1">
      <c r="A94" s="13">
        <v>85</v>
      </c>
      <c r="B94" s="37" t="s">
        <v>150</v>
      </c>
      <c r="C94" s="10" t="s">
        <v>19</v>
      </c>
      <c r="D94" s="10">
        <v>9.5</v>
      </c>
      <c r="E94" s="30">
        <v>1.348362</v>
      </c>
      <c r="F94" s="31">
        <v>0</v>
      </c>
      <c r="G94" s="41">
        <v>0</v>
      </c>
      <c r="H94" s="30">
        <f t="shared" si="23"/>
        <v>1.348362</v>
      </c>
      <c r="I94" s="38">
        <v>0</v>
      </c>
      <c r="J94" s="30">
        <f>3.2*1.05</f>
        <v>3.3600000000000003</v>
      </c>
      <c r="K94" s="30">
        <f t="shared" si="16"/>
        <v>2.0116380000000005</v>
      </c>
      <c r="L94" s="30">
        <f t="shared" si="17"/>
        <v>2.0116380000000005</v>
      </c>
      <c r="M94" s="10" t="s">
        <v>40</v>
      </c>
      <c r="N94" s="15">
        <v>0.72</v>
      </c>
      <c r="O94" s="12"/>
      <c r="P94" s="13">
        <v>85</v>
      </c>
      <c r="Q94" s="37" t="s">
        <v>150</v>
      </c>
      <c r="R94" s="10" t="s">
        <v>19</v>
      </c>
      <c r="S94" s="10"/>
      <c r="T94" s="30">
        <f t="shared" si="24"/>
        <v>1.348362</v>
      </c>
      <c r="U94" s="31">
        <v>0</v>
      </c>
      <c r="V94" s="41">
        <v>0</v>
      </c>
      <c r="W94" s="31">
        <f t="shared" si="19"/>
        <v>1.348362</v>
      </c>
      <c r="X94" s="10">
        <v>0</v>
      </c>
      <c r="Y94" s="10">
        <v>3.36</v>
      </c>
      <c r="Z94" s="31">
        <f t="shared" si="20"/>
        <v>2.0116379999999996</v>
      </c>
      <c r="AA94" s="31">
        <f t="shared" si="21"/>
        <v>2.0116379999999996</v>
      </c>
      <c r="AB94" s="10" t="s">
        <v>40</v>
      </c>
    </row>
    <row r="95" spans="1:28" ht="15" customHeight="1">
      <c r="A95" s="13">
        <v>86</v>
      </c>
      <c r="B95" s="27" t="s">
        <v>151</v>
      </c>
      <c r="C95" s="28" t="s">
        <v>10</v>
      </c>
      <c r="D95" s="28">
        <v>8</v>
      </c>
      <c r="E95" s="30">
        <v>3.290909090909091</v>
      </c>
      <c r="F95" s="31">
        <v>1.3</v>
      </c>
      <c r="G95" s="41">
        <v>150</v>
      </c>
      <c r="H95" s="30">
        <f t="shared" si="23"/>
        <v>1.990909090909091</v>
      </c>
      <c r="I95" s="38">
        <v>0</v>
      </c>
      <c r="J95" s="30">
        <f>4*1.05</f>
        <v>4.2</v>
      </c>
      <c r="K95" s="30">
        <f t="shared" si="16"/>
        <v>2.209090909090909</v>
      </c>
      <c r="L95" s="30">
        <f t="shared" si="17"/>
        <v>2.209090909090909</v>
      </c>
      <c r="M95" s="10" t="s">
        <v>40</v>
      </c>
      <c r="N95" s="15">
        <v>0.92</v>
      </c>
      <c r="O95" s="12"/>
      <c r="P95" s="13">
        <v>86</v>
      </c>
      <c r="Q95" s="27" t="s">
        <v>151</v>
      </c>
      <c r="R95" s="28" t="s">
        <v>10</v>
      </c>
      <c r="S95" s="28">
        <v>0.25</v>
      </c>
      <c r="T95" s="30">
        <f t="shared" si="24"/>
        <v>3.540909090909091</v>
      </c>
      <c r="U95" s="31">
        <v>1.3</v>
      </c>
      <c r="V95" s="41">
        <v>150</v>
      </c>
      <c r="W95" s="31">
        <f t="shared" si="19"/>
        <v>2.240909090909091</v>
      </c>
      <c r="X95" s="10">
        <v>0</v>
      </c>
      <c r="Y95" s="10">
        <v>4.2</v>
      </c>
      <c r="Z95" s="31">
        <f t="shared" si="20"/>
        <v>1.959090909090909</v>
      </c>
      <c r="AA95" s="31">
        <f t="shared" si="21"/>
        <v>1.959090909090909</v>
      </c>
      <c r="AB95" s="10" t="s">
        <v>40</v>
      </c>
    </row>
    <row r="96" spans="1:28" ht="15" customHeight="1">
      <c r="A96" s="13">
        <v>87</v>
      </c>
      <c r="B96" s="27" t="s">
        <v>152</v>
      </c>
      <c r="C96" s="49" t="s">
        <v>4</v>
      </c>
      <c r="D96" s="49">
        <v>5</v>
      </c>
      <c r="E96" s="30">
        <v>1.0909090909090908</v>
      </c>
      <c r="F96" s="31">
        <v>1</v>
      </c>
      <c r="G96" s="41">
        <v>60</v>
      </c>
      <c r="H96" s="30">
        <f t="shared" si="23"/>
        <v>0.09090909090909083</v>
      </c>
      <c r="I96" s="38">
        <v>0</v>
      </c>
      <c r="J96" s="30">
        <f>2.5*1.05</f>
        <v>2.625</v>
      </c>
      <c r="K96" s="30">
        <f t="shared" si="16"/>
        <v>2.534090909090909</v>
      </c>
      <c r="L96" s="30">
        <f t="shared" si="17"/>
        <v>2.534090909090909</v>
      </c>
      <c r="M96" s="10" t="s">
        <v>40</v>
      </c>
      <c r="N96" s="15">
        <v>0.88</v>
      </c>
      <c r="O96" s="12"/>
      <c r="P96" s="13">
        <v>87</v>
      </c>
      <c r="Q96" s="27" t="s">
        <v>152</v>
      </c>
      <c r="R96" s="49" t="s">
        <v>4</v>
      </c>
      <c r="S96" s="49">
        <v>0.01</v>
      </c>
      <c r="T96" s="30">
        <f t="shared" si="24"/>
        <v>1.1009090909090908</v>
      </c>
      <c r="U96" s="31">
        <v>1</v>
      </c>
      <c r="V96" s="41">
        <v>60</v>
      </c>
      <c r="W96" s="31">
        <f t="shared" si="19"/>
        <v>0.10090909090909084</v>
      </c>
      <c r="X96" s="10">
        <v>0</v>
      </c>
      <c r="Y96" s="10">
        <v>2.625</v>
      </c>
      <c r="Z96" s="31">
        <f t="shared" si="20"/>
        <v>2.5240909090909094</v>
      </c>
      <c r="AA96" s="31">
        <f t="shared" si="21"/>
        <v>2.5240909090909094</v>
      </c>
      <c r="AB96" s="10" t="s">
        <v>40</v>
      </c>
    </row>
    <row r="97" spans="1:28" ht="11.25">
      <c r="A97" s="13">
        <v>88</v>
      </c>
      <c r="B97" s="27" t="s">
        <v>153</v>
      </c>
      <c r="C97" s="49" t="s">
        <v>20</v>
      </c>
      <c r="D97" s="49">
        <v>10.3</v>
      </c>
      <c r="E97" s="30">
        <v>3.909090909090909</v>
      </c>
      <c r="F97" s="31">
        <v>2</v>
      </c>
      <c r="G97" s="41">
        <v>120</v>
      </c>
      <c r="H97" s="30">
        <f t="shared" si="23"/>
        <v>1.9090909090909092</v>
      </c>
      <c r="I97" s="38">
        <v>0</v>
      </c>
      <c r="J97" s="30">
        <f>4*1.05</f>
        <v>4.2</v>
      </c>
      <c r="K97" s="30">
        <f t="shared" si="16"/>
        <v>2.290909090909091</v>
      </c>
      <c r="L97" s="30">
        <f t="shared" si="17"/>
        <v>2.290909090909091</v>
      </c>
      <c r="M97" s="10" t="s">
        <v>40</v>
      </c>
      <c r="N97" s="15">
        <v>0.92</v>
      </c>
      <c r="O97" s="12"/>
      <c r="P97" s="13">
        <v>88</v>
      </c>
      <c r="Q97" s="27" t="s">
        <v>153</v>
      </c>
      <c r="R97" s="49" t="s">
        <v>20</v>
      </c>
      <c r="S97" s="49">
        <v>0.5</v>
      </c>
      <c r="T97" s="30">
        <f t="shared" si="24"/>
        <v>4.409090909090909</v>
      </c>
      <c r="U97" s="31">
        <v>2</v>
      </c>
      <c r="V97" s="41">
        <v>120</v>
      </c>
      <c r="W97" s="31">
        <f t="shared" si="19"/>
        <v>2.409090909090909</v>
      </c>
      <c r="X97" s="10">
        <v>0</v>
      </c>
      <c r="Y97" s="10">
        <v>4.2</v>
      </c>
      <c r="Z97" s="31">
        <f t="shared" si="20"/>
        <v>1.790909090909091</v>
      </c>
      <c r="AA97" s="31">
        <f t="shared" si="21"/>
        <v>1.790909090909091</v>
      </c>
      <c r="AB97" s="10" t="s">
        <v>40</v>
      </c>
    </row>
    <row r="98" spans="1:28" ht="11.25">
      <c r="A98" s="13">
        <v>89</v>
      </c>
      <c r="B98" s="27" t="s">
        <v>154</v>
      </c>
      <c r="C98" s="49" t="s">
        <v>4</v>
      </c>
      <c r="D98" s="49">
        <v>5</v>
      </c>
      <c r="E98" s="30">
        <v>1.018181818181818</v>
      </c>
      <c r="F98" s="31">
        <v>0</v>
      </c>
      <c r="G98" s="41">
        <v>0</v>
      </c>
      <c r="H98" s="30">
        <f t="shared" si="23"/>
        <v>1.018181818181818</v>
      </c>
      <c r="I98" s="38">
        <v>0</v>
      </c>
      <c r="J98" s="30">
        <f>2.5*1.05</f>
        <v>2.625</v>
      </c>
      <c r="K98" s="30">
        <f t="shared" si="16"/>
        <v>1.606818181818182</v>
      </c>
      <c r="L98" s="30">
        <f t="shared" si="17"/>
        <v>1.606818181818182</v>
      </c>
      <c r="M98" s="10" t="s">
        <v>40</v>
      </c>
      <c r="N98" s="15">
        <v>0.96</v>
      </c>
      <c r="O98" s="12"/>
      <c r="P98" s="13">
        <v>89</v>
      </c>
      <c r="Q98" s="27" t="s">
        <v>154</v>
      </c>
      <c r="R98" s="49" t="s">
        <v>4</v>
      </c>
      <c r="S98" s="49">
        <v>0.08</v>
      </c>
      <c r="T98" s="30">
        <f t="shared" si="24"/>
        <v>1.0981818181818181</v>
      </c>
      <c r="U98" s="31">
        <v>0</v>
      </c>
      <c r="V98" s="41">
        <v>0</v>
      </c>
      <c r="W98" s="31">
        <f t="shared" si="19"/>
        <v>1.0981818181818181</v>
      </c>
      <c r="X98" s="10">
        <v>0</v>
      </c>
      <c r="Y98" s="10">
        <v>2.625</v>
      </c>
      <c r="Z98" s="31">
        <f t="shared" si="20"/>
        <v>1.5268181818181819</v>
      </c>
      <c r="AA98" s="31">
        <f t="shared" si="21"/>
        <v>1.5268181818181819</v>
      </c>
      <c r="AB98" s="10" t="s">
        <v>40</v>
      </c>
    </row>
    <row r="99" spans="1:28" ht="15" customHeight="1">
      <c r="A99" s="13">
        <v>90</v>
      </c>
      <c r="B99" s="27" t="s">
        <v>155</v>
      </c>
      <c r="C99" s="49" t="s">
        <v>4</v>
      </c>
      <c r="D99" s="49">
        <v>5</v>
      </c>
      <c r="E99" s="30">
        <v>0.5545454545454546</v>
      </c>
      <c r="F99" s="31">
        <v>0.5</v>
      </c>
      <c r="G99" s="41">
        <v>60</v>
      </c>
      <c r="H99" s="30">
        <f t="shared" si="23"/>
        <v>0.054545454545454564</v>
      </c>
      <c r="I99" s="38">
        <v>0</v>
      </c>
      <c r="J99" s="30">
        <f>2.5*1.05</f>
        <v>2.625</v>
      </c>
      <c r="K99" s="30">
        <f t="shared" si="16"/>
        <v>2.5704545454545453</v>
      </c>
      <c r="L99" s="30">
        <f t="shared" si="17"/>
        <v>2.5704545454545453</v>
      </c>
      <c r="M99" s="10" t="s">
        <v>40</v>
      </c>
      <c r="N99" s="15">
        <v>0.88</v>
      </c>
      <c r="O99" s="12"/>
      <c r="P99" s="13">
        <v>90</v>
      </c>
      <c r="Q99" s="27" t="s">
        <v>155</v>
      </c>
      <c r="R99" s="49" t="s">
        <v>4</v>
      </c>
      <c r="S99" s="49">
        <v>0.01</v>
      </c>
      <c r="T99" s="30">
        <f t="shared" si="24"/>
        <v>0.5645454545454546</v>
      </c>
      <c r="U99" s="31">
        <v>0.5</v>
      </c>
      <c r="V99" s="41">
        <v>60</v>
      </c>
      <c r="W99" s="31">
        <f t="shared" si="19"/>
        <v>0.06454545454545457</v>
      </c>
      <c r="X99" s="10">
        <v>0</v>
      </c>
      <c r="Y99" s="10">
        <v>2.625</v>
      </c>
      <c r="Z99" s="31">
        <f t="shared" si="20"/>
        <v>2.5604545454545455</v>
      </c>
      <c r="AA99" s="31">
        <f t="shared" si="21"/>
        <v>2.5604545454545455</v>
      </c>
      <c r="AB99" s="10" t="s">
        <v>40</v>
      </c>
    </row>
    <row r="100" spans="1:28" ht="15" customHeight="1">
      <c r="A100" s="13">
        <v>91</v>
      </c>
      <c r="B100" s="27" t="s">
        <v>156</v>
      </c>
      <c r="C100" s="49" t="s">
        <v>21</v>
      </c>
      <c r="D100" s="49">
        <v>10.3</v>
      </c>
      <c r="E100" s="30">
        <v>1.5454545454545454</v>
      </c>
      <c r="F100" s="31">
        <v>1</v>
      </c>
      <c r="G100" s="41">
        <v>60</v>
      </c>
      <c r="H100" s="30">
        <f t="shared" si="23"/>
        <v>0.5454545454545454</v>
      </c>
      <c r="I100" s="38">
        <v>0</v>
      </c>
      <c r="J100" s="30">
        <f>4*1.05</f>
        <v>4.2</v>
      </c>
      <c r="K100" s="30">
        <f t="shared" si="16"/>
        <v>3.6545454545454548</v>
      </c>
      <c r="L100" s="30">
        <f t="shared" si="17"/>
        <v>3.6545454545454548</v>
      </c>
      <c r="M100" s="10" t="s">
        <v>40</v>
      </c>
      <c r="N100" s="15">
        <v>0.94</v>
      </c>
      <c r="O100" s="12"/>
      <c r="P100" s="13">
        <v>91</v>
      </c>
      <c r="Q100" s="27" t="s">
        <v>156</v>
      </c>
      <c r="R100" s="49" t="s">
        <v>21</v>
      </c>
      <c r="S100" s="49">
        <v>0.036</v>
      </c>
      <c r="T100" s="30">
        <f t="shared" si="24"/>
        <v>1.5814545454545454</v>
      </c>
      <c r="U100" s="31">
        <v>1</v>
      </c>
      <c r="V100" s="41">
        <v>60</v>
      </c>
      <c r="W100" s="31">
        <f t="shared" si="19"/>
        <v>0.5814545454545454</v>
      </c>
      <c r="X100" s="10">
        <v>0</v>
      </c>
      <c r="Y100" s="10">
        <v>4.2</v>
      </c>
      <c r="Z100" s="31">
        <f t="shared" si="20"/>
        <v>3.6185454545454547</v>
      </c>
      <c r="AA100" s="31">
        <f t="shared" si="21"/>
        <v>3.6185454545454547</v>
      </c>
      <c r="AB100" s="10" t="s">
        <v>40</v>
      </c>
    </row>
    <row r="101" spans="1:28" ht="11.25">
      <c r="A101" s="13">
        <v>92</v>
      </c>
      <c r="B101" s="27" t="s">
        <v>157</v>
      </c>
      <c r="C101" s="49" t="s">
        <v>4</v>
      </c>
      <c r="D101" s="49">
        <v>5</v>
      </c>
      <c r="E101" s="30">
        <v>1.8727272727272728</v>
      </c>
      <c r="F101" s="31">
        <v>1</v>
      </c>
      <c r="G101" s="41">
        <v>60</v>
      </c>
      <c r="H101" s="30">
        <f aca="true" t="shared" si="25" ref="H101:H132">E101-F101</f>
        <v>0.8727272727272728</v>
      </c>
      <c r="I101" s="38">
        <v>0</v>
      </c>
      <c r="J101" s="30">
        <f>2.5*1.05</f>
        <v>2.625</v>
      </c>
      <c r="K101" s="30">
        <f aca="true" t="shared" si="26" ref="K101:K164">J101-I101-H101</f>
        <v>1.7522727272727272</v>
      </c>
      <c r="L101" s="30">
        <f aca="true" t="shared" si="27" ref="L101:L164">K101</f>
        <v>1.7522727272727272</v>
      </c>
      <c r="M101" s="10" t="s">
        <v>40</v>
      </c>
      <c r="N101" s="15">
        <v>0.96</v>
      </c>
      <c r="O101" s="12"/>
      <c r="P101" s="13">
        <v>92</v>
      </c>
      <c r="Q101" s="27" t="s">
        <v>157</v>
      </c>
      <c r="R101" s="49" t="s">
        <v>4</v>
      </c>
      <c r="S101" s="49">
        <v>1.29</v>
      </c>
      <c r="T101" s="30">
        <f aca="true" t="shared" si="28" ref="T101:T132">S101+E101</f>
        <v>3.162727272727273</v>
      </c>
      <c r="U101" s="31">
        <v>1</v>
      </c>
      <c r="V101" s="41">
        <v>60</v>
      </c>
      <c r="W101" s="31">
        <f t="shared" si="19"/>
        <v>2.162727272727273</v>
      </c>
      <c r="X101" s="10">
        <v>0</v>
      </c>
      <c r="Y101" s="10">
        <v>2.625</v>
      </c>
      <c r="Z101" s="31">
        <f t="shared" si="20"/>
        <v>0.46227272727272695</v>
      </c>
      <c r="AA101" s="31">
        <f t="shared" si="21"/>
        <v>0.46227272727272695</v>
      </c>
      <c r="AB101" s="10" t="s">
        <v>40</v>
      </c>
    </row>
    <row r="102" spans="1:28" ht="15" customHeight="1">
      <c r="A102" s="13">
        <v>93</v>
      </c>
      <c r="B102" s="27" t="s">
        <v>158</v>
      </c>
      <c r="C102" s="28" t="s">
        <v>22</v>
      </c>
      <c r="D102" s="28">
        <v>3.6</v>
      </c>
      <c r="E102" s="30">
        <v>0.38181818181818183</v>
      </c>
      <c r="F102" s="31">
        <v>0.5</v>
      </c>
      <c r="G102" s="41">
        <v>120</v>
      </c>
      <c r="H102" s="30">
        <f t="shared" si="25"/>
        <v>-0.11818181818181817</v>
      </c>
      <c r="I102" s="38">
        <v>0</v>
      </c>
      <c r="J102" s="30">
        <f>1.8*1.05</f>
        <v>1.8900000000000001</v>
      </c>
      <c r="K102" s="30">
        <f t="shared" si="26"/>
        <v>2.0081818181818183</v>
      </c>
      <c r="L102" s="30">
        <f t="shared" si="27"/>
        <v>2.0081818181818183</v>
      </c>
      <c r="M102" s="10" t="s">
        <v>40</v>
      </c>
      <c r="N102" s="15">
        <v>0.95</v>
      </c>
      <c r="O102" s="12"/>
      <c r="P102" s="13">
        <v>93</v>
      </c>
      <c r="Q102" s="27" t="s">
        <v>158</v>
      </c>
      <c r="R102" s="28" t="s">
        <v>22</v>
      </c>
      <c r="S102" s="28"/>
      <c r="T102" s="30">
        <f t="shared" si="28"/>
        <v>0.38181818181818183</v>
      </c>
      <c r="U102" s="31">
        <v>0.5</v>
      </c>
      <c r="V102" s="41">
        <v>120</v>
      </c>
      <c r="W102" s="31">
        <f t="shared" si="19"/>
        <v>-0.11818181818181817</v>
      </c>
      <c r="X102" s="10">
        <v>0</v>
      </c>
      <c r="Y102" s="10">
        <v>1.89</v>
      </c>
      <c r="Z102" s="31">
        <f t="shared" si="20"/>
        <v>2.008181818181818</v>
      </c>
      <c r="AA102" s="31">
        <f t="shared" si="21"/>
        <v>2.008181818181818</v>
      </c>
      <c r="AB102" s="10" t="s">
        <v>40</v>
      </c>
    </row>
    <row r="103" spans="1:28" ht="15" customHeight="1">
      <c r="A103" s="13">
        <v>94</v>
      </c>
      <c r="B103" s="27" t="s">
        <v>159</v>
      </c>
      <c r="C103" s="49" t="s">
        <v>23</v>
      </c>
      <c r="D103" s="49">
        <v>3.2</v>
      </c>
      <c r="E103" s="30">
        <v>1.8181818181818181</v>
      </c>
      <c r="F103" s="31">
        <v>0.3</v>
      </c>
      <c r="G103" s="41">
        <v>120</v>
      </c>
      <c r="H103" s="30">
        <f t="shared" si="25"/>
        <v>1.518181818181818</v>
      </c>
      <c r="I103" s="38">
        <v>0</v>
      </c>
      <c r="J103" s="30">
        <f>1.6*1.05</f>
        <v>1.6800000000000002</v>
      </c>
      <c r="K103" s="30">
        <f t="shared" si="26"/>
        <v>0.16181818181818208</v>
      </c>
      <c r="L103" s="30">
        <f t="shared" si="27"/>
        <v>0.16181818181818208</v>
      </c>
      <c r="M103" s="10" t="s">
        <v>40</v>
      </c>
      <c r="N103" s="15">
        <v>0.93</v>
      </c>
      <c r="O103" s="12"/>
      <c r="P103" s="13">
        <v>94</v>
      </c>
      <c r="Q103" s="27" t="s">
        <v>159</v>
      </c>
      <c r="R103" s="49" t="s">
        <v>23</v>
      </c>
      <c r="S103" s="49">
        <v>0.04</v>
      </c>
      <c r="T103" s="30">
        <f t="shared" si="28"/>
        <v>1.8581818181818182</v>
      </c>
      <c r="U103" s="31">
        <v>0.3</v>
      </c>
      <c r="V103" s="41">
        <v>120</v>
      </c>
      <c r="W103" s="31">
        <f t="shared" si="19"/>
        <v>1.5581818181818181</v>
      </c>
      <c r="X103" s="10">
        <v>0</v>
      </c>
      <c r="Y103" s="10">
        <v>1.6800000000000002</v>
      </c>
      <c r="Z103" s="31">
        <f t="shared" si="20"/>
        <v>0.12181818181818205</v>
      </c>
      <c r="AA103" s="31">
        <f t="shared" si="21"/>
        <v>0.12181818181818205</v>
      </c>
      <c r="AB103" s="10" t="s">
        <v>40</v>
      </c>
    </row>
    <row r="104" spans="1:28" ht="15" customHeight="1">
      <c r="A104" s="13">
        <v>95</v>
      </c>
      <c r="B104" s="27" t="s">
        <v>160</v>
      </c>
      <c r="C104" s="49" t="s">
        <v>4</v>
      </c>
      <c r="D104" s="49">
        <v>5</v>
      </c>
      <c r="E104" s="30">
        <v>0.41818181818181815</v>
      </c>
      <c r="F104" s="31">
        <v>0.3</v>
      </c>
      <c r="G104" s="41">
        <v>60</v>
      </c>
      <c r="H104" s="30">
        <f t="shared" si="25"/>
        <v>0.11818181818181817</v>
      </c>
      <c r="I104" s="38">
        <v>0</v>
      </c>
      <c r="J104" s="30">
        <f>2.5*1.05</f>
        <v>2.625</v>
      </c>
      <c r="K104" s="30">
        <f t="shared" si="26"/>
        <v>2.506818181818182</v>
      </c>
      <c r="L104" s="30">
        <f t="shared" si="27"/>
        <v>2.506818181818182</v>
      </c>
      <c r="M104" s="10" t="s">
        <v>40</v>
      </c>
      <c r="N104" s="15">
        <v>0.87</v>
      </c>
      <c r="O104" s="12"/>
      <c r="P104" s="13">
        <v>95</v>
      </c>
      <c r="Q104" s="27" t="s">
        <v>160</v>
      </c>
      <c r="R104" s="49" t="s">
        <v>4</v>
      </c>
      <c r="S104" s="49">
        <v>0.05</v>
      </c>
      <c r="T104" s="30">
        <f t="shared" si="28"/>
        <v>0.46818181818181814</v>
      </c>
      <c r="U104" s="31">
        <v>0.3</v>
      </c>
      <c r="V104" s="41">
        <v>60</v>
      </c>
      <c r="W104" s="31">
        <f aca="true" t="shared" si="29" ref="W104:W167">T104-U104</f>
        <v>0.16818181818181815</v>
      </c>
      <c r="X104" s="10">
        <v>0</v>
      </c>
      <c r="Y104" s="10">
        <v>2.625</v>
      </c>
      <c r="Z104" s="31">
        <f aca="true" t="shared" si="30" ref="Z104:Z167">Y104-X104-W104</f>
        <v>2.456818181818182</v>
      </c>
      <c r="AA104" s="31">
        <f aca="true" t="shared" si="31" ref="AA104:AA167">Z104</f>
        <v>2.456818181818182</v>
      </c>
      <c r="AB104" s="10" t="s">
        <v>40</v>
      </c>
    </row>
    <row r="105" spans="1:28" ht="15" customHeight="1">
      <c r="A105" s="13">
        <v>96</v>
      </c>
      <c r="B105" s="27" t="s">
        <v>161</v>
      </c>
      <c r="C105" s="49" t="s">
        <v>23</v>
      </c>
      <c r="D105" s="49">
        <v>3.2</v>
      </c>
      <c r="E105" s="30">
        <v>0.5818181818181818</v>
      </c>
      <c r="F105" s="31">
        <v>0.5</v>
      </c>
      <c r="G105" s="41">
        <v>60</v>
      </c>
      <c r="H105" s="30">
        <f t="shared" si="25"/>
        <v>0.08181818181818179</v>
      </c>
      <c r="I105" s="38">
        <v>0</v>
      </c>
      <c r="J105" s="30">
        <v>1.68</v>
      </c>
      <c r="K105" s="30">
        <f t="shared" si="26"/>
        <v>1.5981818181818181</v>
      </c>
      <c r="L105" s="30">
        <f t="shared" si="27"/>
        <v>1.5981818181818181</v>
      </c>
      <c r="M105" s="10" t="s">
        <v>40</v>
      </c>
      <c r="N105" s="15">
        <v>0.93</v>
      </c>
      <c r="O105" s="12"/>
      <c r="P105" s="13">
        <v>96</v>
      </c>
      <c r="Q105" s="27" t="s">
        <v>161</v>
      </c>
      <c r="R105" s="49" t="s">
        <v>23</v>
      </c>
      <c r="S105" s="49">
        <v>0.01</v>
      </c>
      <c r="T105" s="30">
        <f t="shared" si="28"/>
        <v>0.5918181818181818</v>
      </c>
      <c r="U105" s="31">
        <v>0.5</v>
      </c>
      <c r="V105" s="41">
        <v>60</v>
      </c>
      <c r="W105" s="31">
        <f t="shared" si="29"/>
        <v>0.0918181818181818</v>
      </c>
      <c r="X105" s="10">
        <v>0</v>
      </c>
      <c r="Y105" s="10">
        <v>1.68</v>
      </c>
      <c r="Z105" s="31">
        <f t="shared" si="30"/>
        <v>1.5881818181818181</v>
      </c>
      <c r="AA105" s="31">
        <f t="shared" si="31"/>
        <v>1.5881818181818181</v>
      </c>
      <c r="AB105" s="10" t="s">
        <v>40</v>
      </c>
    </row>
    <row r="106" spans="1:28" ht="15" customHeight="1">
      <c r="A106" s="13">
        <v>97</v>
      </c>
      <c r="B106" s="27" t="s">
        <v>162</v>
      </c>
      <c r="C106" s="49" t="s">
        <v>4</v>
      </c>
      <c r="D106" s="49">
        <v>5</v>
      </c>
      <c r="E106" s="30">
        <v>0.2</v>
      </c>
      <c r="F106" s="31">
        <v>0</v>
      </c>
      <c r="G106" s="41">
        <v>0</v>
      </c>
      <c r="H106" s="30">
        <f t="shared" si="25"/>
        <v>0.2</v>
      </c>
      <c r="I106" s="38">
        <v>0</v>
      </c>
      <c r="J106" s="30">
        <f>2.5*1.05</f>
        <v>2.625</v>
      </c>
      <c r="K106" s="30">
        <f t="shared" si="26"/>
        <v>2.425</v>
      </c>
      <c r="L106" s="30">
        <f t="shared" si="27"/>
        <v>2.425</v>
      </c>
      <c r="M106" s="10" t="s">
        <v>40</v>
      </c>
      <c r="N106" s="15">
        <v>0.87</v>
      </c>
      <c r="O106" s="12"/>
      <c r="P106" s="13">
        <v>97</v>
      </c>
      <c r="Q106" s="27" t="s">
        <v>162</v>
      </c>
      <c r="R106" s="49" t="s">
        <v>4</v>
      </c>
      <c r="S106" s="49">
        <v>0.03</v>
      </c>
      <c r="T106" s="30">
        <f t="shared" si="28"/>
        <v>0.23</v>
      </c>
      <c r="U106" s="31">
        <v>0</v>
      </c>
      <c r="V106" s="41">
        <v>0</v>
      </c>
      <c r="W106" s="31">
        <f t="shared" si="29"/>
        <v>0.23</v>
      </c>
      <c r="X106" s="10">
        <v>0</v>
      </c>
      <c r="Y106" s="10">
        <v>2.625</v>
      </c>
      <c r="Z106" s="31">
        <f t="shared" si="30"/>
        <v>2.395</v>
      </c>
      <c r="AA106" s="31">
        <f t="shared" si="31"/>
        <v>2.395</v>
      </c>
      <c r="AB106" s="10" t="s">
        <v>40</v>
      </c>
    </row>
    <row r="107" spans="1:28" ht="11.25">
      <c r="A107" s="13">
        <v>98</v>
      </c>
      <c r="B107" s="27" t="s">
        <v>163</v>
      </c>
      <c r="C107" s="49" t="s">
        <v>23</v>
      </c>
      <c r="D107" s="49">
        <v>3.2</v>
      </c>
      <c r="E107" s="30">
        <v>0.509090909090909</v>
      </c>
      <c r="F107" s="31">
        <v>0</v>
      </c>
      <c r="G107" s="41">
        <v>0</v>
      </c>
      <c r="H107" s="30">
        <f t="shared" si="25"/>
        <v>0.509090909090909</v>
      </c>
      <c r="I107" s="38">
        <v>0</v>
      </c>
      <c r="J107" s="30">
        <f>1.6*1.05</f>
        <v>1.6800000000000002</v>
      </c>
      <c r="K107" s="30">
        <f t="shared" si="26"/>
        <v>1.1709090909090911</v>
      </c>
      <c r="L107" s="30">
        <f t="shared" si="27"/>
        <v>1.1709090909090911</v>
      </c>
      <c r="M107" s="10" t="s">
        <v>40</v>
      </c>
      <c r="N107" s="15">
        <v>0.88</v>
      </c>
      <c r="O107" s="12"/>
      <c r="P107" s="13">
        <v>98</v>
      </c>
      <c r="Q107" s="27" t="s">
        <v>163</v>
      </c>
      <c r="R107" s="49" t="s">
        <v>23</v>
      </c>
      <c r="S107" s="49">
        <v>0.08</v>
      </c>
      <c r="T107" s="30">
        <f t="shared" si="28"/>
        <v>0.589090909090909</v>
      </c>
      <c r="U107" s="31">
        <v>0</v>
      </c>
      <c r="V107" s="41">
        <v>0</v>
      </c>
      <c r="W107" s="31">
        <f t="shared" si="29"/>
        <v>0.589090909090909</v>
      </c>
      <c r="X107" s="10">
        <v>0</v>
      </c>
      <c r="Y107" s="10">
        <v>1.6800000000000002</v>
      </c>
      <c r="Z107" s="31">
        <f t="shared" si="30"/>
        <v>1.0909090909090913</v>
      </c>
      <c r="AA107" s="31">
        <f t="shared" si="31"/>
        <v>1.0909090909090913</v>
      </c>
      <c r="AB107" s="10" t="s">
        <v>40</v>
      </c>
    </row>
    <row r="108" spans="1:28" ht="15" customHeight="1">
      <c r="A108" s="13">
        <v>99</v>
      </c>
      <c r="B108" s="27" t="s">
        <v>164</v>
      </c>
      <c r="C108" s="49" t="s">
        <v>16</v>
      </c>
      <c r="D108" s="49">
        <v>4.1</v>
      </c>
      <c r="E108" s="30">
        <v>0.509090909090909</v>
      </c>
      <c r="F108" s="31">
        <v>0</v>
      </c>
      <c r="G108" s="41">
        <v>0</v>
      </c>
      <c r="H108" s="30">
        <f t="shared" si="25"/>
        <v>0.509090909090909</v>
      </c>
      <c r="I108" s="38">
        <v>0</v>
      </c>
      <c r="J108" s="30">
        <f>1.6*1.05</f>
        <v>1.6800000000000002</v>
      </c>
      <c r="K108" s="30">
        <f t="shared" si="26"/>
        <v>1.1709090909090911</v>
      </c>
      <c r="L108" s="30">
        <f t="shared" si="27"/>
        <v>1.1709090909090911</v>
      </c>
      <c r="M108" s="10" t="s">
        <v>40</v>
      </c>
      <c r="N108" s="15">
        <v>0.81</v>
      </c>
      <c r="O108" s="12"/>
      <c r="P108" s="13">
        <v>99</v>
      </c>
      <c r="Q108" s="27" t="s">
        <v>164</v>
      </c>
      <c r="R108" s="49" t="s">
        <v>16</v>
      </c>
      <c r="S108" s="49">
        <v>0.12</v>
      </c>
      <c r="T108" s="30">
        <f t="shared" si="28"/>
        <v>0.629090909090909</v>
      </c>
      <c r="U108" s="31">
        <v>0</v>
      </c>
      <c r="V108" s="41">
        <v>0</v>
      </c>
      <c r="W108" s="31">
        <f t="shared" si="29"/>
        <v>0.629090909090909</v>
      </c>
      <c r="X108" s="10">
        <v>0</v>
      </c>
      <c r="Y108" s="10">
        <v>1.6800000000000002</v>
      </c>
      <c r="Z108" s="31">
        <f t="shared" si="30"/>
        <v>1.0509090909090912</v>
      </c>
      <c r="AA108" s="31">
        <f t="shared" si="31"/>
        <v>1.0509090909090912</v>
      </c>
      <c r="AB108" s="10" t="s">
        <v>40</v>
      </c>
    </row>
    <row r="109" spans="1:28" ht="11.25">
      <c r="A109" s="13">
        <v>100</v>
      </c>
      <c r="B109" s="27" t="s">
        <v>165</v>
      </c>
      <c r="C109" s="49" t="s">
        <v>4</v>
      </c>
      <c r="D109" s="49">
        <v>5</v>
      </c>
      <c r="E109" s="30">
        <v>0.43636363636363634</v>
      </c>
      <c r="F109" s="31">
        <v>0</v>
      </c>
      <c r="G109" s="41">
        <v>0</v>
      </c>
      <c r="H109" s="30">
        <f t="shared" si="25"/>
        <v>0.43636363636363634</v>
      </c>
      <c r="I109" s="38">
        <v>0</v>
      </c>
      <c r="J109" s="30">
        <f aca="true" t="shared" si="32" ref="J109:J122">2.5*1.05</f>
        <v>2.625</v>
      </c>
      <c r="K109" s="30">
        <f t="shared" si="26"/>
        <v>2.1886363636363635</v>
      </c>
      <c r="L109" s="30">
        <f t="shared" si="27"/>
        <v>2.1886363636363635</v>
      </c>
      <c r="M109" s="10" t="s">
        <v>40</v>
      </c>
      <c r="N109" s="15">
        <v>0.82</v>
      </c>
      <c r="O109" s="12"/>
      <c r="P109" s="13">
        <v>100</v>
      </c>
      <c r="Q109" s="27" t="s">
        <v>165</v>
      </c>
      <c r="R109" s="49" t="s">
        <v>4</v>
      </c>
      <c r="S109" s="49">
        <v>0.03</v>
      </c>
      <c r="T109" s="30">
        <f t="shared" si="28"/>
        <v>0.4663636363636363</v>
      </c>
      <c r="U109" s="31">
        <v>0</v>
      </c>
      <c r="V109" s="41">
        <v>0</v>
      </c>
      <c r="W109" s="31">
        <f t="shared" si="29"/>
        <v>0.4663636363636363</v>
      </c>
      <c r="X109" s="10">
        <v>0</v>
      </c>
      <c r="Y109" s="10">
        <v>2.625</v>
      </c>
      <c r="Z109" s="31">
        <f t="shared" si="30"/>
        <v>2.1586363636363637</v>
      </c>
      <c r="AA109" s="31">
        <f t="shared" si="31"/>
        <v>2.1586363636363637</v>
      </c>
      <c r="AB109" s="10" t="s">
        <v>40</v>
      </c>
    </row>
    <row r="110" spans="1:28" ht="15" customHeight="1">
      <c r="A110" s="13">
        <v>101</v>
      </c>
      <c r="B110" s="27" t="s">
        <v>166</v>
      </c>
      <c r="C110" s="49" t="s">
        <v>4</v>
      </c>
      <c r="D110" s="49">
        <v>5</v>
      </c>
      <c r="E110" s="30">
        <v>0.6909090909090909</v>
      </c>
      <c r="F110" s="31">
        <v>0.5</v>
      </c>
      <c r="G110" s="41">
        <v>180</v>
      </c>
      <c r="H110" s="30">
        <f t="shared" si="25"/>
        <v>0.19090909090909092</v>
      </c>
      <c r="I110" s="38">
        <v>0</v>
      </c>
      <c r="J110" s="30">
        <f t="shared" si="32"/>
        <v>2.625</v>
      </c>
      <c r="K110" s="30">
        <f t="shared" si="26"/>
        <v>2.434090909090909</v>
      </c>
      <c r="L110" s="30">
        <f t="shared" si="27"/>
        <v>2.434090909090909</v>
      </c>
      <c r="M110" s="10" t="s">
        <v>40</v>
      </c>
      <c r="N110" s="15">
        <v>0.9</v>
      </c>
      <c r="O110" s="12"/>
      <c r="P110" s="13">
        <v>101</v>
      </c>
      <c r="Q110" s="27" t="s">
        <v>166</v>
      </c>
      <c r="R110" s="49" t="s">
        <v>4</v>
      </c>
      <c r="S110" s="49">
        <v>0.009</v>
      </c>
      <c r="T110" s="30">
        <f t="shared" si="28"/>
        <v>0.6999090909090909</v>
      </c>
      <c r="U110" s="31">
        <v>0.5</v>
      </c>
      <c r="V110" s="41">
        <v>180</v>
      </c>
      <c r="W110" s="31">
        <f t="shared" si="29"/>
        <v>0.19990909090909093</v>
      </c>
      <c r="X110" s="10">
        <v>0</v>
      </c>
      <c r="Y110" s="10">
        <v>2.625</v>
      </c>
      <c r="Z110" s="31">
        <f t="shared" si="30"/>
        <v>2.425090909090909</v>
      </c>
      <c r="AA110" s="31">
        <f t="shared" si="31"/>
        <v>2.425090909090909</v>
      </c>
      <c r="AB110" s="10" t="s">
        <v>40</v>
      </c>
    </row>
    <row r="111" spans="1:28" ht="15" customHeight="1">
      <c r="A111" s="13">
        <v>102</v>
      </c>
      <c r="B111" s="27" t="s">
        <v>167</v>
      </c>
      <c r="C111" s="49" t="s">
        <v>4</v>
      </c>
      <c r="D111" s="49">
        <v>5</v>
      </c>
      <c r="E111" s="30">
        <v>0.9636363636363636</v>
      </c>
      <c r="F111" s="31">
        <v>0.5</v>
      </c>
      <c r="G111" s="41">
        <v>60</v>
      </c>
      <c r="H111" s="30">
        <f t="shared" si="25"/>
        <v>0.4636363636363636</v>
      </c>
      <c r="I111" s="38">
        <v>0</v>
      </c>
      <c r="J111" s="30">
        <f t="shared" si="32"/>
        <v>2.625</v>
      </c>
      <c r="K111" s="30">
        <f t="shared" si="26"/>
        <v>2.161363636363636</v>
      </c>
      <c r="L111" s="30">
        <f t="shared" si="27"/>
        <v>2.161363636363636</v>
      </c>
      <c r="M111" s="10" t="s">
        <v>40</v>
      </c>
      <c r="N111" s="15">
        <v>0.9</v>
      </c>
      <c r="O111" s="12"/>
      <c r="P111" s="13">
        <v>102</v>
      </c>
      <c r="Q111" s="27" t="s">
        <v>167</v>
      </c>
      <c r="R111" s="49" t="s">
        <v>4</v>
      </c>
      <c r="S111" s="49">
        <v>0.07</v>
      </c>
      <c r="T111" s="30">
        <f t="shared" si="28"/>
        <v>1.0336363636363637</v>
      </c>
      <c r="U111" s="31">
        <v>0.5</v>
      </c>
      <c r="V111" s="41">
        <v>60</v>
      </c>
      <c r="W111" s="31">
        <f t="shared" si="29"/>
        <v>0.5336363636363637</v>
      </c>
      <c r="X111" s="10">
        <v>0</v>
      </c>
      <c r="Y111" s="10">
        <v>2.625</v>
      </c>
      <c r="Z111" s="31">
        <f t="shared" si="30"/>
        <v>2.0913636363636363</v>
      </c>
      <c r="AA111" s="31">
        <f t="shared" si="31"/>
        <v>2.0913636363636363</v>
      </c>
      <c r="AB111" s="10" t="s">
        <v>40</v>
      </c>
    </row>
    <row r="112" spans="1:28" ht="15" customHeight="1">
      <c r="A112" s="13">
        <v>103</v>
      </c>
      <c r="B112" s="27" t="s">
        <v>168</v>
      </c>
      <c r="C112" s="49" t="s">
        <v>4</v>
      </c>
      <c r="D112" s="49">
        <v>5</v>
      </c>
      <c r="E112" s="30">
        <v>0.8363636363636363</v>
      </c>
      <c r="F112" s="31">
        <v>1</v>
      </c>
      <c r="G112" s="41">
        <v>60</v>
      </c>
      <c r="H112" s="30">
        <f t="shared" si="25"/>
        <v>-0.1636363636363637</v>
      </c>
      <c r="I112" s="38">
        <v>0</v>
      </c>
      <c r="J112" s="30">
        <f t="shared" si="32"/>
        <v>2.625</v>
      </c>
      <c r="K112" s="30">
        <f t="shared" si="26"/>
        <v>2.7886363636363636</v>
      </c>
      <c r="L112" s="30">
        <f t="shared" si="27"/>
        <v>2.7886363636363636</v>
      </c>
      <c r="M112" s="10" t="s">
        <v>40</v>
      </c>
      <c r="N112" s="15">
        <v>0.87</v>
      </c>
      <c r="O112" s="12"/>
      <c r="P112" s="13">
        <v>103</v>
      </c>
      <c r="Q112" s="27" t="s">
        <v>168</v>
      </c>
      <c r="R112" s="49" t="s">
        <v>4</v>
      </c>
      <c r="S112" s="49">
        <v>0.06</v>
      </c>
      <c r="T112" s="30">
        <f t="shared" si="28"/>
        <v>0.8963636363636363</v>
      </c>
      <c r="U112" s="31">
        <v>1</v>
      </c>
      <c r="V112" s="41">
        <v>60</v>
      </c>
      <c r="W112" s="31">
        <f t="shared" si="29"/>
        <v>-0.10363636363636375</v>
      </c>
      <c r="X112" s="10">
        <v>0</v>
      </c>
      <c r="Y112" s="10">
        <v>2.625</v>
      </c>
      <c r="Z112" s="31">
        <f t="shared" si="30"/>
        <v>2.7286363636363635</v>
      </c>
      <c r="AA112" s="31">
        <f t="shared" si="31"/>
        <v>2.7286363636363635</v>
      </c>
      <c r="AB112" s="10" t="s">
        <v>40</v>
      </c>
    </row>
    <row r="113" spans="1:28" ht="15" customHeight="1">
      <c r="A113" s="13">
        <v>104</v>
      </c>
      <c r="B113" s="27" t="s">
        <v>169</v>
      </c>
      <c r="C113" s="49" t="s">
        <v>4</v>
      </c>
      <c r="D113" s="49">
        <v>5</v>
      </c>
      <c r="E113" s="30">
        <v>0.3090909090909091</v>
      </c>
      <c r="F113" s="31">
        <v>0.1</v>
      </c>
      <c r="G113" s="41">
        <v>60</v>
      </c>
      <c r="H113" s="30">
        <f t="shared" si="25"/>
        <v>0.20909090909090908</v>
      </c>
      <c r="I113" s="38">
        <v>0</v>
      </c>
      <c r="J113" s="30">
        <f t="shared" si="32"/>
        <v>2.625</v>
      </c>
      <c r="K113" s="30">
        <f t="shared" si="26"/>
        <v>2.415909090909091</v>
      </c>
      <c r="L113" s="30">
        <f t="shared" si="27"/>
        <v>2.415909090909091</v>
      </c>
      <c r="M113" s="10" t="s">
        <v>40</v>
      </c>
      <c r="N113" s="15">
        <v>0.91</v>
      </c>
      <c r="O113" s="12"/>
      <c r="P113" s="13">
        <v>104</v>
      </c>
      <c r="Q113" s="27" t="s">
        <v>169</v>
      </c>
      <c r="R113" s="49" t="s">
        <v>4</v>
      </c>
      <c r="S113" s="49"/>
      <c r="T113" s="30">
        <f t="shared" si="28"/>
        <v>0.3090909090909091</v>
      </c>
      <c r="U113" s="31">
        <v>0.1</v>
      </c>
      <c r="V113" s="41">
        <v>60</v>
      </c>
      <c r="W113" s="31">
        <f t="shared" si="29"/>
        <v>0.20909090909090908</v>
      </c>
      <c r="X113" s="10">
        <v>0</v>
      </c>
      <c r="Y113" s="10">
        <v>2.625</v>
      </c>
      <c r="Z113" s="31">
        <f t="shared" si="30"/>
        <v>2.415909090909091</v>
      </c>
      <c r="AA113" s="31">
        <f t="shared" si="31"/>
        <v>2.415909090909091</v>
      </c>
      <c r="AB113" s="10" t="s">
        <v>40</v>
      </c>
    </row>
    <row r="114" spans="1:28" ht="15" customHeight="1">
      <c r="A114" s="13">
        <v>105</v>
      </c>
      <c r="B114" s="27" t="s">
        <v>170</v>
      </c>
      <c r="C114" s="49" t="s">
        <v>4</v>
      </c>
      <c r="D114" s="49">
        <v>5</v>
      </c>
      <c r="E114" s="30">
        <v>1.1818181818181819</v>
      </c>
      <c r="F114" s="31">
        <v>1</v>
      </c>
      <c r="G114" s="41">
        <v>90</v>
      </c>
      <c r="H114" s="30">
        <f t="shared" si="25"/>
        <v>0.18181818181818188</v>
      </c>
      <c r="I114" s="38">
        <v>0</v>
      </c>
      <c r="J114" s="30">
        <f t="shared" si="32"/>
        <v>2.625</v>
      </c>
      <c r="K114" s="30">
        <f t="shared" si="26"/>
        <v>2.4431818181818183</v>
      </c>
      <c r="L114" s="30">
        <f t="shared" si="27"/>
        <v>2.4431818181818183</v>
      </c>
      <c r="M114" s="10" t="s">
        <v>40</v>
      </c>
      <c r="N114" s="15">
        <v>0.94</v>
      </c>
      <c r="O114" s="12"/>
      <c r="P114" s="13">
        <v>105</v>
      </c>
      <c r="Q114" s="27" t="s">
        <v>170</v>
      </c>
      <c r="R114" s="49" t="s">
        <v>4</v>
      </c>
      <c r="S114" s="49">
        <v>0.2</v>
      </c>
      <c r="T114" s="30">
        <f t="shared" si="28"/>
        <v>1.3818181818181818</v>
      </c>
      <c r="U114" s="31">
        <v>1</v>
      </c>
      <c r="V114" s="41">
        <v>90</v>
      </c>
      <c r="W114" s="31">
        <f t="shared" si="29"/>
        <v>0.38181818181818183</v>
      </c>
      <c r="X114" s="10">
        <v>0</v>
      </c>
      <c r="Y114" s="10">
        <v>2.625</v>
      </c>
      <c r="Z114" s="31">
        <f t="shared" si="30"/>
        <v>2.243181818181818</v>
      </c>
      <c r="AA114" s="31">
        <f t="shared" si="31"/>
        <v>2.243181818181818</v>
      </c>
      <c r="AB114" s="10" t="s">
        <v>40</v>
      </c>
    </row>
    <row r="115" spans="1:28" ht="15" customHeight="1">
      <c r="A115" s="13">
        <v>106</v>
      </c>
      <c r="B115" s="27" t="s">
        <v>171</v>
      </c>
      <c r="C115" s="49" t="s">
        <v>4</v>
      </c>
      <c r="D115" s="49">
        <v>5</v>
      </c>
      <c r="E115" s="30">
        <v>1.6181818181818182</v>
      </c>
      <c r="F115" s="31">
        <v>1</v>
      </c>
      <c r="G115" s="41">
        <v>60</v>
      </c>
      <c r="H115" s="30">
        <f t="shared" si="25"/>
        <v>0.6181818181818182</v>
      </c>
      <c r="I115" s="38">
        <v>0</v>
      </c>
      <c r="J115" s="30">
        <f t="shared" si="32"/>
        <v>2.625</v>
      </c>
      <c r="K115" s="30">
        <f t="shared" si="26"/>
        <v>2.006818181818182</v>
      </c>
      <c r="L115" s="30">
        <f t="shared" si="27"/>
        <v>2.006818181818182</v>
      </c>
      <c r="M115" s="10" t="s">
        <v>40</v>
      </c>
      <c r="N115" s="15">
        <v>0.89</v>
      </c>
      <c r="O115" s="12"/>
      <c r="P115" s="13">
        <v>106</v>
      </c>
      <c r="Q115" s="27" t="s">
        <v>171</v>
      </c>
      <c r="R115" s="49" t="s">
        <v>4</v>
      </c>
      <c r="S115" s="49">
        <v>0.03</v>
      </c>
      <c r="T115" s="30">
        <f t="shared" si="28"/>
        <v>1.6481818181818182</v>
      </c>
      <c r="U115" s="31">
        <v>1</v>
      </c>
      <c r="V115" s="41">
        <v>60</v>
      </c>
      <c r="W115" s="31">
        <f t="shared" si="29"/>
        <v>0.6481818181818182</v>
      </c>
      <c r="X115" s="10">
        <v>0</v>
      </c>
      <c r="Y115" s="10">
        <v>2.625</v>
      </c>
      <c r="Z115" s="31">
        <f t="shared" si="30"/>
        <v>1.9768181818181818</v>
      </c>
      <c r="AA115" s="31">
        <f t="shared" si="31"/>
        <v>1.9768181818181818</v>
      </c>
      <c r="AB115" s="10" t="s">
        <v>40</v>
      </c>
    </row>
    <row r="116" spans="1:28" ht="15" customHeight="1">
      <c r="A116" s="13">
        <v>107</v>
      </c>
      <c r="B116" s="27" t="s">
        <v>172</v>
      </c>
      <c r="C116" s="49" t="s">
        <v>4</v>
      </c>
      <c r="D116" s="49">
        <v>5</v>
      </c>
      <c r="E116" s="30">
        <v>0.23636363636363636</v>
      </c>
      <c r="F116" s="31">
        <v>0</v>
      </c>
      <c r="G116" s="41">
        <v>0</v>
      </c>
      <c r="H116" s="30">
        <f t="shared" si="25"/>
        <v>0.23636363636363636</v>
      </c>
      <c r="I116" s="38">
        <v>0</v>
      </c>
      <c r="J116" s="30">
        <f t="shared" si="32"/>
        <v>2.625</v>
      </c>
      <c r="K116" s="30">
        <f t="shared" si="26"/>
        <v>2.3886363636363637</v>
      </c>
      <c r="L116" s="30">
        <f t="shared" si="27"/>
        <v>2.3886363636363637</v>
      </c>
      <c r="M116" s="10" t="s">
        <v>40</v>
      </c>
      <c r="N116" s="15">
        <v>0.93</v>
      </c>
      <c r="O116" s="12"/>
      <c r="P116" s="13">
        <v>107</v>
      </c>
      <c r="Q116" s="27" t="s">
        <v>172</v>
      </c>
      <c r="R116" s="49" t="s">
        <v>4</v>
      </c>
      <c r="S116" s="49">
        <v>0.08</v>
      </c>
      <c r="T116" s="30">
        <f t="shared" si="28"/>
        <v>0.31636363636363635</v>
      </c>
      <c r="U116" s="31">
        <v>0</v>
      </c>
      <c r="V116" s="41">
        <v>0</v>
      </c>
      <c r="W116" s="31">
        <f t="shared" si="29"/>
        <v>0.31636363636363635</v>
      </c>
      <c r="X116" s="10">
        <v>0</v>
      </c>
      <c r="Y116" s="10">
        <v>2.625</v>
      </c>
      <c r="Z116" s="31">
        <f t="shared" si="30"/>
        <v>2.3086363636363636</v>
      </c>
      <c r="AA116" s="31">
        <f t="shared" si="31"/>
        <v>2.3086363636363636</v>
      </c>
      <c r="AB116" s="10" t="s">
        <v>40</v>
      </c>
    </row>
    <row r="117" spans="1:28" ht="15" customHeight="1">
      <c r="A117" s="13">
        <v>108</v>
      </c>
      <c r="B117" s="27" t="s">
        <v>173</v>
      </c>
      <c r="C117" s="49" t="s">
        <v>4</v>
      </c>
      <c r="D117" s="49">
        <v>5</v>
      </c>
      <c r="E117" s="30">
        <v>0.33</v>
      </c>
      <c r="F117" s="31">
        <v>0</v>
      </c>
      <c r="G117" s="41">
        <v>0</v>
      </c>
      <c r="H117" s="30">
        <f t="shared" si="25"/>
        <v>0.33</v>
      </c>
      <c r="I117" s="38">
        <v>0</v>
      </c>
      <c r="J117" s="30">
        <f t="shared" si="32"/>
        <v>2.625</v>
      </c>
      <c r="K117" s="30">
        <f t="shared" si="26"/>
        <v>2.295</v>
      </c>
      <c r="L117" s="30">
        <f t="shared" si="27"/>
        <v>2.295</v>
      </c>
      <c r="M117" s="10" t="s">
        <v>40</v>
      </c>
      <c r="N117" s="15">
        <v>0.77</v>
      </c>
      <c r="O117" s="12"/>
      <c r="P117" s="13">
        <v>108</v>
      </c>
      <c r="Q117" s="27" t="s">
        <v>173</v>
      </c>
      <c r="R117" s="49" t="s">
        <v>4</v>
      </c>
      <c r="S117" s="49">
        <v>0.01</v>
      </c>
      <c r="T117" s="30">
        <f t="shared" si="28"/>
        <v>0.34</v>
      </c>
      <c r="U117" s="31">
        <v>0</v>
      </c>
      <c r="V117" s="41">
        <v>0</v>
      </c>
      <c r="W117" s="31">
        <f t="shared" si="29"/>
        <v>0.34</v>
      </c>
      <c r="X117" s="10">
        <v>0</v>
      </c>
      <c r="Y117" s="10">
        <v>2.625</v>
      </c>
      <c r="Z117" s="31">
        <f t="shared" si="30"/>
        <v>2.285</v>
      </c>
      <c r="AA117" s="31">
        <f t="shared" si="31"/>
        <v>2.285</v>
      </c>
      <c r="AB117" s="10" t="s">
        <v>40</v>
      </c>
    </row>
    <row r="118" spans="1:28" ht="15" customHeight="1">
      <c r="A118" s="13">
        <v>109</v>
      </c>
      <c r="B118" s="27" t="s">
        <v>174</v>
      </c>
      <c r="C118" s="49" t="s">
        <v>4</v>
      </c>
      <c r="D118" s="49">
        <v>5</v>
      </c>
      <c r="E118" s="30">
        <v>0.509090909090909</v>
      </c>
      <c r="F118" s="31">
        <v>0</v>
      </c>
      <c r="G118" s="41">
        <v>0</v>
      </c>
      <c r="H118" s="30">
        <f t="shared" si="25"/>
        <v>0.509090909090909</v>
      </c>
      <c r="I118" s="38">
        <v>0</v>
      </c>
      <c r="J118" s="30">
        <f t="shared" si="32"/>
        <v>2.625</v>
      </c>
      <c r="K118" s="30">
        <f t="shared" si="26"/>
        <v>2.115909090909091</v>
      </c>
      <c r="L118" s="30">
        <f t="shared" si="27"/>
        <v>2.115909090909091</v>
      </c>
      <c r="M118" s="10" t="s">
        <v>40</v>
      </c>
      <c r="N118" s="15">
        <v>0.78</v>
      </c>
      <c r="O118" s="12"/>
      <c r="P118" s="13">
        <v>109</v>
      </c>
      <c r="Q118" s="27" t="s">
        <v>174</v>
      </c>
      <c r="R118" s="49" t="s">
        <v>4</v>
      </c>
      <c r="S118" s="49">
        <v>0.01</v>
      </c>
      <c r="T118" s="30">
        <f t="shared" si="28"/>
        <v>0.519090909090909</v>
      </c>
      <c r="U118" s="31">
        <v>0</v>
      </c>
      <c r="V118" s="41">
        <v>0</v>
      </c>
      <c r="W118" s="31">
        <f t="shared" si="29"/>
        <v>0.519090909090909</v>
      </c>
      <c r="X118" s="10">
        <v>0</v>
      </c>
      <c r="Y118" s="10">
        <v>2.625</v>
      </c>
      <c r="Z118" s="31">
        <f t="shared" si="30"/>
        <v>2.105909090909091</v>
      </c>
      <c r="AA118" s="31">
        <f t="shared" si="31"/>
        <v>2.105909090909091</v>
      </c>
      <c r="AB118" s="10" t="s">
        <v>40</v>
      </c>
    </row>
    <row r="119" spans="1:28" ht="11.25">
      <c r="A119" s="13">
        <v>110</v>
      </c>
      <c r="B119" s="27" t="s">
        <v>175</v>
      </c>
      <c r="C119" s="49" t="s">
        <v>4</v>
      </c>
      <c r="D119" s="49">
        <v>5</v>
      </c>
      <c r="E119" s="30">
        <v>0.7454545454545455</v>
      </c>
      <c r="F119" s="31">
        <v>0</v>
      </c>
      <c r="G119" s="41">
        <v>0</v>
      </c>
      <c r="H119" s="30">
        <f t="shared" si="25"/>
        <v>0.7454545454545455</v>
      </c>
      <c r="I119" s="38">
        <v>0</v>
      </c>
      <c r="J119" s="30">
        <f t="shared" si="32"/>
        <v>2.625</v>
      </c>
      <c r="K119" s="30">
        <f t="shared" si="26"/>
        <v>1.8795454545454544</v>
      </c>
      <c r="L119" s="30">
        <f t="shared" si="27"/>
        <v>1.8795454545454544</v>
      </c>
      <c r="M119" s="10" t="s">
        <v>40</v>
      </c>
      <c r="N119" s="15">
        <v>0.9</v>
      </c>
      <c r="O119" s="12"/>
      <c r="P119" s="13">
        <v>110</v>
      </c>
      <c r="Q119" s="27" t="s">
        <v>175</v>
      </c>
      <c r="R119" s="49" t="s">
        <v>4</v>
      </c>
      <c r="S119" s="49">
        <v>0.03</v>
      </c>
      <c r="T119" s="30">
        <f t="shared" si="28"/>
        <v>0.7754545454545455</v>
      </c>
      <c r="U119" s="31">
        <v>0</v>
      </c>
      <c r="V119" s="41">
        <v>0</v>
      </c>
      <c r="W119" s="31">
        <f t="shared" si="29"/>
        <v>0.7754545454545455</v>
      </c>
      <c r="X119" s="10">
        <v>0</v>
      </c>
      <c r="Y119" s="10">
        <v>2.625</v>
      </c>
      <c r="Z119" s="31">
        <f t="shared" si="30"/>
        <v>1.8495454545454546</v>
      </c>
      <c r="AA119" s="31">
        <f t="shared" si="31"/>
        <v>1.8495454545454546</v>
      </c>
      <c r="AB119" s="10" t="s">
        <v>40</v>
      </c>
    </row>
    <row r="120" spans="1:28" ht="11.25">
      <c r="A120" s="13">
        <v>111</v>
      </c>
      <c r="B120" s="27" t="s">
        <v>176</v>
      </c>
      <c r="C120" s="49" t="s">
        <v>4</v>
      </c>
      <c r="D120" s="49">
        <v>5</v>
      </c>
      <c r="E120" s="30">
        <v>0.6</v>
      </c>
      <c r="F120" s="31">
        <v>0</v>
      </c>
      <c r="G120" s="41">
        <v>0</v>
      </c>
      <c r="H120" s="30">
        <f t="shared" si="25"/>
        <v>0.6</v>
      </c>
      <c r="I120" s="38">
        <v>0</v>
      </c>
      <c r="J120" s="30">
        <f t="shared" si="32"/>
        <v>2.625</v>
      </c>
      <c r="K120" s="30">
        <f t="shared" si="26"/>
        <v>2.025</v>
      </c>
      <c r="L120" s="30">
        <f t="shared" si="27"/>
        <v>2.025</v>
      </c>
      <c r="M120" s="10" t="s">
        <v>40</v>
      </c>
      <c r="N120" s="15">
        <v>0.9</v>
      </c>
      <c r="O120" s="12"/>
      <c r="P120" s="13">
        <v>111</v>
      </c>
      <c r="Q120" s="27" t="s">
        <v>176</v>
      </c>
      <c r="R120" s="49" t="s">
        <v>4</v>
      </c>
      <c r="S120" s="49">
        <v>0.015</v>
      </c>
      <c r="T120" s="30">
        <f t="shared" si="28"/>
        <v>0.615</v>
      </c>
      <c r="U120" s="31">
        <v>0</v>
      </c>
      <c r="V120" s="41">
        <v>0</v>
      </c>
      <c r="W120" s="31">
        <f t="shared" si="29"/>
        <v>0.615</v>
      </c>
      <c r="X120" s="10">
        <v>0</v>
      </c>
      <c r="Y120" s="10">
        <v>2.625</v>
      </c>
      <c r="Z120" s="31">
        <f t="shared" si="30"/>
        <v>2.01</v>
      </c>
      <c r="AA120" s="31">
        <f t="shared" si="31"/>
        <v>2.01</v>
      </c>
      <c r="AB120" s="10" t="s">
        <v>40</v>
      </c>
    </row>
    <row r="121" spans="1:28" ht="15" customHeight="1">
      <c r="A121" s="13">
        <v>112</v>
      </c>
      <c r="B121" s="27" t="s">
        <v>177</v>
      </c>
      <c r="C121" s="49" t="s">
        <v>4</v>
      </c>
      <c r="D121" s="49">
        <v>5</v>
      </c>
      <c r="E121" s="30">
        <v>0.5636363636363636</v>
      </c>
      <c r="F121" s="31">
        <v>0</v>
      </c>
      <c r="G121" s="41">
        <v>0</v>
      </c>
      <c r="H121" s="30">
        <f t="shared" si="25"/>
        <v>0.5636363636363636</v>
      </c>
      <c r="I121" s="38">
        <v>0</v>
      </c>
      <c r="J121" s="30">
        <f t="shared" si="32"/>
        <v>2.625</v>
      </c>
      <c r="K121" s="30">
        <f t="shared" si="26"/>
        <v>2.0613636363636365</v>
      </c>
      <c r="L121" s="30">
        <f t="shared" si="27"/>
        <v>2.0613636363636365</v>
      </c>
      <c r="M121" s="10" t="s">
        <v>40</v>
      </c>
      <c r="N121" s="15">
        <v>0.88</v>
      </c>
      <c r="O121" s="12"/>
      <c r="P121" s="16">
        <v>112</v>
      </c>
      <c r="Q121" s="17" t="s">
        <v>177</v>
      </c>
      <c r="R121" s="50" t="s">
        <v>4</v>
      </c>
      <c r="S121" s="50">
        <v>2.8</v>
      </c>
      <c r="T121" s="20">
        <f t="shared" si="28"/>
        <v>3.3636363636363633</v>
      </c>
      <c r="U121" s="23">
        <v>0</v>
      </c>
      <c r="V121" s="44">
        <v>0</v>
      </c>
      <c r="W121" s="23">
        <f t="shared" si="29"/>
        <v>3.3636363636363633</v>
      </c>
      <c r="X121" s="18">
        <v>0</v>
      </c>
      <c r="Y121" s="18">
        <v>2.625</v>
      </c>
      <c r="Z121" s="23">
        <f t="shared" si="30"/>
        <v>-0.7386363636363633</v>
      </c>
      <c r="AA121" s="23">
        <f t="shared" si="31"/>
        <v>-0.7386363636363633</v>
      </c>
      <c r="AB121" s="18" t="s">
        <v>39</v>
      </c>
    </row>
    <row r="122" spans="1:28" ht="15" customHeight="1">
      <c r="A122" s="13">
        <v>113</v>
      </c>
      <c r="B122" s="27" t="s">
        <v>178</v>
      </c>
      <c r="C122" s="49" t="s">
        <v>4</v>
      </c>
      <c r="D122" s="49">
        <v>5</v>
      </c>
      <c r="E122" s="30">
        <v>0.7454545454545455</v>
      </c>
      <c r="F122" s="31">
        <v>0</v>
      </c>
      <c r="G122" s="41">
        <v>0</v>
      </c>
      <c r="H122" s="30">
        <f t="shared" si="25"/>
        <v>0.7454545454545455</v>
      </c>
      <c r="I122" s="38">
        <v>0</v>
      </c>
      <c r="J122" s="30">
        <f t="shared" si="32"/>
        <v>2.625</v>
      </c>
      <c r="K122" s="30">
        <f t="shared" si="26"/>
        <v>1.8795454545454544</v>
      </c>
      <c r="L122" s="30">
        <f t="shared" si="27"/>
        <v>1.8795454545454544</v>
      </c>
      <c r="M122" s="10" t="s">
        <v>40</v>
      </c>
      <c r="N122" s="15">
        <v>0.87</v>
      </c>
      <c r="O122" s="12"/>
      <c r="P122" s="13">
        <v>113</v>
      </c>
      <c r="Q122" s="27" t="s">
        <v>178</v>
      </c>
      <c r="R122" s="49" t="s">
        <v>4</v>
      </c>
      <c r="S122" s="49">
        <v>0.02</v>
      </c>
      <c r="T122" s="30">
        <f t="shared" si="28"/>
        <v>0.7654545454545455</v>
      </c>
      <c r="U122" s="31">
        <v>0</v>
      </c>
      <c r="V122" s="41">
        <v>0</v>
      </c>
      <c r="W122" s="31">
        <f t="shared" si="29"/>
        <v>0.7654545454545455</v>
      </c>
      <c r="X122" s="10">
        <v>0</v>
      </c>
      <c r="Y122" s="10">
        <v>2.625</v>
      </c>
      <c r="Z122" s="31">
        <f t="shared" si="30"/>
        <v>1.8595454545454544</v>
      </c>
      <c r="AA122" s="31">
        <f t="shared" si="31"/>
        <v>1.8595454545454544</v>
      </c>
      <c r="AB122" s="10" t="s">
        <v>40</v>
      </c>
    </row>
    <row r="123" spans="1:28" ht="15" customHeight="1">
      <c r="A123" s="13">
        <v>114</v>
      </c>
      <c r="B123" s="27" t="s">
        <v>179</v>
      </c>
      <c r="C123" s="49" t="s">
        <v>10</v>
      </c>
      <c r="D123" s="49">
        <v>8</v>
      </c>
      <c r="E123" s="30">
        <v>0.9090909090909091</v>
      </c>
      <c r="F123" s="31">
        <v>1</v>
      </c>
      <c r="G123" s="41">
        <v>120</v>
      </c>
      <c r="H123" s="30">
        <f t="shared" si="25"/>
        <v>-0.09090909090909094</v>
      </c>
      <c r="I123" s="38">
        <v>0</v>
      </c>
      <c r="J123" s="30">
        <v>4.2</v>
      </c>
      <c r="K123" s="30">
        <f t="shared" si="26"/>
        <v>4.290909090909091</v>
      </c>
      <c r="L123" s="30">
        <f t="shared" si="27"/>
        <v>4.290909090909091</v>
      </c>
      <c r="M123" s="10" t="s">
        <v>40</v>
      </c>
      <c r="N123" s="15">
        <v>0.9</v>
      </c>
      <c r="O123" s="12"/>
      <c r="P123" s="13">
        <v>114</v>
      </c>
      <c r="Q123" s="27" t="s">
        <v>179</v>
      </c>
      <c r="R123" s="49" t="s">
        <v>10</v>
      </c>
      <c r="S123" s="49"/>
      <c r="T123" s="30">
        <f t="shared" si="28"/>
        <v>0.9090909090909091</v>
      </c>
      <c r="U123" s="31">
        <v>1</v>
      </c>
      <c r="V123" s="41">
        <v>120</v>
      </c>
      <c r="W123" s="31">
        <f t="shared" si="29"/>
        <v>-0.09090909090909094</v>
      </c>
      <c r="X123" s="10">
        <v>0</v>
      </c>
      <c r="Y123" s="10">
        <v>4.2</v>
      </c>
      <c r="Z123" s="31">
        <f t="shared" si="30"/>
        <v>4.290909090909091</v>
      </c>
      <c r="AA123" s="31">
        <f t="shared" si="31"/>
        <v>4.290909090909091</v>
      </c>
      <c r="AB123" s="10" t="s">
        <v>40</v>
      </c>
    </row>
    <row r="124" spans="1:28" ht="15" customHeight="1">
      <c r="A124" s="13">
        <v>115</v>
      </c>
      <c r="B124" s="32" t="s">
        <v>180</v>
      </c>
      <c r="C124" s="10" t="s">
        <v>10</v>
      </c>
      <c r="D124" s="10">
        <v>8</v>
      </c>
      <c r="E124" s="30">
        <v>3.427</v>
      </c>
      <c r="F124" s="31">
        <v>0</v>
      </c>
      <c r="G124" s="41">
        <v>0</v>
      </c>
      <c r="H124" s="30">
        <f t="shared" si="25"/>
        <v>3.427</v>
      </c>
      <c r="I124" s="38">
        <v>0</v>
      </c>
      <c r="J124" s="30">
        <v>4.2</v>
      </c>
      <c r="K124" s="30">
        <f t="shared" si="26"/>
        <v>0.7730000000000001</v>
      </c>
      <c r="L124" s="30">
        <f t="shared" si="27"/>
        <v>0.7730000000000001</v>
      </c>
      <c r="M124" s="10" t="s">
        <v>40</v>
      </c>
      <c r="N124" s="15">
        <v>0.98</v>
      </c>
      <c r="O124" s="12"/>
      <c r="P124" s="13">
        <v>115</v>
      </c>
      <c r="Q124" s="32" t="s">
        <v>180</v>
      </c>
      <c r="R124" s="10" t="s">
        <v>10</v>
      </c>
      <c r="S124" s="10"/>
      <c r="T124" s="30">
        <f t="shared" si="28"/>
        <v>3.427</v>
      </c>
      <c r="U124" s="31">
        <v>0</v>
      </c>
      <c r="V124" s="41">
        <v>0</v>
      </c>
      <c r="W124" s="31">
        <f t="shared" si="29"/>
        <v>3.427</v>
      </c>
      <c r="X124" s="10">
        <v>0</v>
      </c>
      <c r="Y124" s="10">
        <v>4.2</v>
      </c>
      <c r="Z124" s="31">
        <f t="shared" si="30"/>
        <v>0.7730000000000001</v>
      </c>
      <c r="AA124" s="31">
        <f t="shared" si="31"/>
        <v>0.7730000000000001</v>
      </c>
      <c r="AB124" s="10" t="s">
        <v>39</v>
      </c>
    </row>
    <row r="125" spans="1:28" ht="15" customHeight="1">
      <c r="A125" s="16">
        <v>116</v>
      </c>
      <c r="B125" s="24" t="s">
        <v>181</v>
      </c>
      <c r="C125" s="18" t="s">
        <v>24</v>
      </c>
      <c r="D125" s="18">
        <v>3</v>
      </c>
      <c r="E125" s="33">
        <f>((150*6.6)/1000)*1.73</f>
        <v>1.7127</v>
      </c>
      <c r="F125" s="23">
        <v>0</v>
      </c>
      <c r="G125" s="44">
        <v>0</v>
      </c>
      <c r="H125" s="20">
        <f t="shared" si="25"/>
        <v>1.7127</v>
      </c>
      <c r="I125" s="48">
        <v>0</v>
      </c>
      <c r="J125" s="20">
        <v>1.05</v>
      </c>
      <c r="K125" s="20">
        <f t="shared" si="26"/>
        <v>-0.6626999999999998</v>
      </c>
      <c r="L125" s="20">
        <f t="shared" si="27"/>
        <v>-0.6626999999999998</v>
      </c>
      <c r="M125" s="18" t="s">
        <v>39</v>
      </c>
      <c r="N125" s="22">
        <v>0.915</v>
      </c>
      <c r="O125" s="12"/>
      <c r="P125" s="16">
        <v>116</v>
      </c>
      <c r="Q125" s="24" t="s">
        <v>181</v>
      </c>
      <c r="R125" s="18" t="s">
        <v>24</v>
      </c>
      <c r="S125" s="18">
        <v>0.09</v>
      </c>
      <c r="T125" s="20">
        <f t="shared" si="28"/>
        <v>1.8027</v>
      </c>
      <c r="U125" s="23">
        <v>0</v>
      </c>
      <c r="V125" s="44">
        <v>0</v>
      </c>
      <c r="W125" s="23">
        <f t="shared" si="29"/>
        <v>1.8027</v>
      </c>
      <c r="X125" s="18">
        <v>0</v>
      </c>
      <c r="Y125" s="18">
        <v>1.05</v>
      </c>
      <c r="Z125" s="23">
        <f t="shared" si="30"/>
        <v>-0.7526999999999999</v>
      </c>
      <c r="AA125" s="23">
        <f t="shared" si="31"/>
        <v>-0.7526999999999999</v>
      </c>
      <c r="AB125" s="18" t="s">
        <v>39</v>
      </c>
    </row>
    <row r="126" spans="1:28" ht="15" customHeight="1">
      <c r="A126" s="13">
        <v>117</v>
      </c>
      <c r="B126" s="32" t="s">
        <v>182</v>
      </c>
      <c r="C126" s="10" t="s">
        <v>4</v>
      </c>
      <c r="D126" s="10">
        <v>5</v>
      </c>
      <c r="E126" s="30">
        <v>1.831</v>
      </c>
      <c r="F126" s="31">
        <v>0.52</v>
      </c>
      <c r="G126" s="41">
        <v>75</v>
      </c>
      <c r="H126" s="30">
        <f t="shared" si="25"/>
        <v>1.311</v>
      </c>
      <c r="I126" s="38">
        <v>0</v>
      </c>
      <c r="J126" s="30">
        <f>2.5*1.05</f>
        <v>2.625</v>
      </c>
      <c r="K126" s="30">
        <f t="shared" si="26"/>
        <v>1.314</v>
      </c>
      <c r="L126" s="30">
        <f t="shared" si="27"/>
        <v>1.314</v>
      </c>
      <c r="M126" s="40" t="s">
        <v>33</v>
      </c>
      <c r="N126" s="15">
        <v>0.96</v>
      </c>
      <c r="O126" s="12"/>
      <c r="P126" s="16">
        <v>117</v>
      </c>
      <c r="Q126" s="24" t="s">
        <v>182</v>
      </c>
      <c r="R126" s="18" t="s">
        <v>4</v>
      </c>
      <c r="S126" s="18">
        <v>1.45</v>
      </c>
      <c r="T126" s="20">
        <f t="shared" si="28"/>
        <v>3.2809999999999997</v>
      </c>
      <c r="U126" s="23">
        <v>0.52</v>
      </c>
      <c r="V126" s="44">
        <v>75</v>
      </c>
      <c r="W126" s="23">
        <f t="shared" si="29"/>
        <v>2.7609999999999997</v>
      </c>
      <c r="X126" s="18">
        <v>0</v>
      </c>
      <c r="Y126" s="18">
        <v>2.625</v>
      </c>
      <c r="Z126" s="23">
        <f t="shared" si="30"/>
        <v>-0.13599999999999968</v>
      </c>
      <c r="AA126" s="23">
        <f t="shared" si="31"/>
        <v>-0.13599999999999968</v>
      </c>
      <c r="AB126" s="45" t="s">
        <v>33</v>
      </c>
    </row>
    <row r="127" spans="1:28" ht="15" customHeight="1">
      <c r="A127" s="13">
        <v>118</v>
      </c>
      <c r="B127" s="32" t="s">
        <v>183</v>
      </c>
      <c r="C127" s="10" t="s">
        <v>10</v>
      </c>
      <c r="D127" s="10">
        <v>8</v>
      </c>
      <c r="E127" s="30">
        <v>2.423</v>
      </c>
      <c r="F127" s="31">
        <v>0.82</v>
      </c>
      <c r="G127" s="41">
        <v>70</v>
      </c>
      <c r="H127" s="30">
        <f t="shared" si="25"/>
        <v>1.6030000000000002</v>
      </c>
      <c r="I127" s="38">
        <v>0</v>
      </c>
      <c r="J127" s="30">
        <v>4.2</v>
      </c>
      <c r="K127" s="30">
        <f t="shared" si="26"/>
        <v>2.597</v>
      </c>
      <c r="L127" s="30">
        <f t="shared" si="27"/>
        <v>2.597</v>
      </c>
      <c r="M127" s="40" t="s">
        <v>33</v>
      </c>
      <c r="N127" s="15">
        <v>0.91</v>
      </c>
      <c r="O127" s="12"/>
      <c r="P127" s="13">
        <v>118</v>
      </c>
      <c r="Q127" s="32" t="s">
        <v>183</v>
      </c>
      <c r="R127" s="10" t="s">
        <v>10</v>
      </c>
      <c r="S127" s="10">
        <v>0.24</v>
      </c>
      <c r="T127" s="30">
        <f t="shared" si="28"/>
        <v>2.6630000000000003</v>
      </c>
      <c r="U127" s="31">
        <v>0.82</v>
      </c>
      <c r="V127" s="41">
        <v>70</v>
      </c>
      <c r="W127" s="31">
        <f t="shared" si="29"/>
        <v>1.8430000000000004</v>
      </c>
      <c r="X127" s="10">
        <v>0</v>
      </c>
      <c r="Y127" s="10">
        <v>4.2</v>
      </c>
      <c r="Z127" s="31">
        <f t="shared" si="30"/>
        <v>2.3569999999999998</v>
      </c>
      <c r="AA127" s="31">
        <f t="shared" si="31"/>
        <v>2.3569999999999998</v>
      </c>
      <c r="AB127" s="40" t="s">
        <v>33</v>
      </c>
    </row>
    <row r="128" spans="1:28" ht="15" customHeight="1">
      <c r="A128" s="13">
        <v>119</v>
      </c>
      <c r="B128" s="32" t="s">
        <v>184</v>
      </c>
      <c r="C128" s="10" t="s">
        <v>25</v>
      </c>
      <c r="D128" s="10">
        <v>11.9</v>
      </c>
      <c r="E128" s="30">
        <v>4.5</v>
      </c>
      <c r="F128" s="31">
        <v>0</v>
      </c>
      <c r="G128" s="41">
        <v>0</v>
      </c>
      <c r="H128" s="30">
        <f t="shared" si="25"/>
        <v>4.5</v>
      </c>
      <c r="I128" s="38">
        <v>0</v>
      </c>
      <c r="J128" s="30">
        <f>5.6*1.05</f>
        <v>5.88</v>
      </c>
      <c r="K128" s="30">
        <f t="shared" si="26"/>
        <v>1.38</v>
      </c>
      <c r="L128" s="30">
        <f t="shared" si="27"/>
        <v>1.38</v>
      </c>
      <c r="M128" s="10" t="s">
        <v>40</v>
      </c>
      <c r="N128" s="15">
        <v>0.95</v>
      </c>
      <c r="O128" s="12"/>
      <c r="P128" s="13">
        <v>119</v>
      </c>
      <c r="Q128" s="32" t="s">
        <v>184</v>
      </c>
      <c r="R128" s="10" t="s">
        <v>25</v>
      </c>
      <c r="S128" s="10">
        <v>0.36</v>
      </c>
      <c r="T128" s="30">
        <f t="shared" si="28"/>
        <v>4.86</v>
      </c>
      <c r="U128" s="31">
        <v>0</v>
      </c>
      <c r="V128" s="41">
        <v>0</v>
      </c>
      <c r="W128" s="31">
        <f t="shared" si="29"/>
        <v>4.86</v>
      </c>
      <c r="X128" s="10">
        <v>0</v>
      </c>
      <c r="Y128" s="10">
        <v>5.88</v>
      </c>
      <c r="Z128" s="31">
        <f t="shared" si="30"/>
        <v>1.0199999999999996</v>
      </c>
      <c r="AA128" s="31">
        <f t="shared" si="31"/>
        <v>1.0199999999999996</v>
      </c>
      <c r="AB128" s="10" t="s">
        <v>40</v>
      </c>
    </row>
    <row r="129" spans="1:28" ht="15" customHeight="1">
      <c r="A129" s="16">
        <v>120</v>
      </c>
      <c r="B129" s="24" t="s">
        <v>185</v>
      </c>
      <c r="C129" s="18" t="s">
        <v>26</v>
      </c>
      <c r="D129" s="18">
        <v>9.6</v>
      </c>
      <c r="E129" s="20">
        <v>6.5</v>
      </c>
      <c r="F129" s="23">
        <v>0</v>
      </c>
      <c r="G129" s="44">
        <v>0</v>
      </c>
      <c r="H129" s="20">
        <f t="shared" si="25"/>
        <v>6.5</v>
      </c>
      <c r="I129" s="48">
        <v>0</v>
      </c>
      <c r="J129" s="20">
        <v>4.2</v>
      </c>
      <c r="K129" s="20">
        <f t="shared" si="26"/>
        <v>-2.3</v>
      </c>
      <c r="L129" s="20">
        <f t="shared" si="27"/>
        <v>-2.3</v>
      </c>
      <c r="M129" s="18" t="s">
        <v>39</v>
      </c>
      <c r="N129" s="22">
        <v>0.95</v>
      </c>
      <c r="O129" s="12"/>
      <c r="P129" s="16">
        <v>120</v>
      </c>
      <c r="Q129" s="24" t="s">
        <v>185</v>
      </c>
      <c r="R129" s="18" t="s">
        <v>26</v>
      </c>
      <c r="S129" s="51">
        <v>2.28</v>
      </c>
      <c r="T129" s="20">
        <f t="shared" si="28"/>
        <v>8.78</v>
      </c>
      <c r="U129" s="23">
        <v>0</v>
      </c>
      <c r="V129" s="44">
        <v>0</v>
      </c>
      <c r="W129" s="23">
        <f t="shared" si="29"/>
        <v>8.78</v>
      </c>
      <c r="X129" s="18">
        <v>0</v>
      </c>
      <c r="Y129" s="18">
        <v>4.2</v>
      </c>
      <c r="Z129" s="23">
        <f t="shared" si="30"/>
        <v>-4.579999999999999</v>
      </c>
      <c r="AA129" s="23">
        <f t="shared" si="31"/>
        <v>-4.579999999999999</v>
      </c>
      <c r="AB129" s="18" t="s">
        <v>39</v>
      </c>
    </row>
    <row r="130" spans="1:28" ht="15" customHeight="1">
      <c r="A130" s="13">
        <v>121</v>
      </c>
      <c r="B130" s="32" t="s">
        <v>186</v>
      </c>
      <c r="C130" s="10" t="s">
        <v>27</v>
      </c>
      <c r="D130" s="10">
        <v>7.2</v>
      </c>
      <c r="E130" s="46">
        <f>((91*10+123*10.4)/1000)*1.73</f>
        <v>3.787316</v>
      </c>
      <c r="F130" s="31">
        <v>0.93</v>
      </c>
      <c r="G130" s="41">
        <v>160</v>
      </c>
      <c r="H130" s="30">
        <f t="shared" si="25"/>
        <v>2.857316</v>
      </c>
      <c r="I130" s="38">
        <v>0</v>
      </c>
      <c r="J130" s="30">
        <f>3.2*1.05</f>
        <v>3.3600000000000003</v>
      </c>
      <c r="K130" s="30">
        <f t="shared" si="26"/>
        <v>0.5026840000000004</v>
      </c>
      <c r="L130" s="30">
        <f t="shared" si="27"/>
        <v>0.5026840000000004</v>
      </c>
      <c r="M130" s="10" t="s">
        <v>40</v>
      </c>
      <c r="N130" s="15">
        <v>0.922</v>
      </c>
      <c r="O130" s="12"/>
      <c r="P130" s="16">
        <v>121</v>
      </c>
      <c r="Q130" s="24" t="s">
        <v>186</v>
      </c>
      <c r="R130" s="18" t="s">
        <v>27</v>
      </c>
      <c r="S130" s="18">
        <v>0.88</v>
      </c>
      <c r="T130" s="20">
        <f t="shared" si="28"/>
        <v>4.6673160000000005</v>
      </c>
      <c r="U130" s="23">
        <v>0.93</v>
      </c>
      <c r="V130" s="44">
        <v>160</v>
      </c>
      <c r="W130" s="23">
        <f t="shared" si="29"/>
        <v>3.7373160000000003</v>
      </c>
      <c r="X130" s="18">
        <v>0</v>
      </c>
      <c r="Y130" s="18">
        <v>3.3600000000000003</v>
      </c>
      <c r="Z130" s="23">
        <f t="shared" si="30"/>
        <v>-0.377316</v>
      </c>
      <c r="AA130" s="23">
        <f t="shared" si="31"/>
        <v>-0.377316</v>
      </c>
      <c r="AB130" s="18" t="s">
        <v>39</v>
      </c>
    </row>
    <row r="131" spans="1:28" ht="11.25">
      <c r="A131" s="13">
        <v>122</v>
      </c>
      <c r="B131" s="32" t="s">
        <v>187</v>
      </c>
      <c r="C131" s="10" t="s">
        <v>23</v>
      </c>
      <c r="D131" s="10">
        <v>3.2</v>
      </c>
      <c r="E131" s="46">
        <f>((16+10.6+12*10.4)/1000)*1.73</f>
        <v>0.261922</v>
      </c>
      <c r="F131" s="31">
        <v>0.094</v>
      </c>
      <c r="G131" s="41">
        <v>130</v>
      </c>
      <c r="H131" s="30">
        <f t="shared" si="25"/>
        <v>0.167922</v>
      </c>
      <c r="I131" s="38">
        <v>0</v>
      </c>
      <c r="J131" s="30">
        <f>1.6*1.05</f>
        <v>1.6800000000000002</v>
      </c>
      <c r="K131" s="30">
        <f t="shared" si="26"/>
        <v>1.5120780000000003</v>
      </c>
      <c r="L131" s="30">
        <f t="shared" si="27"/>
        <v>1.5120780000000003</v>
      </c>
      <c r="M131" s="10" t="s">
        <v>40</v>
      </c>
      <c r="N131" s="15">
        <v>0.888</v>
      </c>
      <c r="O131" s="12"/>
      <c r="P131" s="13">
        <v>122</v>
      </c>
      <c r="Q131" s="32" t="s">
        <v>187</v>
      </c>
      <c r="R131" s="10" t="s">
        <v>23</v>
      </c>
      <c r="S131" s="10">
        <v>0.1</v>
      </c>
      <c r="T131" s="30">
        <f t="shared" si="28"/>
        <v>0.36192199999999997</v>
      </c>
      <c r="U131" s="31">
        <v>0.094</v>
      </c>
      <c r="V131" s="41">
        <v>130</v>
      </c>
      <c r="W131" s="31">
        <f t="shared" si="29"/>
        <v>0.267922</v>
      </c>
      <c r="X131" s="10">
        <v>0</v>
      </c>
      <c r="Y131" s="10">
        <v>1.6800000000000002</v>
      </c>
      <c r="Z131" s="31">
        <f t="shared" si="30"/>
        <v>1.4120780000000002</v>
      </c>
      <c r="AA131" s="31">
        <f t="shared" si="31"/>
        <v>1.4120780000000002</v>
      </c>
      <c r="AB131" s="10" t="s">
        <v>40</v>
      </c>
    </row>
    <row r="132" spans="1:28" ht="15" customHeight="1">
      <c r="A132" s="13">
        <v>123</v>
      </c>
      <c r="B132" s="32" t="s">
        <v>188</v>
      </c>
      <c r="C132" s="10" t="s">
        <v>28</v>
      </c>
      <c r="D132" s="10">
        <v>6.5</v>
      </c>
      <c r="E132" s="46">
        <f>((50*10.6+3*10.3)/1000)*1.73</f>
        <v>0.9703569999999999</v>
      </c>
      <c r="F132" s="31">
        <v>0.5</v>
      </c>
      <c r="G132" s="41">
        <v>100</v>
      </c>
      <c r="H132" s="30">
        <f t="shared" si="25"/>
        <v>0.4703569999999999</v>
      </c>
      <c r="I132" s="38">
        <v>0</v>
      </c>
      <c r="J132" s="30">
        <f>2.5*1.05</f>
        <v>2.625</v>
      </c>
      <c r="K132" s="30">
        <f t="shared" si="26"/>
        <v>2.154643</v>
      </c>
      <c r="L132" s="30">
        <f t="shared" si="27"/>
        <v>2.154643</v>
      </c>
      <c r="M132" s="10" t="s">
        <v>40</v>
      </c>
      <c r="N132" s="15">
        <v>0.909</v>
      </c>
      <c r="O132" s="12"/>
      <c r="P132" s="13">
        <v>123</v>
      </c>
      <c r="Q132" s="32" t="s">
        <v>188</v>
      </c>
      <c r="R132" s="10" t="s">
        <v>28</v>
      </c>
      <c r="S132" s="10">
        <v>0.05</v>
      </c>
      <c r="T132" s="30">
        <f t="shared" si="28"/>
        <v>1.020357</v>
      </c>
      <c r="U132" s="31">
        <v>0.5</v>
      </c>
      <c r="V132" s="41">
        <v>100</v>
      </c>
      <c r="W132" s="31">
        <f t="shared" si="29"/>
        <v>0.520357</v>
      </c>
      <c r="X132" s="10">
        <v>0</v>
      </c>
      <c r="Y132" s="10">
        <v>2.625</v>
      </c>
      <c r="Z132" s="31">
        <f t="shared" si="30"/>
        <v>2.1046430000000003</v>
      </c>
      <c r="AA132" s="31">
        <f t="shared" si="31"/>
        <v>2.1046430000000003</v>
      </c>
      <c r="AB132" s="10" t="s">
        <v>40</v>
      </c>
    </row>
    <row r="133" spans="1:28" ht="11.25">
      <c r="A133" s="13">
        <v>124</v>
      </c>
      <c r="B133" s="32" t="s">
        <v>189</v>
      </c>
      <c r="C133" s="10" t="s">
        <v>4</v>
      </c>
      <c r="D133" s="10">
        <v>5</v>
      </c>
      <c r="E133" s="30">
        <v>0.643</v>
      </c>
      <c r="F133" s="31">
        <v>0.09</v>
      </c>
      <c r="G133" s="41">
        <v>140</v>
      </c>
      <c r="H133" s="30">
        <f aca="true" t="shared" si="33" ref="H133:H164">E133-F133</f>
        <v>0.553</v>
      </c>
      <c r="I133" s="38">
        <v>0</v>
      </c>
      <c r="J133" s="30">
        <f>2.5*1.05</f>
        <v>2.625</v>
      </c>
      <c r="K133" s="30">
        <f t="shared" si="26"/>
        <v>2.072</v>
      </c>
      <c r="L133" s="30">
        <f t="shared" si="27"/>
        <v>2.072</v>
      </c>
      <c r="M133" s="10" t="s">
        <v>40</v>
      </c>
      <c r="N133" s="15">
        <v>0.98</v>
      </c>
      <c r="O133" s="12"/>
      <c r="P133" s="13">
        <v>124</v>
      </c>
      <c r="Q133" s="32" t="s">
        <v>189</v>
      </c>
      <c r="R133" s="10" t="s">
        <v>4</v>
      </c>
      <c r="S133" s="10">
        <v>0.32</v>
      </c>
      <c r="T133" s="30">
        <f aca="true" t="shared" si="34" ref="T133:T164">S133+E133</f>
        <v>0.9630000000000001</v>
      </c>
      <c r="U133" s="31">
        <v>0.09</v>
      </c>
      <c r="V133" s="41">
        <v>140</v>
      </c>
      <c r="W133" s="31">
        <f t="shared" si="29"/>
        <v>0.8730000000000001</v>
      </c>
      <c r="X133" s="10">
        <v>0</v>
      </c>
      <c r="Y133" s="10">
        <v>2.625</v>
      </c>
      <c r="Z133" s="31">
        <f t="shared" si="30"/>
        <v>1.7519999999999998</v>
      </c>
      <c r="AA133" s="31">
        <f t="shared" si="31"/>
        <v>1.7519999999999998</v>
      </c>
      <c r="AB133" s="10" t="s">
        <v>40</v>
      </c>
    </row>
    <row r="134" spans="1:28" ht="15" customHeight="1">
      <c r="A134" s="13">
        <v>125</v>
      </c>
      <c r="B134" s="32" t="s">
        <v>190</v>
      </c>
      <c r="C134" s="10" t="s">
        <v>29</v>
      </c>
      <c r="D134" s="10">
        <v>7.2</v>
      </c>
      <c r="E134" s="30">
        <v>3.272</v>
      </c>
      <c r="F134" s="31">
        <v>0</v>
      </c>
      <c r="G134" s="41">
        <v>0</v>
      </c>
      <c r="H134" s="30">
        <f t="shared" si="33"/>
        <v>3.272</v>
      </c>
      <c r="I134" s="38">
        <v>0</v>
      </c>
      <c r="J134" s="30">
        <f>3.2*1.05</f>
        <v>3.3600000000000003</v>
      </c>
      <c r="K134" s="30">
        <f t="shared" si="26"/>
        <v>0.08800000000000052</v>
      </c>
      <c r="L134" s="30">
        <f t="shared" si="27"/>
        <v>0.08800000000000052</v>
      </c>
      <c r="M134" s="10" t="s">
        <v>40</v>
      </c>
      <c r="N134" s="15">
        <v>0.95</v>
      </c>
      <c r="O134" s="12"/>
      <c r="P134" s="16">
        <v>125</v>
      </c>
      <c r="Q134" s="24" t="s">
        <v>190</v>
      </c>
      <c r="R134" s="18" t="s">
        <v>29</v>
      </c>
      <c r="S134" s="18">
        <v>4.06</v>
      </c>
      <c r="T134" s="20">
        <f t="shared" si="34"/>
        <v>7.331999999999999</v>
      </c>
      <c r="U134" s="23">
        <v>0</v>
      </c>
      <c r="V134" s="44">
        <v>0</v>
      </c>
      <c r="W134" s="23">
        <f t="shared" si="29"/>
        <v>7.331999999999999</v>
      </c>
      <c r="X134" s="18">
        <v>0</v>
      </c>
      <c r="Y134" s="18">
        <v>3.3600000000000003</v>
      </c>
      <c r="Z134" s="23">
        <f t="shared" si="30"/>
        <v>-3.9719999999999986</v>
      </c>
      <c r="AA134" s="23">
        <f t="shared" si="31"/>
        <v>-3.9719999999999986</v>
      </c>
      <c r="AB134" s="18" t="s">
        <v>39</v>
      </c>
    </row>
    <row r="135" spans="1:28" ht="15" customHeight="1">
      <c r="A135" s="13">
        <v>126</v>
      </c>
      <c r="B135" s="32" t="s">
        <v>191</v>
      </c>
      <c r="C135" s="10" t="s">
        <v>10</v>
      </c>
      <c r="D135" s="10">
        <v>8</v>
      </c>
      <c r="E135" s="46">
        <f>((21*10.4+16*11)/1000)*1.73</f>
        <v>0.6823119999999999</v>
      </c>
      <c r="F135" s="31">
        <v>0.2</v>
      </c>
      <c r="G135" s="41">
        <v>80</v>
      </c>
      <c r="H135" s="30">
        <f t="shared" si="33"/>
        <v>0.4823119999999999</v>
      </c>
      <c r="I135" s="38">
        <v>0</v>
      </c>
      <c r="J135" s="30">
        <v>4.2</v>
      </c>
      <c r="K135" s="30">
        <f t="shared" si="26"/>
        <v>3.7176880000000003</v>
      </c>
      <c r="L135" s="30">
        <f t="shared" si="27"/>
        <v>3.7176880000000003</v>
      </c>
      <c r="M135" s="10" t="s">
        <v>40</v>
      </c>
      <c r="N135" s="15">
        <v>0.956</v>
      </c>
      <c r="O135" s="12"/>
      <c r="P135" s="13">
        <v>126</v>
      </c>
      <c r="Q135" s="32" t="s">
        <v>191</v>
      </c>
      <c r="R135" s="10" t="s">
        <v>10</v>
      </c>
      <c r="S135" s="10">
        <v>0.13</v>
      </c>
      <c r="T135" s="30">
        <f t="shared" si="34"/>
        <v>0.8123119999999999</v>
      </c>
      <c r="U135" s="31">
        <v>0.2</v>
      </c>
      <c r="V135" s="41">
        <v>80</v>
      </c>
      <c r="W135" s="31">
        <f t="shared" si="29"/>
        <v>0.612312</v>
      </c>
      <c r="X135" s="10">
        <v>0</v>
      </c>
      <c r="Y135" s="10">
        <v>4.2</v>
      </c>
      <c r="Z135" s="31">
        <f t="shared" si="30"/>
        <v>3.587688</v>
      </c>
      <c r="AA135" s="31">
        <f t="shared" si="31"/>
        <v>3.587688</v>
      </c>
      <c r="AB135" s="10" t="s">
        <v>40</v>
      </c>
    </row>
    <row r="136" spans="1:28" ht="15" customHeight="1">
      <c r="A136" s="13">
        <v>127</v>
      </c>
      <c r="B136" s="32" t="s">
        <v>192</v>
      </c>
      <c r="C136" s="10" t="s">
        <v>28</v>
      </c>
      <c r="D136" s="10">
        <v>6.5</v>
      </c>
      <c r="E136" s="46">
        <f>((36*10.4+5*10.2)/1000)*1.73</f>
        <v>0.7359420000000001</v>
      </c>
      <c r="F136" s="31">
        <v>0.23</v>
      </c>
      <c r="G136" s="41">
        <v>70</v>
      </c>
      <c r="H136" s="30">
        <f t="shared" si="33"/>
        <v>0.5059420000000001</v>
      </c>
      <c r="I136" s="38">
        <v>0</v>
      </c>
      <c r="J136" s="30">
        <f>2.5*1.05</f>
        <v>2.625</v>
      </c>
      <c r="K136" s="30">
        <f t="shared" si="26"/>
        <v>2.119058</v>
      </c>
      <c r="L136" s="30">
        <f t="shared" si="27"/>
        <v>2.119058</v>
      </c>
      <c r="M136" s="10" t="s">
        <v>40</v>
      </c>
      <c r="N136" s="15">
        <v>0.89</v>
      </c>
      <c r="O136" s="12"/>
      <c r="P136" s="13">
        <v>127</v>
      </c>
      <c r="Q136" s="32" t="s">
        <v>192</v>
      </c>
      <c r="R136" s="10" t="s">
        <v>28</v>
      </c>
      <c r="S136" s="10">
        <v>0.6</v>
      </c>
      <c r="T136" s="30">
        <f t="shared" si="34"/>
        <v>1.3359420000000002</v>
      </c>
      <c r="U136" s="31">
        <v>0.23</v>
      </c>
      <c r="V136" s="41">
        <v>70</v>
      </c>
      <c r="W136" s="31">
        <f t="shared" si="29"/>
        <v>1.1059420000000002</v>
      </c>
      <c r="X136" s="10">
        <v>0</v>
      </c>
      <c r="Y136" s="10">
        <v>2.625</v>
      </c>
      <c r="Z136" s="31">
        <f t="shared" si="30"/>
        <v>1.5190579999999998</v>
      </c>
      <c r="AA136" s="31">
        <f t="shared" si="31"/>
        <v>1.5190579999999998</v>
      </c>
      <c r="AB136" s="10" t="s">
        <v>40</v>
      </c>
    </row>
    <row r="137" spans="1:28" ht="15" customHeight="1">
      <c r="A137" s="13">
        <v>128</v>
      </c>
      <c r="B137" s="32" t="s">
        <v>193</v>
      </c>
      <c r="C137" s="10" t="s">
        <v>15</v>
      </c>
      <c r="D137" s="10">
        <v>4.1</v>
      </c>
      <c r="E137" s="46">
        <f>((72*10.2+16*10.5)/1000)*1.73</f>
        <v>1.5611519999999999</v>
      </c>
      <c r="F137" s="31">
        <v>0</v>
      </c>
      <c r="G137" s="41">
        <v>0</v>
      </c>
      <c r="H137" s="30">
        <f t="shared" si="33"/>
        <v>1.5611519999999999</v>
      </c>
      <c r="I137" s="38">
        <v>0</v>
      </c>
      <c r="J137" s="30">
        <f>1.6*1.05</f>
        <v>1.6800000000000002</v>
      </c>
      <c r="K137" s="30">
        <f t="shared" si="26"/>
        <v>0.11884800000000029</v>
      </c>
      <c r="L137" s="30">
        <f t="shared" si="27"/>
        <v>0.11884800000000029</v>
      </c>
      <c r="M137" s="10" t="s">
        <v>40</v>
      </c>
      <c r="N137" s="15">
        <v>0.923</v>
      </c>
      <c r="O137" s="12"/>
      <c r="P137" s="13">
        <v>128</v>
      </c>
      <c r="Q137" s="32" t="s">
        <v>193</v>
      </c>
      <c r="R137" s="10" t="s">
        <v>15</v>
      </c>
      <c r="S137" s="10">
        <v>0.12</v>
      </c>
      <c r="T137" s="30">
        <f t="shared" si="34"/>
        <v>1.681152</v>
      </c>
      <c r="U137" s="31">
        <v>0</v>
      </c>
      <c r="V137" s="41">
        <v>0</v>
      </c>
      <c r="W137" s="31">
        <f t="shared" si="29"/>
        <v>1.681152</v>
      </c>
      <c r="X137" s="10">
        <v>0</v>
      </c>
      <c r="Y137" s="10">
        <v>1.6800000000000002</v>
      </c>
      <c r="Z137" s="31">
        <f t="shared" si="30"/>
        <v>-0.0011519999999998198</v>
      </c>
      <c r="AA137" s="31">
        <f t="shared" si="31"/>
        <v>-0.0011519999999998198</v>
      </c>
      <c r="AB137" s="10" t="s">
        <v>39</v>
      </c>
    </row>
    <row r="138" spans="1:28" ht="15" customHeight="1">
      <c r="A138" s="13">
        <v>129</v>
      </c>
      <c r="B138" s="32" t="s">
        <v>194</v>
      </c>
      <c r="C138" s="10" t="s">
        <v>10</v>
      </c>
      <c r="D138" s="10">
        <v>8</v>
      </c>
      <c r="E138" s="46">
        <f>((32*10.7+10*10.6)/1000)*1.73</f>
        <v>0.775732</v>
      </c>
      <c r="F138" s="31">
        <v>0.3</v>
      </c>
      <c r="G138" s="41">
        <v>80</v>
      </c>
      <c r="H138" s="30">
        <f t="shared" si="33"/>
        <v>0.475732</v>
      </c>
      <c r="I138" s="38">
        <v>0</v>
      </c>
      <c r="J138" s="30">
        <v>4.2</v>
      </c>
      <c r="K138" s="30">
        <f t="shared" si="26"/>
        <v>3.7242680000000004</v>
      </c>
      <c r="L138" s="30">
        <f t="shared" si="27"/>
        <v>3.7242680000000004</v>
      </c>
      <c r="M138" s="10" t="s">
        <v>40</v>
      </c>
      <c r="N138" s="15">
        <v>0.947</v>
      </c>
      <c r="O138" s="12"/>
      <c r="P138" s="13">
        <v>129</v>
      </c>
      <c r="Q138" s="32" t="s">
        <v>194</v>
      </c>
      <c r="R138" s="10" t="s">
        <v>10</v>
      </c>
      <c r="S138" s="10">
        <v>0.06</v>
      </c>
      <c r="T138" s="30">
        <f t="shared" si="34"/>
        <v>0.8357319999999999</v>
      </c>
      <c r="U138" s="31">
        <v>0.3</v>
      </c>
      <c r="V138" s="41">
        <v>80</v>
      </c>
      <c r="W138" s="31">
        <f t="shared" si="29"/>
        <v>0.5357319999999999</v>
      </c>
      <c r="X138" s="10">
        <v>0</v>
      </c>
      <c r="Y138" s="10">
        <v>4.2</v>
      </c>
      <c r="Z138" s="31">
        <f t="shared" si="30"/>
        <v>3.6642680000000003</v>
      </c>
      <c r="AA138" s="31">
        <f t="shared" si="31"/>
        <v>3.6642680000000003</v>
      </c>
      <c r="AB138" s="10" t="s">
        <v>40</v>
      </c>
    </row>
    <row r="139" spans="1:28" ht="15" customHeight="1">
      <c r="A139" s="13">
        <v>130</v>
      </c>
      <c r="B139" s="32" t="s">
        <v>195</v>
      </c>
      <c r="C139" s="10" t="s">
        <v>10</v>
      </c>
      <c r="D139" s="10">
        <v>8</v>
      </c>
      <c r="E139" s="30">
        <v>3.888</v>
      </c>
      <c r="F139" s="31">
        <v>0</v>
      </c>
      <c r="G139" s="41">
        <v>0</v>
      </c>
      <c r="H139" s="30">
        <f t="shared" si="33"/>
        <v>3.888</v>
      </c>
      <c r="I139" s="38">
        <v>0</v>
      </c>
      <c r="J139" s="30">
        <v>4.2</v>
      </c>
      <c r="K139" s="30">
        <f t="shared" si="26"/>
        <v>0.3120000000000003</v>
      </c>
      <c r="L139" s="30">
        <f t="shared" si="27"/>
        <v>0.3120000000000003</v>
      </c>
      <c r="M139" s="10" t="s">
        <v>40</v>
      </c>
      <c r="N139" s="15">
        <v>0.95</v>
      </c>
      <c r="O139" s="12"/>
      <c r="P139" s="16">
        <v>130</v>
      </c>
      <c r="Q139" s="24" t="s">
        <v>195</v>
      </c>
      <c r="R139" s="18" t="s">
        <v>10</v>
      </c>
      <c r="S139" s="18">
        <v>1.87</v>
      </c>
      <c r="T139" s="20">
        <f t="shared" si="34"/>
        <v>5.758</v>
      </c>
      <c r="U139" s="23">
        <v>0</v>
      </c>
      <c r="V139" s="44">
        <v>0</v>
      </c>
      <c r="W139" s="23">
        <f t="shared" si="29"/>
        <v>5.758</v>
      </c>
      <c r="X139" s="18">
        <v>0</v>
      </c>
      <c r="Y139" s="18">
        <v>4.2</v>
      </c>
      <c r="Z139" s="23">
        <f t="shared" si="30"/>
        <v>-1.5579999999999998</v>
      </c>
      <c r="AA139" s="23">
        <f t="shared" si="31"/>
        <v>-1.5579999999999998</v>
      </c>
      <c r="AB139" s="18" t="s">
        <v>39</v>
      </c>
    </row>
    <row r="140" spans="1:28" ht="15" customHeight="1">
      <c r="A140" s="13">
        <v>131</v>
      </c>
      <c r="B140" s="32" t="s">
        <v>196</v>
      </c>
      <c r="C140" s="10" t="s">
        <v>4</v>
      </c>
      <c r="D140" s="10">
        <v>5</v>
      </c>
      <c r="E140" s="46">
        <f>((65*10.5)/1000)*1.73</f>
        <v>1.180725</v>
      </c>
      <c r="F140" s="31">
        <v>0</v>
      </c>
      <c r="G140" s="41">
        <v>0</v>
      </c>
      <c r="H140" s="30">
        <f t="shared" si="33"/>
        <v>1.180725</v>
      </c>
      <c r="I140" s="38">
        <v>0</v>
      </c>
      <c r="J140" s="30">
        <f>2.5*1.05</f>
        <v>2.625</v>
      </c>
      <c r="K140" s="30">
        <f t="shared" si="26"/>
        <v>1.444275</v>
      </c>
      <c r="L140" s="30">
        <f t="shared" si="27"/>
        <v>1.444275</v>
      </c>
      <c r="M140" s="40" t="s">
        <v>33</v>
      </c>
      <c r="N140" s="15">
        <v>0.879</v>
      </c>
      <c r="O140" s="12"/>
      <c r="P140" s="13">
        <v>131</v>
      </c>
      <c r="Q140" s="32" t="s">
        <v>196</v>
      </c>
      <c r="R140" s="10" t="s">
        <v>4</v>
      </c>
      <c r="S140" s="10">
        <v>0.08</v>
      </c>
      <c r="T140" s="30">
        <f t="shared" si="34"/>
        <v>1.260725</v>
      </c>
      <c r="U140" s="31">
        <v>0</v>
      </c>
      <c r="V140" s="41">
        <v>0</v>
      </c>
      <c r="W140" s="31">
        <f t="shared" si="29"/>
        <v>1.260725</v>
      </c>
      <c r="X140" s="10">
        <v>0</v>
      </c>
      <c r="Y140" s="10">
        <v>2.625</v>
      </c>
      <c r="Z140" s="31">
        <f t="shared" si="30"/>
        <v>1.364275</v>
      </c>
      <c r="AA140" s="31">
        <f t="shared" si="31"/>
        <v>1.364275</v>
      </c>
      <c r="AB140" s="10" t="s">
        <v>40</v>
      </c>
    </row>
    <row r="141" spans="1:28" ht="15" customHeight="1">
      <c r="A141" s="13">
        <v>132</v>
      </c>
      <c r="B141" s="32" t="s">
        <v>197</v>
      </c>
      <c r="C141" s="10" t="s">
        <v>4</v>
      </c>
      <c r="D141" s="10">
        <v>5</v>
      </c>
      <c r="E141" s="46">
        <f>((29*10.4+37*10.5)/1000)*1.73</f>
        <v>1.193873</v>
      </c>
      <c r="F141" s="31">
        <v>0</v>
      </c>
      <c r="G141" s="41">
        <v>0</v>
      </c>
      <c r="H141" s="30">
        <f t="shared" si="33"/>
        <v>1.193873</v>
      </c>
      <c r="I141" s="38">
        <v>0</v>
      </c>
      <c r="J141" s="30">
        <f>2.5*1.05</f>
        <v>2.625</v>
      </c>
      <c r="K141" s="30">
        <f t="shared" si="26"/>
        <v>1.431127</v>
      </c>
      <c r="L141" s="30">
        <f t="shared" si="27"/>
        <v>1.431127</v>
      </c>
      <c r="M141" s="40" t="s">
        <v>33</v>
      </c>
      <c r="N141" s="15">
        <v>0.896</v>
      </c>
      <c r="O141" s="12"/>
      <c r="P141" s="13">
        <v>132</v>
      </c>
      <c r="Q141" s="32" t="s">
        <v>197</v>
      </c>
      <c r="R141" s="10" t="s">
        <v>4</v>
      </c>
      <c r="S141" s="10">
        <v>0.05</v>
      </c>
      <c r="T141" s="30">
        <f t="shared" si="34"/>
        <v>1.243873</v>
      </c>
      <c r="U141" s="31">
        <v>0</v>
      </c>
      <c r="V141" s="41">
        <v>0</v>
      </c>
      <c r="W141" s="31">
        <f t="shared" si="29"/>
        <v>1.243873</v>
      </c>
      <c r="X141" s="10">
        <v>0</v>
      </c>
      <c r="Y141" s="10">
        <v>2.625</v>
      </c>
      <c r="Z141" s="31">
        <f t="shared" si="30"/>
        <v>1.381127</v>
      </c>
      <c r="AA141" s="31">
        <f t="shared" si="31"/>
        <v>1.381127</v>
      </c>
      <c r="AB141" s="40" t="s">
        <v>33</v>
      </c>
    </row>
    <row r="142" spans="1:28" ht="15" customHeight="1">
      <c r="A142" s="13">
        <v>133</v>
      </c>
      <c r="B142" s="32" t="s">
        <v>198</v>
      </c>
      <c r="C142" s="10" t="s">
        <v>30</v>
      </c>
      <c r="D142" s="10">
        <v>6.4</v>
      </c>
      <c r="E142" s="46">
        <v>1.55</v>
      </c>
      <c r="F142" s="31">
        <v>0</v>
      </c>
      <c r="G142" s="41">
        <v>0</v>
      </c>
      <c r="H142" s="30">
        <f t="shared" si="33"/>
        <v>1.55</v>
      </c>
      <c r="I142" s="38">
        <v>0</v>
      </c>
      <c r="J142" s="30">
        <f>3.2*1.05</f>
        <v>3.3600000000000003</v>
      </c>
      <c r="K142" s="30">
        <f t="shared" si="26"/>
        <v>1.8100000000000003</v>
      </c>
      <c r="L142" s="30">
        <f t="shared" si="27"/>
        <v>1.8100000000000003</v>
      </c>
      <c r="M142" s="40" t="s">
        <v>33</v>
      </c>
      <c r="N142" s="15">
        <v>0.88</v>
      </c>
      <c r="O142" s="12"/>
      <c r="P142" s="13">
        <v>133</v>
      </c>
      <c r="Q142" s="32" t="s">
        <v>198</v>
      </c>
      <c r="R142" s="10" t="s">
        <v>30</v>
      </c>
      <c r="S142" s="10">
        <v>0.08</v>
      </c>
      <c r="T142" s="30">
        <f t="shared" si="34"/>
        <v>1.6300000000000001</v>
      </c>
      <c r="U142" s="31">
        <v>0</v>
      </c>
      <c r="V142" s="41">
        <v>0</v>
      </c>
      <c r="W142" s="31">
        <f t="shared" si="29"/>
        <v>1.6300000000000001</v>
      </c>
      <c r="X142" s="10">
        <v>0</v>
      </c>
      <c r="Y142" s="10">
        <v>3.3600000000000003</v>
      </c>
      <c r="Z142" s="31">
        <f t="shared" si="30"/>
        <v>1.7300000000000002</v>
      </c>
      <c r="AA142" s="31">
        <f t="shared" si="31"/>
        <v>1.7300000000000002</v>
      </c>
      <c r="AB142" s="40" t="s">
        <v>33</v>
      </c>
    </row>
    <row r="143" spans="1:28" ht="15" customHeight="1">
      <c r="A143" s="13">
        <v>134</v>
      </c>
      <c r="B143" s="32" t="s">
        <v>199</v>
      </c>
      <c r="C143" s="10" t="s">
        <v>28</v>
      </c>
      <c r="D143" s="10">
        <v>6.5</v>
      </c>
      <c r="E143" s="30">
        <v>2.329</v>
      </c>
      <c r="F143" s="31">
        <v>0</v>
      </c>
      <c r="G143" s="41">
        <v>0</v>
      </c>
      <c r="H143" s="30">
        <f t="shared" si="33"/>
        <v>2.329</v>
      </c>
      <c r="I143" s="38">
        <v>0</v>
      </c>
      <c r="J143" s="30">
        <f>2.5*1.05</f>
        <v>2.625</v>
      </c>
      <c r="K143" s="30">
        <f t="shared" si="26"/>
        <v>0.2959999999999998</v>
      </c>
      <c r="L143" s="30">
        <f t="shared" si="27"/>
        <v>0.2959999999999998</v>
      </c>
      <c r="M143" s="10" t="s">
        <v>40</v>
      </c>
      <c r="N143" s="15">
        <v>0.93</v>
      </c>
      <c r="O143" s="12"/>
      <c r="P143" s="16">
        <v>134</v>
      </c>
      <c r="Q143" s="24" t="s">
        <v>199</v>
      </c>
      <c r="R143" s="18" t="s">
        <v>28</v>
      </c>
      <c r="S143" s="18">
        <v>1.68</v>
      </c>
      <c r="T143" s="20">
        <f t="shared" si="34"/>
        <v>4.009</v>
      </c>
      <c r="U143" s="23">
        <v>0</v>
      </c>
      <c r="V143" s="44">
        <v>0</v>
      </c>
      <c r="W143" s="23">
        <f t="shared" si="29"/>
        <v>4.009</v>
      </c>
      <c r="X143" s="18">
        <v>0</v>
      </c>
      <c r="Y143" s="18">
        <v>2.625</v>
      </c>
      <c r="Z143" s="23">
        <f t="shared" si="30"/>
        <v>-1.3840000000000003</v>
      </c>
      <c r="AA143" s="23">
        <f t="shared" si="31"/>
        <v>-1.3840000000000003</v>
      </c>
      <c r="AB143" s="18" t="s">
        <v>39</v>
      </c>
    </row>
    <row r="144" spans="1:28" ht="15" customHeight="1">
      <c r="A144" s="13">
        <v>135</v>
      </c>
      <c r="B144" s="32" t="s">
        <v>200</v>
      </c>
      <c r="C144" s="10" t="s">
        <v>10</v>
      </c>
      <c r="D144" s="10">
        <v>8</v>
      </c>
      <c r="E144" s="30">
        <v>3.393</v>
      </c>
      <c r="F144" s="31">
        <v>0.05</v>
      </c>
      <c r="G144" s="41">
        <v>50</v>
      </c>
      <c r="H144" s="30">
        <f t="shared" si="33"/>
        <v>3.343</v>
      </c>
      <c r="I144" s="38">
        <v>0</v>
      </c>
      <c r="J144" s="30">
        <v>4.2</v>
      </c>
      <c r="K144" s="30">
        <f t="shared" si="26"/>
        <v>0.8570000000000002</v>
      </c>
      <c r="L144" s="30">
        <f t="shared" si="27"/>
        <v>0.8570000000000002</v>
      </c>
      <c r="M144" s="40" t="s">
        <v>33</v>
      </c>
      <c r="N144" s="15">
        <v>0.95</v>
      </c>
      <c r="O144" s="12"/>
      <c r="P144" s="16">
        <v>135</v>
      </c>
      <c r="Q144" s="24" t="s">
        <v>200</v>
      </c>
      <c r="R144" s="18" t="s">
        <v>10</v>
      </c>
      <c r="S144" s="18">
        <v>5.82</v>
      </c>
      <c r="T144" s="20">
        <f t="shared" si="34"/>
        <v>9.213000000000001</v>
      </c>
      <c r="U144" s="23">
        <v>0.05</v>
      </c>
      <c r="V144" s="44">
        <v>50</v>
      </c>
      <c r="W144" s="23">
        <f t="shared" si="29"/>
        <v>9.163</v>
      </c>
      <c r="X144" s="18">
        <v>0</v>
      </c>
      <c r="Y144" s="18">
        <v>4.2</v>
      </c>
      <c r="Z144" s="23">
        <f t="shared" si="30"/>
        <v>-4.963</v>
      </c>
      <c r="AA144" s="23">
        <f t="shared" si="31"/>
        <v>-4.963</v>
      </c>
      <c r="AB144" s="18" t="s">
        <v>39</v>
      </c>
    </row>
    <row r="145" spans="1:28" ht="15" customHeight="1">
      <c r="A145" s="13">
        <v>136</v>
      </c>
      <c r="B145" s="32" t="s">
        <v>201</v>
      </c>
      <c r="C145" s="10" t="s">
        <v>10</v>
      </c>
      <c r="D145" s="10">
        <v>8</v>
      </c>
      <c r="E145" s="46">
        <f>((8*10+50*10)/1000)*1.73</f>
        <v>1.0033999999999998</v>
      </c>
      <c r="F145" s="31">
        <v>0</v>
      </c>
      <c r="G145" s="41">
        <v>0</v>
      </c>
      <c r="H145" s="30">
        <f t="shared" si="33"/>
        <v>1.0033999999999998</v>
      </c>
      <c r="I145" s="38">
        <v>0</v>
      </c>
      <c r="J145" s="30">
        <v>4.2</v>
      </c>
      <c r="K145" s="30">
        <f t="shared" si="26"/>
        <v>3.1966</v>
      </c>
      <c r="L145" s="30">
        <f t="shared" si="27"/>
        <v>3.1966</v>
      </c>
      <c r="M145" s="40" t="s">
        <v>33</v>
      </c>
      <c r="N145" s="15">
        <v>0.948</v>
      </c>
      <c r="O145" s="12"/>
      <c r="P145" s="13">
        <v>136</v>
      </c>
      <c r="Q145" s="32" t="s">
        <v>201</v>
      </c>
      <c r="R145" s="10" t="s">
        <v>10</v>
      </c>
      <c r="S145" s="10">
        <v>1.14</v>
      </c>
      <c r="T145" s="30">
        <f t="shared" si="34"/>
        <v>2.1433999999999997</v>
      </c>
      <c r="U145" s="31">
        <v>0</v>
      </c>
      <c r="V145" s="41">
        <v>0</v>
      </c>
      <c r="W145" s="31">
        <f t="shared" si="29"/>
        <v>2.1433999999999997</v>
      </c>
      <c r="X145" s="10">
        <v>0</v>
      </c>
      <c r="Y145" s="10">
        <v>4.2</v>
      </c>
      <c r="Z145" s="31">
        <f t="shared" si="30"/>
        <v>2.0566000000000004</v>
      </c>
      <c r="AA145" s="31">
        <f t="shared" si="31"/>
        <v>2.0566000000000004</v>
      </c>
      <c r="AB145" s="40" t="s">
        <v>33</v>
      </c>
    </row>
    <row r="146" spans="1:28" ht="15" customHeight="1">
      <c r="A146" s="13">
        <v>137</v>
      </c>
      <c r="B146" s="32" t="s">
        <v>202</v>
      </c>
      <c r="C146" s="10" t="s">
        <v>10</v>
      </c>
      <c r="D146" s="10">
        <v>8</v>
      </c>
      <c r="E146" s="30">
        <v>3.96</v>
      </c>
      <c r="F146" s="31">
        <v>0.81</v>
      </c>
      <c r="G146" s="41">
        <v>75</v>
      </c>
      <c r="H146" s="30">
        <f t="shared" si="33"/>
        <v>3.15</v>
      </c>
      <c r="I146" s="38">
        <v>0</v>
      </c>
      <c r="J146" s="30">
        <v>4.2</v>
      </c>
      <c r="K146" s="30">
        <f t="shared" si="26"/>
        <v>1.0500000000000003</v>
      </c>
      <c r="L146" s="30">
        <f t="shared" si="27"/>
        <v>1.0500000000000003</v>
      </c>
      <c r="M146" s="40" t="s">
        <v>33</v>
      </c>
      <c r="N146" s="15">
        <v>0.88</v>
      </c>
      <c r="O146" s="12"/>
      <c r="P146" s="13">
        <v>137</v>
      </c>
      <c r="Q146" s="32" t="s">
        <v>202</v>
      </c>
      <c r="R146" s="10" t="s">
        <v>10</v>
      </c>
      <c r="S146" s="10">
        <v>0.52</v>
      </c>
      <c r="T146" s="30">
        <f t="shared" si="34"/>
        <v>4.48</v>
      </c>
      <c r="U146" s="31">
        <v>0.81</v>
      </c>
      <c r="V146" s="41">
        <v>75</v>
      </c>
      <c r="W146" s="31">
        <f t="shared" si="29"/>
        <v>3.6700000000000004</v>
      </c>
      <c r="X146" s="10">
        <v>0</v>
      </c>
      <c r="Y146" s="10">
        <f>4*1.05</f>
        <v>4.2</v>
      </c>
      <c r="Z146" s="31">
        <f t="shared" si="30"/>
        <v>0.5299999999999998</v>
      </c>
      <c r="AA146" s="31">
        <f t="shared" si="31"/>
        <v>0.5299999999999998</v>
      </c>
      <c r="AB146" s="40" t="s">
        <v>33</v>
      </c>
    </row>
    <row r="147" spans="1:28" ht="11.25">
      <c r="A147" s="13">
        <v>138</v>
      </c>
      <c r="B147" s="32" t="s">
        <v>203</v>
      </c>
      <c r="C147" s="10" t="s">
        <v>4</v>
      </c>
      <c r="D147" s="10">
        <v>5</v>
      </c>
      <c r="E147" s="46">
        <f>((15*10.5+50*10.6)/1000)*1.73</f>
        <v>1.189375</v>
      </c>
      <c r="F147" s="31">
        <v>1.25</v>
      </c>
      <c r="G147" s="41">
        <v>115</v>
      </c>
      <c r="H147" s="30">
        <f t="shared" si="33"/>
        <v>-0.06062499999999993</v>
      </c>
      <c r="I147" s="38">
        <v>0</v>
      </c>
      <c r="J147" s="30">
        <f>2.5*1.05</f>
        <v>2.625</v>
      </c>
      <c r="K147" s="30">
        <f t="shared" si="26"/>
        <v>2.685625</v>
      </c>
      <c r="L147" s="30">
        <f t="shared" si="27"/>
        <v>2.685625</v>
      </c>
      <c r="M147" s="40" t="s">
        <v>33</v>
      </c>
      <c r="N147" s="15">
        <v>0.905</v>
      </c>
      <c r="O147" s="12"/>
      <c r="P147" s="16">
        <v>138</v>
      </c>
      <c r="Q147" s="24" t="s">
        <v>203</v>
      </c>
      <c r="R147" s="18" t="s">
        <v>4</v>
      </c>
      <c r="S147" s="18">
        <v>3.13</v>
      </c>
      <c r="T147" s="20">
        <f t="shared" si="34"/>
        <v>4.319375</v>
      </c>
      <c r="U147" s="23">
        <v>1.25</v>
      </c>
      <c r="V147" s="44">
        <v>115</v>
      </c>
      <c r="W147" s="23">
        <f t="shared" si="29"/>
        <v>3.069375</v>
      </c>
      <c r="X147" s="18">
        <v>0</v>
      </c>
      <c r="Y147" s="18">
        <v>2.625</v>
      </c>
      <c r="Z147" s="23">
        <f t="shared" si="30"/>
        <v>-0.44437499999999996</v>
      </c>
      <c r="AA147" s="23">
        <f t="shared" si="31"/>
        <v>-0.44437499999999996</v>
      </c>
      <c r="AB147" s="18" t="s">
        <v>40</v>
      </c>
    </row>
    <row r="148" spans="1:28" ht="15" customHeight="1">
      <c r="A148" s="13">
        <v>139</v>
      </c>
      <c r="B148" s="32" t="s">
        <v>204</v>
      </c>
      <c r="C148" s="10" t="s">
        <v>17</v>
      </c>
      <c r="D148" s="10">
        <v>6.5</v>
      </c>
      <c r="E148" s="30">
        <v>2.343</v>
      </c>
      <c r="F148" s="31">
        <v>0.04</v>
      </c>
      <c r="G148" s="41">
        <v>30</v>
      </c>
      <c r="H148" s="30">
        <f t="shared" si="33"/>
        <v>2.303</v>
      </c>
      <c r="I148" s="38">
        <v>0</v>
      </c>
      <c r="J148" s="30">
        <f>2.5*1.05</f>
        <v>2.625</v>
      </c>
      <c r="K148" s="30">
        <f t="shared" si="26"/>
        <v>0.32200000000000006</v>
      </c>
      <c r="L148" s="30">
        <f t="shared" si="27"/>
        <v>0.32200000000000006</v>
      </c>
      <c r="M148" s="40" t="s">
        <v>33</v>
      </c>
      <c r="N148" s="15">
        <v>0.61</v>
      </c>
      <c r="O148" s="12"/>
      <c r="P148" s="16">
        <v>139</v>
      </c>
      <c r="Q148" s="24" t="s">
        <v>204</v>
      </c>
      <c r="R148" s="18" t="s">
        <v>17</v>
      </c>
      <c r="S148" s="18">
        <v>0.56</v>
      </c>
      <c r="T148" s="20">
        <f t="shared" si="34"/>
        <v>2.903</v>
      </c>
      <c r="U148" s="23">
        <v>0.04</v>
      </c>
      <c r="V148" s="44">
        <v>30</v>
      </c>
      <c r="W148" s="23">
        <f t="shared" si="29"/>
        <v>2.863</v>
      </c>
      <c r="X148" s="18">
        <v>0</v>
      </c>
      <c r="Y148" s="18">
        <v>2.625</v>
      </c>
      <c r="Z148" s="23">
        <f t="shared" si="30"/>
        <v>-0.238</v>
      </c>
      <c r="AA148" s="23">
        <f t="shared" si="31"/>
        <v>-0.238</v>
      </c>
      <c r="AB148" s="45" t="s">
        <v>33</v>
      </c>
    </row>
    <row r="149" spans="1:28" ht="15" customHeight="1">
      <c r="A149" s="13">
        <v>140</v>
      </c>
      <c r="B149" s="32" t="s">
        <v>205</v>
      </c>
      <c r="C149" s="10" t="s">
        <v>4</v>
      </c>
      <c r="D149" s="10">
        <v>5</v>
      </c>
      <c r="E149" s="46">
        <f>((45*5.8+25*5.9)/1000)*1.73</f>
        <v>0.7067049999999999</v>
      </c>
      <c r="F149" s="31">
        <v>0</v>
      </c>
      <c r="G149" s="41">
        <v>0</v>
      </c>
      <c r="H149" s="30">
        <f t="shared" si="33"/>
        <v>0.7067049999999999</v>
      </c>
      <c r="I149" s="38">
        <v>0</v>
      </c>
      <c r="J149" s="30">
        <f>2.5*1.05</f>
        <v>2.625</v>
      </c>
      <c r="K149" s="30">
        <f t="shared" si="26"/>
        <v>1.918295</v>
      </c>
      <c r="L149" s="30">
        <f t="shared" si="27"/>
        <v>1.918295</v>
      </c>
      <c r="M149" s="40" t="s">
        <v>33</v>
      </c>
      <c r="N149" s="15">
        <v>0.942</v>
      </c>
      <c r="O149" s="12"/>
      <c r="P149" s="13">
        <v>140</v>
      </c>
      <c r="Q149" s="32" t="s">
        <v>205</v>
      </c>
      <c r="R149" s="10" t="s">
        <v>4</v>
      </c>
      <c r="S149" s="10">
        <v>0.16</v>
      </c>
      <c r="T149" s="30">
        <f t="shared" si="34"/>
        <v>0.866705</v>
      </c>
      <c r="U149" s="31">
        <v>0</v>
      </c>
      <c r="V149" s="41">
        <v>0</v>
      </c>
      <c r="W149" s="31">
        <f t="shared" si="29"/>
        <v>0.866705</v>
      </c>
      <c r="X149" s="10">
        <v>0</v>
      </c>
      <c r="Y149" s="10">
        <v>2.625</v>
      </c>
      <c r="Z149" s="31">
        <f t="shared" si="30"/>
        <v>1.758295</v>
      </c>
      <c r="AA149" s="31">
        <f t="shared" si="31"/>
        <v>1.758295</v>
      </c>
      <c r="AB149" s="40" t="s">
        <v>33</v>
      </c>
    </row>
    <row r="150" spans="1:28" ht="15" customHeight="1">
      <c r="A150" s="13">
        <v>141</v>
      </c>
      <c r="B150" s="32" t="s">
        <v>206</v>
      </c>
      <c r="C150" s="10" t="s">
        <v>4</v>
      </c>
      <c r="D150" s="10">
        <v>5</v>
      </c>
      <c r="E150" s="30">
        <v>0.7</v>
      </c>
      <c r="F150" s="31">
        <v>0</v>
      </c>
      <c r="G150" s="41">
        <v>0</v>
      </c>
      <c r="H150" s="30">
        <f t="shared" si="33"/>
        <v>0.7</v>
      </c>
      <c r="I150" s="38">
        <v>0</v>
      </c>
      <c r="J150" s="30">
        <f>2.5*1.05</f>
        <v>2.625</v>
      </c>
      <c r="K150" s="30">
        <f t="shared" si="26"/>
        <v>1.925</v>
      </c>
      <c r="L150" s="30">
        <f t="shared" si="27"/>
        <v>1.925</v>
      </c>
      <c r="M150" s="40" t="s">
        <v>33</v>
      </c>
      <c r="N150" s="15">
        <v>0.937</v>
      </c>
      <c r="O150" s="12"/>
      <c r="P150" s="13">
        <v>141</v>
      </c>
      <c r="Q150" s="32" t="s">
        <v>206</v>
      </c>
      <c r="R150" s="10" t="s">
        <v>4</v>
      </c>
      <c r="S150" s="10">
        <v>0.1</v>
      </c>
      <c r="T150" s="30">
        <f t="shared" si="34"/>
        <v>0.7999999999999999</v>
      </c>
      <c r="U150" s="31">
        <v>0</v>
      </c>
      <c r="V150" s="41">
        <v>0</v>
      </c>
      <c r="W150" s="31">
        <f t="shared" si="29"/>
        <v>0.7999999999999999</v>
      </c>
      <c r="X150" s="10">
        <v>0</v>
      </c>
      <c r="Y150" s="10">
        <v>2.625</v>
      </c>
      <c r="Z150" s="31">
        <f t="shared" si="30"/>
        <v>1.8250000000000002</v>
      </c>
      <c r="AA150" s="31">
        <f t="shared" si="31"/>
        <v>1.8250000000000002</v>
      </c>
      <c r="AB150" s="40" t="s">
        <v>33</v>
      </c>
    </row>
    <row r="151" spans="1:28" ht="15" customHeight="1">
      <c r="A151" s="13">
        <v>142</v>
      </c>
      <c r="B151" s="32" t="s">
        <v>207</v>
      </c>
      <c r="C151" s="10" t="s">
        <v>4</v>
      </c>
      <c r="D151" s="10">
        <v>5</v>
      </c>
      <c r="E151" s="46">
        <v>0.79</v>
      </c>
      <c r="F151" s="31">
        <v>0.26</v>
      </c>
      <c r="G151" s="41">
        <v>80</v>
      </c>
      <c r="H151" s="30">
        <f t="shared" si="33"/>
        <v>0.53</v>
      </c>
      <c r="I151" s="38">
        <v>0</v>
      </c>
      <c r="J151" s="30">
        <f>2.5*1.05</f>
        <v>2.625</v>
      </c>
      <c r="K151" s="30">
        <f t="shared" si="26"/>
        <v>2.0949999999999998</v>
      </c>
      <c r="L151" s="30">
        <f t="shared" si="27"/>
        <v>2.0949999999999998</v>
      </c>
      <c r="M151" s="40" t="s">
        <v>33</v>
      </c>
      <c r="N151" s="15">
        <v>0.926</v>
      </c>
      <c r="O151" s="12"/>
      <c r="P151" s="13">
        <v>142</v>
      </c>
      <c r="Q151" s="32" t="s">
        <v>207</v>
      </c>
      <c r="R151" s="10" t="s">
        <v>4</v>
      </c>
      <c r="S151" s="10">
        <v>0.31</v>
      </c>
      <c r="T151" s="30">
        <f t="shared" si="34"/>
        <v>1.1</v>
      </c>
      <c r="U151" s="31">
        <v>0.26</v>
      </c>
      <c r="V151" s="41">
        <v>80</v>
      </c>
      <c r="W151" s="31">
        <f t="shared" si="29"/>
        <v>0.8400000000000001</v>
      </c>
      <c r="X151" s="10">
        <v>0</v>
      </c>
      <c r="Y151" s="10">
        <v>2.625</v>
      </c>
      <c r="Z151" s="31">
        <f t="shared" si="30"/>
        <v>1.785</v>
      </c>
      <c r="AA151" s="31">
        <f t="shared" si="31"/>
        <v>1.785</v>
      </c>
      <c r="AB151" s="40" t="s">
        <v>33</v>
      </c>
    </row>
    <row r="152" spans="1:28" ht="11.25">
      <c r="A152" s="13">
        <v>143</v>
      </c>
      <c r="B152" s="32" t="s">
        <v>208</v>
      </c>
      <c r="C152" s="10" t="s">
        <v>13</v>
      </c>
      <c r="D152" s="10">
        <v>12.6</v>
      </c>
      <c r="E152" s="30">
        <v>4.199</v>
      </c>
      <c r="F152" s="31">
        <v>0.36</v>
      </c>
      <c r="G152" s="41">
        <v>30</v>
      </c>
      <c r="H152" s="30">
        <f t="shared" si="33"/>
        <v>3.839</v>
      </c>
      <c r="I152" s="38">
        <v>0</v>
      </c>
      <c r="J152" s="30">
        <f>6.3*1.05</f>
        <v>6.615</v>
      </c>
      <c r="K152" s="30">
        <f t="shared" si="26"/>
        <v>2.7760000000000002</v>
      </c>
      <c r="L152" s="30">
        <f t="shared" si="27"/>
        <v>2.7760000000000002</v>
      </c>
      <c r="M152" s="40" t="s">
        <v>33</v>
      </c>
      <c r="N152" s="15">
        <v>0.91</v>
      </c>
      <c r="O152" s="12"/>
      <c r="P152" s="13">
        <v>143</v>
      </c>
      <c r="Q152" s="32" t="s">
        <v>208</v>
      </c>
      <c r="R152" s="10" t="s">
        <v>13</v>
      </c>
      <c r="S152" s="10">
        <v>0.66</v>
      </c>
      <c r="T152" s="30">
        <f t="shared" si="34"/>
        <v>4.859</v>
      </c>
      <c r="U152" s="31">
        <v>0.36</v>
      </c>
      <c r="V152" s="41">
        <v>30</v>
      </c>
      <c r="W152" s="31">
        <f t="shared" si="29"/>
        <v>4.499</v>
      </c>
      <c r="X152" s="10">
        <v>0</v>
      </c>
      <c r="Y152" s="10">
        <v>6.615</v>
      </c>
      <c r="Z152" s="31">
        <f t="shared" si="30"/>
        <v>2.1160000000000005</v>
      </c>
      <c r="AA152" s="31">
        <f t="shared" si="31"/>
        <v>2.1160000000000005</v>
      </c>
      <c r="AB152" s="40" t="s">
        <v>33</v>
      </c>
    </row>
    <row r="153" spans="1:28" ht="15" customHeight="1">
      <c r="A153" s="13">
        <v>144</v>
      </c>
      <c r="B153" s="32" t="s">
        <v>209</v>
      </c>
      <c r="C153" s="10" t="s">
        <v>5</v>
      </c>
      <c r="D153" s="10">
        <v>20</v>
      </c>
      <c r="E153" s="46">
        <f>(((120+180)*10.6)/1000)*1.73</f>
        <v>5.5014</v>
      </c>
      <c r="F153" s="31">
        <v>0.23</v>
      </c>
      <c r="G153" s="41">
        <v>40</v>
      </c>
      <c r="H153" s="30">
        <f t="shared" si="33"/>
        <v>5.2714</v>
      </c>
      <c r="I153" s="38">
        <v>0</v>
      </c>
      <c r="J153" s="30">
        <v>10.5</v>
      </c>
      <c r="K153" s="30">
        <f t="shared" si="26"/>
        <v>5.2286</v>
      </c>
      <c r="L153" s="30">
        <f t="shared" si="27"/>
        <v>5.2286</v>
      </c>
      <c r="M153" s="40" t="s">
        <v>33</v>
      </c>
      <c r="N153" s="15">
        <v>0.95</v>
      </c>
      <c r="O153" s="12"/>
      <c r="P153" s="13">
        <v>144</v>
      </c>
      <c r="Q153" s="32" t="s">
        <v>209</v>
      </c>
      <c r="R153" s="10" t="s">
        <v>5</v>
      </c>
      <c r="S153" s="10">
        <v>0.69</v>
      </c>
      <c r="T153" s="30">
        <f t="shared" si="34"/>
        <v>6.1914</v>
      </c>
      <c r="U153" s="31">
        <v>0.23</v>
      </c>
      <c r="V153" s="41">
        <v>40</v>
      </c>
      <c r="W153" s="31">
        <f t="shared" si="29"/>
        <v>5.961399999999999</v>
      </c>
      <c r="X153" s="10">
        <v>0</v>
      </c>
      <c r="Y153" s="10">
        <v>10.5</v>
      </c>
      <c r="Z153" s="31">
        <f t="shared" si="30"/>
        <v>4.538600000000001</v>
      </c>
      <c r="AA153" s="31">
        <f t="shared" si="31"/>
        <v>4.538600000000001</v>
      </c>
      <c r="AB153" s="40" t="s">
        <v>33</v>
      </c>
    </row>
    <row r="154" spans="1:28" ht="15" customHeight="1">
      <c r="A154" s="13">
        <v>145</v>
      </c>
      <c r="B154" s="32" t="s">
        <v>210</v>
      </c>
      <c r="C154" s="10" t="s">
        <v>13</v>
      </c>
      <c r="D154" s="10">
        <v>12.6</v>
      </c>
      <c r="E154" s="30">
        <v>4.251</v>
      </c>
      <c r="F154" s="31">
        <v>1.31</v>
      </c>
      <c r="G154" s="41">
        <v>60</v>
      </c>
      <c r="H154" s="30">
        <f t="shared" si="33"/>
        <v>2.9410000000000003</v>
      </c>
      <c r="I154" s="38">
        <v>0</v>
      </c>
      <c r="J154" s="30">
        <v>6.62</v>
      </c>
      <c r="K154" s="30">
        <f t="shared" si="26"/>
        <v>3.679</v>
      </c>
      <c r="L154" s="30">
        <f t="shared" si="27"/>
        <v>3.679</v>
      </c>
      <c r="M154" s="40" t="s">
        <v>33</v>
      </c>
      <c r="N154" s="15">
        <v>0.88</v>
      </c>
      <c r="O154" s="12"/>
      <c r="P154" s="13">
        <v>145</v>
      </c>
      <c r="Q154" s="32" t="s">
        <v>210</v>
      </c>
      <c r="R154" s="10" t="s">
        <v>13</v>
      </c>
      <c r="S154" s="10">
        <v>0.92</v>
      </c>
      <c r="T154" s="30">
        <f t="shared" si="34"/>
        <v>5.171</v>
      </c>
      <c r="U154" s="31">
        <v>1.31</v>
      </c>
      <c r="V154" s="41">
        <v>60</v>
      </c>
      <c r="W154" s="31">
        <f t="shared" si="29"/>
        <v>3.861</v>
      </c>
      <c r="X154" s="10">
        <v>0</v>
      </c>
      <c r="Y154" s="10">
        <v>6.62</v>
      </c>
      <c r="Z154" s="31">
        <f t="shared" si="30"/>
        <v>2.759</v>
      </c>
      <c r="AA154" s="31">
        <f t="shared" si="31"/>
        <v>2.759</v>
      </c>
      <c r="AB154" s="40" t="s">
        <v>33</v>
      </c>
    </row>
    <row r="155" spans="1:28" ht="15" customHeight="1">
      <c r="A155" s="13">
        <v>146</v>
      </c>
      <c r="B155" s="32" t="s">
        <v>211</v>
      </c>
      <c r="C155" s="10" t="s">
        <v>10</v>
      </c>
      <c r="D155" s="10">
        <v>8</v>
      </c>
      <c r="E155" s="46">
        <f>((40*6.5+150*6.2)/1000)*1.73</f>
        <v>2.0587</v>
      </c>
      <c r="F155" s="31">
        <v>0</v>
      </c>
      <c r="G155" s="41">
        <v>0</v>
      </c>
      <c r="H155" s="30">
        <f t="shared" si="33"/>
        <v>2.0587</v>
      </c>
      <c r="I155" s="38">
        <v>0</v>
      </c>
      <c r="J155" s="30">
        <v>4.2</v>
      </c>
      <c r="K155" s="30">
        <f t="shared" si="26"/>
        <v>2.1413</v>
      </c>
      <c r="L155" s="30">
        <f t="shared" si="27"/>
        <v>2.1413</v>
      </c>
      <c r="M155" s="40" t="s">
        <v>33</v>
      </c>
      <c r="N155" s="15">
        <v>0.924</v>
      </c>
      <c r="O155" s="12"/>
      <c r="P155" s="16">
        <v>146</v>
      </c>
      <c r="Q155" s="24" t="s">
        <v>211</v>
      </c>
      <c r="R155" s="18" t="s">
        <v>10</v>
      </c>
      <c r="S155" s="18">
        <v>2.55</v>
      </c>
      <c r="T155" s="20">
        <f t="shared" si="34"/>
        <v>4.6087</v>
      </c>
      <c r="U155" s="23">
        <v>0</v>
      </c>
      <c r="V155" s="44">
        <v>0</v>
      </c>
      <c r="W155" s="23">
        <f t="shared" si="29"/>
        <v>4.6087</v>
      </c>
      <c r="X155" s="18">
        <v>0</v>
      </c>
      <c r="Y155" s="18">
        <v>4.2</v>
      </c>
      <c r="Z155" s="23">
        <f t="shared" si="30"/>
        <v>-0.4086999999999996</v>
      </c>
      <c r="AA155" s="23">
        <f t="shared" si="31"/>
        <v>-0.4086999999999996</v>
      </c>
      <c r="AB155" s="45" t="s">
        <v>33</v>
      </c>
    </row>
    <row r="156" spans="1:28" ht="15" customHeight="1">
      <c r="A156" s="13">
        <v>147</v>
      </c>
      <c r="B156" s="32" t="s">
        <v>212</v>
      </c>
      <c r="C156" s="10" t="s">
        <v>5</v>
      </c>
      <c r="D156" s="10">
        <v>20</v>
      </c>
      <c r="E156" s="30">
        <v>1.407</v>
      </c>
      <c r="F156" s="31">
        <v>0</v>
      </c>
      <c r="G156" s="41">
        <v>0</v>
      </c>
      <c r="H156" s="30">
        <f t="shared" si="33"/>
        <v>1.407</v>
      </c>
      <c r="I156" s="38">
        <v>0</v>
      </c>
      <c r="J156" s="30">
        <v>10.5</v>
      </c>
      <c r="K156" s="30">
        <f t="shared" si="26"/>
        <v>9.093</v>
      </c>
      <c r="L156" s="30">
        <f t="shared" si="27"/>
        <v>9.093</v>
      </c>
      <c r="M156" s="40" t="s">
        <v>33</v>
      </c>
      <c r="N156" s="15">
        <v>0.87</v>
      </c>
      <c r="O156" s="12"/>
      <c r="P156" s="13">
        <v>147</v>
      </c>
      <c r="Q156" s="32" t="s">
        <v>212</v>
      </c>
      <c r="R156" s="10" t="s">
        <v>5</v>
      </c>
      <c r="S156" s="10">
        <v>0.77</v>
      </c>
      <c r="T156" s="30">
        <f t="shared" si="34"/>
        <v>2.177</v>
      </c>
      <c r="U156" s="31">
        <v>0</v>
      </c>
      <c r="V156" s="41">
        <v>0</v>
      </c>
      <c r="W156" s="31">
        <f t="shared" si="29"/>
        <v>2.177</v>
      </c>
      <c r="X156" s="10">
        <v>0</v>
      </c>
      <c r="Y156" s="10">
        <v>10.5</v>
      </c>
      <c r="Z156" s="31">
        <f t="shared" si="30"/>
        <v>8.323</v>
      </c>
      <c r="AA156" s="31">
        <f t="shared" si="31"/>
        <v>8.323</v>
      </c>
      <c r="AB156" s="40" t="s">
        <v>33</v>
      </c>
    </row>
    <row r="157" spans="1:28" ht="15" customHeight="1">
      <c r="A157" s="13">
        <v>148</v>
      </c>
      <c r="B157" s="32" t="s">
        <v>213</v>
      </c>
      <c r="C157" s="10" t="s">
        <v>17</v>
      </c>
      <c r="D157" s="10">
        <v>6.5</v>
      </c>
      <c r="E157" s="46">
        <f>((14*10.8+12*10.7)/1000)*1.73</f>
        <v>0.483708</v>
      </c>
      <c r="F157" s="31">
        <v>0</v>
      </c>
      <c r="G157" s="41">
        <v>0</v>
      </c>
      <c r="H157" s="30">
        <f t="shared" si="33"/>
        <v>0.483708</v>
      </c>
      <c r="I157" s="38">
        <v>0</v>
      </c>
      <c r="J157" s="30">
        <f>2.5*1.05</f>
        <v>2.625</v>
      </c>
      <c r="K157" s="30">
        <f t="shared" si="26"/>
        <v>2.141292</v>
      </c>
      <c r="L157" s="30">
        <f t="shared" si="27"/>
        <v>2.141292</v>
      </c>
      <c r="M157" s="10" t="s">
        <v>40</v>
      </c>
      <c r="N157" s="15">
        <v>0.914</v>
      </c>
      <c r="O157" s="12"/>
      <c r="P157" s="13">
        <v>148</v>
      </c>
      <c r="Q157" s="32" t="s">
        <v>213</v>
      </c>
      <c r="R157" s="10" t="s">
        <v>17</v>
      </c>
      <c r="S157" s="10">
        <v>0.01</v>
      </c>
      <c r="T157" s="30">
        <f t="shared" si="34"/>
        <v>0.49370800000000004</v>
      </c>
      <c r="U157" s="31">
        <v>0</v>
      </c>
      <c r="V157" s="41">
        <v>0</v>
      </c>
      <c r="W157" s="31">
        <f t="shared" si="29"/>
        <v>0.49370800000000004</v>
      </c>
      <c r="X157" s="10">
        <v>0</v>
      </c>
      <c r="Y157" s="10">
        <v>2.625</v>
      </c>
      <c r="Z157" s="31">
        <f t="shared" si="30"/>
        <v>2.131292</v>
      </c>
      <c r="AA157" s="31">
        <f t="shared" si="31"/>
        <v>2.131292</v>
      </c>
      <c r="AB157" s="10" t="s">
        <v>40</v>
      </c>
    </row>
    <row r="158" spans="1:28" ht="15" customHeight="1">
      <c r="A158" s="13">
        <v>149</v>
      </c>
      <c r="B158" s="32" t="s">
        <v>214</v>
      </c>
      <c r="C158" s="10" t="s">
        <v>4</v>
      </c>
      <c r="D158" s="10">
        <v>5</v>
      </c>
      <c r="E158" s="46">
        <f>((14*10.7+18*10.7)/1000)*1.73</f>
        <v>0.592352</v>
      </c>
      <c r="F158" s="31">
        <v>0</v>
      </c>
      <c r="G158" s="41">
        <v>0</v>
      </c>
      <c r="H158" s="30">
        <f t="shared" si="33"/>
        <v>0.592352</v>
      </c>
      <c r="I158" s="38">
        <v>0</v>
      </c>
      <c r="J158" s="30">
        <f>2.5*1.05</f>
        <v>2.625</v>
      </c>
      <c r="K158" s="30">
        <f t="shared" si="26"/>
        <v>2.032648</v>
      </c>
      <c r="L158" s="30">
        <f t="shared" si="27"/>
        <v>2.032648</v>
      </c>
      <c r="M158" s="10" t="s">
        <v>40</v>
      </c>
      <c r="N158" s="15">
        <v>0.935</v>
      </c>
      <c r="O158" s="12"/>
      <c r="P158" s="13">
        <v>149</v>
      </c>
      <c r="Q158" s="32" t="s">
        <v>214</v>
      </c>
      <c r="R158" s="10" t="s">
        <v>4</v>
      </c>
      <c r="S158" s="10">
        <v>0.54</v>
      </c>
      <c r="T158" s="30">
        <f t="shared" si="34"/>
        <v>1.132352</v>
      </c>
      <c r="U158" s="31">
        <v>0</v>
      </c>
      <c r="V158" s="41">
        <v>0</v>
      </c>
      <c r="W158" s="31">
        <f t="shared" si="29"/>
        <v>1.132352</v>
      </c>
      <c r="X158" s="10">
        <v>0</v>
      </c>
      <c r="Y158" s="10">
        <v>2.625</v>
      </c>
      <c r="Z158" s="31">
        <f t="shared" si="30"/>
        <v>1.492648</v>
      </c>
      <c r="AA158" s="31">
        <f t="shared" si="31"/>
        <v>1.492648</v>
      </c>
      <c r="AB158" s="10" t="s">
        <v>40</v>
      </c>
    </row>
    <row r="159" spans="1:28" ht="15" customHeight="1">
      <c r="A159" s="13">
        <v>150</v>
      </c>
      <c r="B159" s="32" t="s">
        <v>215</v>
      </c>
      <c r="C159" s="10" t="s">
        <v>10</v>
      </c>
      <c r="D159" s="10">
        <v>8</v>
      </c>
      <c r="E159" s="46">
        <f>((27*10.4+361)/1000)*1.73</f>
        <v>1.1103139999999998</v>
      </c>
      <c r="F159" s="31">
        <v>0</v>
      </c>
      <c r="G159" s="41">
        <v>0</v>
      </c>
      <c r="H159" s="30">
        <f t="shared" si="33"/>
        <v>1.1103139999999998</v>
      </c>
      <c r="I159" s="38">
        <v>0</v>
      </c>
      <c r="J159" s="30">
        <v>4.2</v>
      </c>
      <c r="K159" s="30">
        <f t="shared" si="26"/>
        <v>3.0896860000000004</v>
      </c>
      <c r="L159" s="30">
        <f t="shared" si="27"/>
        <v>3.0896860000000004</v>
      </c>
      <c r="M159" s="10" t="s">
        <v>40</v>
      </c>
      <c r="N159" s="15">
        <v>0.939</v>
      </c>
      <c r="O159" s="12"/>
      <c r="P159" s="13">
        <v>150</v>
      </c>
      <c r="Q159" s="32" t="s">
        <v>215</v>
      </c>
      <c r="R159" s="10" t="s">
        <v>10</v>
      </c>
      <c r="S159" s="10">
        <v>0.4</v>
      </c>
      <c r="T159" s="30">
        <f t="shared" si="34"/>
        <v>1.5103139999999997</v>
      </c>
      <c r="U159" s="31">
        <v>0</v>
      </c>
      <c r="V159" s="41">
        <v>0</v>
      </c>
      <c r="W159" s="31">
        <f t="shared" si="29"/>
        <v>1.5103139999999997</v>
      </c>
      <c r="X159" s="10">
        <v>0</v>
      </c>
      <c r="Y159" s="10">
        <v>4.2</v>
      </c>
      <c r="Z159" s="31">
        <f t="shared" si="30"/>
        <v>2.6896860000000005</v>
      </c>
      <c r="AA159" s="31">
        <f t="shared" si="31"/>
        <v>2.6896860000000005</v>
      </c>
      <c r="AB159" s="10" t="s">
        <v>40</v>
      </c>
    </row>
    <row r="160" spans="1:28" ht="15" customHeight="1">
      <c r="A160" s="13">
        <v>151</v>
      </c>
      <c r="B160" s="32" t="s">
        <v>216</v>
      </c>
      <c r="C160" s="10" t="s">
        <v>4</v>
      </c>
      <c r="D160" s="10">
        <v>5</v>
      </c>
      <c r="E160" s="46">
        <f>((5*10.5+42*10.4)/1000)*1.73</f>
        <v>0.846489</v>
      </c>
      <c r="F160" s="31">
        <v>0</v>
      </c>
      <c r="G160" s="41">
        <v>0</v>
      </c>
      <c r="H160" s="30">
        <f t="shared" si="33"/>
        <v>0.846489</v>
      </c>
      <c r="I160" s="38">
        <v>0</v>
      </c>
      <c r="J160" s="30">
        <f>2.5*1.05</f>
        <v>2.625</v>
      </c>
      <c r="K160" s="30">
        <f t="shared" si="26"/>
        <v>1.778511</v>
      </c>
      <c r="L160" s="30">
        <f t="shared" si="27"/>
        <v>1.778511</v>
      </c>
      <c r="M160" s="10" t="s">
        <v>40</v>
      </c>
      <c r="N160" s="15">
        <v>0.802</v>
      </c>
      <c r="O160" s="12"/>
      <c r="P160" s="13">
        <v>151</v>
      </c>
      <c r="Q160" s="32" t="s">
        <v>216</v>
      </c>
      <c r="R160" s="10" t="s">
        <v>4</v>
      </c>
      <c r="S160" s="10">
        <v>0.07</v>
      </c>
      <c r="T160" s="30">
        <f t="shared" si="34"/>
        <v>0.9164890000000001</v>
      </c>
      <c r="U160" s="31">
        <v>0</v>
      </c>
      <c r="V160" s="41">
        <v>0</v>
      </c>
      <c r="W160" s="31">
        <f t="shared" si="29"/>
        <v>0.9164890000000001</v>
      </c>
      <c r="X160" s="10">
        <v>0</v>
      </c>
      <c r="Y160" s="10">
        <v>2.625</v>
      </c>
      <c r="Z160" s="31">
        <f t="shared" si="30"/>
        <v>1.708511</v>
      </c>
      <c r="AA160" s="31">
        <f t="shared" si="31"/>
        <v>1.708511</v>
      </c>
      <c r="AB160" s="10" t="s">
        <v>40</v>
      </c>
    </row>
    <row r="161" spans="1:28" ht="11.25">
      <c r="A161" s="13">
        <v>152</v>
      </c>
      <c r="B161" s="32" t="s">
        <v>217</v>
      </c>
      <c r="C161" s="10" t="s">
        <v>4</v>
      </c>
      <c r="D161" s="10">
        <v>5</v>
      </c>
      <c r="E161" s="46">
        <f>((30*10.6+33*10.7)/1000)*1.73</f>
        <v>1.1610029999999998</v>
      </c>
      <c r="F161" s="31">
        <v>0.2</v>
      </c>
      <c r="G161" s="41">
        <v>60</v>
      </c>
      <c r="H161" s="30">
        <f t="shared" si="33"/>
        <v>0.9610029999999998</v>
      </c>
      <c r="I161" s="38">
        <v>0</v>
      </c>
      <c r="J161" s="30">
        <f>2.5*1.05</f>
        <v>2.625</v>
      </c>
      <c r="K161" s="30">
        <f t="shared" si="26"/>
        <v>1.6639970000000002</v>
      </c>
      <c r="L161" s="30">
        <f t="shared" si="27"/>
        <v>1.6639970000000002</v>
      </c>
      <c r="M161" s="10" t="s">
        <v>40</v>
      </c>
      <c r="N161" s="15">
        <v>0.895</v>
      </c>
      <c r="O161" s="12"/>
      <c r="P161" s="13">
        <v>152</v>
      </c>
      <c r="Q161" s="32" t="s">
        <v>217</v>
      </c>
      <c r="R161" s="10" t="s">
        <v>4</v>
      </c>
      <c r="S161" s="10">
        <v>0.19</v>
      </c>
      <c r="T161" s="30">
        <f t="shared" si="34"/>
        <v>1.3510029999999997</v>
      </c>
      <c r="U161" s="31">
        <v>0.2</v>
      </c>
      <c r="V161" s="41">
        <v>60</v>
      </c>
      <c r="W161" s="31">
        <f t="shared" si="29"/>
        <v>1.1510029999999998</v>
      </c>
      <c r="X161" s="10">
        <v>0</v>
      </c>
      <c r="Y161" s="10">
        <v>2.625</v>
      </c>
      <c r="Z161" s="31">
        <f t="shared" si="30"/>
        <v>1.4739970000000002</v>
      </c>
      <c r="AA161" s="31">
        <f t="shared" si="31"/>
        <v>1.4739970000000002</v>
      </c>
      <c r="AB161" s="10" t="s">
        <v>40</v>
      </c>
    </row>
    <row r="162" spans="1:28" ht="15" customHeight="1">
      <c r="A162" s="13">
        <v>153</v>
      </c>
      <c r="B162" s="32" t="s">
        <v>218</v>
      </c>
      <c r="C162" s="10" t="s">
        <v>23</v>
      </c>
      <c r="D162" s="10">
        <v>3.2</v>
      </c>
      <c r="E162" s="46">
        <f>((5*10.1+16*10.2)/1000)*1.73</f>
        <v>0.369701</v>
      </c>
      <c r="F162" s="31">
        <v>0</v>
      </c>
      <c r="G162" s="41">
        <v>0</v>
      </c>
      <c r="H162" s="30">
        <f t="shared" si="33"/>
        <v>0.369701</v>
      </c>
      <c r="I162" s="38">
        <v>0</v>
      </c>
      <c r="J162" s="30">
        <f>1.6*1.05</f>
        <v>1.6800000000000002</v>
      </c>
      <c r="K162" s="30">
        <f t="shared" si="26"/>
        <v>1.310299</v>
      </c>
      <c r="L162" s="30">
        <f t="shared" si="27"/>
        <v>1.310299</v>
      </c>
      <c r="M162" s="10" t="s">
        <v>40</v>
      </c>
      <c r="N162" s="15">
        <v>0.936</v>
      </c>
      <c r="O162" s="12"/>
      <c r="P162" s="13">
        <v>153</v>
      </c>
      <c r="Q162" s="32" t="s">
        <v>218</v>
      </c>
      <c r="R162" s="10" t="s">
        <v>23</v>
      </c>
      <c r="S162" s="10">
        <v>0.01</v>
      </c>
      <c r="T162" s="30">
        <f t="shared" si="34"/>
        <v>0.379701</v>
      </c>
      <c r="U162" s="31">
        <v>0</v>
      </c>
      <c r="V162" s="41">
        <v>0</v>
      </c>
      <c r="W162" s="31">
        <f t="shared" si="29"/>
        <v>0.379701</v>
      </c>
      <c r="X162" s="10">
        <v>0</v>
      </c>
      <c r="Y162" s="10">
        <v>1.6800000000000002</v>
      </c>
      <c r="Z162" s="31">
        <f t="shared" si="30"/>
        <v>1.300299</v>
      </c>
      <c r="AA162" s="31">
        <f t="shared" si="31"/>
        <v>1.300299</v>
      </c>
      <c r="AB162" s="10" t="s">
        <v>40</v>
      </c>
    </row>
    <row r="163" spans="1:28" ht="15" customHeight="1">
      <c r="A163" s="13">
        <v>154</v>
      </c>
      <c r="B163" s="32" t="s">
        <v>219</v>
      </c>
      <c r="C163" s="10" t="s">
        <v>16</v>
      </c>
      <c r="D163" s="10">
        <v>4.1</v>
      </c>
      <c r="E163" s="46">
        <f>((12*10.5)/1000)*1.73</f>
        <v>0.21798</v>
      </c>
      <c r="F163" s="31">
        <v>0</v>
      </c>
      <c r="G163" s="41">
        <v>0</v>
      </c>
      <c r="H163" s="30">
        <f t="shared" si="33"/>
        <v>0.21798</v>
      </c>
      <c r="I163" s="38">
        <v>0</v>
      </c>
      <c r="J163" s="30">
        <v>1.68</v>
      </c>
      <c r="K163" s="30">
        <f t="shared" si="26"/>
        <v>1.4620199999999999</v>
      </c>
      <c r="L163" s="30">
        <f t="shared" si="27"/>
        <v>1.4620199999999999</v>
      </c>
      <c r="M163" s="10" t="s">
        <v>40</v>
      </c>
      <c r="N163" s="15">
        <v>0.913</v>
      </c>
      <c r="O163" s="12"/>
      <c r="P163" s="13">
        <v>154</v>
      </c>
      <c r="Q163" s="32" t="s">
        <v>219</v>
      </c>
      <c r="R163" s="10" t="s">
        <v>16</v>
      </c>
      <c r="S163" s="10">
        <v>0.007</v>
      </c>
      <c r="T163" s="30">
        <f t="shared" si="34"/>
        <v>0.22498</v>
      </c>
      <c r="U163" s="31">
        <v>0</v>
      </c>
      <c r="V163" s="41">
        <v>0</v>
      </c>
      <c r="W163" s="31">
        <f t="shared" si="29"/>
        <v>0.22498</v>
      </c>
      <c r="X163" s="10">
        <v>0</v>
      </c>
      <c r="Y163" s="10">
        <v>1.68</v>
      </c>
      <c r="Z163" s="31">
        <f t="shared" si="30"/>
        <v>1.45502</v>
      </c>
      <c r="AA163" s="31">
        <f t="shared" si="31"/>
        <v>1.45502</v>
      </c>
      <c r="AB163" s="10" t="s">
        <v>40</v>
      </c>
    </row>
    <row r="164" spans="1:28" ht="11.25">
      <c r="A164" s="13">
        <v>155</v>
      </c>
      <c r="B164" s="32" t="s">
        <v>220</v>
      </c>
      <c r="C164" s="10" t="s">
        <v>27</v>
      </c>
      <c r="D164" s="10">
        <v>7.2</v>
      </c>
      <c r="E164" s="46">
        <f>((46*10.1+19*10.6)/1000)*1.73</f>
        <v>1.15218</v>
      </c>
      <c r="F164" s="31">
        <v>0</v>
      </c>
      <c r="G164" s="41">
        <v>0</v>
      </c>
      <c r="H164" s="30">
        <f t="shared" si="33"/>
        <v>1.15218</v>
      </c>
      <c r="I164" s="38">
        <v>0</v>
      </c>
      <c r="J164" s="30">
        <f>3.2*1.05</f>
        <v>3.3600000000000003</v>
      </c>
      <c r="K164" s="30">
        <f t="shared" si="26"/>
        <v>2.2078200000000003</v>
      </c>
      <c r="L164" s="30">
        <f t="shared" si="27"/>
        <v>2.2078200000000003</v>
      </c>
      <c r="M164" s="10" t="s">
        <v>40</v>
      </c>
      <c r="N164" s="15">
        <v>0.898</v>
      </c>
      <c r="O164" s="12"/>
      <c r="P164" s="13">
        <v>155</v>
      </c>
      <c r="Q164" s="32" t="s">
        <v>220</v>
      </c>
      <c r="R164" s="10" t="s">
        <v>27</v>
      </c>
      <c r="S164" s="10">
        <v>0.01</v>
      </c>
      <c r="T164" s="30">
        <f t="shared" si="34"/>
        <v>1.16218</v>
      </c>
      <c r="U164" s="31">
        <v>0</v>
      </c>
      <c r="V164" s="41">
        <v>0</v>
      </c>
      <c r="W164" s="31">
        <f t="shared" si="29"/>
        <v>1.16218</v>
      </c>
      <c r="X164" s="10">
        <v>0</v>
      </c>
      <c r="Y164" s="10">
        <v>3.3600000000000003</v>
      </c>
      <c r="Z164" s="31">
        <f t="shared" si="30"/>
        <v>2.19782</v>
      </c>
      <c r="AA164" s="31">
        <f t="shared" si="31"/>
        <v>2.19782</v>
      </c>
      <c r="AB164" s="10" t="s">
        <v>40</v>
      </c>
    </row>
    <row r="165" spans="1:28" ht="15" customHeight="1">
      <c r="A165" s="13">
        <v>156</v>
      </c>
      <c r="B165" s="32" t="s">
        <v>221</v>
      </c>
      <c r="C165" s="10" t="s">
        <v>4</v>
      </c>
      <c r="D165" s="10">
        <v>5</v>
      </c>
      <c r="E165" s="46">
        <f>((3*10.6+17*10.6)/1000)*1.73</f>
        <v>0.36676</v>
      </c>
      <c r="F165" s="31">
        <v>0</v>
      </c>
      <c r="G165" s="41">
        <v>0</v>
      </c>
      <c r="H165" s="30">
        <f aca="true" t="shared" si="35" ref="H165:H179">E165-F165</f>
        <v>0.36676</v>
      </c>
      <c r="I165" s="38">
        <v>0</v>
      </c>
      <c r="J165" s="30">
        <f>2.5*1.05</f>
        <v>2.625</v>
      </c>
      <c r="K165" s="30">
        <f aca="true" t="shared" si="36" ref="K165:K178">J165-I165-H165</f>
        <v>2.25824</v>
      </c>
      <c r="L165" s="30">
        <f aca="true" t="shared" si="37" ref="L165:L178">K165</f>
        <v>2.25824</v>
      </c>
      <c r="M165" s="10" t="s">
        <v>40</v>
      </c>
      <c r="N165" s="15">
        <v>0.947</v>
      </c>
      <c r="O165" s="12"/>
      <c r="P165" s="13">
        <v>156</v>
      </c>
      <c r="Q165" s="32" t="s">
        <v>221</v>
      </c>
      <c r="R165" s="10" t="s">
        <v>4</v>
      </c>
      <c r="S165" s="10">
        <v>0.3</v>
      </c>
      <c r="T165" s="30">
        <f aca="true" t="shared" si="38" ref="T165:T179">S165+E165</f>
        <v>0.66676</v>
      </c>
      <c r="U165" s="31">
        <v>0</v>
      </c>
      <c r="V165" s="41">
        <v>0</v>
      </c>
      <c r="W165" s="31">
        <f t="shared" si="29"/>
        <v>0.66676</v>
      </c>
      <c r="X165" s="10">
        <v>0</v>
      </c>
      <c r="Y165" s="10">
        <v>2.625</v>
      </c>
      <c r="Z165" s="31">
        <f t="shared" si="30"/>
        <v>1.95824</v>
      </c>
      <c r="AA165" s="31">
        <f t="shared" si="31"/>
        <v>1.95824</v>
      </c>
      <c r="AB165" s="10" t="s">
        <v>40</v>
      </c>
    </row>
    <row r="166" spans="1:28" ht="11.25">
      <c r="A166" s="13">
        <v>157</v>
      </c>
      <c r="B166" s="32" t="s">
        <v>222</v>
      </c>
      <c r="C166" s="10" t="s">
        <v>23</v>
      </c>
      <c r="D166" s="10">
        <v>3.2</v>
      </c>
      <c r="E166" s="46">
        <f>((27*10.2+6*10.9)/1000)*1.73</f>
        <v>0.5895839999999999</v>
      </c>
      <c r="F166" s="31">
        <v>0.163</v>
      </c>
      <c r="G166" s="41">
        <v>70</v>
      </c>
      <c r="H166" s="30">
        <f t="shared" si="35"/>
        <v>0.42658399999999985</v>
      </c>
      <c r="I166" s="38">
        <v>0</v>
      </c>
      <c r="J166" s="30">
        <f>1.6*1.05</f>
        <v>1.6800000000000002</v>
      </c>
      <c r="K166" s="30">
        <f t="shared" si="36"/>
        <v>1.2534160000000003</v>
      </c>
      <c r="L166" s="30">
        <f t="shared" si="37"/>
        <v>1.2534160000000003</v>
      </c>
      <c r="M166" s="10" t="s">
        <v>40</v>
      </c>
      <c r="N166" s="15">
        <v>0.88</v>
      </c>
      <c r="O166" s="12"/>
      <c r="P166" s="13">
        <v>157</v>
      </c>
      <c r="Q166" s="32" t="s">
        <v>222</v>
      </c>
      <c r="R166" s="10" t="s">
        <v>23</v>
      </c>
      <c r="S166" s="10">
        <v>0.03</v>
      </c>
      <c r="T166" s="30">
        <f t="shared" si="38"/>
        <v>0.6195839999999999</v>
      </c>
      <c r="U166" s="31">
        <v>0.163</v>
      </c>
      <c r="V166" s="41">
        <v>70</v>
      </c>
      <c r="W166" s="31">
        <f t="shared" si="29"/>
        <v>0.4565839999999999</v>
      </c>
      <c r="X166" s="10">
        <v>0</v>
      </c>
      <c r="Y166" s="10">
        <v>1.6800000000000002</v>
      </c>
      <c r="Z166" s="31">
        <f t="shared" si="30"/>
        <v>1.2234160000000003</v>
      </c>
      <c r="AA166" s="31">
        <f t="shared" si="31"/>
        <v>1.2234160000000003</v>
      </c>
      <c r="AB166" s="10" t="s">
        <v>40</v>
      </c>
    </row>
    <row r="167" spans="1:28" ht="15" customHeight="1">
      <c r="A167" s="13">
        <v>158</v>
      </c>
      <c r="B167" s="32" t="s">
        <v>223</v>
      </c>
      <c r="C167" s="10" t="s">
        <v>4</v>
      </c>
      <c r="D167" s="10">
        <v>5</v>
      </c>
      <c r="E167" s="46">
        <f>((23*10.5+9*10.7)/1000)*1.73</f>
        <v>0.584394</v>
      </c>
      <c r="F167" s="31">
        <v>0.09</v>
      </c>
      <c r="G167" s="41">
        <v>70</v>
      </c>
      <c r="H167" s="30">
        <f t="shared" si="35"/>
        <v>0.494394</v>
      </c>
      <c r="I167" s="38">
        <v>0</v>
      </c>
      <c r="J167" s="30">
        <f>2.5*1.05</f>
        <v>2.625</v>
      </c>
      <c r="K167" s="30">
        <f t="shared" si="36"/>
        <v>2.130606</v>
      </c>
      <c r="L167" s="30">
        <f t="shared" si="37"/>
        <v>2.130606</v>
      </c>
      <c r="M167" s="10" t="s">
        <v>40</v>
      </c>
      <c r="N167" s="15">
        <v>0.963</v>
      </c>
      <c r="O167" s="12"/>
      <c r="P167" s="13">
        <v>158</v>
      </c>
      <c r="Q167" s="32" t="s">
        <v>223</v>
      </c>
      <c r="R167" s="10" t="s">
        <v>4</v>
      </c>
      <c r="S167" s="10">
        <v>0.01</v>
      </c>
      <c r="T167" s="30">
        <f t="shared" si="38"/>
        <v>0.594394</v>
      </c>
      <c r="U167" s="31">
        <v>0.09</v>
      </c>
      <c r="V167" s="41">
        <v>70</v>
      </c>
      <c r="W167" s="31">
        <f t="shared" si="29"/>
        <v>0.504394</v>
      </c>
      <c r="X167" s="10">
        <v>0</v>
      </c>
      <c r="Y167" s="10">
        <v>2.625</v>
      </c>
      <c r="Z167" s="31">
        <f t="shared" si="30"/>
        <v>2.120606</v>
      </c>
      <c r="AA167" s="31">
        <f t="shared" si="31"/>
        <v>2.120606</v>
      </c>
      <c r="AB167" s="10" t="s">
        <v>40</v>
      </c>
    </row>
    <row r="168" spans="1:28" ht="15" customHeight="1">
      <c r="A168" s="13">
        <v>159</v>
      </c>
      <c r="B168" s="32" t="s">
        <v>224</v>
      </c>
      <c r="C168" s="10" t="s">
        <v>4</v>
      </c>
      <c r="D168" s="10">
        <v>5</v>
      </c>
      <c r="E168" s="46">
        <f>((62*10.6+45*10.5)/1000)*1.73</f>
        <v>1.954381</v>
      </c>
      <c r="F168" s="31">
        <v>0.364</v>
      </c>
      <c r="G168" s="41">
        <v>60</v>
      </c>
      <c r="H168" s="30">
        <f t="shared" si="35"/>
        <v>1.5903809999999998</v>
      </c>
      <c r="I168" s="38">
        <v>0</v>
      </c>
      <c r="J168" s="30">
        <f>2.5*1.05</f>
        <v>2.625</v>
      </c>
      <c r="K168" s="30">
        <f t="shared" si="36"/>
        <v>1.0346190000000002</v>
      </c>
      <c r="L168" s="30">
        <f t="shared" si="37"/>
        <v>1.0346190000000002</v>
      </c>
      <c r="M168" s="10" t="s">
        <v>40</v>
      </c>
      <c r="N168" s="15">
        <v>0.958</v>
      </c>
      <c r="O168" s="12"/>
      <c r="P168" s="13">
        <v>159</v>
      </c>
      <c r="Q168" s="32" t="s">
        <v>224</v>
      </c>
      <c r="R168" s="10" t="s">
        <v>4</v>
      </c>
      <c r="S168" s="10">
        <v>0.02</v>
      </c>
      <c r="T168" s="30">
        <f t="shared" si="38"/>
        <v>1.974381</v>
      </c>
      <c r="U168" s="31">
        <v>0.364</v>
      </c>
      <c r="V168" s="41">
        <v>60</v>
      </c>
      <c r="W168" s="31">
        <f aca="true" t="shared" si="39" ref="W168:W179">T168-U168</f>
        <v>1.6103809999999998</v>
      </c>
      <c r="X168" s="10">
        <v>0</v>
      </c>
      <c r="Y168" s="10">
        <v>2.625</v>
      </c>
      <c r="Z168" s="31">
        <f aca="true" t="shared" si="40" ref="Z168:Z233">Y168-X168-W168</f>
        <v>1.0146190000000002</v>
      </c>
      <c r="AA168" s="31">
        <f aca="true" t="shared" si="41" ref="AA168:AA178">Z168</f>
        <v>1.0146190000000002</v>
      </c>
      <c r="AB168" s="10" t="s">
        <v>40</v>
      </c>
    </row>
    <row r="169" spans="1:28" ht="15" customHeight="1">
      <c r="A169" s="13">
        <v>160</v>
      </c>
      <c r="B169" s="32" t="s">
        <v>225</v>
      </c>
      <c r="C169" s="10" t="s">
        <v>23</v>
      </c>
      <c r="D169" s="10">
        <v>3.2</v>
      </c>
      <c r="E169" s="46">
        <f>((5*10.6+26*10.5)/1000)*1.73</f>
        <v>0.56398</v>
      </c>
      <c r="F169" s="31">
        <v>0.073</v>
      </c>
      <c r="G169" s="41">
        <v>30</v>
      </c>
      <c r="H169" s="30">
        <f t="shared" si="35"/>
        <v>0.49098</v>
      </c>
      <c r="I169" s="38">
        <v>0</v>
      </c>
      <c r="J169" s="30">
        <f>1.6*1.05</f>
        <v>1.6800000000000002</v>
      </c>
      <c r="K169" s="30">
        <f t="shared" si="36"/>
        <v>1.1890200000000002</v>
      </c>
      <c r="L169" s="30">
        <f t="shared" si="37"/>
        <v>1.1890200000000002</v>
      </c>
      <c r="M169" s="10" t="s">
        <v>40</v>
      </c>
      <c r="N169" s="15">
        <v>0.916</v>
      </c>
      <c r="O169" s="12"/>
      <c r="P169" s="13">
        <v>160</v>
      </c>
      <c r="Q169" s="32" t="s">
        <v>225</v>
      </c>
      <c r="R169" s="10" t="s">
        <v>23</v>
      </c>
      <c r="S169" s="10">
        <v>0.06</v>
      </c>
      <c r="T169" s="30">
        <f t="shared" si="38"/>
        <v>0.62398</v>
      </c>
      <c r="U169" s="31">
        <v>0.073</v>
      </c>
      <c r="V169" s="41">
        <v>30</v>
      </c>
      <c r="W169" s="31">
        <f t="shared" si="39"/>
        <v>0.55098</v>
      </c>
      <c r="X169" s="10">
        <v>0</v>
      </c>
      <c r="Y169" s="10">
        <v>1.6800000000000002</v>
      </c>
      <c r="Z169" s="31">
        <f t="shared" si="40"/>
        <v>1.1290200000000001</v>
      </c>
      <c r="AA169" s="31">
        <f t="shared" si="41"/>
        <v>1.1290200000000001</v>
      </c>
      <c r="AB169" s="10" t="s">
        <v>40</v>
      </c>
    </row>
    <row r="170" spans="1:28" ht="15" customHeight="1">
      <c r="A170" s="13">
        <v>161</v>
      </c>
      <c r="B170" s="32" t="s">
        <v>226</v>
      </c>
      <c r="C170" s="10" t="s">
        <v>10</v>
      </c>
      <c r="D170" s="10">
        <v>8</v>
      </c>
      <c r="E170" s="46">
        <f>((74*10.7+44*10.8)/1000)*1.73</f>
        <v>2.19191</v>
      </c>
      <c r="F170" s="31">
        <v>0.473</v>
      </c>
      <c r="G170" s="41">
        <v>150</v>
      </c>
      <c r="H170" s="30">
        <f t="shared" si="35"/>
        <v>1.7189100000000002</v>
      </c>
      <c r="I170" s="38">
        <v>0</v>
      </c>
      <c r="J170" s="30">
        <v>4.2</v>
      </c>
      <c r="K170" s="30">
        <f t="shared" si="36"/>
        <v>2.48109</v>
      </c>
      <c r="L170" s="30">
        <f t="shared" si="37"/>
        <v>2.48109</v>
      </c>
      <c r="M170" s="10" t="s">
        <v>40</v>
      </c>
      <c r="N170" s="15">
        <v>0.886</v>
      </c>
      <c r="O170" s="12"/>
      <c r="P170" s="13">
        <v>161</v>
      </c>
      <c r="Q170" s="32" t="s">
        <v>226</v>
      </c>
      <c r="R170" s="10" t="s">
        <v>10</v>
      </c>
      <c r="S170" s="10">
        <v>1.62</v>
      </c>
      <c r="T170" s="30">
        <f t="shared" si="38"/>
        <v>3.81191</v>
      </c>
      <c r="U170" s="31">
        <v>0.473</v>
      </c>
      <c r="V170" s="41">
        <v>150</v>
      </c>
      <c r="W170" s="31">
        <f t="shared" si="39"/>
        <v>3.3389100000000003</v>
      </c>
      <c r="X170" s="10">
        <v>0</v>
      </c>
      <c r="Y170" s="10">
        <v>4.2</v>
      </c>
      <c r="Z170" s="31">
        <f t="shared" si="40"/>
        <v>0.8610899999999999</v>
      </c>
      <c r="AA170" s="31">
        <f t="shared" si="41"/>
        <v>0.8610899999999999</v>
      </c>
      <c r="AB170" s="10" t="s">
        <v>40</v>
      </c>
    </row>
    <row r="171" spans="1:28" ht="15" customHeight="1">
      <c r="A171" s="13">
        <v>162</v>
      </c>
      <c r="B171" s="32" t="s">
        <v>227</v>
      </c>
      <c r="C171" s="10" t="s">
        <v>4</v>
      </c>
      <c r="D171" s="10">
        <v>5</v>
      </c>
      <c r="E171" s="46">
        <f>((27*10.5+2*10.6)/1000)*1.73</f>
        <v>0.5271309999999999</v>
      </c>
      <c r="F171" s="31">
        <v>0.2</v>
      </c>
      <c r="G171" s="41">
        <v>150</v>
      </c>
      <c r="H171" s="30">
        <f t="shared" si="35"/>
        <v>0.3271309999999999</v>
      </c>
      <c r="I171" s="38">
        <v>0</v>
      </c>
      <c r="J171" s="30">
        <f>2.5*1.05</f>
        <v>2.625</v>
      </c>
      <c r="K171" s="30">
        <f t="shared" si="36"/>
        <v>2.297869</v>
      </c>
      <c r="L171" s="30">
        <f t="shared" si="37"/>
        <v>2.297869</v>
      </c>
      <c r="M171" s="10" t="s">
        <v>40</v>
      </c>
      <c r="N171" s="15">
        <v>0.91</v>
      </c>
      <c r="O171" s="12"/>
      <c r="P171" s="13">
        <v>162</v>
      </c>
      <c r="Q171" s="32" t="s">
        <v>227</v>
      </c>
      <c r="R171" s="10" t="s">
        <v>4</v>
      </c>
      <c r="S171" s="10">
        <v>0.14</v>
      </c>
      <c r="T171" s="30">
        <f t="shared" si="38"/>
        <v>0.6671309999999999</v>
      </c>
      <c r="U171" s="31">
        <v>0.2</v>
      </c>
      <c r="V171" s="41">
        <v>150</v>
      </c>
      <c r="W171" s="31">
        <f t="shared" si="39"/>
        <v>0.4671309999999999</v>
      </c>
      <c r="X171" s="10">
        <v>0</v>
      </c>
      <c r="Y171" s="10">
        <v>2.625</v>
      </c>
      <c r="Z171" s="31">
        <f t="shared" si="40"/>
        <v>2.1578690000000003</v>
      </c>
      <c r="AA171" s="31">
        <f t="shared" si="41"/>
        <v>2.1578690000000003</v>
      </c>
      <c r="AB171" s="10" t="s">
        <v>40</v>
      </c>
    </row>
    <row r="172" spans="1:28" ht="15" customHeight="1">
      <c r="A172" s="13">
        <v>163</v>
      </c>
      <c r="B172" s="32" t="s">
        <v>228</v>
      </c>
      <c r="C172" s="10" t="s">
        <v>4</v>
      </c>
      <c r="D172" s="10">
        <v>5</v>
      </c>
      <c r="E172" s="46">
        <f>((22*10.5+15*10.5)/1000)*1.73</f>
        <v>0.6721050000000001</v>
      </c>
      <c r="F172" s="31">
        <v>0</v>
      </c>
      <c r="G172" s="41">
        <v>0</v>
      </c>
      <c r="H172" s="30">
        <f t="shared" si="35"/>
        <v>0.6721050000000001</v>
      </c>
      <c r="I172" s="38">
        <v>0</v>
      </c>
      <c r="J172" s="30">
        <f>2.5*1.05</f>
        <v>2.625</v>
      </c>
      <c r="K172" s="30">
        <f t="shared" si="36"/>
        <v>1.9528949999999998</v>
      </c>
      <c r="L172" s="30">
        <f t="shared" si="37"/>
        <v>1.9528949999999998</v>
      </c>
      <c r="M172" s="10" t="s">
        <v>40</v>
      </c>
      <c r="N172" s="15">
        <v>0.949</v>
      </c>
      <c r="O172" s="12"/>
      <c r="P172" s="13">
        <v>163</v>
      </c>
      <c r="Q172" s="32" t="s">
        <v>228</v>
      </c>
      <c r="R172" s="10" t="s">
        <v>4</v>
      </c>
      <c r="S172" s="10">
        <v>0.04</v>
      </c>
      <c r="T172" s="30">
        <f t="shared" si="38"/>
        <v>0.7121050000000001</v>
      </c>
      <c r="U172" s="31">
        <v>0</v>
      </c>
      <c r="V172" s="41">
        <v>0</v>
      </c>
      <c r="W172" s="31">
        <f t="shared" si="39"/>
        <v>0.7121050000000001</v>
      </c>
      <c r="X172" s="10">
        <v>0</v>
      </c>
      <c r="Y172" s="10">
        <v>2.625</v>
      </c>
      <c r="Z172" s="31">
        <f t="shared" si="40"/>
        <v>1.9128949999999998</v>
      </c>
      <c r="AA172" s="31">
        <f t="shared" si="41"/>
        <v>1.9128949999999998</v>
      </c>
      <c r="AB172" s="10" t="s">
        <v>40</v>
      </c>
    </row>
    <row r="173" spans="1:28" ht="11.25">
      <c r="A173" s="13">
        <v>164</v>
      </c>
      <c r="B173" s="32" t="s">
        <v>229</v>
      </c>
      <c r="C173" s="10" t="s">
        <v>4</v>
      </c>
      <c r="D173" s="10">
        <v>5</v>
      </c>
      <c r="E173" s="46">
        <f>((22*10.5+50*10.5)/1000)*1.73</f>
        <v>1.30788</v>
      </c>
      <c r="F173" s="31">
        <v>0</v>
      </c>
      <c r="G173" s="41">
        <v>0</v>
      </c>
      <c r="H173" s="30">
        <f t="shared" si="35"/>
        <v>1.30788</v>
      </c>
      <c r="I173" s="38">
        <v>0</v>
      </c>
      <c r="J173" s="30">
        <f>2.5*1.05</f>
        <v>2.625</v>
      </c>
      <c r="K173" s="30">
        <f t="shared" si="36"/>
        <v>1.31712</v>
      </c>
      <c r="L173" s="30">
        <f t="shared" si="37"/>
        <v>1.31712</v>
      </c>
      <c r="M173" s="40" t="s">
        <v>33</v>
      </c>
      <c r="N173" s="15">
        <v>0.883</v>
      </c>
      <c r="O173" s="12"/>
      <c r="P173" s="13">
        <v>164</v>
      </c>
      <c r="Q173" s="32" t="s">
        <v>229</v>
      </c>
      <c r="R173" s="10" t="s">
        <v>4</v>
      </c>
      <c r="S173" s="10">
        <v>0.14</v>
      </c>
      <c r="T173" s="30">
        <f t="shared" si="38"/>
        <v>1.44788</v>
      </c>
      <c r="U173" s="31">
        <v>0</v>
      </c>
      <c r="V173" s="41">
        <v>0</v>
      </c>
      <c r="W173" s="31">
        <f t="shared" si="39"/>
        <v>1.44788</v>
      </c>
      <c r="X173" s="10">
        <v>0</v>
      </c>
      <c r="Y173" s="10">
        <v>2.625</v>
      </c>
      <c r="Z173" s="31">
        <f t="shared" si="40"/>
        <v>1.17712</v>
      </c>
      <c r="AA173" s="31">
        <f t="shared" si="41"/>
        <v>1.17712</v>
      </c>
      <c r="AB173" s="40" t="s">
        <v>33</v>
      </c>
    </row>
    <row r="174" spans="1:28" ht="11.25">
      <c r="A174" s="13">
        <v>165</v>
      </c>
      <c r="B174" s="32" t="s">
        <v>230</v>
      </c>
      <c r="C174" s="10" t="s">
        <v>4</v>
      </c>
      <c r="D174" s="10">
        <v>5</v>
      </c>
      <c r="E174" s="46">
        <f>((9*10.7+12*10.7)/1000)*1.73</f>
        <v>0.388731</v>
      </c>
      <c r="F174" s="31">
        <v>0</v>
      </c>
      <c r="G174" s="41">
        <v>0</v>
      </c>
      <c r="H174" s="30">
        <f t="shared" si="35"/>
        <v>0.388731</v>
      </c>
      <c r="I174" s="38">
        <v>0</v>
      </c>
      <c r="J174" s="30">
        <f>2.5*1.05</f>
        <v>2.625</v>
      </c>
      <c r="K174" s="30">
        <f t="shared" si="36"/>
        <v>2.236269</v>
      </c>
      <c r="L174" s="30">
        <f t="shared" si="37"/>
        <v>2.236269</v>
      </c>
      <c r="M174" s="40" t="s">
        <v>33</v>
      </c>
      <c r="N174" s="15">
        <v>0.784</v>
      </c>
      <c r="O174" s="12"/>
      <c r="P174" s="13">
        <v>165</v>
      </c>
      <c r="Q174" s="32" t="s">
        <v>230</v>
      </c>
      <c r="R174" s="10" t="s">
        <v>4</v>
      </c>
      <c r="S174" s="10">
        <v>0.07</v>
      </c>
      <c r="T174" s="30">
        <f t="shared" si="38"/>
        <v>0.458731</v>
      </c>
      <c r="U174" s="31">
        <v>0</v>
      </c>
      <c r="V174" s="41">
        <v>0</v>
      </c>
      <c r="W174" s="31">
        <f t="shared" si="39"/>
        <v>0.458731</v>
      </c>
      <c r="X174" s="10">
        <v>0</v>
      </c>
      <c r="Y174" s="10">
        <v>2.625</v>
      </c>
      <c r="Z174" s="31">
        <f t="shared" si="40"/>
        <v>2.166269</v>
      </c>
      <c r="AA174" s="31">
        <f t="shared" si="41"/>
        <v>2.166269</v>
      </c>
      <c r="AB174" s="40" t="s">
        <v>33</v>
      </c>
    </row>
    <row r="175" spans="1:28" ht="15" customHeight="1">
      <c r="A175" s="13">
        <v>166</v>
      </c>
      <c r="B175" s="32" t="s">
        <v>231</v>
      </c>
      <c r="C175" s="10" t="s">
        <v>10</v>
      </c>
      <c r="D175" s="10">
        <v>8</v>
      </c>
      <c r="E175" s="46">
        <f>((81*10.3+20*10.3)/1000)*1.73</f>
        <v>1.7997190000000003</v>
      </c>
      <c r="F175" s="31">
        <v>0</v>
      </c>
      <c r="G175" s="41">
        <v>0</v>
      </c>
      <c r="H175" s="30">
        <f t="shared" si="35"/>
        <v>1.7997190000000003</v>
      </c>
      <c r="I175" s="38">
        <v>0</v>
      </c>
      <c r="J175" s="30">
        <v>4.2</v>
      </c>
      <c r="K175" s="30">
        <f t="shared" si="36"/>
        <v>2.4002809999999997</v>
      </c>
      <c r="L175" s="30">
        <f t="shared" si="37"/>
        <v>2.4002809999999997</v>
      </c>
      <c r="M175" s="40" t="s">
        <v>33</v>
      </c>
      <c r="N175" s="15">
        <v>0.863</v>
      </c>
      <c r="O175" s="12"/>
      <c r="P175" s="13">
        <v>166</v>
      </c>
      <c r="Q175" s="32" t="s">
        <v>231</v>
      </c>
      <c r="R175" s="10" t="s">
        <v>10</v>
      </c>
      <c r="S175" s="10">
        <v>1.26</v>
      </c>
      <c r="T175" s="30">
        <f t="shared" si="38"/>
        <v>3.0597190000000003</v>
      </c>
      <c r="U175" s="31">
        <v>0</v>
      </c>
      <c r="V175" s="41">
        <v>0</v>
      </c>
      <c r="W175" s="31">
        <f t="shared" si="39"/>
        <v>3.0597190000000003</v>
      </c>
      <c r="X175" s="10">
        <v>0</v>
      </c>
      <c r="Y175" s="10">
        <v>4.2</v>
      </c>
      <c r="Z175" s="31">
        <f t="shared" si="40"/>
        <v>1.1402809999999999</v>
      </c>
      <c r="AA175" s="31">
        <f t="shared" si="41"/>
        <v>1.1402809999999999</v>
      </c>
      <c r="AB175" s="40" t="s">
        <v>33</v>
      </c>
    </row>
    <row r="176" spans="1:28" ht="15" customHeight="1">
      <c r="A176" s="13">
        <v>167</v>
      </c>
      <c r="B176" s="32" t="s">
        <v>232</v>
      </c>
      <c r="C176" s="10" t="s">
        <v>4</v>
      </c>
      <c r="D176" s="10">
        <v>5</v>
      </c>
      <c r="E176" s="46">
        <f>((9*10.6+12*10.6)/1000)*1.73</f>
        <v>0.38509799999999994</v>
      </c>
      <c r="F176" s="31">
        <v>0</v>
      </c>
      <c r="G176" s="41">
        <v>0</v>
      </c>
      <c r="H176" s="30">
        <f t="shared" si="35"/>
        <v>0.38509799999999994</v>
      </c>
      <c r="I176" s="38">
        <v>0</v>
      </c>
      <c r="J176" s="30">
        <f>2.5*1.05</f>
        <v>2.625</v>
      </c>
      <c r="K176" s="30">
        <f t="shared" si="36"/>
        <v>2.239902</v>
      </c>
      <c r="L176" s="30">
        <f t="shared" si="37"/>
        <v>2.239902</v>
      </c>
      <c r="M176" s="40" t="s">
        <v>33</v>
      </c>
      <c r="N176" s="15">
        <v>0.852</v>
      </c>
      <c r="O176" s="12"/>
      <c r="P176" s="13">
        <v>167</v>
      </c>
      <c r="Q176" s="32" t="s">
        <v>232</v>
      </c>
      <c r="R176" s="10" t="s">
        <v>4</v>
      </c>
      <c r="S176" s="10">
        <v>0.01</v>
      </c>
      <c r="T176" s="30">
        <f t="shared" si="38"/>
        <v>0.39509799999999995</v>
      </c>
      <c r="U176" s="31">
        <v>0</v>
      </c>
      <c r="V176" s="41">
        <v>0</v>
      </c>
      <c r="W176" s="31">
        <f t="shared" si="39"/>
        <v>0.39509799999999995</v>
      </c>
      <c r="X176" s="10">
        <v>0</v>
      </c>
      <c r="Y176" s="10">
        <v>2.625</v>
      </c>
      <c r="Z176" s="31">
        <f t="shared" si="40"/>
        <v>2.229902</v>
      </c>
      <c r="AA176" s="31">
        <f t="shared" si="41"/>
        <v>2.229902</v>
      </c>
      <c r="AB176" s="40" t="s">
        <v>33</v>
      </c>
    </row>
    <row r="177" spans="1:28" ht="11.25">
      <c r="A177" s="13">
        <v>168</v>
      </c>
      <c r="B177" s="32" t="s">
        <v>233</v>
      </c>
      <c r="C177" s="10" t="s">
        <v>5</v>
      </c>
      <c r="D177" s="10">
        <v>20</v>
      </c>
      <c r="E177" s="46">
        <f>((43*10.4+10*10.5)/1000)*1.73</f>
        <v>0.955306</v>
      </c>
      <c r="F177" s="31">
        <v>0</v>
      </c>
      <c r="G177" s="41">
        <v>0</v>
      </c>
      <c r="H177" s="30">
        <f t="shared" si="35"/>
        <v>0.955306</v>
      </c>
      <c r="I177" s="38">
        <v>0</v>
      </c>
      <c r="J177" s="30">
        <v>10.5</v>
      </c>
      <c r="K177" s="30">
        <f t="shared" si="36"/>
        <v>9.544694</v>
      </c>
      <c r="L177" s="30">
        <f t="shared" si="37"/>
        <v>9.544694</v>
      </c>
      <c r="M177" s="10" t="s">
        <v>40</v>
      </c>
      <c r="N177" s="15">
        <v>0.969</v>
      </c>
      <c r="O177" s="12"/>
      <c r="P177" s="13">
        <v>168</v>
      </c>
      <c r="Q177" s="32" t="s">
        <v>233</v>
      </c>
      <c r="R177" s="10" t="s">
        <v>5</v>
      </c>
      <c r="S177" s="10">
        <v>0.24</v>
      </c>
      <c r="T177" s="30">
        <f t="shared" si="38"/>
        <v>1.195306</v>
      </c>
      <c r="U177" s="31">
        <v>0</v>
      </c>
      <c r="V177" s="41">
        <v>0</v>
      </c>
      <c r="W177" s="31">
        <f t="shared" si="39"/>
        <v>1.195306</v>
      </c>
      <c r="X177" s="10">
        <v>0</v>
      </c>
      <c r="Y177" s="10">
        <v>10.5</v>
      </c>
      <c r="Z177" s="31">
        <f t="shared" si="40"/>
        <v>9.304694</v>
      </c>
      <c r="AA177" s="31">
        <f>Z177</f>
        <v>9.304694</v>
      </c>
      <c r="AB177" s="10" t="s">
        <v>40</v>
      </c>
    </row>
    <row r="178" spans="1:28" ht="15" customHeight="1">
      <c r="A178" s="13">
        <v>169</v>
      </c>
      <c r="B178" s="32" t="s">
        <v>234</v>
      </c>
      <c r="C178" s="10" t="s">
        <v>23</v>
      </c>
      <c r="D178" s="10">
        <v>3.2</v>
      </c>
      <c r="E178" s="46">
        <f>((42*10.6+10*10.6)/1000)*1.73</f>
        <v>0.953576</v>
      </c>
      <c r="F178" s="31">
        <v>0.04</v>
      </c>
      <c r="G178" s="41">
        <v>110</v>
      </c>
      <c r="H178" s="30">
        <f t="shared" si="35"/>
        <v>0.9135759999999999</v>
      </c>
      <c r="I178" s="38">
        <v>0</v>
      </c>
      <c r="J178" s="30">
        <f>1.6*1.05</f>
        <v>1.6800000000000002</v>
      </c>
      <c r="K178" s="30">
        <f t="shared" si="36"/>
        <v>0.7664240000000002</v>
      </c>
      <c r="L178" s="30">
        <f t="shared" si="37"/>
        <v>0.7664240000000002</v>
      </c>
      <c r="M178" s="40" t="s">
        <v>33</v>
      </c>
      <c r="N178" s="15">
        <v>1</v>
      </c>
      <c r="O178" s="12"/>
      <c r="P178" s="13">
        <v>169</v>
      </c>
      <c r="Q178" s="32" t="s">
        <v>234</v>
      </c>
      <c r="R178" s="10" t="s">
        <v>23</v>
      </c>
      <c r="S178" s="10"/>
      <c r="T178" s="30">
        <f t="shared" si="38"/>
        <v>0.953576</v>
      </c>
      <c r="U178" s="31">
        <v>0.04</v>
      </c>
      <c r="V178" s="41">
        <v>110</v>
      </c>
      <c r="W178" s="31">
        <f t="shared" si="39"/>
        <v>0.9135759999999999</v>
      </c>
      <c r="X178" s="10">
        <v>0</v>
      </c>
      <c r="Y178" s="10">
        <v>1.6800000000000002</v>
      </c>
      <c r="Z178" s="31">
        <f t="shared" si="40"/>
        <v>0.7664240000000002</v>
      </c>
      <c r="AA178" s="31">
        <f t="shared" si="41"/>
        <v>0.7664240000000002</v>
      </c>
      <c r="AB178" s="40" t="s">
        <v>33</v>
      </c>
    </row>
    <row r="179" spans="1:28" ht="15" customHeight="1">
      <c r="A179" s="13">
        <v>170</v>
      </c>
      <c r="B179" s="34" t="s">
        <v>235</v>
      </c>
      <c r="C179" s="10" t="s">
        <v>5</v>
      </c>
      <c r="D179" s="10">
        <v>20</v>
      </c>
      <c r="E179" s="31">
        <v>0.322</v>
      </c>
      <c r="F179" s="31">
        <v>0</v>
      </c>
      <c r="G179" s="41">
        <v>0</v>
      </c>
      <c r="H179" s="30">
        <f t="shared" si="35"/>
        <v>0.322</v>
      </c>
      <c r="I179" s="38">
        <v>0</v>
      </c>
      <c r="J179" s="30">
        <f>10*1.05</f>
        <v>10.5</v>
      </c>
      <c r="K179" s="30">
        <f>J179-I179-H179</f>
        <v>10.178</v>
      </c>
      <c r="L179" s="30">
        <f>K179</f>
        <v>10.178</v>
      </c>
      <c r="M179" s="10" t="s">
        <v>40</v>
      </c>
      <c r="N179" s="15">
        <v>0.99</v>
      </c>
      <c r="O179" s="52"/>
      <c r="P179" s="53">
        <v>170</v>
      </c>
      <c r="Q179" s="34" t="s">
        <v>235</v>
      </c>
      <c r="R179" s="10" t="s">
        <v>5</v>
      </c>
      <c r="S179" s="54">
        <v>5.17</v>
      </c>
      <c r="T179" s="30">
        <f t="shared" si="38"/>
        <v>5.492</v>
      </c>
      <c r="U179" s="31">
        <v>0</v>
      </c>
      <c r="V179" s="41">
        <v>0</v>
      </c>
      <c r="W179" s="31">
        <f t="shared" si="39"/>
        <v>5.492</v>
      </c>
      <c r="X179" s="10">
        <v>0</v>
      </c>
      <c r="Y179" s="30">
        <f>10*1.05</f>
        <v>10.5</v>
      </c>
      <c r="Z179" s="31">
        <f>Y179-X179-W179</f>
        <v>5.008</v>
      </c>
      <c r="AA179" s="31">
        <f>Z179</f>
        <v>5.008</v>
      </c>
      <c r="AB179" s="10" t="s">
        <v>40</v>
      </c>
    </row>
    <row r="180" spans="1:28" ht="15" customHeight="1">
      <c r="A180" s="119" t="s">
        <v>44</v>
      </c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1"/>
      <c r="N180" s="15"/>
      <c r="O180" s="52"/>
      <c r="P180" s="119" t="s">
        <v>44</v>
      </c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1"/>
    </row>
    <row r="181" spans="1:28" ht="11.25">
      <c r="A181" s="125">
        <v>171</v>
      </c>
      <c r="B181" s="37" t="s">
        <v>236</v>
      </c>
      <c r="C181" s="10" t="s">
        <v>5</v>
      </c>
      <c r="D181" s="10">
        <v>20</v>
      </c>
      <c r="E181" s="30">
        <f>E182+E183</f>
        <v>6.27</v>
      </c>
      <c r="F181" s="14">
        <f>F182+F183</f>
        <v>0.9</v>
      </c>
      <c r="G181" s="14"/>
      <c r="H181" s="30">
        <f aca="true" t="shared" si="42" ref="H181:H212">E181-F181</f>
        <v>5.369999999999999</v>
      </c>
      <c r="I181" s="29">
        <v>0</v>
      </c>
      <c r="J181" s="30">
        <v>10.5</v>
      </c>
      <c r="K181" s="30">
        <f>J181-I181-H181</f>
        <v>5.130000000000001</v>
      </c>
      <c r="L181" s="97">
        <f>MIN(K181:K183)</f>
        <v>5.130000000000001</v>
      </c>
      <c r="M181" s="97" t="s">
        <v>40</v>
      </c>
      <c r="N181" s="15"/>
      <c r="O181" s="12"/>
      <c r="P181" s="125">
        <v>171</v>
      </c>
      <c r="Q181" s="37" t="s">
        <v>236</v>
      </c>
      <c r="R181" s="10" t="s">
        <v>5</v>
      </c>
      <c r="S181" s="10">
        <f>S182+S183</f>
        <v>1.538</v>
      </c>
      <c r="T181" s="30">
        <f>T182+T183</f>
        <v>7.808</v>
      </c>
      <c r="U181" s="14">
        <f>U182+U183</f>
        <v>0.9</v>
      </c>
      <c r="V181" s="14"/>
      <c r="W181" s="31">
        <f>T181-U181</f>
        <v>6.9079999999999995</v>
      </c>
      <c r="X181" s="10">
        <v>0</v>
      </c>
      <c r="Y181" s="10">
        <v>10.5</v>
      </c>
      <c r="Z181" s="31">
        <f t="shared" si="40"/>
        <v>3.5920000000000005</v>
      </c>
      <c r="AA181" s="97">
        <f>MIN(Z181:Z183)</f>
        <v>3.5920000000000005</v>
      </c>
      <c r="AB181" s="97" t="s">
        <v>40</v>
      </c>
    </row>
    <row r="182" spans="1:28" ht="15" customHeight="1">
      <c r="A182" s="126"/>
      <c r="B182" s="10" t="s">
        <v>237</v>
      </c>
      <c r="C182" s="10" t="s">
        <v>5</v>
      </c>
      <c r="D182" s="10"/>
      <c r="E182" s="30">
        <v>0.93</v>
      </c>
      <c r="F182" s="14">
        <v>0.9</v>
      </c>
      <c r="G182" s="14">
        <v>30</v>
      </c>
      <c r="H182" s="30">
        <f t="shared" si="42"/>
        <v>0.030000000000000027</v>
      </c>
      <c r="I182" s="29">
        <v>0</v>
      </c>
      <c r="J182" s="30">
        <v>10.5</v>
      </c>
      <c r="K182" s="30">
        <f aca="true" t="shared" si="43" ref="K182:K246">J182-I182-H182</f>
        <v>10.47</v>
      </c>
      <c r="L182" s="97"/>
      <c r="M182" s="97"/>
      <c r="N182" s="15">
        <v>0.97</v>
      </c>
      <c r="O182" s="12"/>
      <c r="P182" s="126"/>
      <c r="Q182" s="10" t="s">
        <v>237</v>
      </c>
      <c r="R182" s="10" t="s">
        <v>5</v>
      </c>
      <c r="S182" s="10">
        <f>S63+S68+S73+S15+S18</f>
        <v>0.308</v>
      </c>
      <c r="T182" s="30">
        <f>S182+E182</f>
        <v>1.238</v>
      </c>
      <c r="U182" s="14">
        <v>0.9</v>
      </c>
      <c r="V182" s="14">
        <v>30</v>
      </c>
      <c r="W182" s="31">
        <f aca="true" t="shared" si="44" ref="W182:W246">T182-U182</f>
        <v>0.33799999999999997</v>
      </c>
      <c r="X182" s="10">
        <v>0</v>
      </c>
      <c r="Y182" s="10">
        <v>10.5</v>
      </c>
      <c r="Z182" s="31">
        <f t="shared" si="40"/>
        <v>10.162</v>
      </c>
      <c r="AA182" s="97"/>
      <c r="AB182" s="97"/>
    </row>
    <row r="183" spans="1:28" ht="15" customHeight="1">
      <c r="A183" s="127"/>
      <c r="B183" s="10" t="s">
        <v>238</v>
      </c>
      <c r="C183" s="10" t="s">
        <v>5</v>
      </c>
      <c r="D183" s="10"/>
      <c r="E183" s="30">
        <v>5.34</v>
      </c>
      <c r="F183" s="31">
        <v>0</v>
      </c>
      <c r="G183" s="14">
        <v>0</v>
      </c>
      <c r="H183" s="30">
        <f t="shared" si="42"/>
        <v>5.34</v>
      </c>
      <c r="I183" s="29">
        <v>0</v>
      </c>
      <c r="J183" s="30">
        <v>10.5</v>
      </c>
      <c r="K183" s="30">
        <f t="shared" si="43"/>
        <v>5.16</v>
      </c>
      <c r="L183" s="97"/>
      <c r="M183" s="97"/>
      <c r="N183" s="15">
        <v>0.93</v>
      </c>
      <c r="O183" s="12"/>
      <c r="P183" s="127"/>
      <c r="Q183" s="10" t="s">
        <v>238</v>
      </c>
      <c r="R183" s="10" t="s">
        <v>5</v>
      </c>
      <c r="S183" s="10">
        <v>1.23</v>
      </c>
      <c r="T183" s="30">
        <f>S183+E183</f>
        <v>6.57</v>
      </c>
      <c r="U183" s="31">
        <v>0</v>
      </c>
      <c r="V183" s="14">
        <v>0</v>
      </c>
      <c r="W183" s="31">
        <f t="shared" si="44"/>
        <v>6.57</v>
      </c>
      <c r="X183" s="10">
        <v>0</v>
      </c>
      <c r="Y183" s="10">
        <v>10.5</v>
      </c>
      <c r="Z183" s="31">
        <f t="shared" si="40"/>
        <v>3.9299999999999997</v>
      </c>
      <c r="AA183" s="97"/>
      <c r="AB183" s="97"/>
    </row>
    <row r="184" spans="1:28" ht="11.25">
      <c r="A184" s="125">
        <v>172</v>
      </c>
      <c r="B184" s="37" t="s">
        <v>239</v>
      </c>
      <c r="C184" s="10" t="s">
        <v>1</v>
      </c>
      <c r="D184" s="10">
        <v>16.3</v>
      </c>
      <c r="E184" s="30">
        <f>E185+E186</f>
        <v>6.369999999999999</v>
      </c>
      <c r="F184" s="14">
        <f>F185+F186</f>
        <v>4.57</v>
      </c>
      <c r="G184" s="14"/>
      <c r="H184" s="30">
        <f t="shared" si="42"/>
        <v>1.799999999999999</v>
      </c>
      <c r="I184" s="29">
        <v>0</v>
      </c>
      <c r="J184" s="30">
        <f>6.3*1.05</f>
        <v>6.615</v>
      </c>
      <c r="K184" s="30">
        <f t="shared" si="43"/>
        <v>4.815000000000001</v>
      </c>
      <c r="L184" s="97">
        <f>MIN(K184:K186)</f>
        <v>4.815000000000001</v>
      </c>
      <c r="M184" s="97" t="s">
        <v>40</v>
      </c>
      <c r="N184" s="15"/>
      <c r="O184" s="12"/>
      <c r="P184" s="125">
        <v>172</v>
      </c>
      <c r="Q184" s="37" t="s">
        <v>239</v>
      </c>
      <c r="R184" s="10" t="s">
        <v>1</v>
      </c>
      <c r="S184" s="31">
        <f>S185+S186</f>
        <v>0.636</v>
      </c>
      <c r="T184" s="30">
        <f>T185+T186</f>
        <v>7.006</v>
      </c>
      <c r="U184" s="14">
        <f>U185+U186</f>
        <v>4.57</v>
      </c>
      <c r="V184" s="14"/>
      <c r="W184" s="31">
        <f t="shared" si="44"/>
        <v>2.436</v>
      </c>
      <c r="X184" s="10">
        <v>0</v>
      </c>
      <c r="Y184" s="10">
        <v>6.615</v>
      </c>
      <c r="Z184" s="31">
        <f t="shared" si="40"/>
        <v>4.179</v>
      </c>
      <c r="AA184" s="97">
        <f>MIN(Z184:Z186)</f>
        <v>4.179</v>
      </c>
      <c r="AB184" s="97" t="s">
        <v>40</v>
      </c>
    </row>
    <row r="185" spans="1:28" ht="15" customHeight="1">
      <c r="A185" s="126"/>
      <c r="B185" s="10" t="s">
        <v>240</v>
      </c>
      <c r="C185" s="10" t="s">
        <v>1</v>
      </c>
      <c r="D185" s="10"/>
      <c r="E185" s="30">
        <v>4.18</v>
      </c>
      <c r="F185" s="14">
        <v>2.9</v>
      </c>
      <c r="G185" s="14">
        <v>45</v>
      </c>
      <c r="H185" s="30">
        <f t="shared" si="42"/>
        <v>1.2799999999999998</v>
      </c>
      <c r="I185" s="29">
        <v>0</v>
      </c>
      <c r="J185" s="30">
        <f>6.3*1.05</f>
        <v>6.615</v>
      </c>
      <c r="K185" s="30">
        <f t="shared" si="43"/>
        <v>5.335000000000001</v>
      </c>
      <c r="L185" s="97"/>
      <c r="M185" s="97"/>
      <c r="N185" s="15">
        <v>0.94</v>
      </c>
      <c r="O185" s="12"/>
      <c r="P185" s="126"/>
      <c r="Q185" s="10" t="s">
        <v>240</v>
      </c>
      <c r="R185" s="10" t="s">
        <v>1</v>
      </c>
      <c r="S185" s="10">
        <f>S14+S11+S87+S85+S70+S71+S82</f>
        <v>0.546</v>
      </c>
      <c r="T185" s="30">
        <f>S185+E185</f>
        <v>4.726</v>
      </c>
      <c r="U185" s="14">
        <v>2.9</v>
      </c>
      <c r="V185" s="14">
        <v>45</v>
      </c>
      <c r="W185" s="31">
        <f t="shared" si="44"/>
        <v>1.826</v>
      </c>
      <c r="X185" s="10">
        <v>0</v>
      </c>
      <c r="Y185" s="10">
        <v>6.615</v>
      </c>
      <c r="Z185" s="31">
        <f t="shared" si="40"/>
        <v>4.789</v>
      </c>
      <c r="AA185" s="97"/>
      <c r="AB185" s="97"/>
    </row>
    <row r="186" spans="1:28" ht="15" customHeight="1">
      <c r="A186" s="127"/>
      <c r="B186" s="10" t="s">
        <v>238</v>
      </c>
      <c r="C186" s="10" t="s">
        <v>1</v>
      </c>
      <c r="D186" s="10"/>
      <c r="E186" s="30">
        <v>2.19</v>
      </c>
      <c r="F186" s="31">
        <v>1.67</v>
      </c>
      <c r="G186" s="14">
        <v>140</v>
      </c>
      <c r="H186" s="30">
        <f t="shared" si="42"/>
        <v>0.52</v>
      </c>
      <c r="I186" s="29">
        <v>0</v>
      </c>
      <c r="J186" s="30">
        <f>6.3*1.05</f>
        <v>6.615</v>
      </c>
      <c r="K186" s="30">
        <f t="shared" si="43"/>
        <v>6.095000000000001</v>
      </c>
      <c r="L186" s="97"/>
      <c r="M186" s="97"/>
      <c r="N186" s="15">
        <v>0.95</v>
      </c>
      <c r="O186" s="12"/>
      <c r="P186" s="127"/>
      <c r="Q186" s="10" t="s">
        <v>238</v>
      </c>
      <c r="R186" s="10" t="s">
        <v>1</v>
      </c>
      <c r="S186" s="10">
        <v>0.09</v>
      </c>
      <c r="T186" s="30">
        <f>S186+E186</f>
        <v>2.28</v>
      </c>
      <c r="U186" s="31">
        <v>1.67</v>
      </c>
      <c r="V186" s="14">
        <v>140</v>
      </c>
      <c r="W186" s="31">
        <f t="shared" si="44"/>
        <v>0.6099999999999999</v>
      </c>
      <c r="X186" s="10">
        <v>0</v>
      </c>
      <c r="Y186" s="10">
        <v>6.615</v>
      </c>
      <c r="Z186" s="31">
        <f t="shared" si="40"/>
        <v>6.005000000000001</v>
      </c>
      <c r="AA186" s="97"/>
      <c r="AB186" s="97"/>
    </row>
    <row r="187" spans="1:28" ht="15" customHeight="1">
      <c r="A187" s="125">
        <v>173</v>
      </c>
      <c r="B187" s="37" t="s">
        <v>241</v>
      </c>
      <c r="C187" s="10" t="s">
        <v>5</v>
      </c>
      <c r="D187" s="10">
        <v>20</v>
      </c>
      <c r="E187" s="30">
        <f>E188+E189</f>
        <v>4.470000000000001</v>
      </c>
      <c r="F187" s="14">
        <f>F188+F189</f>
        <v>1.97</v>
      </c>
      <c r="G187" s="14"/>
      <c r="H187" s="30">
        <f t="shared" si="42"/>
        <v>2.500000000000001</v>
      </c>
      <c r="I187" s="29">
        <v>0</v>
      </c>
      <c r="J187" s="30">
        <v>10.5</v>
      </c>
      <c r="K187" s="30">
        <f t="shared" si="43"/>
        <v>7.999999999999999</v>
      </c>
      <c r="L187" s="97">
        <f>MIN(K187:K189)</f>
        <v>7.999999999999999</v>
      </c>
      <c r="M187" s="97" t="s">
        <v>40</v>
      </c>
      <c r="N187" s="15"/>
      <c r="O187" s="12"/>
      <c r="P187" s="125">
        <v>173</v>
      </c>
      <c r="Q187" s="37" t="s">
        <v>241</v>
      </c>
      <c r="R187" s="10" t="s">
        <v>5</v>
      </c>
      <c r="S187" s="31">
        <f>S188+S189</f>
        <v>1.28</v>
      </c>
      <c r="T187" s="30">
        <f>T188+T189</f>
        <v>5.75</v>
      </c>
      <c r="U187" s="14">
        <f>U188+U189</f>
        <v>1.97</v>
      </c>
      <c r="V187" s="14"/>
      <c r="W187" s="31">
        <f t="shared" si="44"/>
        <v>3.7800000000000002</v>
      </c>
      <c r="X187" s="10">
        <v>0</v>
      </c>
      <c r="Y187" s="10">
        <v>10.5</v>
      </c>
      <c r="Z187" s="31">
        <f t="shared" si="40"/>
        <v>6.72</v>
      </c>
      <c r="AA187" s="97">
        <f>MIN(Z187:Z189)</f>
        <v>6.72</v>
      </c>
      <c r="AB187" s="97" t="s">
        <v>40</v>
      </c>
    </row>
    <row r="188" spans="1:28" ht="15" customHeight="1">
      <c r="A188" s="126"/>
      <c r="B188" s="10" t="s">
        <v>240</v>
      </c>
      <c r="C188" s="10" t="s">
        <v>5</v>
      </c>
      <c r="D188" s="10"/>
      <c r="E188" s="30">
        <v>2.02</v>
      </c>
      <c r="F188" s="14">
        <v>1.8</v>
      </c>
      <c r="G188" s="14">
        <v>60</v>
      </c>
      <c r="H188" s="30">
        <f t="shared" si="42"/>
        <v>0.21999999999999997</v>
      </c>
      <c r="I188" s="29">
        <v>0</v>
      </c>
      <c r="J188" s="30">
        <v>10.5</v>
      </c>
      <c r="K188" s="30">
        <f t="shared" si="43"/>
        <v>10.28</v>
      </c>
      <c r="L188" s="97"/>
      <c r="M188" s="97"/>
      <c r="N188" s="15">
        <v>0.88</v>
      </c>
      <c r="O188" s="12"/>
      <c r="P188" s="126"/>
      <c r="Q188" s="10" t="s">
        <v>240</v>
      </c>
      <c r="R188" s="10" t="s">
        <v>5</v>
      </c>
      <c r="S188" s="10"/>
      <c r="T188" s="30">
        <f>S188+E188</f>
        <v>2.02</v>
      </c>
      <c r="U188" s="14">
        <v>1.8</v>
      </c>
      <c r="V188" s="14">
        <v>60</v>
      </c>
      <c r="W188" s="31">
        <f t="shared" si="44"/>
        <v>0.21999999999999997</v>
      </c>
      <c r="X188" s="10">
        <v>0</v>
      </c>
      <c r="Y188" s="10">
        <v>10.5</v>
      </c>
      <c r="Z188" s="31">
        <f t="shared" si="40"/>
        <v>10.28</v>
      </c>
      <c r="AA188" s="97"/>
      <c r="AB188" s="97"/>
    </row>
    <row r="189" spans="1:28" ht="15" customHeight="1">
      <c r="A189" s="127"/>
      <c r="B189" s="10" t="s">
        <v>242</v>
      </c>
      <c r="C189" s="10" t="s">
        <v>5</v>
      </c>
      <c r="D189" s="10"/>
      <c r="E189" s="30">
        <v>2.45</v>
      </c>
      <c r="F189" s="31">
        <v>0.17</v>
      </c>
      <c r="G189" s="14">
        <v>120</v>
      </c>
      <c r="H189" s="30">
        <f t="shared" si="42"/>
        <v>2.2800000000000002</v>
      </c>
      <c r="I189" s="29">
        <v>0</v>
      </c>
      <c r="J189" s="30">
        <v>10.5</v>
      </c>
      <c r="K189" s="30">
        <f t="shared" si="43"/>
        <v>8.219999999999999</v>
      </c>
      <c r="L189" s="97"/>
      <c r="M189" s="97"/>
      <c r="N189" s="15">
        <v>0.91</v>
      </c>
      <c r="O189" s="12"/>
      <c r="P189" s="127"/>
      <c r="Q189" s="10" t="s">
        <v>242</v>
      </c>
      <c r="R189" s="10" t="s">
        <v>5</v>
      </c>
      <c r="S189" s="10">
        <v>1.28</v>
      </c>
      <c r="T189" s="30">
        <f>S189+E189</f>
        <v>3.7300000000000004</v>
      </c>
      <c r="U189" s="31">
        <v>0.17</v>
      </c>
      <c r="V189" s="14">
        <v>120</v>
      </c>
      <c r="W189" s="31">
        <f t="shared" si="44"/>
        <v>3.5600000000000005</v>
      </c>
      <c r="X189" s="10">
        <v>0</v>
      </c>
      <c r="Y189" s="10">
        <v>10.5</v>
      </c>
      <c r="Z189" s="31">
        <f t="shared" si="40"/>
        <v>6.9399999999999995</v>
      </c>
      <c r="AA189" s="97"/>
      <c r="AB189" s="97"/>
    </row>
    <row r="190" spans="1:28" ht="11.25">
      <c r="A190" s="125">
        <v>174</v>
      </c>
      <c r="B190" s="37" t="s">
        <v>243</v>
      </c>
      <c r="C190" s="10" t="s">
        <v>5</v>
      </c>
      <c r="D190" s="10">
        <v>20</v>
      </c>
      <c r="E190" s="30">
        <f>E191+E192</f>
        <v>5.25</v>
      </c>
      <c r="F190" s="14">
        <f>F191+F192</f>
        <v>0.8200000000000001</v>
      </c>
      <c r="G190" s="14"/>
      <c r="H190" s="30">
        <f t="shared" si="42"/>
        <v>4.43</v>
      </c>
      <c r="I190" s="29">
        <v>0</v>
      </c>
      <c r="J190" s="30">
        <v>10.5</v>
      </c>
      <c r="K190" s="30">
        <f t="shared" si="43"/>
        <v>6.07</v>
      </c>
      <c r="L190" s="97">
        <f>MIN(K190:K192)</f>
        <v>6.07</v>
      </c>
      <c r="M190" s="97" t="s">
        <v>40</v>
      </c>
      <c r="N190" s="15"/>
      <c r="O190" s="12"/>
      <c r="P190" s="125">
        <v>174</v>
      </c>
      <c r="Q190" s="37" t="s">
        <v>243</v>
      </c>
      <c r="R190" s="10" t="s">
        <v>5</v>
      </c>
      <c r="S190" s="31">
        <f>S191+S192</f>
        <v>2.9130000000000003</v>
      </c>
      <c r="T190" s="30">
        <f>T191+T192</f>
        <v>8.163</v>
      </c>
      <c r="U190" s="14">
        <f>U191+U192</f>
        <v>0.8200000000000001</v>
      </c>
      <c r="V190" s="14"/>
      <c r="W190" s="31">
        <f t="shared" si="44"/>
        <v>7.343</v>
      </c>
      <c r="X190" s="10">
        <v>0</v>
      </c>
      <c r="Y190" s="10">
        <v>10.5</v>
      </c>
      <c r="Z190" s="31">
        <f t="shared" si="40"/>
        <v>3.157</v>
      </c>
      <c r="AA190" s="97">
        <f>MIN(Z190:Z192)</f>
        <v>3.157</v>
      </c>
      <c r="AB190" s="97" t="s">
        <v>40</v>
      </c>
    </row>
    <row r="191" spans="1:28" ht="15" customHeight="1">
      <c r="A191" s="126"/>
      <c r="B191" s="10" t="s">
        <v>244</v>
      </c>
      <c r="C191" s="10" t="s">
        <v>5</v>
      </c>
      <c r="D191" s="10"/>
      <c r="E191" s="30">
        <v>1.65</v>
      </c>
      <c r="F191" s="14">
        <v>0.8</v>
      </c>
      <c r="G191" s="14">
        <v>30</v>
      </c>
      <c r="H191" s="30">
        <f t="shared" si="42"/>
        <v>0.8499999999999999</v>
      </c>
      <c r="I191" s="29">
        <v>0</v>
      </c>
      <c r="J191" s="30">
        <v>10.5</v>
      </c>
      <c r="K191" s="30">
        <f t="shared" si="43"/>
        <v>9.65</v>
      </c>
      <c r="L191" s="97"/>
      <c r="M191" s="97"/>
      <c r="N191" s="15">
        <v>0.91</v>
      </c>
      <c r="O191" s="12"/>
      <c r="P191" s="126"/>
      <c r="Q191" s="10" t="s">
        <v>244</v>
      </c>
      <c r="R191" s="10" t="s">
        <v>5</v>
      </c>
      <c r="S191" s="10">
        <f>S81+S77+S16+S17</f>
        <v>0.063</v>
      </c>
      <c r="T191" s="30">
        <f>S191+E191</f>
        <v>1.7129999999999999</v>
      </c>
      <c r="U191" s="14">
        <v>0.8</v>
      </c>
      <c r="V191" s="14">
        <v>30</v>
      </c>
      <c r="W191" s="31">
        <f t="shared" si="44"/>
        <v>0.9129999999999998</v>
      </c>
      <c r="X191" s="10">
        <v>0</v>
      </c>
      <c r="Y191" s="10">
        <v>10.5</v>
      </c>
      <c r="Z191" s="31">
        <f t="shared" si="40"/>
        <v>9.587</v>
      </c>
      <c r="AA191" s="97"/>
      <c r="AB191" s="97"/>
    </row>
    <row r="192" spans="1:28" ht="15" customHeight="1">
      <c r="A192" s="127"/>
      <c r="B192" s="10" t="s">
        <v>242</v>
      </c>
      <c r="C192" s="10" t="s">
        <v>5</v>
      </c>
      <c r="D192" s="10"/>
      <c r="E192" s="30">
        <v>3.6</v>
      </c>
      <c r="F192" s="31">
        <v>0.02</v>
      </c>
      <c r="G192" s="14">
        <v>90</v>
      </c>
      <c r="H192" s="30">
        <f t="shared" si="42"/>
        <v>3.58</v>
      </c>
      <c r="I192" s="29">
        <v>0</v>
      </c>
      <c r="J192" s="30">
        <v>10.5</v>
      </c>
      <c r="K192" s="30">
        <f t="shared" si="43"/>
        <v>6.92</v>
      </c>
      <c r="L192" s="97"/>
      <c r="M192" s="97"/>
      <c r="N192" s="15">
        <v>0.92</v>
      </c>
      <c r="O192" s="12"/>
      <c r="P192" s="127"/>
      <c r="Q192" s="10" t="s">
        <v>242</v>
      </c>
      <c r="R192" s="10" t="s">
        <v>5</v>
      </c>
      <c r="S192" s="10">
        <v>2.85</v>
      </c>
      <c r="T192" s="30">
        <f>S192+E192</f>
        <v>6.45</v>
      </c>
      <c r="U192" s="31">
        <v>0.02</v>
      </c>
      <c r="V192" s="14">
        <v>90</v>
      </c>
      <c r="W192" s="31">
        <f t="shared" si="44"/>
        <v>6.430000000000001</v>
      </c>
      <c r="X192" s="10">
        <v>0</v>
      </c>
      <c r="Y192" s="10">
        <v>10.5</v>
      </c>
      <c r="Z192" s="31">
        <f t="shared" si="40"/>
        <v>4.069999999999999</v>
      </c>
      <c r="AA192" s="97"/>
      <c r="AB192" s="97"/>
    </row>
    <row r="193" spans="1:28" ht="11.25">
      <c r="A193" s="125">
        <v>175</v>
      </c>
      <c r="B193" s="37" t="s">
        <v>245</v>
      </c>
      <c r="C193" s="10" t="s">
        <v>2</v>
      </c>
      <c r="D193" s="10">
        <v>32</v>
      </c>
      <c r="E193" s="30">
        <f>E194+E195</f>
        <v>12.719999999999999</v>
      </c>
      <c r="F193" s="14">
        <f>F194+F195</f>
        <v>1.886</v>
      </c>
      <c r="G193" s="14"/>
      <c r="H193" s="30">
        <f t="shared" si="42"/>
        <v>10.834</v>
      </c>
      <c r="I193" s="29">
        <v>0</v>
      </c>
      <c r="J193" s="30">
        <f>16*1.05</f>
        <v>16.8</v>
      </c>
      <c r="K193" s="30">
        <f t="shared" si="43"/>
        <v>5.966000000000001</v>
      </c>
      <c r="L193" s="97">
        <f>MIN(K193:K195)</f>
        <v>5.966000000000001</v>
      </c>
      <c r="M193" s="97" t="s">
        <v>40</v>
      </c>
      <c r="N193" s="15"/>
      <c r="O193" s="12"/>
      <c r="P193" s="125">
        <v>175</v>
      </c>
      <c r="Q193" s="37" t="s">
        <v>245</v>
      </c>
      <c r="R193" s="10" t="s">
        <v>2</v>
      </c>
      <c r="S193" s="31">
        <f>S194+S195</f>
        <v>4.55</v>
      </c>
      <c r="T193" s="30">
        <f>T194+T195</f>
        <v>17.27</v>
      </c>
      <c r="U193" s="14">
        <f>U194+U195</f>
        <v>1.886</v>
      </c>
      <c r="V193" s="14"/>
      <c r="W193" s="31">
        <f t="shared" si="44"/>
        <v>15.384</v>
      </c>
      <c r="X193" s="10">
        <v>0</v>
      </c>
      <c r="Y193" s="10">
        <v>16.8</v>
      </c>
      <c r="Z193" s="31">
        <f t="shared" si="40"/>
        <v>1.4160000000000004</v>
      </c>
      <c r="AA193" s="97">
        <f>MIN(Z193:Z195)</f>
        <v>1.4160000000000004</v>
      </c>
      <c r="AB193" s="97" t="s">
        <v>40</v>
      </c>
    </row>
    <row r="194" spans="1:28" ht="15" customHeight="1">
      <c r="A194" s="126"/>
      <c r="B194" s="10" t="s">
        <v>244</v>
      </c>
      <c r="C194" s="10" t="s">
        <v>2</v>
      </c>
      <c r="D194" s="10"/>
      <c r="E194" s="30">
        <v>9.03</v>
      </c>
      <c r="F194" s="14">
        <v>1.4</v>
      </c>
      <c r="G194" s="14">
        <v>30</v>
      </c>
      <c r="H194" s="30">
        <f t="shared" si="42"/>
        <v>7.629999999999999</v>
      </c>
      <c r="I194" s="29">
        <v>0</v>
      </c>
      <c r="J194" s="30">
        <f>16*1.05</f>
        <v>16.8</v>
      </c>
      <c r="K194" s="30">
        <f t="shared" si="43"/>
        <v>9.170000000000002</v>
      </c>
      <c r="L194" s="97"/>
      <c r="M194" s="97"/>
      <c r="N194" s="15">
        <v>0.89</v>
      </c>
      <c r="O194" s="12"/>
      <c r="P194" s="126"/>
      <c r="Q194" s="10" t="s">
        <v>244</v>
      </c>
      <c r="R194" s="10" t="s">
        <v>2</v>
      </c>
      <c r="S194" s="10">
        <f>S72+S75+S80+S61+S83+S69+S78</f>
        <v>2.09</v>
      </c>
      <c r="T194" s="30">
        <f>S194+E194</f>
        <v>11.12</v>
      </c>
      <c r="U194" s="14">
        <v>1.4</v>
      </c>
      <c r="V194" s="14">
        <v>30</v>
      </c>
      <c r="W194" s="31">
        <f t="shared" si="44"/>
        <v>9.719999999999999</v>
      </c>
      <c r="X194" s="10">
        <v>0</v>
      </c>
      <c r="Y194" s="10">
        <v>16.8</v>
      </c>
      <c r="Z194" s="31">
        <f t="shared" si="40"/>
        <v>7.080000000000002</v>
      </c>
      <c r="AA194" s="97"/>
      <c r="AB194" s="97"/>
    </row>
    <row r="195" spans="1:28" ht="15" customHeight="1">
      <c r="A195" s="127"/>
      <c r="B195" s="10" t="s">
        <v>242</v>
      </c>
      <c r="C195" s="10" t="s">
        <v>2</v>
      </c>
      <c r="D195" s="10"/>
      <c r="E195" s="30">
        <v>3.69</v>
      </c>
      <c r="F195" s="31">
        <v>0.486</v>
      </c>
      <c r="G195" s="14">
        <v>60</v>
      </c>
      <c r="H195" s="30">
        <f t="shared" si="42"/>
        <v>3.2039999999999997</v>
      </c>
      <c r="I195" s="29">
        <v>0</v>
      </c>
      <c r="J195" s="30">
        <f>16*1.05</f>
        <v>16.8</v>
      </c>
      <c r="K195" s="30">
        <f t="shared" si="43"/>
        <v>13.596</v>
      </c>
      <c r="L195" s="97"/>
      <c r="M195" s="97"/>
      <c r="N195" s="15">
        <v>0.95</v>
      </c>
      <c r="O195" s="12"/>
      <c r="P195" s="127"/>
      <c r="Q195" s="10" t="s">
        <v>242</v>
      </c>
      <c r="R195" s="10" t="s">
        <v>2</v>
      </c>
      <c r="S195" s="10">
        <v>2.46</v>
      </c>
      <c r="T195" s="30">
        <f>S195+E195</f>
        <v>6.15</v>
      </c>
      <c r="U195" s="31">
        <v>0.486</v>
      </c>
      <c r="V195" s="14">
        <v>60</v>
      </c>
      <c r="W195" s="31">
        <f t="shared" si="44"/>
        <v>5.664000000000001</v>
      </c>
      <c r="X195" s="10">
        <v>0</v>
      </c>
      <c r="Y195" s="10">
        <v>16.8</v>
      </c>
      <c r="Z195" s="31">
        <f t="shared" si="40"/>
        <v>11.136</v>
      </c>
      <c r="AA195" s="97"/>
      <c r="AB195" s="97"/>
    </row>
    <row r="196" spans="1:28" ht="15" customHeight="1">
      <c r="A196" s="125">
        <v>176</v>
      </c>
      <c r="B196" s="37" t="s">
        <v>246</v>
      </c>
      <c r="C196" s="10" t="s">
        <v>5</v>
      </c>
      <c r="D196" s="10">
        <v>20</v>
      </c>
      <c r="E196" s="30">
        <f>E197+E198</f>
        <v>6.73</v>
      </c>
      <c r="F196" s="30">
        <f>F197+F198</f>
        <v>3.018</v>
      </c>
      <c r="G196" s="14"/>
      <c r="H196" s="30">
        <f t="shared" si="42"/>
        <v>3.7120000000000006</v>
      </c>
      <c r="I196" s="29">
        <v>0</v>
      </c>
      <c r="J196" s="30">
        <v>10.5</v>
      </c>
      <c r="K196" s="30">
        <f t="shared" si="43"/>
        <v>6.787999999999999</v>
      </c>
      <c r="L196" s="97">
        <f>MIN(K196:K198)</f>
        <v>6.787999999999999</v>
      </c>
      <c r="M196" s="97" t="s">
        <v>40</v>
      </c>
      <c r="N196" s="15"/>
      <c r="O196" s="12"/>
      <c r="P196" s="125">
        <v>176</v>
      </c>
      <c r="Q196" s="37" t="s">
        <v>246</v>
      </c>
      <c r="R196" s="10" t="s">
        <v>5</v>
      </c>
      <c r="S196" s="31">
        <f>S197+S198</f>
        <v>1.3619999999999999</v>
      </c>
      <c r="T196" s="30">
        <f>T197+T198</f>
        <v>8.091999999999999</v>
      </c>
      <c r="U196" s="30">
        <f>U197+U198</f>
        <v>3.018</v>
      </c>
      <c r="V196" s="14"/>
      <c r="W196" s="31">
        <f t="shared" si="44"/>
        <v>5.073999999999999</v>
      </c>
      <c r="X196" s="10">
        <v>0</v>
      </c>
      <c r="Y196" s="10">
        <v>10.5</v>
      </c>
      <c r="Z196" s="31">
        <f t="shared" si="40"/>
        <v>5.426000000000001</v>
      </c>
      <c r="AA196" s="97">
        <f>MIN(Z196:Z198)</f>
        <v>5.426000000000001</v>
      </c>
      <c r="AB196" s="97" t="s">
        <v>40</v>
      </c>
    </row>
    <row r="197" spans="1:28" ht="15" customHeight="1">
      <c r="A197" s="126"/>
      <c r="B197" s="10" t="s">
        <v>244</v>
      </c>
      <c r="C197" s="10" t="s">
        <v>5</v>
      </c>
      <c r="D197" s="10"/>
      <c r="E197" s="30">
        <v>3.83</v>
      </c>
      <c r="F197" s="14">
        <v>3</v>
      </c>
      <c r="G197" s="14">
        <v>30</v>
      </c>
      <c r="H197" s="30">
        <f t="shared" si="42"/>
        <v>0.8300000000000001</v>
      </c>
      <c r="I197" s="29">
        <v>0</v>
      </c>
      <c r="J197" s="30">
        <v>10.5</v>
      </c>
      <c r="K197" s="30">
        <f t="shared" si="43"/>
        <v>9.67</v>
      </c>
      <c r="L197" s="97"/>
      <c r="M197" s="97"/>
      <c r="N197" s="15">
        <v>0.89</v>
      </c>
      <c r="O197" s="12"/>
      <c r="P197" s="126"/>
      <c r="Q197" s="10" t="s">
        <v>244</v>
      </c>
      <c r="R197" s="10" t="s">
        <v>5</v>
      </c>
      <c r="S197" s="10">
        <f>S94+S90+S20</f>
        <v>0.172</v>
      </c>
      <c r="T197" s="30">
        <f>S197+E197</f>
        <v>4.002</v>
      </c>
      <c r="U197" s="14">
        <v>3</v>
      </c>
      <c r="V197" s="14">
        <v>30</v>
      </c>
      <c r="W197" s="31">
        <f t="shared" si="44"/>
        <v>1.0019999999999998</v>
      </c>
      <c r="X197" s="10">
        <v>0</v>
      </c>
      <c r="Y197" s="10">
        <v>10.5</v>
      </c>
      <c r="Z197" s="31">
        <f t="shared" si="40"/>
        <v>9.498000000000001</v>
      </c>
      <c r="AA197" s="97"/>
      <c r="AB197" s="97"/>
    </row>
    <row r="198" spans="1:28" ht="15" customHeight="1">
      <c r="A198" s="127"/>
      <c r="B198" s="10" t="s">
        <v>242</v>
      </c>
      <c r="C198" s="10" t="s">
        <v>5</v>
      </c>
      <c r="D198" s="10"/>
      <c r="E198" s="30">
        <v>2.9</v>
      </c>
      <c r="F198" s="31">
        <v>0.018</v>
      </c>
      <c r="G198" s="14">
        <v>60</v>
      </c>
      <c r="H198" s="30">
        <f t="shared" si="42"/>
        <v>2.882</v>
      </c>
      <c r="I198" s="29">
        <v>0</v>
      </c>
      <c r="J198" s="30">
        <v>10.5</v>
      </c>
      <c r="K198" s="30">
        <f t="shared" si="43"/>
        <v>7.618</v>
      </c>
      <c r="L198" s="97"/>
      <c r="M198" s="97"/>
      <c r="N198" s="15">
        <v>0.9</v>
      </c>
      <c r="O198" s="12"/>
      <c r="P198" s="127"/>
      <c r="Q198" s="10" t="s">
        <v>242</v>
      </c>
      <c r="R198" s="10" t="s">
        <v>5</v>
      </c>
      <c r="S198" s="10">
        <v>1.19</v>
      </c>
      <c r="T198" s="30">
        <f>S198+E198</f>
        <v>4.09</v>
      </c>
      <c r="U198" s="31">
        <v>0.018</v>
      </c>
      <c r="V198" s="14">
        <v>60</v>
      </c>
      <c r="W198" s="31">
        <f t="shared" si="44"/>
        <v>4.072</v>
      </c>
      <c r="X198" s="10">
        <v>0</v>
      </c>
      <c r="Y198" s="10">
        <v>10.5</v>
      </c>
      <c r="Z198" s="31">
        <f t="shared" si="40"/>
        <v>6.428</v>
      </c>
      <c r="AA198" s="97"/>
      <c r="AB198" s="97"/>
    </row>
    <row r="199" spans="1:28" ht="11.25">
      <c r="A199" s="125">
        <v>177</v>
      </c>
      <c r="B199" s="27" t="s">
        <v>247</v>
      </c>
      <c r="C199" s="10" t="s">
        <v>2</v>
      </c>
      <c r="D199" s="10">
        <v>32</v>
      </c>
      <c r="E199" s="30">
        <f>E200+E201</f>
        <v>14.136363636363637</v>
      </c>
      <c r="F199" s="30">
        <f>F200+F201</f>
        <v>11</v>
      </c>
      <c r="G199" s="14"/>
      <c r="H199" s="30">
        <f t="shared" si="42"/>
        <v>3.1363636363636367</v>
      </c>
      <c r="I199" s="29">
        <v>0</v>
      </c>
      <c r="J199" s="30">
        <f>16*1.05</f>
        <v>16.8</v>
      </c>
      <c r="K199" s="30">
        <f t="shared" si="43"/>
        <v>13.663636363636364</v>
      </c>
      <c r="L199" s="97">
        <f>MIN(K199:K201)</f>
        <v>13.663636363636364</v>
      </c>
      <c r="M199" s="97" t="s">
        <v>40</v>
      </c>
      <c r="N199" s="15"/>
      <c r="O199" s="12"/>
      <c r="P199" s="125">
        <v>177</v>
      </c>
      <c r="Q199" s="27" t="s">
        <v>247</v>
      </c>
      <c r="R199" s="10" t="s">
        <v>2</v>
      </c>
      <c r="S199" s="31">
        <f>S200+S201</f>
        <v>3.646</v>
      </c>
      <c r="T199" s="30">
        <f>T200+T201</f>
        <v>17.782363636363637</v>
      </c>
      <c r="U199" s="30">
        <f>U200+U201</f>
        <v>11</v>
      </c>
      <c r="V199" s="14"/>
      <c r="W199" s="31">
        <f t="shared" si="44"/>
        <v>6.7823636363636375</v>
      </c>
      <c r="X199" s="10">
        <v>0</v>
      </c>
      <c r="Y199" s="10">
        <v>16.8</v>
      </c>
      <c r="Z199" s="31">
        <f t="shared" si="40"/>
        <v>10.017636363636363</v>
      </c>
      <c r="AA199" s="97">
        <f>MIN(Z199:Z201)</f>
        <v>10.017636363636363</v>
      </c>
      <c r="AB199" s="97" t="s">
        <v>40</v>
      </c>
    </row>
    <row r="200" spans="1:28" ht="15" customHeight="1">
      <c r="A200" s="126"/>
      <c r="B200" s="10" t="s">
        <v>244</v>
      </c>
      <c r="C200" s="10" t="s">
        <v>2</v>
      </c>
      <c r="D200" s="10"/>
      <c r="E200" s="30">
        <v>6.5</v>
      </c>
      <c r="F200" s="14">
        <v>6</v>
      </c>
      <c r="G200" s="14">
        <v>60</v>
      </c>
      <c r="H200" s="30">
        <f t="shared" si="42"/>
        <v>0.5</v>
      </c>
      <c r="I200" s="29">
        <v>0</v>
      </c>
      <c r="J200" s="30">
        <f>16*1.05</f>
        <v>16.8</v>
      </c>
      <c r="K200" s="30">
        <f t="shared" si="43"/>
        <v>16.3</v>
      </c>
      <c r="L200" s="97"/>
      <c r="M200" s="97"/>
      <c r="N200" s="15">
        <v>0.87</v>
      </c>
      <c r="O200" s="12"/>
      <c r="P200" s="126"/>
      <c r="Q200" s="10" t="s">
        <v>244</v>
      </c>
      <c r="R200" s="10" t="s">
        <v>2</v>
      </c>
      <c r="S200" s="10">
        <f>S100+S119+S101+S114</f>
        <v>1.556</v>
      </c>
      <c r="T200" s="30">
        <f>S200+E200</f>
        <v>8.056000000000001</v>
      </c>
      <c r="U200" s="14">
        <v>6</v>
      </c>
      <c r="V200" s="14">
        <v>60</v>
      </c>
      <c r="W200" s="31">
        <f t="shared" si="44"/>
        <v>2.056000000000001</v>
      </c>
      <c r="X200" s="10">
        <v>0</v>
      </c>
      <c r="Y200" s="10">
        <v>16.8</v>
      </c>
      <c r="Z200" s="31">
        <f t="shared" si="40"/>
        <v>14.744</v>
      </c>
      <c r="AA200" s="97"/>
      <c r="AB200" s="97"/>
    </row>
    <row r="201" spans="1:28" ht="15" customHeight="1">
      <c r="A201" s="127"/>
      <c r="B201" s="10" t="s">
        <v>242</v>
      </c>
      <c r="C201" s="10" t="s">
        <v>2</v>
      </c>
      <c r="D201" s="10"/>
      <c r="E201" s="30">
        <v>7.636363636363637</v>
      </c>
      <c r="F201" s="31">
        <v>5</v>
      </c>
      <c r="G201" s="14">
        <v>120</v>
      </c>
      <c r="H201" s="30">
        <f t="shared" si="42"/>
        <v>2.6363636363636367</v>
      </c>
      <c r="I201" s="29">
        <v>0</v>
      </c>
      <c r="J201" s="30">
        <f>16*1.05</f>
        <v>16.8</v>
      </c>
      <c r="K201" s="30">
        <f t="shared" si="43"/>
        <v>14.163636363636364</v>
      </c>
      <c r="L201" s="97"/>
      <c r="M201" s="97"/>
      <c r="N201" s="15">
        <v>0.96</v>
      </c>
      <c r="O201" s="12"/>
      <c r="P201" s="127"/>
      <c r="Q201" s="10" t="s">
        <v>242</v>
      </c>
      <c r="R201" s="10" t="s">
        <v>2</v>
      </c>
      <c r="S201" s="10">
        <v>2.09</v>
      </c>
      <c r="T201" s="30">
        <f>S201+E201</f>
        <v>9.726363636363637</v>
      </c>
      <c r="U201" s="31">
        <v>5</v>
      </c>
      <c r="V201" s="14">
        <v>120</v>
      </c>
      <c r="W201" s="31">
        <f t="shared" si="44"/>
        <v>4.7263636363636365</v>
      </c>
      <c r="X201" s="10">
        <v>0</v>
      </c>
      <c r="Y201" s="10">
        <v>16.8</v>
      </c>
      <c r="Z201" s="31">
        <f t="shared" si="40"/>
        <v>12.073636363636364</v>
      </c>
      <c r="AA201" s="97"/>
      <c r="AB201" s="97"/>
    </row>
    <row r="202" spans="1:28" ht="11.25">
      <c r="A202" s="125">
        <v>178</v>
      </c>
      <c r="B202" s="27" t="s">
        <v>248</v>
      </c>
      <c r="C202" s="10" t="s">
        <v>2</v>
      </c>
      <c r="D202" s="10">
        <v>32</v>
      </c>
      <c r="E202" s="30">
        <f>E203+E204</f>
        <v>6.743181818181818</v>
      </c>
      <c r="F202" s="14">
        <f>F203+F204</f>
        <v>5</v>
      </c>
      <c r="G202" s="14"/>
      <c r="H202" s="30">
        <f t="shared" si="42"/>
        <v>1.7431818181818182</v>
      </c>
      <c r="I202" s="29">
        <v>0</v>
      </c>
      <c r="J202" s="30">
        <v>16.8</v>
      </c>
      <c r="K202" s="30">
        <f t="shared" si="43"/>
        <v>15.056818181818183</v>
      </c>
      <c r="L202" s="97">
        <f>MIN(K202:K204)</f>
        <v>14.681818181818183</v>
      </c>
      <c r="M202" s="97" t="s">
        <v>40</v>
      </c>
      <c r="N202" s="15"/>
      <c r="O202" s="12"/>
      <c r="P202" s="125">
        <v>178</v>
      </c>
      <c r="Q202" s="27" t="s">
        <v>248</v>
      </c>
      <c r="R202" s="10" t="s">
        <v>2</v>
      </c>
      <c r="S202" s="31">
        <f>S203+S204</f>
        <v>0.20700000000000002</v>
      </c>
      <c r="T202" s="30">
        <f>T203+T204</f>
        <v>6.950181818181818</v>
      </c>
      <c r="U202" s="14">
        <f>U203+U204</f>
        <v>5</v>
      </c>
      <c r="V202" s="14"/>
      <c r="W202" s="31">
        <f t="shared" si="44"/>
        <v>1.950181818181818</v>
      </c>
      <c r="X202" s="10">
        <v>0</v>
      </c>
      <c r="Y202" s="10">
        <v>16.8</v>
      </c>
      <c r="Z202" s="31">
        <f t="shared" si="40"/>
        <v>14.849818181818183</v>
      </c>
      <c r="AA202" s="97">
        <f>MIN(Z202:Z204)</f>
        <v>14.541818181818183</v>
      </c>
      <c r="AB202" s="97" t="s">
        <v>40</v>
      </c>
    </row>
    <row r="203" spans="1:28" ht="15" customHeight="1">
      <c r="A203" s="126"/>
      <c r="B203" s="10" t="s">
        <v>244</v>
      </c>
      <c r="C203" s="10" t="s">
        <v>2</v>
      </c>
      <c r="D203" s="10"/>
      <c r="E203" s="30">
        <v>2.125</v>
      </c>
      <c r="F203" s="14">
        <v>2.5</v>
      </c>
      <c r="G203" s="14">
        <v>30</v>
      </c>
      <c r="H203" s="30">
        <f t="shared" si="42"/>
        <v>-0.375</v>
      </c>
      <c r="I203" s="29">
        <v>0</v>
      </c>
      <c r="J203" s="30">
        <v>16.8</v>
      </c>
      <c r="K203" s="30">
        <f t="shared" si="43"/>
        <v>17.175</v>
      </c>
      <c r="L203" s="97"/>
      <c r="M203" s="97"/>
      <c r="N203" s="15">
        <v>0.89</v>
      </c>
      <c r="O203" s="12"/>
      <c r="P203" s="126"/>
      <c r="Q203" s="10" t="s">
        <v>244</v>
      </c>
      <c r="R203" s="10" t="s">
        <v>2</v>
      </c>
      <c r="S203" s="10">
        <f>S22+S109+S102+S123+S99</f>
        <v>0.06699999999999999</v>
      </c>
      <c r="T203" s="30">
        <f>S203+E203</f>
        <v>2.192</v>
      </c>
      <c r="U203" s="14">
        <v>2.5</v>
      </c>
      <c r="V203" s="14">
        <v>30</v>
      </c>
      <c r="W203" s="31">
        <f t="shared" si="44"/>
        <v>-0.30799999999999983</v>
      </c>
      <c r="X203" s="10">
        <v>0</v>
      </c>
      <c r="Y203" s="10">
        <v>16.8</v>
      </c>
      <c r="Z203" s="31">
        <f t="shared" si="40"/>
        <v>17.108</v>
      </c>
      <c r="AA203" s="97"/>
      <c r="AB203" s="97"/>
    </row>
    <row r="204" spans="1:28" ht="11.25">
      <c r="A204" s="127"/>
      <c r="B204" s="10" t="s">
        <v>242</v>
      </c>
      <c r="C204" s="10" t="s">
        <v>2</v>
      </c>
      <c r="D204" s="10"/>
      <c r="E204" s="30">
        <v>4.618181818181818</v>
      </c>
      <c r="F204" s="31">
        <v>2.5</v>
      </c>
      <c r="G204" s="14">
        <v>100</v>
      </c>
      <c r="H204" s="30">
        <f t="shared" si="42"/>
        <v>2.118181818181818</v>
      </c>
      <c r="I204" s="29">
        <v>0</v>
      </c>
      <c r="J204" s="30">
        <v>16.8</v>
      </c>
      <c r="K204" s="30">
        <f t="shared" si="43"/>
        <v>14.681818181818183</v>
      </c>
      <c r="L204" s="97"/>
      <c r="M204" s="97"/>
      <c r="N204" s="15">
        <v>0.96</v>
      </c>
      <c r="O204" s="12"/>
      <c r="P204" s="127"/>
      <c r="Q204" s="10" t="s">
        <v>242</v>
      </c>
      <c r="R204" s="10" t="s">
        <v>2</v>
      </c>
      <c r="S204" s="10">
        <v>0.14</v>
      </c>
      <c r="T204" s="30">
        <f>S204+E204</f>
        <v>4.758181818181818</v>
      </c>
      <c r="U204" s="31">
        <v>2.5</v>
      </c>
      <c r="V204" s="14">
        <v>100</v>
      </c>
      <c r="W204" s="31">
        <f t="shared" si="44"/>
        <v>2.258181818181818</v>
      </c>
      <c r="X204" s="10">
        <v>0</v>
      </c>
      <c r="Y204" s="10">
        <v>16.8</v>
      </c>
      <c r="Z204" s="31">
        <f t="shared" si="40"/>
        <v>14.541818181818183</v>
      </c>
      <c r="AA204" s="97"/>
      <c r="AB204" s="97"/>
    </row>
    <row r="205" spans="1:28" ht="28.5" customHeight="1">
      <c r="A205" s="125">
        <v>179</v>
      </c>
      <c r="B205" s="27" t="s">
        <v>249</v>
      </c>
      <c r="C205" s="10" t="s">
        <v>2</v>
      </c>
      <c r="D205" s="10">
        <v>32</v>
      </c>
      <c r="E205" s="30">
        <f>E206+E207</f>
        <v>4.2727272727272725</v>
      </c>
      <c r="F205" s="14">
        <f>F206+F207</f>
        <v>3.7</v>
      </c>
      <c r="G205" s="14"/>
      <c r="H205" s="30">
        <f t="shared" si="42"/>
        <v>0.5727272727272723</v>
      </c>
      <c r="I205" s="29">
        <v>0</v>
      </c>
      <c r="J205" s="30">
        <v>16.8</v>
      </c>
      <c r="K205" s="30">
        <f t="shared" si="43"/>
        <v>16.227272727272727</v>
      </c>
      <c r="L205" s="97">
        <f>MIN(K205:K207)</f>
        <v>16.200000000000003</v>
      </c>
      <c r="M205" s="97" t="s">
        <v>40</v>
      </c>
      <c r="N205" s="15"/>
      <c r="O205" s="12"/>
      <c r="P205" s="128">
        <v>179</v>
      </c>
      <c r="Q205" s="17" t="s">
        <v>249</v>
      </c>
      <c r="R205" s="18" t="s">
        <v>2</v>
      </c>
      <c r="S205" s="23">
        <f>S206+S207</f>
        <v>19.3105</v>
      </c>
      <c r="T205" s="20">
        <f>T206+T207</f>
        <v>23.58322727272727</v>
      </c>
      <c r="U205" s="21">
        <f>U206+U207</f>
        <v>3.7</v>
      </c>
      <c r="V205" s="21"/>
      <c r="W205" s="23">
        <f t="shared" si="44"/>
        <v>19.88322727272727</v>
      </c>
      <c r="X205" s="18">
        <v>0</v>
      </c>
      <c r="Y205" s="18">
        <v>16.8</v>
      </c>
      <c r="Z205" s="23">
        <f t="shared" si="40"/>
        <v>-3.083227272727271</v>
      </c>
      <c r="AA205" s="101">
        <f>MIN(Z205:Z207)</f>
        <v>-3.083227272727271</v>
      </c>
      <c r="AB205" s="101" t="s">
        <v>39</v>
      </c>
    </row>
    <row r="206" spans="1:28" ht="15" customHeight="1">
      <c r="A206" s="126"/>
      <c r="B206" s="10" t="s">
        <v>250</v>
      </c>
      <c r="C206" s="10" t="s">
        <v>2</v>
      </c>
      <c r="D206" s="10"/>
      <c r="E206" s="30">
        <v>2.8</v>
      </c>
      <c r="F206" s="14">
        <v>2.2</v>
      </c>
      <c r="G206" s="14">
        <v>30</v>
      </c>
      <c r="H206" s="30">
        <f t="shared" si="42"/>
        <v>0.5999999999999996</v>
      </c>
      <c r="I206" s="29">
        <v>0</v>
      </c>
      <c r="J206" s="30">
        <v>16.8</v>
      </c>
      <c r="K206" s="30">
        <f t="shared" si="43"/>
        <v>16.200000000000003</v>
      </c>
      <c r="L206" s="97"/>
      <c r="M206" s="97"/>
      <c r="N206" s="15">
        <v>0.94</v>
      </c>
      <c r="O206" s="12"/>
      <c r="P206" s="129"/>
      <c r="Q206" s="18" t="s">
        <v>250</v>
      </c>
      <c r="R206" s="18" t="s">
        <v>2</v>
      </c>
      <c r="S206" s="18">
        <f>S98+S103+S110/2+S23</f>
        <v>0.1305</v>
      </c>
      <c r="T206" s="20">
        <f>S206+E206</f>
        <v>2.9305</v>
      </c>
      <c r="U206" s="21">
        <v>2.2</v>
      </c>
      <c r="V206" s="21">
        <v>30</v>
      </c>
      <c r="W206" s="23">
        <f t="shared" si="44"/>
        <v>0.7304999999999997</v>
      </c>
      <c r="X206" s="18">
        <v>0</v>
      </c>
      <c r="Y206" s="18">
        <v>16.8</v>
      </c>
      <c r="Z206" s="23">
        <f t="shared" si="40"/>
        <v>16.0695</v>
      </c>
      <c r="AA206" s="101"/>
      <c r="AB206" s="101"/>
    </row>
    <row r="207" spans="1:28" ht="15" customHeight="1">
      <c r="A207" s="127"/>
      <c r="B207" s="10" t="s">
        <v>242</v>
      </c>
      <c r="C207" s="10" t="s">
        <v>2</v>
      </c>
      <c r="D207" s="10"/>
      <c r="E207" s="30">
        <v>1.4727272727272727</v>
      </c>
      <c r="F207" s="31">
        <v>1.5</v>
      </c>
      <c r="G207" s="14">
        <v>60</v>
      </c>
      <c r="H207" s="30">
        <f t="shared" si="42"/>
        <v>-0.027272727272727337</v>
      </c>
      <c r="I207" s="29">
        <v>0</v>
      </c>
      <c r="J207" s="30">
        <v>16.8</v>
      </c>
      <c r="K207" s="30">
        <f t="shared" si="43"/>
        <v>16.827272727272728</v>
      </c>
      <c r="L207" s="97"/>
      <c r="M207" s="97"/>
      <c r="N207" s="15">
        <v>0.93</v>
      </c>
      <c r="O207" s="12"/>
      <c r="P207" s="130"/>
      <c r="Q207" s="18" t="s">
        <v>242</v>
      </c>
      <c r="R207" s="18" t="s">
        <v>2</v>
      </c>
      <c r="S207" s="18">
        <v>19.18</v>
      </c>
      <c r="T207" s="20">
        <f>S207+E207</f>
        <v>20.652727272727272</v>
      </c>
      <c r="U207" s="23">
        <v>1.5</v>
      </c>
      <c r="V207" s="21">
        <v>60</v>
      </c>
      <c r="W207" s="23">
        <f t="shared" si="44"/>
        <v>19.152727272727272</v>
      </c>
      <c r="X207" s="18">
        <v>0</v>
      </c>
      <c r="Y207" s="18">
        <v>16.8</v>
      </c>
      <c r="Z207" s="23">
        <f t="shared" si="40"/>
        <v>-2.3527272727272717</v>
      </c>
      <c r="AA207" s="101"/>
      <c r="AB207" s="101"/>
    </row>
    <row r="208" spans="1:28" ht="11.25">
      <c r="A208" s="125">
        <v>180</v>
      </c>
      <c r="B208" s="27" t="s">
        <v>251</v>
      </c>
      <c r="C208" s="10" t="s">
        <v>2</v>
      </c>
      <c r="D208" s="10">
        <v>32</v>
      </c>
      <c r="E208" s="30">
        <f>E209+E210</f>
        <v>4.1454545454545455</v>
      </c>
      <c r="F208" s="14">
        <f>F209+F210</f>
        <v>3.8</v>
      </c>
      <c r="G208" s="14"/>
      <c r="H208" s="30">
        <f t="shared" si="42"/>
        <v>0.3454545454545457</v>
      </c>
      <c r="I208" s="29">
        <v>0</v>
      </c>
      <c r="J208" s="30">
        <v>16.8</v>
      </c>
      <c r="K208" s="30">
        <f t="shared" si="43"/>
        <v>16.454545454545453</v>
      </c>
      <c r="L208" s="97">
        <f>MIN(K208:K210)</f>
        <v>16.400000000000002</v>
      </c>
      <c r="M208" s="97" t="s">
        <v>40</v>
      </c>
      <c r="N208" s="15"/>
      <c r="O208" s="12"/>
      <c r="P208" s="125">
        <v>180</v>
      </c>
      <c r="Q208" s="27" t="s">
        <v>251</v>
      </c>
      <c r="R208" s="10" t="s">
        <v>2</v>
      </c>
      <c r="S208" s="31">
        <f>S209+S210</f>
        <v>4.96</v>
      </c>
      <c r="T208" s="30">
        <f>T209+T210</f>
        <v>9.105454545454545</v>
      </c>
      <c r="U208" s="14">
        <f>U209+U210</f>
        <v>3.8</v>
      </c>
      <c r="V208" s="14"/>
      <c r="W208" s="31">
        <f t="shared" si="44"/>
        <v>5.305454545454546</v>
      </c>
      <c r="X208" s="10">
        <v>0</v>
      </c>
      <c r="Y208" s="10">
        <v>16.8</v>
      </c>
      <c r="Z208" s="31">
        <f t="shared" si="40"/>
        <v>11.494545454545456</v>
      </c>
      <c r="AA208" s="97">
        <f>MIN(Z208:Z210)</f>
        <v>11.494545454545456</v>
      </c>
      <c r="AB208" s="97" t="s">
        <v>40</v>
      </c>
    </row>
    <row r="209" spans="1:28" ht="15" customHeight="1">
      <c r="A209" s="126"/>
      <c r="B209" s="10" t="s">
        <v>244</v>
      </c>
      <c r="C209" s="10" t="s">
        <v>2</v>
      </c>
      <c r="D209" s="10"/>
      <c r="E209" s="30">
        <v>3.4</v>
      </c>
      <c r="F209" s="14">
        <v>3</v>
      </c>
      <c r="G209" s="14">
        <v>60</v>
      </c>
      <c r="H209" s="30">
        <f t="shared" si="42"/>
        <v>0.3999999999999999</v>
      </c>
      <c r="I209" s="29">
        <v>0</v>
      </c>
      <c r="J209" s="30">
        <v>16.8</v>
      </c>
      <c r="K209" s="30">
        <f t="shared" si="43"/>
        <v>16.400000000000002</v>
      </c>
      <c r="L209" s="97"/>
      <c r="M209" s="97"/>
      <c r="N209" s="15">
        <v>0.93</v>
      </c>
      <c r="O209" s="12"/>
      <c r="P209" s="126"/>
      <c r="Q209" s="10" t="s">
        <v>244</v>
      </c>
      <c r="R209" s="10" t="s">
        <v>2</v>
      </c>
      <c r="S209" s="10">
        <f>S105+S117+S121+S95+S108+S104</f>
        <v>3.2399999999999998</v>
      </c>
      <c r="T209" s="30">
        <f>S209+E209</f>
        <v>6.64</v>
      </c>
      <c r="U209" s="14">
        <v>3</v>
      </c>
      <c r="V209" s="14">
        <v>60</v>
      </c>
      <c r="W209" s="31">
        <f t="shared" si="44"/>
        <v>3.6399999999999997</v>
      </c>
      <c r="X209" s="10">
        <v>0</v>
      </c>
      <c r="Y209" s="10">
        <v>16.8</v>
      </c>
      <c r="Z209" s="31">
        <f t="shared" si="40"/>
        <v>13.16</v>
      </c>
      <c r="AA209" s="97"/>
      <c r="AB209" s="97"/>
    </row>
    <row r="210" spans="1:28" ht="15" customHeight="1">
      <c r="A210" s="127"/>
      <c r="B210" s="10" t="s">
        <v>242</v>
      </c>
      <c r="C210" s="10" t="s">
        <v>2</v>
      </c>
      <c r="D210" s="10"/>
      <c r="E210" s="30">
        <v>0.7454545454545455</v>
      </c>
      <c r="F210" s="31">
        <v>0.8</v>
      </c>
      <c r="G210" s="14">
        <v>100</v>
      </c>
      <c r="H210" s="30">
        <f t="shared" si="42"/>
        <v>-0.054545454545454564</v>
      </c>
      <c r="I210" s="29">
        <v>0</v>
      </c>
      <c r="J210" s="30">
        <v>16.8</v>
      </c>
      <c r="K210" s="30">
        <f t="shared" si="43"/>
        <v>16.854545454545455</v>
      </c>
      <c r="L210" s="97"/>
      <c r="M210" s="97"/>
      <c r="N210" s="15">
        <v>0.94</v>
      </c>
      <c r="O210" s="12"/>
      <c r="P210" s="127"/>
      <c r="Q210" s="10" t="s">
        <v>242</v>
      </c>
      <c r="R210" s="10" t="s">
        <v>2</v>
      </c>
      <c r="S210" s="10">
        <v>1.72</v>
      </c>
      <c r="T210" s="30">
        <f>S210+E210</f>
        <v>2.4654545454545453</v>
      </c>
      <c r="U210" s="31">
        <v>0.8</v>
      </c>
      <c r="V210" s="14">
        <v>100</v>
      </c>
      <c r="W210" s="31">
        <f t="shared" si="44"/>
        <v>1.6654545454545453</v>
      </c>
      <c r="X210" s="10">
        <v>0</v>
      </c>
      <c r="Y210" s="10">
        <v>16.8</v>
      </c>
      <c r="Z210" s="31">
        <f t="shared" si="40"/>
        <v>15.134545454545455</v>
      </c>
      <c r="AA210" s="97"/>
      <c r="AB210" s="97"/>
    </row>
    <row r="211" spans="1:28" ht="11.25">
      <c r="A211" s="125">
        <v>181</v>
      </c>
      <c r="B211" s="27" t="s">
        <v>252</v>
      </c>
      <c r="C211" s="10" t="s">
        <v>31</v>
      </c>
      <c r="D211" s="10">
        <v>26</v>
      </c>
      <c r="E211" s="30">
        <f>E212+E213</f>
        <v>1.7000000000000002</v>
      </c>
      <c r="F211" s="14">
        <f>F212+F213</f>
        <v>3.37</v>
      </c>
      <c r="G211" s="14"/>
      <c r="H211" s="30">
        <f t="shared" si="42"/>
        <v>-1.67</v>
      </c>
      <c r="I211" s="29">
        <v>0</v>
      </c>
      <c r="J211" s="30">
        <v>10.5</v>
      </c>
      <c r="K211" s="30">
        <f t="shared" si="43"/>
        <v>12.17</v>
      </c>
      <c r="L211" s="97">
        <f>MIN(K211:K213)</f>
        <v>10.52</v>
      </c>
      <c r="M211" s="97" t="s">
        <v>40</v>
      </c>
      <c r="N211" s="15"/>
      <c r="O211" s="12"/>
      <c r="P211" s="125">
        <v>181</v>
      </c>
      <c r="Q211" s="27" t="s">
        <v>252</v>
      </c>
      <c r="R211" s="10" t="s">
        <v>31</v>
      </c>
      <c r="S211" s="31">
        <f>S212+S213</f>
        <v>0.24</v>
      </c>
      <c r="T211" s="30">
        <f>T212+T213</f>
        <v>1.94</v>
      </c>
      <c r="U211" s="14">
        <f>U212+U213</f>
        <v>3.37</v>
      </c>
      <c r="V211" s="14"/>
      <c r="W211" s="31">
        <f t="shared" si="44"/>
        <v>-1.4300000000000002</v>
      </c>
      <c r="X211" s="10">
        <v>0</v>
      </c>
      <c r="Y211" s="10">
        <v>10.5</v>
      </c>
      <c r="Z211" s="31">
        <f t="shared" si="40"/>
        <v>11.93</v>
      </c>
      <c r="AA211" s="97">
        <f>MIN(Z211:Z213)</f>
        <v>10.48</v>
      </c>
      <c r="AB211" s="97" t="s">
        <v>40</v>
      </c>
    </row>
    <row r="212" spans="1:28" ht="15" customHeight="1">
      <c r="A212" s="126"/>
      <c r="B212" s="10" t="s">
        <v>244</v>
      </c>
      <c r="C212" s="10" t="s">
        <v>31</v>
      </c>
      <c r="D212" s="10"/>
      <c r="E212" s="30">
        <v>1.35</v>
      </c>
      <c r="F212" s="14">
        <v>3</v>
      </c>
      <c r="G212" s="14">
        <v>60</v>
      </c>
      <c r="H212" s="30">
        <f t="shared" si="42"/>
        <v>-1.65</v>
      </c>
      <c r="I212" s="29">
        <v>0</v>
      </c>
      <c r="J212" s="30">
        <v>10.5</v>
      </c>
      <c r="K212" s="30">
        <f t="shared" si="43"/>
        <v>12.15</v>
      </c>
      <c r="L212" s="97"/>
      <c r="M212" s="97"/>
      <c r="N212" s="15">
        <v>0.94</v>
      </c>
      <c r="O212" s="12"/>
      <c r="P212" s="126"/>
      <c r="Q212" s="10" t="s">
        <v>244</v>
      </c>
      <c r="R212" s="10" t="s">
        <v>31</v>
      </c>
      <c r="S212" s="10">
        <f>S106+S116+S111+S31+S113+S122</f>
        <v>0.19999999999999998</v>
      </c>
      <c r="T212" s="30">
        <f>S212+E212</f>
        <v>1.55</v>
      </c>
      <c r="U212" s="14">
        <v>3</v>
      </c>
      <c r="V212" s="14">
        <v>60</v>
      </c>
      <c r="W212" s="31">
        <f t="shared" si="44"/>
        <v>-1.45</v>
      </c>
      <c r="X212" s="10">
        <v>0</v>
      </c>
      <c r="Y212" s="10">
        <v>10.5</v>
      </c>
      <c r="Z212" s="31">
        <f t="shared" si="40"/>
        <v>11.95</v>
      </c>
      <c r="AA212" s="97"/>
      <c r="AB212" s="97"/>
    </row>
    <row r="213" spans="1:28" ht="15" customHeight="1">
      <c r="A213" s="127"/>
      <c r="B213" s="10" t="s">
        <v>242</v>
      </c>
      <c r="C213" s="10" t="s">
        <v>31</v>
      </c>
      <c r="D213" s="10"/>
      <c r="E213" s="30">
        <v>0.35</v>
      </c>
      <c r="F213" s="31">
        <v>0.37</v>
      </c>
      <c r="G213" s="14">
        <v>90</v>
      </c>
      <c r="H213" s="30">
        <f aca="true" t="shared" si="45" ref="H213:H244">E213-F213</f>
        <v>-0.020000000000000018</v>
      </c>
      <c r="I213" s="29">
        <v>0</v>
      </c>
      <c r="J213" s="30">
        <v>10.5</v>
      </c>
      <c r="K213" s="30">
        <f t="shared" si="43"/>
        <v>10.52</v>
      </c>
      <c r="L213" s="97"/>
      <c r="M213" s="97"/>
      <c r="N213" s="15">
        <v>0.92</v>
      </c>
      <c r="O213" s="12"/>
      <c r="P213" s="127"/>
      <c r="Q213" s="10" t="s">
        <v>242</v>
      </c>
      <c r="R213" s="10" t="s">
        <v>31</v>
      </c>
      <c r="S213" s="10">
        <v>0.04</v>
      </c>
      <c r="T213" s="30">
        <f>S213+E213</f>
        <v>0.38999999999999996</v>
      </c>
      <c r="U213" s="31">
        <v>0.37</v>
      </c>
      <c r="V213" s="14">
        <v>90</v>
      </c>
      <c r="W213" s="31">
        <f t="shared" si="44"/>
        <v>0.019999999999999962</v>
      </c>
      <c r="X213" s="10">
        <v>0</v>
      </c>
      <c r="Y213" s="10">
        <v>10.5</v>
      </c>
      <c r="Z213" s="31">
        <f t="shared" si="40"/>
        <v>10.48</v>
      </c>
      <c r="AA213" s="97"/>
      <c r="AB213" s="97"/>
    </row>
    <row r="214" spans="1:28" ht="11.25">
      <c r="A214" s="125">
        <v>182</v>
      </c>
      <c r="B214" s="27" t="s">
        <v>253</v>
      </c>
      <c r="C214" s="10" t="s">
        <v>2</v>
      </c>
      <c r="D214" s="10">
        <v>32</v>
      </c>
      <c r="E214" s="30">
        <f>E215+E216</f>
        <v>4.495454545454545</v>
      </c>
      <c r="F214" s="14">
        <f>F215+F216</f>
        <v>4.8</v>
      </c>
      <c r="G214" s="14"/>
      <c r="H214" s="30">
        <f t="shared" si="45"/>
        <v>-0.3045454545454547</v>
      </c>
      <c r="I214" s="29">
        <v>0</v>
      </c>
      <c r="J214" s="30">
        <v>16.8</v>
      </c>
      <c r="K214" s="30">
        <f t="shared" si="43"/>
        <v>17.104545454545455</v>
      </c>
      <c r="L214" s="97">
        <f>MIN(K214:K216)</f>
        <v>16.85</v>
      </c>
      <c r="M214" s="97" t="s">
        <v>40</v>
      </c>
      <c r="N214" s="15"/>
      <c r="O214" s="12"/>
      <c r="P214" s="125">
        <v>182</v>
      </c>
      <c r="Q214" s="27" t="s">
        <v>253</v>
      </c>
      <c r="R214" s="10" t="s">
        <v>2</v>
      </c>
      <c r="S214" s="31">
        <f>S215+S216</f>
        <v>2.36</v>
      </c>
      <c r="T214" s="30">
        <f>T215+T216</f>
        <v>6.8554545454545455</v>
      </c>
      <c r="U214" s="14">
        <f>U215+U216</f>
        <v>4.8</v>
      </c>
      <c r="V214" s="14"/>
      <c r="W214" s="31">
        <f t="shared" si="44"/>
        <v>2.0554545454545456</v>
      </c>
      <c r="X214" s="10">
        <v>0</v>
      </c>
      <c r="Y214" s="10">
        <v>16.8</v>
      </c>
      <c r="Z214" s="31">
        <f t="shared" si="40"/>
        <v>14.744545454545456</v>
      </c>
      <c r="AA214" s="97">
        <f>MIN(Z214:Z216)</f>
        <v>14.744545454545456</v>
      </c>
      <c r="AB214" s="97" t="s">
        <v>40</v>
      </c>
    </row>
    <row r="215" spans="1:28" ht="15" customHeight="1">
      <c r="A215" s="126"/>
      <c r="B215" s="10" t="s">
        <v>244</v>
      </c>
      <c r="C215" s="10" t="s">
        <v>2</v>
      </c>
      <c r="D215" s="10"/>
      <c r="E215" s="30">
        <v>1.95</v>
      </c>
      <c r="F215" s="14">
        <v>2</v>
      </c>
      <c r="G215" s="14">
        <v>60</v>
      </c>
      <c r="H215" s="30">
        <f t="shared" si="45"/>
        <v>-0.050000000000000044</v>
      </c>
      <c r="I215" s="29">
        <v>0</v>
      </c>
      <c r="J215" s="30">
        <v>16.8</v>
      </c>
      <c r="K215" s="30">
        <f t="shared" si="43"/>
        <v>16.85</v>
      </c>
      <c r="L215" s="97"/>
      <c r="M215" s="97"/>
      <c r="N215" s="15">
        <v>0.95</v>
      </c>
      <c r="O215" s="12"/>
      <c r="P215" s="126"/>
      <c r="Q215" s="10" t="s">
        <v>244</v>
      </c>
      <c r="R215" s="10" t="s">
        <v>2</v>
      </c>
      <c r="S215" s="10">
        <f>S123/2+S120+S21+S111/2</f>
        <v>0.05</v>
      </c>
      <c r="T215" s="30">
        <f>S215+E215</f>
        <v>2</v>
      </c>
      <c r="U215" s="14">
        <v>2</v>
      </c>
      <c r="V215" s="14">
        <v>60</v>
      </c>
      <c r="W215" s="31">
        <f t="shared" si="44"/>
        <v>0</v>
      </c>
      <c r="X215" s="10">
        <v>0</v>
      </c>
      <c r="Y215" s="10">
        <v>16.8</v>
      </c>
      <c r="Z215" s="31">
        <f t="shared" si="40"/>
        <v>16.8</v>
      </c>
      <c r="AA215" s="97"/>
      <c r="AB215" s="97"/>
    </row>
    <row r="216" spans="1:28" ht="15" customHeight="1">
      <c r="A216" s="127"/>
      <c r="B216" s="10" t="s">
        <v>242</v>
      </c>
      <c r="C216" s="10" t="s">
        <v>2</v>
      </c>
      <c r="D216" s="10"/>
      <c r="E216" s="30">
        <v>2.5454545454545454</v>
      </c>
      <c r="F216" s="31">
        <v>2.8</v>
      </c>
      <c r="G216" s="14">
        <v>120</v>
      </c>
      <c r="H216" s="30">
        <f t="shared" si="45"/>
        <v>-0.2545454545454544</v>
      </c>
      <c r="I216" s="29">
        <v>0</v>
      </c>
      <c r="J216" s="30">
        <v>16.8</v>
      </c>
      <c r="K216" s="30">
        <f t="shared" si="43"/>
        <v>17.054545454545455</v>
      </c>
      <c r="L216" s="97"/>
      <c r="M216" s="97"/>
      <c r="N216" s="15">
        <v>0.91</v>
      </c>
      <c r="O216" s="12"/>
      <c r="P216" s="127"/>
      <c r="Q216" s="10" t="s">
        <v>242</v>
      </c>
      <c r="R216" s="10" t="s">
        <v>2</v>
      </c>
      <c r="S216" s="10">
        <v>2.31</v>
      </c>
      <c r="T216" s="30">
        <f>S216+E216</f>
        <v>4.8554545454545455</v>
      </c>
      <c r="U216" s="31">
        <v>2.8</v>
      </c>
      <c r="V216" s="14">
        <v>120</v>
      </c>
      <c r="W216" s="31">
        <f t="shared" si="44"/>
        <v>2.0554545454545456</v>
      </c>
      <c r="X216" s="10">
        <v>0</v>
      </c>
      <c r="Y216" s="10">
        <v>16.8</v>
      </c>
      <c r="Z216" s="31">
        <f t="shared" si="40"/>
        <v>14.744545454545456</v>
      </c>
      <c r="AA216" s="97"/>
      <c r="AB216" s="97"/>
    </row>
    <row r="217" spans="1:28" ht="18.75" customHeight="1">
      <c r="A217" s="125">
        <v>183</v>
      </c>
      <c r="B217" s="27" t="s">
        <v>254</v>
      </c>
      <c r="C217" s="10" t="s">
        <v>2</v>
      </c>
      <c r="D217" s="10">
        <v>32</v>
      </c>
      <c r="E217" s="30">
        <f>E218+E219</f>
        <v>7.613636363636363</v>
      </c>
      <c r="F217" s="14">
        <f>F218+F219</f>
        <v>3.7</v>
      </c>
      <c r="G217" s="14"/>
      <c r="H217" s="30">
        <f t="shared" si="45"/>
        <v>3.913636363636363</v>
      </c>
      <c r="I217" s="29">
        <v>0</v>
      </c>
      <c r="J217" s="30">
        <v>16.8</v>
      </c>
      <c r="K217" s="30">
        <f t="shared" si="43"/>
        <v>12.886363636363637</v>
      </c>
      <c r="L217" s="97">
        <f>MIN(K217:K219)</f>
        <v>12.886363636363637</v>
      </c>
      <c r="M217" s="97" t="s">
        <v>40</v>
      </c>
      <c r="N217" s="15"/>
      <c r="O217" s="12"/>
      <c r="P217" s="125">
        <v>183</v>
      </c>
      <c r="Q217" s="27" t="s">
        <v>254</v>
      </c>
      <c r="R217" s="10" t="s">
        <v>2</v>
      </c>
      <c r="S217" s="31">
        <f>S218+S219</f>
        <v>6.33</v>
      </c>
      <c r="T217" s="30">
        <f>T218+T219</f>
        <v>13.943636363636363</v>
      </c>
      <c r="U217" s="14">
        <f>U218+U219</f>
        <v>3.7</v>
      </c>
      <c r="V217" s="14"/>
      <c r="W217" s="31">
        <f t="shared" si="44"/>
        <v>10.243636363636362</v>
      </c>
      <c r="X217" s="10">
        <v>0</v>
      </c>
      <c r="Y217" s="10">
        <v>16.8</v>
      </c>
      <c r="Z217" s="31">
        <f t="shared" si="40"/>
        <v>6.556363636363638</v>
      </c>
      <c r="AA217" s="97">
        <f>MIN(Z217:Z219)</f>
        <v>6.556363636363638</v>
      </c>
      <c r="AB217" s="97" t="s">
        <v>40</v>
      </c>
    </row>
    <row r="218" spans="1:28" ht="15" customHeight="1">
      <c r="A218" s="126"/>
      <c r="B218" s="10" t="s">
        <v>244</v>
      </c>
      <c r="C218" s="10" t="s">
        <v>2</v>
      </c>
      <c r="D218" s="10"/>
      <c r="E218" s="30">
        <v>5.25</v>
      </c>
      <c r="F218" s="14">
        <v>2.5</v>
      </c>
      <c r="G218" s="14">
        <v>90</v>
      </c>
      <c r="H218" s="30">
        <f t="shared" si="45"/>
        <v>2.75</v>
      </c>
      <c r="I218" s="29">
        <v>0</v>
      </c>
      <c r="J218" s="30">
        <v>16.8</v>
      </c>
      <c r="K218" s="30">
        <f t="shared" si="43"/>
        <v>14.05</v>
      </c>
      <c r="L218" s="97"/>
      <c r="M218" s="97"/>
      <c r="N218" s="15">
        <v>0.92</v>
      </c>
      <c r="O218" s="12"/>
      <c r="P218" s="126"/>
      <c r="Q218" s="10" t="s">
        <v>244</v>
      </c>
      <c r="R218" s="10" t="s">
        <v>2</v>
      </c>
      <c r="S218" s="10">
        <f>S97+S96+S107+S118</f>
        <v>0.6</v>
      </c>
      <c r="T218" s="30">
        <f>S218+E218</f>
        <v>5.85</v>
      </c>
      <c r="U218" s="14">
        <v>2.5</v>
      </c>
      <c r="V218" s="14">
        <v>90</v>
      </c>
      <c r="W218" s="31">
        <f t="shared" si="44"/>
        <v>3.3499999999999996</v>
      </c>
      <c r="X218" s="10">
        <v>0</v>
      </c>
      <c r="Y218" s="10">
        <v>16.8</v>
      </c>
      <c r="Z218" s="31">
        <f t="shared" si="40"/>
        <v>13.450000000000001</v>
      </c>
      <c r="AA218" s="97"/>
      <c r="AB218" s="97"/>
    </row>
    <row r="219" spans="1:28" ht="15" customHeight="1">
      <c r="A219" s="127"/>
      <c r="B219" s="10" t="s">
        <v>242</v>
      </c>
      <c r="C219" s="10" t="s">
        <v>2</v>
      </c>
      <c r="D219" s="10"/>
      <c r="E219" s="30">
        <v>2.3636363636363638</v>
      </c>
      <c r="F219" s="31">
        <v>1.2</v>
      </c>
      <c r="G219" s="14">
        <v>60</v>
      </c>
      <c r="H219" s="30">
        <f t="shared" si="45"/>
        <v>1.1636363636363638</v>
      </c>
      <c r="I219" s="29">
        <v>0</v>
      </c>
      <c r="J219" s="30">
        <v>16.8</v>
      </c>
      <c r="K219" s="30">
        <f t="shared" si="43"/>
        <v>15.636363636363637</v>
      </c>
      <c r="L219" s="97"/>
      <c r="M219" s="97"/>
      <c r="N219" s="15">
        <v>0.99</v>
      </c>
      <c r="O219" s="12"/>
      <c r="P219" s="127"/>
      <c r="Q219" s="10" t="s">
        <v>242</v>
      </c>
      <c r="R219" s="10" t="s">
        <v>2</v>
      </c>
      <c r="S219" s="10">
        <v>5.73</v>
      </c>
      <c r="T219" s="30">
        <f>S219+E219</f>
        <v>8.093636363636364</v>
      </c>
      <c r="U219" s="31">
        <v>1.2</v>
      </c>
      <c r="V219" s="14">
        <v>60</v>
      </c>
      <c r="W219" s="31">
        <f t="shared" si="44"/>
        <v>6.893636363636364</v>
      </c>
      <c r="X219" s="10">
        <v>0</v>
      </c>
      <c r="Y219" s="10">
        <v>16.8</v>
      </c>
      <c r="Z219" s="31">
        <f t="shared" si="40"/>
        <v>9.906363636363636</v>
      </c>
      <c r="AA219" s="97"/>
      <c r="AB219" s="97"/>
    </row>
    <row r="220" spans="1:28" ht="11.25">
      <c r="A220" s="125">
        <v>184</v>
      </c>
      <c r="B220" s="32" t="s">
        <v>255</v>
      </c>
      <c r="C220" s="10" t="s">
        <v>36</v>
      </c>
      <c r="D220" s="10">
        <f>63+15+25</f>
        <v>103</v>
      </c>
      <c r="E220" s="30">
        <f>E221+E222</f>
        <v>30.215</v>
      </c>
      <c r="F220" s="14">
        <f>F221+F222</f>
        <v>0.5</v>
      </c>
      <c r="G220" s="14"/>
      <c r="H220" s="30">
        <f t="shared" si="45"/>
        <v>29.715</v>
      </c>
      <c r="I220" s="29">
        <v>1</v>
      </c>
      <c r="J220" s="30">
        <v>42</v>
      </c>
      <c r="K220" s="30">
        <f t="shared" si="43"/>
        <v>11.285</v>
      </c>
      <c r="L220" s="97">
        <f>MIN(K220:K222)</f>
        <v>11.285</v>
      </c>
      <c r="M220" s="97" t="s">
        <v>40</v>
      </c>
      <c r="N220" s="15"/>
      <c r="O220" s="12"/>
      <c r="P220" s="128">
        <v>184</v>
      </c>
      <c r="Q220" s="24" t="s">
        <v>255</v>
      </c>
      <c r="R220" s="18" t="s">
        <v>36</v>
      </c>
      <c r="S220" s="23">
        <f>S221+S222</f>
        <v>15.33</v>
      </c>
      <c r="T220" s="20">
        <f>T221+T222</f>
        <v>45.545</v>
      </c>
      <c r="U220" s="21">
        <f>U221+U222</f>
        <v>0.5</v>
      </c>
      <c r="V220" s="21"/>
      <c r="W220" s="23">
        <f t="shared" si="44"/>
        <v>45.045</v>
      </c>
      <c r="X220" s="18">
        <v>1</v>
      </c>
      <c r="Y220" s="20">
        <v>42</v>
      </c>
      <c r="Z220" s="23">
        <f t="shared" si="40"/>
        <v>-4.045000000000002</v>
      </c>
      <c r="AA220" s="101">
        <f>MIN(Z220:Z222)</f>
        <v>-4.045000000000002</v>
      </c>
      <c r="AB220" s="101" t="s">
        <v>39</v>
      </c>
    </row>
    <row r="221" spans="1:28" ht="15" customHeight="1">
      <c r="A221" s="126"/>
      <c r="B221" s="10" t="s">
        <v>244</v>
      </c>
      <c r="C221" s="10" t="s">
        <v>36</v>
      </c>
      <c r="D221" s="10"/>
      <c r="E221" s="30">
        <v>8.785</v>
      </c>
      <c r="F221" s="14">
        <v>0</v>
      </c>
      <c r="G221" s="14">
        <v>0</v>
      </c>
      <c r="H221" s="30">
        <f t="shared" si="45"/>
        <v>8.785</v>
      </c>
      <c r="I221" s="29">
        <v>0</v>
      </c>
      <c r="J221" s="30">
        <v>42</v>
      </c>
      <c r="K221" s="30">
        <f t="shared" si="43"/>
        <v>33.215</v>
      </c>
      <c r="L221" s="97"/>
      <c r="M221" s="97"/>
      <c r="N221" s="15">
        <v>0.946</v>
      </c>
      <c r="O221" s="12"/>
      <c r="P221" s="129"/>
      <c r="Q221" s="18" t="s">
        <v>244</v>
      </c>
      <c r="R221" s="18" t="s">
        <v>36</v>
      </c>
      <c r="S221" s="18">
        <v>10.4</v>
      </c>
      <c r="T221" s="20">
        <f>S221+E221</f>
        <v>19.185000000000002</v>
      </c>
      <c r="U221" s="21">
        <v>0</v>
      </c>
      <c r="V221" s="21">
        <v>0</v>
      </c>
      <c r="W221" s="23">
        <f t="shared" si="44"/>
        <v>19.185000000000002</v>
      </c>
      <c r="X221" s="18">
        <v>0</v>
      </c>
      <c r="Y221" s="20">
        <v>42</v>
      </c>
      <c r="Z221" s="23">
        <f t="shared" si="40"/>
        <v>22.814999999999998</v>
      </c>
      <c r="AA221" s="101"/>
      <c r="AB221" s="101"/>
    </row>
    <row r="222" spans="1:28" ht="15" customHeight="1">
      <c r="A222" s="127"/>
      <c r="B222" s="10" t="s">
        <v>242</v>
      </c>
      <c r="C222" s="10" t="s">
        <v>36</v>
      </c>
      <c r="D222" s="10"/>
      <c r="E222" s="30">
        <v>21.43</v>
      </c>
      <c r="F222" s="31">
        <v>0.5</v>
      </c>
      <c r="G222" s="41">
        <v>40</v>
      </c>
      <c r="H222" s="30">
        <f t="shared" si="45"/>
        <v>20.93</v>
      </c>
      <c r="I222" s="29">
        <v>1</v>
      </c>
      <c r="J222" s="30">
        <v>42</v>
      </c>
      <c r="K222" s="30">
        <f t="shared" si="43"/>
        <v>20.07</v>
      </c>
      <c r="L222" s="97"/>
      <c r="M222" s="97"/>
      <c r="N222" s="15">
        <v>0.96</v>
      </c>
      <c r="O222" s="12"/>
      <c r="P222" s="130"/>
      <c r="Q222" s="18" t="s">
        <v>242</v>
      </c>
      <c r="R222" s="18" t="s">
        <v>36</v>
      </c>
      <c r="S222" s="18">
        <v>4.93</v>
      </c>
      <c r="T222" s="20">
        <f>S222+E222</f>
        <v>26.36</v>
      </c>
      <c r="U222" s="23">
        <v>0.5</v>
      </c>
      <c r="V222" s="44">
        <v>40</v>
      </c>
      <c r="W222" s="23">
        <f t="shared" si="44"/>
        <v>25.86</v>
      </c>
      <c r="X222" s="18">
        <v>1</v>
      </c>
      <c r="Y222" s="20">
        <v>42</v>
      </c>
      <c r="Z222" s="23">
        <f t="shared" si="40"/>
        <v>15.14</v>
      </c>
      <c r="AA222" s="101"/>
      <c r="AB222" s="101"/>
    </row>
    <row r="223" spans="1:28" ht="15" customHeight="1">
      <c r="A223" s="125">
        <v>185</v>
      </c>
      <c r="B223" s="32" t="s">
        <v>256</v>
      </c>
      <c r="C223" s="10" t="s">
        <v>37</v>
      </c>
      <c r="D223" s="10">
        <f>63+32+63</f>
        <v>158</v>
      </c>
      <c r="E223" s="30">
        <f>E224+E225</f>
        <v>45.46</v>
      </c>
      <c r="F223" s="14">
        <f>F224+F225</f>
        <v>1.81</v>
      </c>
      <c r="G223" s="14"/>
      <c r="H223" s="30">
        <f t="shared" si="45"/>
        <v>43.65</v>
      </c>
      <c r="I223" s="29">
        <v>0</v>
      </c>
      <c r="J223" s="30">
        <f>(32+63)*1.05</f>
        <v>99.75</v>
      </c>
      <c r="K223" s="30">
        <f t="shared" si="43"/>
        <v>56.1</v>
      </c>
      <c r="L223" s="97">
        <f>MIN(K223:K225)</f>
        <v>52.39000000000001</v>
      </c>
      <c r="M223" s="97" t="s">
        <v>40</v>
      </c>
      <c r="N223" s="15"/>
      <c r="O223" s="12"/>
      <c r="P223" s="125">
        <v>185</v>
      </c>
      <c r="Q223" s="32" t="s">
        <v>256</v>
      </c>
      <c r="R223" s="10" t="s">
        <v>37</v>
      </c>
      <c r="S223" s="31">
        <f>S224+S225</f>
        <v>25.355</v>
      </c>
      <c r="T223" s="30">
        <f>T224+T225</f>
        <v>70.815</v>
      </c>
      <c r="U223" s="14">
        <f>U224+U225</f>
        <v>1.81</v>
      </c>
      <c r="V223" s="14"/>
      <c r="W223" s="31">
        <f t="shared" si="44"/>
        <v>69.005</v>
      </c>
      <c r="X223" s="10">
        <v>0</v>
      </c>
      <c r="Y223" s="30">
        <f>(32+63)*1.05</f>
        <v>99.75</v>
      </c>
      <c r="Z223" s="31">
        <f t="shared" si="40"/>
        <v>30.745000000000005</v>
      </c>
      <c r="AA223" s="97">
        <f>MIN(Z223:Z225)</f>
        <v>30.42500000000001</v>
      </c>
      <c r="AB223" s="97" t="s">
        <v>40</v>
      </c>
    </row>
    <row r="224" spans="1:28" ht="15" customHeight="1">
      <c r="A224" s="126"/>
      <c r="B224" s="10" t="s">
        <v>244</v>
      </c>
      <c r="C224" s="10" t="s">
        <v>9</v>
      </c>
      <c r="D224" s="10"/>
      <c r="E224" s="30">
        <v>15.57</v>
      </c>
      <c r="F224" s="14">
        <v>1.81</v>
      </c>
      <c r="G224" s="14">
        <v>60</v>
      </c>
      <c r="H224" s="30">
        <f t="shared" si="45"/>
        <v>13.76</v>
      </c>
      <c r="I224" s="29">
        <v>0</v>
      </c>
      <c r="J224" s="30">
        <f>63*1.05</f>
        <v>66.15</v>
      </c>
      <c r="K224" s="30">
        <f t="shared" si="43"/>
        <v>52.39000000000001</v>
      </c>
      <c r="L224" s="97"/>
      <c r="M224" s="97"/>
      <c r="N224" s="15">
        <v>1</v>
      </c>
      <c r="O224" s="12"/>
      <c r="P224" s="126"/>
      <c r="Q224" s="10" t="s">
        <v>244</v>
      </c>
      <c r="R224" s="10" t="s">
        <v>9</v>
      </c>
      <c r="S224" s="10">
        <f>S156+S144+S125+S155/2+S140+S129+11.65</f>
        <v>21.965</v>
      </c>
      <c r="T224" s="30">
        <f>S224+E224</f>
        <v>37.535</v>
      </c>
      <c r="U224" s="14">
        <v>1.81</v>
      </c>
      <c r="V224" s="14">
        <v>60</v>
      </c>
      <c r="W224" s="31">
        <f t="shared" si="44"/>
        <v>35.724999999999994</v>
      </c>
      <c r="X224" s="10">
        <v>0</v>
      </c>
      <c r="Y224" s="30">
        <f>63*1.05</f>
        <v>66.15</v>
      </c>
      <c r="Z224" s="31">
        <f t="shared" si="40"/>
        <v>30.42500000000001</v>
      </c>
      <c r="AA224" s="97"/>
      <c r="AB224" s="97"/>
    </row>
    <row r="225" spans="1:28" ht="15" customHeight="1">
      <c r="A225" s="127"/>
      <c r="B225" s="10" t="s">
        <v>242</v>
      </c>
      <c r="C225" s="10" t="s">
        <v>37</v>
      </c>
      <c r="D225" s="10"/>
      <c r="E225" s="30">
        <v>29.89</v>
      </c>
      <c r="F225" s="31">
        <v>0</v>
      </c>
      <c r="G225" s="41">
        <v>0</v>
      </c>
      <c r="H225" s="30">
        <f t="shared" si="45"/>
        <v>29.89</v>
      </c>
      <c r="I225" s="29">
        <v>0</v>
      </c>
      <c r="J225" s="30">
        <f>(32+63)*1.05</f>
        <v>99.75</v>
      </c>
      <c r="K225" s="30">
        <f t="shared" si="43"/>
        <v>69.86</v>
      </c>
      <c r="L225" s="97"/>
      <c r="M225" s="97"/>
      <c r="N225" s="15">
        <v>0.89</v>
      </c>
      <c r="O225" s="12"/>
      <c r="P225" s="127"/>
      <c r="Q225" s="10" t="s">
        <v>242</v>
      </c>
      <c r="R225" s="10" t="s">
        <v>37</v>
      </c>
      <c r="S225" s="10">
        <v>3.39</v>
      </c>
      <c r="T225" s="30">
        <f>S225+E225</f>
        <v>33.28</v>
      </c>
      <c r="U225" s="31">
        <v>0</v>
      </c>
      <c r="V225" s="41">
        <v>0</v>
      </c>
      <c r="W225" s="31">
        <f t="shared" si="44"/>
        <v>33.28</v>
      </c>
      <c r="X225" s="10">
        <v>0</v>
      </c>
      <c r="Y225" s="30">
        <f>(32+63)*1.05</f>
        <v>99.75</v>
      </c>
      <c r="Z225" s="31">
        <f t="shared" si="40"/>
        <v>66.47</v>
      </c>
      <c r="AA225" s="97"/>
      <c r="AB225" s="97"/>
    </row>
    <row r="226" spans="1:28" ht="11.25">
      <c r="A226" s="125">
        <v>186</v>
      </c>
      <c r="B226" s="32" t="s">
        <v>257</v>
      </c>
      <c r="C226" s="10" t="s">
        <v>34</v>
      </c>
      <c r="D226" s="10">
        <v>50</v>
      </c>
      <c r="E226" s="30">
        <f>E227+E228</f>
        <v>9.559999999999999</v>
      </c>
      <c r="F226" s="14">
        <f>F227+F228</f>
        <v>0.25</v>
      </c>
      <c r="G226" s="14"/>
      <c r="H226" s="30">
        <f t="shared" si="45"/>
        <v>9.309999999999999</v>
      </c>
      <c r="I226" s="29">
        <v>0</v>
      </c>
      <c r="J226" s="30">
        <f>25*1.05</f>
        <v>26.25</v>
      </c>
      <c r="K226" s="30">
        <f t="shared" si="43"/>
        <v>16.94</v>
      </c>
      <c r="L226" s="97">
        <f>MIN(K226:K228)</f>
        <v>7.625</v>
      </c>
      <c r="M226" s="97" t="s">
        <v>40</v>
      </c>
      <c r="N226" s="15"/>
      <c r="O226" s="12"/>
      <c r="P226" s="125">
        <v>186</v>
      </c>
      <c r="Q226" s="32" t="s">
        <v>257</v>
      </c>
      <c r="R226" s="10" t="s">
        <v>34</v>
      </c>
      <c r="S226" s="31">
        <f>S227+S228</f>
        <v>0.54</v>
      </c>
      <c r="T226" s="30">
        <f>T227+T228</f>
        <v>10.1</v>
      </c>
      <c r="U226" s="14">
        <f>U227+U228</f>
        <v>0.25</v>
      </c>
      <c r="V226" s="14"/>
      <c r="W226" s="31">
        <f t="shared" si="44"/>
        <v>9.85</v>
      </c>
      <c r="X226" s="10">
        <v>0</v>
      </c>
      <c r="Y226" s="10">
        <v>26.25</v>
      </c>
      <c r="Z226" s="31">
        <f>Y226-X226-W226</f>
        <v>16.4</v>
      </c>
      <c r="AA226" s="97">
        <f>MIN(Z226:Z228)</f>
        <v>7.130000000000001</v>
      </c>
      <c r="AB226" s="97" t="s">
        <v>40</v>
      </c>
    </row>
    <row r="227" spans="1:28" ht="15" customHeight="1">
      <c r="A227" s="126"/>
      <c r="B227" s="10" t="s">
        <v>244</v>
      </c>
      <c r="C227" s="10" t="s">
        <v>35</v>
      </c>
      <c r="D227" s="10"/>
      <c r="E227" s="30">
        <v>5.5</v>
      </c>
      <c r="F227" s="14">
        <v>0</v>
      </c>
      <c r="G227" s="14">
        <v>0</v>
      </c>
      <c r="H227" s="30">
        <f t="shared" si="45"/>
        <v>5.5</v>
      </c>
      <c r="I227" s="29">
        <v>0</v>
      </c>
      <c r="J227" s="30">
        <f>12.5*1.05</f>
        <v>13.125</v>
      </c>
      <c r="K227" s="30">
        <f>J227-E227</f>
        <v>7.625</v>
      </c>
      <c r="L227" s="97"/>
      <c r="M227" s="97"/>
      <c r="N227" s="15">
        <v>0.94</v>
      </c>
      <c r="O227" s="12"/>
      <c r="P227" s="126"/>
      <c r="Q227" s="10" t="s">
        <v>244</v>
      </c>
      <c r="R227" s="10" t="s">
        <v>35</v>
      </c>
      <c r="S227" s="10">
        <v>0.5</v>
      </c>
      <c r="T227" s="30">
        <f>S227+E227</f>
        <v>6</v>
      </c>
      <c r="U227" s="14">
        <v>0</v>
      </c>
      <c r="V227" s="14">
        <v>0</v>
      </c>
      <c r="W227" s="31">
        <f>T227-U227</f>
        <v>6</v>
      </c>
      <c r="X227" s="10">
        <v>0</v>
      </c>
      <c r="Y227" s="10">
        <v>13.13</v>
      </c>
      <c r="Z227" s="31">
        <f>Y227-T227</f>
        <v>7.130000000000001</v>
      </c>
      <c r="AA227" s="97"/>
      <c r="AB227" s="97"/>
    </row>
    <row r="228" spans="1:28" ht="15" customHeight="1">
      <c r="A228" s="126"/>
      <c r="B228" s="10" t="s">
        <v>242</v>
      </c>
      <c r="C228" s="10" t="s">
        <v>35</v>
      </c>
      <c r="D228" s="10"/>
      <c r="E228" s="30">
        <v>4.06</v>
      </c>
      <c r="F228" s="31">
        <v>0.25</v>
      </c>
      <c r="G228" s="41">
        <v>80</v>
      </c>
      <c r="H228" s="30">
        <f t="shared" si="45"/>
        <v>3.8099999999999996</v>
      </c>
      <c r="I228" s="29">
        <v>0</v>
      </c>
      <c r="J228" s="30">
        <f>12.5*1.05</f>
        <v>13.125</v>
      </c>
      <c r="K228" s="30">
        <f t="shared" si="43"/>
        <v>9.315000000000001</v>
      </c>
      <c r="L228" s="97"/>
      <c r="M228" s="97"/>
      <c r="N228" s="15">
        <v>0.96</v>
      </c>
      <c r="O228" s="12"/>
      <c r="P228" s="126"/>
      <c r="Q228" s="10" t="s">
        <v>242</v>
      </c>
      <c r="R228" s="10" t="s">
        <v>35</v>
      </c>
      <c r="S228" s="10">
        <v>0.04</v>
      </c>
      <c r="T228" s="30">
        <f>S228+E228</f>
        <v>4.1</v>
      </c>
      <c r="U228" s="31">
        <v>0.25</v>
      </c>
      <c r="V228" s="41">
        <v>80</v>
      </c>
      <c r="W228" s="31">
        <f>T228-U228</f>
        <v>3.8499999999999996</v>
      </c>
      <c r="X228" s="10">
        <v>0</v>
      </c>
      <c r="Y228" s="30">
        <v>13.13</v>
      </c>
      <c r="Z228" s="31">
        <f t="shared" si="40"/>
        <v>9.280000000000001</v>
      </c>
      <c r="AA228" s="97"/>
      <c r="AB228" s="97"/>
    </row>
    <row r="229" spans="1:28" ht="29.25" customHeight="1">
      <c r="A229" s="127"/>
      <c r="B229" s="24" t="s">
        <v>258</v>
      </c>
      <c r="C229" s="18">
        <v>31.5</v>
      </c>
      <c r="D229" s="18">
        <v>31.5</v>
      </c>
      <c r="E229" s="20">
        <v>4.38</v>
      </c>
      <c r="F229" s="23">
        <v>2.6</v>
      </c>
      <c r="G229" s="44">
        <v>10</v>
      </c>
      <c r="H229" s="20">
        <f t="shared" si="45"/>
        <v>1.7799999999999998</v>
      </c>
      <c r="I229" s="19">
        <v>0</v>
      </c>
      <c r="J229" s="20">
        <v>2</v>
      </c>
      <c r="K229" s="20">
        <f>J229-E229</f>
        <v>-2.38</v>
      </c>
      <c r="L229" s="20">
        <f>K229</f>
        <v>-2.38</v>
      </c>
      <c r="M229" s="90" t="s">
        <v>39</v>
      </c>
      <c r="N229" s="22">
        <v>0.54</v>
      </c>
      <c r="O229" s="12"/>
      <c r="P229" s="127"/>
      <c r="Q229" s="24" t="s">
        <v>258</v>
      </c>
      <c r="R229" s="18">
        <v>31.5</v>
      </c>
      <c r="S229" s="18">
        <f>S128+S133/2</f>
        <v>0.52</v>
      </c>
      <c r="T229" s="20">
        <f>S229+E229</f>
        <v>4.9</v>
      </c>
      <c r="U229" s="23">
        <v>2.6</v>
      </c>
      <c r="V229" s="44">
        <v>10</v>
      </c>
      <c r="W229" s="20">
        <f>T229-U229</f>
        <v>2.3000000000000003</v>
      </c>
      <c r="X229" s="19">
        <v>0</v>
      </c>
      <c r="Y229" s="20">
        <v>2</v>
      </c>
      <c r="Z229" s="20">
        <f>Y229-T229</f>
        <v>-2.9000000000000004</v>
      </c>
      <c r="AA229" s="20">
        <f>Z229</f>
        <v>-2.9000000000000004</v>
      </c>
      <c r="AB229" s="90" t="s">
        <v>39</v>
      </c>
    </row>
    <row r="230" spans="1:28" ht="11.25">
      <c r="A230" s="125">
        <v>187</v>
      </c>
      <c r="B230" s="32" t="s">
        <v>259</v>
      </c>
      <c r="C230" s="10" t="s">
        <v>2</v>
      </c>
      <c r="D230" s="10">
        <v>32</v>
      </c>
      <c r="E230" s="30">
        <f>E231+E232</f>
        <v>13.126999999999999</v>
      </c>
      <c r="F230" s="14">
        <f>F231+F232</f>
        <v>4.25</v>
      </c>
      <c r="G230" s="14"/>
      <c r="H230" s="30">
        <f t="shared" si="45"/>
        <v>8.876999999999999</v>
      </c>
      <c r="I230" s="29">
        <v>0</v>
      </c>
      <c r="J230" s="30">
        <v>16.8</v>
      </c>
      <c r="K230" s="30">
        <f t="shared" si="43"/>
        <v>7.923000000000002</v>
      </c>
      <c r="L230" s="97">
        <f>MIN(K230:K232)</f>
        <v>7.923000000000002</v>
      </c>
      <c r="M230" s="97" t="s">
        <v>40</v>
      </c>
      <c r="N230" s="15"/>
      <c r="O230" s="12"/>
      <c r="P230" s="125">
        <v>187</v>
      </c>
      <c r="Q230" s="32" t="s">
        <v>259</v>
      </c>
      <c r="R230" s="10" t="s">
        <v>2</v>
      </c>
      <c r="S230" s="31">
        <f>S231+S232</f>
        <v>4.220000000000001</v>
      </c>
      <c r="T230" s="30">
        <f>T231+T232</f>
        <v>17.347</v>
      </c>
      <c r="U230" s="14">
        <f>U231+U232</f>
        <v>4.25</v>
      </c>
      <c r="V230" s="14"/>
      <c r="W230" s="31">
        <f t="shared" si="44"/>
        <v>13.097000000000001</v>
      </c>
      <c r="X230" s="10">
        <v>0</v>
      </c>
      <c r="Y230" s="10">
        <v>16.8</v>
      </c>
      <c r="Z230" s="31">
        <f t="shared" si="40"/>
        <v>3.7029999999999994</v>
      </c>
      <c r="AA230" s="97">
        <f>MIN(Z230:Z232)</f>
        <v>3.7029999999999994</v>
      </c>
      <c r="AB230" s="97" t="s">
        <v>40</v>
      </c>
    </row>
    <row r="231" spans="1:28" ht="15" customHeight="1">
      <c r="A231" s="126"/>
      <c r="B231" s="10" t="s">
        <v>244</v>
      </c>
      <c r="C231" s="10" t="s">
        <v>2</v>
      </c>
      <c r="D231" s="10"/>
      <c r="E231" s="30">
        <v>4.146</v>
      </c>
      <c r="F231" s="14">
        <v>4</v>
      </c>
      <c r="G231" s="14">
        <v>45</v>
      </c>
      <c r="H231" s="30">
        <f t="shared" si="45"/>
        <v>0.1459999999999999</v>
      </c>
      <c r="I231" s="29">
        <v>0</v>
      </c>
      <c r="J231" s="30">
        <v>16.8</v>
      </c>
      <c r="K231" s="30">
        <f t="shared" si="43"/>
        <v>16.654</v>
      </c>
      <c r="L231" s="97"/>
      <c r="M231" s="97"/>
      <c r="N231" s="15">
        <v>0.91</v>
      </c>
      <c r="O231" s="12"/>
      <c r="P231" s="126"/>
      <c r="Q231" s="10" t="s">
        <v>244</v>
      </c>
      <c r="R231" s="10" t="s">
        <v>2</v>
      </c>
      <c r="S231" s="10">
        <f>S168+S170</f>
        <v>1.6400000000000001</v>
      </c>
      <c r="T231" s="30">
        <f>S231+E231</f>
        <v>5.786</v>
      </c>
      <c r="U231" s="14">
        <v>4</v>
      </c>
      <c r="V231" s="14">
        <v>45</v>
      </c>
      <c r="W231" s="31">
        <f t="shared" si="44"/>
        <v>1.7859999999999996</v>
      </c>
      <c r="X231" s="10">
        <v>0</v>
      </c>
      <c r="Y231" s="10">
        <v>16.8</v>
      </c>
      <c r="Z231" s="31">
        <f t="shared" si="40"/>
        <v>15.014000000000001</v>
      </c>
      <c r="AA231" s="97"/>
      <c r="AB231" s="97"/>
    </row>
    <row r="232" spans="1:28" ht="15" customHeight="1">
      <c r="A232" s="127"/>
      <c r="B232" s="10" t="s">
        <v>260</v>
      </c>
      <c r="C232" s="10" t="s">
        <v>2</v>
      </c>
      <c r="D232" s="10"/>
      <c r="E232" s="30">
        <v>8.981</v>
      </c>
      <c r="F232" s="31">
        <v>0.25</v>
      </c>
      <c r="G232" s="41">
        <v>70</v>
      </c>
      <c r="H232" s="30">
        <f t="shared" si="45"/>
        <v>8.731</v>
      </c>
      <c r="I232" s="29">
        <v>0</v>
      </c>
      <c r="J232" s="30">
        <v>16.8</v>
      </c>
      <c r="K232" s="30">
        <f t="shared" si="43"/>
        <v>8.069</v>
      </c>
      <c r="L232" s="97"/>
      <c r="M232" s="97"/>
      <c r="N232" s="15">
        <v>0.95</v>
      </c>
      <c r="O232" s="12"/>
      <c r="P232" s="127"/>
      <c r="Q232" s="10" t="s">
        <v>260</v>
      </c>
      <c r="R232" s="10" t="s">
        <v>2</v>
      </c>
      <c r="S232" s="10">
        <v>2.58</v>
      </c>
      <c r="T232" s="30">
        <f>S232+E232</f>
        <v>11.561</v>
      </c>
      <c r="U232" s="31">
        <v>0.25</v>
      </c>
      <c r="V232" s="41">
        <v>70</v>
      </c>
      <c r="W232" s="31">
        <f t="shared" si="44"/>
        <v>11.311</v>
      </c>
      <c r="X232" s="10">
        <v>0</v>
      </c>
      <c r="Y232" s="10">
        <v>16.8</v>
      </c>
      <c r="Z232" s="31">
        <f t="shared" si="40"/>
        <v>5.489000000000001</v>
      </c>
      <c r="AA232" s="97"/>
      <c r="AB232" s="97"/>
    </row>
    <row r="233" spans="1:28" ht="11.25">
      <c r="A233" s="125">
        <v>188</v>
      </c>
      <c r="B233" s="32" t="s">
        <v>261</v>
      </c>
      <c r="C233" s="10" t="s">
        <v>5</v>
      </c>
      <c r="D233" s="10">
        <v>20</v>
      </c>
      <c r="E233" s="30">
        <v>6.7</v>
      </c>
      <c r="F233" s="14">
        <f>F234+F235</f>
        <v>1.145</v>
      </c>
      <c r="G233" s="14"/>
      <c r="H233" s="30">
        <f t="shared" si="45"/>
        <v>5.555</v>
      </c>
      <c r="I233" s="29">
        <v>0</v>
      </c>
      <c r="J233" s="30">
        <v>10.5</v>
      </c>
      <c r="K233" s="30">
        <f t="shared" si="43"/>
        <v>4.945</v>
      </c>
      <c r="L233" s="97">
        <f>MIN(K233:K235)</f>
        <v>4.945</v>
      </c>
      <c r="M233" s="97" t="s">
        <v>40</v>
      </c>
      <c r="N233" s="15"/>
      <c r="O233" s="12"/>
      <c r="P233" s="125">
        <v>188</v>
      </c>
      <c r="Q233" s="32" t="s">
        <v>261</v>
      </c>
      <c r="R233" s="10" t="s">
        <v>5</v>
      </c>
      <c r="S233" s="31">
        <f>S234+S235</f>
        <v>0.64</v>
      </c>
      <c r="T233" s="30">
        <f>T234+T235</f>
        <v>7.339733000000001</v>
      </c>
      <c r="U233" s="14">
        <f>U234+U235</f>
        <v>1.145</v>
      </c>
      <c r="V233" s="14"/>
      <c r="W233" s="31">
        <f>T233-U233</f>
        <v>6.194733000000001</v>
      </c>
      <c r="X233" s="10">
        <v>0</v>
      </c>
      <c r="Y233" s="10">
        <v>10.5</v>
      </c>
      <c r="Z233" s="31">
        <f t="shared" si="40"/>
        <v>4.305266999999999</v>
      </c>
      <c r="AA233" s="97">
        <f>MIN(Z233:Z235)</f>
        <v>4.305266999999999</v>
      </c>
      <c r="AB233" s="97" t="s">
        <v>40</v>
      </c>
    </row>
    <row r="234" spans="1:28" ht="15" customHeight="1">
      <c r="A234" s="126"/>
      <c r="B234" s="10" t="s">
        <v>250</v>
      </c>
      <c r="C234" s="10" t="s">
        <v>5</v>
      </c>
      <c r="D234" s="10"/>
      <c r="E234" s="30">
        <f>((30*36.4+41*36.1)/1000)*1.73</f>
        <v>4.449733</v>
      </c>
      <c r="F234" s="14">
        <v>1</v>
      </c>
      <c r="G234" s="14">
        <v>60</v>
      </c>
      <c r="H234" s="30">
        <f t="shared" si="45"/>
        <v>3.449733</v>
      </c>
      <c r="I234" s="29">
        <v>0</v>
      </c>
      <c r="J234" s="30">
        <v>10.5</v>
      </c>
      <c r="K234" s="30">
        <f t="shared" si="43"/>
        <v>7.050267</v>
      </c>
      <c r="L234" s="97"/>
      <c r="M234" s="97"/>
      <c r="N234" s="15">
        <v>0.99</v>
      </c>
      <c r="O234" s="12"/>
      <c r="P234" s="126"/>
      <c r="Q234" s="10" t="s">
        <v>250</v>
      </c>
      <c r="R234" s="10" t="s">
        <v>5</v>
      </c>
      <c r="S234" s="10">
        <f>S167+S131+S133/2+S138/2+S177+S172/2</f>
        <v>0.56</v>
      </c>
      <c r="T234" s="30">
        <f>S234+E234</f>
        <v>5.009733000000001</v>
      </c>
      <c r="U234" s="14">
        <v>1</v>
      </c>
      <c r="V234" s="14">
        <v>60</v>
      </c>
      <c r="W234" s="31">
        <f t="shared" si="44"/>
        <v>4.009733000000001</v>
      </c>
      <c r="X234" s="10">
        <v>0</v>
      </c>
      <c r="Y234" s="10">
        <v>10.5</v>
      </c>
      <c r="Z234" s="31">
        <f aca="true" t="shared" si="46" ref="Z234:Z268">Y234-X234-W234</f>
        <v>6.490266999999999</v>
      </c>
      <c r="AA234" s="97"/>
      <c r="AB234" s="97"/>
    </row>
    <row r="235" spans="1:28" ht="15" customHeight="1">
      <c r="A235" s="127"/>
      <c r="B235" s="10" t="s">
        <v>242</v>
      </c>
      <c r="C235" s="10" t="s">
        <v>5</v>
      </c>
      <c r="D235" s="10"/>
      <c r="E235" s="30">
        <v>2.25</v>
      </c>
      <c r="F235" s="31">
        <v>0.145</v>
      </c>
      <c r="G235" s="41">
        <v>70</v>
      </c>
      <c r="H235" s="30">
        <f t="shared" si="45"/>
        <v>2.105</v>
      </c>
      <c r="I235" s="29">
        <v>0</v>
      </c>
      <c r="J235" s="30">
        <v>10.5</v>
      </c>
      <c r="K235" s="30">
        <f t="shared" si="43"/>
        <v>8.395</v>
      </c>
      <c r="L235" s="97"/>
      <c r="M235" s="97"/>
      <c r="N235" s="15">
        <v>0.92</v>
      </c>
      <c r="O235" s="12"/>
      <c r="P235" s="127"/>
      <c r="Q235" s="10" t="s">
        <v>242</v>
      </c>
      <c r="R235" s="10" t="s">
        <v>5</v>
      </c>
      <c r="S235" s="10">
        <v>0.08</v>
      </c>
      <c r="T235" s="30">
        <f>S235+E235</f>
        <v>2.33</v>
      </c>
      <c r="U235" s="31">
        <v>0.145</v>
      </c>
      <c r="V235" s="41">
        <v>70</v>
      </c>
      <c r="W235" s="31">
        <f t="shared" si="44"/>
        <v>2.185</v>
      </c>
      <c r="X235" s="10">
        <v>0</v>
      </c>
      <c r="Y235" s="10">
        <v>10.5</v>
      </c>
      <c r="Z235" s="31">
        <f t="shared" si="46"/>
        <v>8.315</v>
      </c>
      <c r="AA235" s="97"/>
      <c r="AB235" s="97"/>
    </row>
    <row r="236" spans="1:28" ht="11.25">
      <c r="A236" s="125">
        <v>189</v>
      </c>
      <c r="B236" s="32" t="s">
        <v>262</v>
      </c>
      <c r="C236" s="10" t="s">
        <v>13</v>
      </c>
      <c r="D236" s="10">
        <v>12.6</v>
      </c>
      <c r="E236" s="30">
        <f>E237+E238</f>
        <v>3.96</v>
      </c>
      <c r="F236" s="30">
        <f>F237+F238</f>
        <v>3.182</v>
      </c>
      <c r="G236" s="14"/>
      <c r="H236" s="30">
        <f t="shared" si="45"/>
        <v>0.778</v>
      </c>
      <c r="I236" s="29">
        <v>0</v>
      </c>
      <c r="J236" s="30">
        <f>6.3*1.05</f>
        <v>6.615</v>
      </c>
      <c r="K236" s="30">
        <f t="shared" si="43"/>
        <v>5.837</v>
      </c>
      <c r="L236" s="97">
        <f>MIN(K236:K238)</f>
        <v>5.837</v>
      </c>
      <c r="M236" s="97" t="s">
        <v>40</v>
      </c>
      <c r="N236" s="15"/>
      <c r="O236" s="12"/>
      <c r="P236" s="125">
        <v>189</v>
      </c>
      <c r="Q236" s="32" t="s">
        <v>262</v>
      </c>
      <c r="R236" s="10" t="s">
        <v>13</v>
      </c>
      <c r="S236" s="31">
        <f>S237+S238</f>
        <v>0.535</v>
      </c>
      <c r="T236" s="30">
        <f>T237+T238</f>
        <v>4.495</v>
      </c>
      <c r="U236" s="30">
        <f>U237+U238</f>
        <v>3.182</v>
      </c>
      <c r="V236" s="14"/>
      <c r="W236" s="31">
        <f t="shared" si="44"/>
        <v>1.3130000000000002</v>
      </c>
      <c r="X236" s="10">
        <v>0</v>
      </c>
      <c r="Y236" s="10">
        <v>6.615</v>
      </c>
      <c r="Z236" s="31">
        <f t="shared" si="46"/>
        <v>5.302</v>
      </c>
      <c r="AA236" s="97">
        <f>MIN(Z236:Z238)</f>
        <v>5.302</v>
      </c>
      <c r="AB236" s="97" t="s">
        <v>40</v>
      </c>
    </row>
    <row r="237" spans="1:28" ht="15" customHeight="1">
      <c r="A237" s="126"/>
      <c r="B237" s="10" t="s">
        <v>244</v>
      </c>
      <c r="C237" s="10" t="s">
        <v>13</v>
      </c>
      <c r="D237" s="10"/>
      <c r="E237" s="30">
        <v>3.1</v>
      </c>
      <c r="F237" s="14">
        <v>3</v>
      </c>
      <c r="G237" s="14">
        <v>120</v>
      </c>
      <c r="H237" s="30">
        <f t="shared" si="45"/>
        <v>0.10000000000000009</v>
      </c>
      <c r="I237" s="29">
        <v>0</v>
      </c>
      <c r="J237" s="30">
        <f>6.3*1.05</f>
        <v>6.615</v>
      </c>
      <c r="K237" s="30">
        <f t="shared" si="43"/>
        <v>6.515000000000001</v>
      </c>
      <c r="L237" s="97"/>
      <c r="M237" s="97"/>
      <c r="N237" s="15">
        <v>0.95</v>
      </c>
      <c r="O237" s="12"/>
      <c r="P237" s="126"/>
      <c r="Q237" s="10" t="s">
        <v>244</v>
      </c>
      <c r="R237" s="10" t="s">
        <v>13</v>
      </c>
      <c r="S237" s="10">
        <f>S169+S172/2+S161+S171+S166/2</f>
        <v>0.42500000000000004</v>
      </c>
      <c r="T237" s="30">
        <f>S237+E237</f>
        <v>3.5250000000000004</v>
      </c>
      <c r="U237" s="14">
        <v>3</v>
      </c>
      <c r="V237" s="14">
        <v>120</v>
      </c>
      <c r="W237" s="31">
        <f t="shared" si="44"/>
        <v>0.5250000000000004</v>
      </c>
      <c r="X237" s="10">
        <v>0</v>
      </c>
      <c r="Y237" s="10">
        <v>6.615</v>
      </c>
      <c r="Z237" s="31">
        <f t="shared" si="46"/>
        <v>6.09</v>
      </c>
      <c r="AA237" s="97"/>
      <c r="AB237" s="97"/>
    </row>
    <row r="238" spans="1:28" ht="15" customHeight="1">
      <c r="A238" s="127"/>
      <c r="B238" s="10" t="s">
        <v>242</v>
      </c>
      <c r="C238" s="10" t="s">
        <v>13</v>
      </c>
      <c r="D238" s="10"/>
      <c r="E238" s="30">
        <v>0.86</v>
      </c>
      <c r="F238" s="31">
        <v>0.182</v>
      </c>
      <c r="G238" s="41">
        <v>60</v>
      </c>
      <c r="H238" s="30">
        <f t="shared" si="45"/>
        <v>0.6779999999999999</v>
      </c>
      <c r="I238" s="29">
        <v>0</v>
      </c>
      <c r="J238" s="30">
        <f>6.3*1.05</f>
        <v>6.615</v>
      </c>
      <c r="K238" s="30">
        <f t="shared" si="43"/>
        <v>5.937</v>
      </c>
      <c r="L238" s="97"/>
      <c r="M238" s="97"/>
      <c r="N238" s="15">
        <v>0.94</v>
      </c>
      <c r="O238" s="12"/>
      <c r="P238" s="127"/>
      <c r="Q238" s="10" t="s">
        <v>242</v>
      </c>
      <c r="R238" s="10" t="s">
        <v>13</v>
      </c>
      <c r="S238" s="10">
        <v>0.11</v>
      </c>
      <c r="T238" s="30">
        <f>S238+E238</f>
        <v>0.97</v>
      </c>
      <c r="U238" s="31">
        <v>0.182</v>
      </c>
      <c r="V238" s="41">
        <v>60</v>
      </c>
      <c r="W238" s="31">
        <f t="shared" si="44"/>
        <v>0.788</v>
      </c>
      <c r="X238" s="10">
        <v>0</v>
      </c>
      <c r="Y238" s="10">
        <v>6.615</v>
      </c>
      <c r="Z238" s="31">
        <f t="shared" si="46"/>
        <v>5.827</v>
      </c>
      <c r="AA238" s="97"/>
      <c r="AB238" s="97"/>
    </row>
    <row r="239" spans="1:28" ht="11.25">
      <c r="A239" s="125">
        <v>190</v>
      </c>
      <c r="B239" s="32" t="s">
        <v>263</v>
      </c>
      <c r="C239" s="10" t="s">
        <v>11</v>
      </c>
      <c r="D239" s="10">
        <v>26</v>
      </c>
      <c r="E239" s="30">
        <f>E240+E241</f>
        <v>11.581999999999999</v>
      </c>
      <c r="F239" s="14">
        <f>F240+F241</f>
        <v>5.16</v>
      </c>
      <c r="G239" s="14"/>
      <c r="H239" s="30">
        <f t="shared" si="45"/>
        <v>6.421999999999999</v>
      </c>
      <c r="I239" s="29">
        <v>0</v>
      </c>
      <c r="J239" s="30">
        <v>10.5</v>
      </c>
      <c r="K239" s="30">
        <f t="shared" si="43"/>
        <v>4.078000000000001</v>
      </c>
      <c r="L239" s="97">
        <f>MIN(K239:K241)</f>
        <v>4.078000000000001</v>
      </c>
      <c r="M239" s="97" t="s">
        <v>40</v>
      </c>
      <c r="N239" s="15"/>
      <c r="O239" s="12"/>
      <c r="P239" s="125">
        <v>190</v>
      </c>
      <c r="Q239" s="32" t="s">
        <v>263</v>
      </c>
      <c r="R239" s="10" t="s">
        <v>11</v>
      </c>
      <c r="S239" s="31">
        <f>S240+S241</f>
        <v>1.665</v>
      </c>
      <c r="T239" s="30">
        <f>T240+T241</f>
        <v>13.247</v>
      </c>
      <c r="U239" s="14">
        <f>U240+U241</f>
        <v>5.16</v>
      </c>
      <c r="V239" s="14"/>
      <c r="W239" s="31">
        <f t="shared" si="44"/>
        <v>8.087</v>
      </c>
      <c r="X239" s="10">
        <v>0</v>
      </c>
      <c r="Y239" s="10">
        <v>10.5</v>
      </c>
      <c r="Z239" s="31">
        <f t="shared" si="46"/>
        <v>2.4130000000000003</v>
      </c>
      <c r="AA239" s="97">
        <f>MIN(Z239:Z241)</f>
        <v>2.4130000000000003</v>
      </c>
      <c r="AB239" s="97" t="s">
        <v>40</v>
      </c>
    </row>
    <row r="240" spans="1:28" ht="15" customHeight="1">
      <c r="A240" s="126"/>
      <c r="B240" s="10" t="s">
        <v>244</v>
      </c>
      <c r="C240" s="10" t="s">
        <v>11</v>
      </c>
      <c r="D240" s="10"/>
      <c r="E240" s="30">
        <v>9.549</v>
      </c>
      <c r="F240" s="14">
        <v>4.8</v>
      </c>
      <c r="G240" s="14">
        <v>20</v>
      </c>
      <c r="H240" s="30">
        <f t="shared" si="45"/>
        <v>4.749</v>
      </c>
      <c r="I240" s="29">
        <v>0</v>
      </c>
      <c r="J240" s="30">
        <v>10.5</v>
      </c>
      <c r="K240" s="30">
        <f t="shared" si="43"/>
        <v>5.751</v>
      </c>
      <c r="L240" s="97"/>
      <c r="M240" s="97"/>
      <c r="N240" s="15">
        <v>0.93</v>
      </c>
      <c r="O240" s="12"/>
      <c r="P240" s="126"/>
      <c r="Q240" s="10" t="s">
        <v>244</v>
      </c>
      <c r="R240" s="10" t="s">
        <v>11</v>
      </c>
      <c r="S240" s="10">
        <f>S166/2+S160/2+S162+S159+S157/2+S135+S137+S132+S24</f>
        <v>0.765</v>
      </c>
      <c r="T240" s="30">
        <f>S240+E240</f>
        <v>10.314</v>
      </c>
      <c r="U240" s="14">
        <v>4.8</v>
      </c>
      <c r="V240" s="14">
        <v>20</v>
      </c>
      <c r="W240" s="31">
        <f t="shared" si="44"/>
        <v>5.514</v>
      </c>
      <c r="X240" s="10">
        <v>0</v>
      </c>
      <c r="Y240" s="10">
        <v>10.5</v>
      </c>
      <c r="Z240" s="31">
        <f t="shared" si="46"/>
        <v>4.986</v>
      </c>
      <c r="AA240" s="97"/>
      <c r="AB240" s="97"/>
    </row>
    <row r="241" spans="1:28" ht="15" customHeight="1">
      <c r="A241" s="127"/>
      <c r="B241" s="10" t="s">
        <v>242</v>
      </c>
      <c r="C241" s="10" t="s">
        <v>11</v>
      </c>
      <c r="D241" s="10"/>
      <c r="E241" s="30">
        <v>2.033</v>
      </c>
      <c r="F241" s="31">
        <v>0.36</v>
      </c>
      <c r="G241" s="41">
        <v>140</v>
      </c>
      <c r="H241" s="30">
        <f t="shared" si="45"/>
        <v>1.673</v>
      </c>
      <c r="I241" s="29">
        <v>0</v>
      </c>
      <c r="J241" s="30">
        <v>10.5</v>
      </c>
      <c r="K241" s="30">
        <f t="shared" si="43"/>
        <v>8.827</v>
      </c>
      <c r="L241" s="97"/>
      <c r="M241" s="97"/>
      <c r="N241" s="15">
        <v>0.92</v>
      </c>
      <c r="O241" s="12"/>
      <c r="P241" s="127"/>
      <c r="Q241" s="10" t="s">
        <v>242</v>
      </c>
      <c r="R241" s="10" t="s">
        <v>11</v>
      </c>
      <c r="S241" s="10">
        <v>0.9</v>
      </c>
      <c r="T241" s="30">
        <f>S241+E241</f>
        <v>2.933</v>
      </c>
      <c r="U241" s="31">
        <v>0.36</v>
      </c>
      <c r="V241" s="41">
        <v>140</v>
      </c>
      <c r="W241" s="31">
        <f t="shared" si="44"/>
        <v>2.573</v>
      </c>
      <c r="X241" s="10">
        <v>0</v>
      </c>
      <c r="Y241" s="10">
        <v>10.5</v>
      </c>
      <c r="Z241" s="31">
        <f t="shared" si="46"/>
        <v>7.927</v>
      </c>
      <c r="AA241" s="97"/>
      <c r="AB241" s="97"/>
    </row>
    <row r="242" spans="1:28" ht="11.25">
      <c r="A242" s="125">
        <v>191</v>
      </c>
      <c r="B242" s="32" t="s">
        <v>264</v>
      </c>
      <c r="C242" s="10" t="s">
        <v>31</v>
      </c>
      <c r="D242" s="10">
        <v>26</v>
      </c>
      <c r="E242" s="30">
        <f>E243+E244</f>
        <v>7.036</v>
      </c>
      <c r="F242" s="14">
        <f>F243+F244</f>
        <v>5.63</v>
      </c>
      <c r="G242" s="14"/>
      <c r="H242" s="30">
        <f t="shared" si="45"/>
        <v>1.4059999999999997</v>
      </c>
      <c r="I242" s="29">
        <v>0</v>
      </c>
      <c r="J242" s="30">
        <v>10.5</v>
      </c>
      <c r="K242" s="30">
        <f t="shared" si="43"/>
        <v>9.094000000000001</v>
      </c>
      <c r="L242" s="97">
        <f>MIN(K242:K244)</f>
        <v>9.045</v>
      </c>
      <c r="M242" s="97" t="s">
        <v>40</v>
      </c>
      <c r="N242" s="15"/>
      <c r="O242" s="12"/>
      <c r="P242" s="125">
        <v>191</v>
      </c>
      <c r="Q242" s="32" t="s">
        <v>264</v>
      </c>
      <c r="R242" s="10" t="s">
        <v>31</v>
      </c>
      <c r="S242" s="31">
        <f>S243+S244</f>
        <v>0.7120000000000001</v>
      </c>
      <c r="T242" s="30">
        <f>T243+T244</f>
        <v>7.748</v>
      </c>
      <c r="U242" s="14">
        <f>U243+U244</f>
        <v>5.63</v>
      </c>
      <c r="V242" s="14"/>
      <c r="W242" s="31">
        <f t="shared" si="44"/>
        <v>2.1180000000000003</v>
      </c>
      <c r="X242" s="10">
        <v>0</v>
      </c>
      <c r="Y242" s="10">
        <v>10.5</v>
      </c>
      <c r="Z242" s="31">
        <f t="shared" si="46"/>
        <v>8.382</v>
      </c>
      <c r="AA242" s="97">
        <f>MIN(Z242:Z244)</f>
        <v>8.382</v>
      </c>
      <c r="AB242" s="97" t="s">
        <v>40</v>
      </c>
    </row>
    <row r="243" spans="1:28" ht="15" customHeight="1">
      <c r="A243" s="126"/>
      <c r="B243" s="10" t="s">
        <v>265</v>
      </c>
      <c r="C243" s="10" t="s">
        <v>31</v>
      </c>
      <c r="D243" s="10"/>
      <c r="E243" s="30">
        <v>2.751</v>
      </c>
      <c r="F243" s="14">
        <v>2.8</v>
      </c>
      <c r="G243" s="14">
        <v>80</v>
      </c>
      <c r="H243" s="30">
        <f t="shared" si="45"/>
        <v>-0.04899999999999993</v>
      </c>
      <c r="I243" s="29">
        <v>0</v>
      </c>
      <c r="J243" s="30">
        <v>10.5</v>
      </c>
      <c r="K243" s="30">
        <f t="shared" si="43"/>
        <v>10.549</v>
      </c>
      <c r="L243" s="97"/>
      <c r="M243" s="97"/>
      <c r="N243" s="15">
        <v>0.92</v>
      </c>
      <c r="O243" s="12"/>
      <c r="P243" s="126"/>
      <c r="Q243" s="10" t="s">
        <v>265</v>
      </c>
      <c r="R243" s="10" t="s">
        <v>31</v>
      </c>
      <c r="S243" s="10">
        <f>S158+S163+S164+S157/2</f>
        <v>0.562</v>
      </c>
      <c r="T243" s="30">
        <f>S243+E243</f>
        <v>3.3129999999999997</v>
      </c>
      <c r="U243" s="14">
        <v>2.8</v>
      </c>
      <c r="V243" s="14">
        <v>80</v>
      </c>
      <c r="W243" s="31">
        <f t="shared" si="44"/>
        <v>0.5129999999999999</v>
      </c>
      <c r="X243" s="10">
        <v>0</v>
      </c>
      <c r="Y243" s="10">
        <v>10.5</v>
      </c>
      <c r="Z243" s="31">
        <f t="shared" si="46"/>
        <v>9.987</v>
      </c>
      <c r="AA243" s="97"/>
      <c r="AB243" s="97"/>
    </row>
    <row r="244" spans="1:28" ht="15" customHeight="1">
      <c r="A244" s="127"/>
      <c r="B244" s="10" t="s">
        <v>242</v>
      </c>
      <c r="C244" s="10" t="s">
        <v>31</v>
      </c>
      <c r="D244" s="10"/>
      <c r="E244" s="30">
        <v>4.285</v>
      </c>
      <c r="F244" s="31">
        <v>2.83</v>
      </c>
      <c r="G244" s="41">
        <v>340</v>
      </c>
      <c r="H244" s="30">
        <f t="shared" si="45"/>
        <v>1.455</v>
      </c>
      <c r="I244" s="29">
        <v>0</v>
      </c>
      <c r="J244" s="30">
        <v>10.5</v>
      </c>
      <c r="K244" s="30">
        <f t="shared" si="43"/>
        <v>9.045</v>
      </c>
      <c r="L244" s="97"/>
      <c r="M244" s="97"/>
      <c r="N244" s="15">
        <v>0.95</v>
      </c>
      <c r="O244" s="12"/>
      <c r="P244" s="127"/>
      <c r="Q244" s="10" t="s">
        <v>242</v>
      </c>
      <c r="R244" s="10" t="s">
        <v>31</v>
      </c>
      <c r="S244" s="10">
        <v>0.15</v>
      </c>
      <c r="T244" s="30">
        <f>S244+E244</f>
        <v>4.4350000000000005</v>
      </c>
      <c r="U244" s="31">
        <v>2.83</v>
      </c>
      <c r="V244" s="41">
        <v>340</v>
      </c>
      <c r="W244" s="31">
        <f t="shared" si="44"/>
        <v>1.6050000000000004</v>
      </c>
      <c r="X244" s="10">
        <v>0</v>
      </c>
      <c r="Y244" s="10">
        <v>10.5</v>
      </c>
      <c r="Z244" s="31">
        <f t="shared" si="46"/>
        <v>8.895</v>
      </c>
      <c r="AA244" s="97"/>
      <c r="AB244" s="97"/>
    </row>
    <row r="245" spans="1:28" ht="22.5">
      <c r="A245" s="125">
        <v>192</v>
      </c>
      <c r="B245" s="32" t="s">
        <v>266</v>
      </c>
      <c r="C245" s="10" t="s">
        <v>13</v>
      </c>
      <c r="D245" s="10">
        <v>12.6</v>
      </c>
      <c r="E245" s="30">
        <f>E246+E247</f>
        <v>2.148</v>
      </c>
      <c r="F245" s="14">
        <f>F246+F247</f>
        <v>1.04</v>
      </c>
      <c r="G245" s="14"/>
      <c r="H245" s="30">
        <f aca="true" t="shared" si="47" ref="H245:H268">E245-F245</f>
        <v>1.108</v>
      </c>
      <c r="I245" s="29">
        <v>0</v>
      </c>
      <c r="J245" s="30">
        <f>6.3*1.05</f>
        <v>6.615</v>
      </c>
      <c r="K245" s="30">
        <f t="shared" si="43"/>
        <v>5.507</v>
      </c>
      <c r="L245" s="97">
        <f>MIN(K245:K247)</f>
        <v>5.507</v>
      </c>
      <c r="M245" s="97" t="s">
        <v>40</v>
      </c>
      <c r="N245" s="15"/>
      <c r="O245" s="12"/>
      <c r="P245" s="125">
        <v>192</v>
      </c>
      <c r="Q245" s="32" t="s">
        <v>266</v>
      </c>
      <c r="R245" s="10" t="s">
        <v>13</v>
      </c>
      <c r="S245" s="31">
        <f>S246+S247</f>
        <v>0.54</v>
      </c>
      <c r="T245" s="30">
        <f>T246+T247</f>
        <v>2.6879999999999997</v>
      </c>
      <c r="U245" s="14">
        <f>U246+U247</f>
        <v>1.04</v>
      </c>
      <c r="V245" s="14"/>
      <c r="W245" s="31">
        <f t="shared" si="44"/>
        <v>1.6479999999999997</v>
      </c>
      <c r="X245" s="10">
        <v>0</v>
      </c>
      <c r="Y245" s="10">
        <v>6.615</v>
      </c>
      <c r="Z245" s="31">
        <f t="shared" si="46"/>
        <v>4.9670000000000005</v>
      </c>
      <c r="AA245" s="97">
        <f>MIN(Z245:Z247)</f>
        <v>4.9670000000000005</v>
      </c>
      <c r="AB245" s="97" t="s">
        <v>40</v>
      </c>
    </row>
    <row r="246" spans="1:28" ht="15" customHeight="1">
      <c r="A246" s="126"/>
      <c r="B246" s="10" t="s">
        <v>244</v>
      </c>
      <c r="C246" s="10" t="s">
        <v>13</v>
      </c>
      <c r="D246" s="10"/>
      <c r="E246" s="30">
        <v>1.343</v>
      </c>
      <c r="F246" s="14">
        <v>0.7</v>
      </c>
      <c r="G246" s="14">
        <v>30</v>
      </c>
      <c r="H246" s="30">
        <f t="shared" si="47"/>
        <v>0.643</v>
      </c>
      <c r="I246" s="29">
        <v>0</v>
      </c>
      <c r="J246" s="30">
        <f>6.3*1.05</f>
        <v>6.615</v>
      </c>
      <c r="K246" s="30">
        <f t="shared" si="43"/>
        <v>5.972</v>
      </c>
      <c r="L246" s="97"/>
      <c r="M246" s="97"/>
      <c r="N246" s="15">
        <v>0.99</v>
      </c>
      <c r="O246" s="12"/>
      <c r="P246" s="126"/>
      <c r="Q246" s="10" t="s">
        <v>244</v>
      </c>
      <c r="R246" s="10" t="s">
        <v>13</v>
      </c>
      <c r="S246" s="10">
        <f>S165</f>
        <v>0.3</v>
      </c>
      <c r="T246" s="30">
        <f>S246+E246</f>
        <v>1.643</v>
      </c>
      <c r="U246" s="14">
        <v>0.7</v>
      </c>
      <c r="V246" s="14">
        <v>30</v>
      </c>
      <c r="W246" s="31">
        <f t="shared" si="44"/>
        <v>0.9430000000000001</v>
      </c>
      <c r="X246" s="10">
        <v>0</v>
      </c>
      <c r="Y246" s="10">
        <v>6.615</v>
      </c>
      <c r="Z246" s="31">
        <f t="shared" si="46"/>
        <v>5.672000000000001</v>
      </c>
      <c r="AA246" s="97"/>
      <c r="AB246" s="97"/>
    </row>
    <row r="247" spans="1:28" ht="15" customHeight="1">
      <c r="A247" s="127"/>
      <c r="B247" s="10" t="s">
        <v>242</v>
      </c>
      <c r="C247" s="10" t="s">
        <v>13</v>
      </c>
      <c r="D247" s="10"/>
      <c r="E247" s="30">
        <v>0.805</v>
      </c>
      <c r="F247" s="31">
        <v>0.34</v>
      </c>
      <c r="G247" s="41">
        <v>150</v>
      </c>
      <c r="H247" s="30">
        <f t="shared" si="47"/>
        <v>0.465</v>
      </c>
      <c r="I247" s="29">
        <v>0</v>
      </c>
      <c r="J247" s="30">
        <f>6.3*1.05</f>
        <v>6.615</v>
      </c>
      <c r="K247" s="30">
        <f aca="true" t="shared" si="48" ref="K247:K268">J247-I247-H247</f>
        <v>6.15</v>
      </c>
      <c r="L247" s="97"/>
      <c r="M247" s="97"/>
      <c r="N247" s="15">
        <v>0.94</v>
      </c>
      <c r="O247" s="12"/>
      <c r="P247" s="127"/>
      <c r="Q247" s="10" t="s">
        <v>242</v>
      </c>
      <c r="R247" s="10" t="s">
        <v>13</v>
      </c>
      <c r="S247" s="10">
        <v>0.24</v>
      </c>
      <c r="T247" s="30">
        <f>S247+E247</f>
        <v>1.045</v>
      </c>
      <c r="U247" s="31">
        <v>0.34</v>
      </c>
      <c r="V247" s="41">
        <v>150</v>
      </c>
      <c r="W247" s="31">
        <f aca="true" t="shared" si="49" ref="W247:W268">T247-U247</f>
        <v>0.7049999999999998</v>
      </c>
      <c r="X247" s="10">
        <v>0</v>
      </c>
      <c r="Y247" s="10">
        <v>6.615</v>
      </c>
      <c r="Z247" s="31">
        <f t="shared" si="46"/>
        <v>5.91</v>
      </c>
      <c r="AA247" s="97"/>
      <c r="AB247" s="97"/>
    </row>
    <row r="248" spans="1:28" ht="11.25">
      <c r="A248" s="128">
        <v>193</v>
      </c>
      <c r="B248" s="24" t="s">
        <v>267</v>
      </c>
      <c r="C248" s="18" t="s">
        <v>2</v>
      </c>
      <c r="D248" s="18">
        <v>32</v>
      </c>
      <c r="E248" s="20">
        <f>E249+E250</f>
        <v>20.6</v>
      </c>
      <c r="F248" s="21">
        <f>F249+F250</f>
        <v>3.2</v>
      </c>
      <c r="G248" s="21"/>
      <c r="H248" s="20">
        <f t="shared" si="47"/>
        <v>17.400000000000002</v>
      </c>
      <c r="I248" s="19">
        <v>0</v>
      </c>
      <c r="J248" s="20">
        <v>16.8</v>
      </c>
      <c r="K248" s="20">
        <f t="shared" si="48"/>
        <v>-0.6000000000000014</v>
      </c>
      <c r="L248" s="101">
        <f>MIN(K248:K250)</f>
        <v>-0.6000000000000014</v>
      </c>
      <c r="M248" s="101" t="s">
        <v>39</v>
      </c>
      <c r="N248" s="22"/>
      <c r="O248" s="12"/>
      <c r="P248" s="128">
        <v>193</v>
      </c>
      <c r="Q248" s="24" t="s">
        <v>267</v>
      </c>
      <c r="R248" s="18" t="s">
        <v>2</v>
      </c>
      <c r="S248" s="23">
        <f>S249+S250</f>
        <v>4.8100000000000005</v>
      </c>
      <c r="T248" s="20">
        <f>T249+T250</f>
        <v>25.41</v>
      </c>
      <c r="U248" s="21">
        <f>U249+U250</f>
        <v>3.2</v>
      </c>
      <c r="V248" s="21"/>
      <c r="W248" s="23">
        <f>T248-U248</f>
        <v>22.21</v>
      </c>
      <c r="X248" s="18">
        <v>0</v>
      </c>
      <c r="Y248" s="18">
        <v>16.8</v>
      </c>
      <c r="Z248" s="23">
        <f t="shared" si="46"/>
        <v>-5.41</v>
      </c>
      <c r="AA248" s="101">
        <f>MIN(Z248:Z250)</f>
        <v>-5.41</v>
      </c>
      <c r="AB248" s="101" t="s">
        <v>39</v>
      </c>
    </row>
    <row r="249" spans="1:28" ht="15" customHeight="1">
      <c r="A249" s="129"/>
      <c r="B249" s="18" t="s">
        <v>244</v>
      </c>
      <c r="C249" s="18" t="s">
        <v>2</v>
      </c>
      <c r="D249" s="18"/>
      <c r="E249" s="33">
        <v>13.15</v>
      </c>
      <c r="F249" s="23">
        <v>3.2</v>
      </c>
      <c r="G249" s="21">
        <v>15</v>
      </c>
      <c r="H249" s="20">
        <f t="shared" si="47"/>
        <v>9.95</v>
      </c>
      <c r="I249" s="19">
        <v>0</v>
      </c>
      <c r="J249" s="20">
        <v>16.8</v>
      </c>
      <c r="K249" s="20">
        <f t="shared" si="48"/>
        <v>6.850000000000001</v>
      </c>
      <c r="L249" s="101"/>
      <c r="M249" s="101"/>
      <c r="N249" s="22">
        <v>0.942</v>
      </c>
      <c r="O249" s="12"/>
      <c r="P249" s="129"/>
      <c r="Q249" s="18" t="s">
        <v>244</v>
      </c>
      <c r="R249" s="18" t="s">
        <v>2</v>
      </c>
      <c r="S249" s="18">
        <f>S124/2+S139+S136+S130</f>
        <v>3.35</v>
      </c>
      <c r="T249" s="20">
        <f>S249+E249</f>
        <v>16.5</v>
      </c>
      <c r="U249" s="23">
        <v>3.2</v>
      </c>
      <c r="V249" s="21">
        <v>15</v>
      </c>
      <c r="W249" s="23">
        <f t="shared" si="49"/>
        <v>13.3</v>
      </c>
      <c r="X249" s="18">
        <v>0</v>
      </c>
      <c r="Y249" s="18">
        <v>16.8</v>
      </c>
      <c r="Z249" s="23">
        <f t="shared" si="46"/>
        <v>3.5</v>
      </c>
      <c r="AA249" s="101"/>
      <c r="AB249" s="101"/>
    </row>
    <row r="250" spans="1:28" ht="15" customHeight="1">
      <c r="A250" s="130"/>
      <c r="B250" s="18" t="s">
        <v>242</v>
      </c>
      <c r="C250" s="18" t="s">
        <v>2</v>
      </c>
      <c r="D250" s="18"/>
      <c r="E250" s="33">
        <v>7.45</v>
      </c>
      <c r="F250" s="23">
        <v>0</v>
      </c>
      <c r="G250" s="44">
        <v>0</v>
      </c>
      <c r="H250" s="20">
        <f t="shared" si="47"/>
        <v>7.45</v>
      </c>
      <c r="I250" s="19">
        <v>0</v>
      </c>
      <c r="J250" s="20">
        <v>16.8</v>
      </c>
      <c r="K250" s="20">
        <f t="shared" si="48"/>
        <v>9.350000000000001</v>
      </c>
      <c r="L250" s="101"/>
      <c r="M250" s="101"/>
      <c r="N250" s="22">
        <v>0.917</v>
      </c>
      <c r="O250" s="12"/>
      <c r="P250" s="130"/>
      <c r="Q250" s="18" t="s">
        <v>242</v>
      </c>
      <c r="R250" s="18" t="s">
        <v>2</v>
      </c>
      <c r="S250" s="18">
        <v>1.46</v>
      </c>
      <c r="T250" s="20">
        <f>S250+E250</f>
        <v>8.91</v>
      </c>
      <c r="U250" s="23">
        <v>0</v>
      </c>
      <c r="V250" s="44">
        <v>0</v>
      </c>
      <c r="W250" s="23">
        <f t="shared" si="49"/>
        <v>8.91</v>
      </c>
      <c r="X250" s="18">
        <v>0</v>
      </c>
      <c r="Y250" s="18">
        <v>16.8</v>
      </c>
      <c r="Z250" s="23">
        <f t="shared" si="46"/>
        <v>7.890000000000001</v>
      </c>
      <c r="AA250" s="101"/>
      <c r="AB250" s="101"/>
    </row>
    <row r="251" spans="1:28" ht="15" customHeight="1">
      <c r="A251" s="125">
        <v>194</v>
      </c>
      <c r="B251" s="32" t="s">
        <v>268</v>
      </c>
      <c r="C251" s="10" t="s">
        <v>2</v>
      </c>
      <c r="D251" s="10">
        <v>32</v>
      </c>
      <c r="E251" s="30">
        <f>E252+E253</f>
        <v>9.899999999999999</v>
      </c>
      <c r="F251" s="14">
        <f>F252+F253</f>
        <v>3.71</v>
      </c>
      <c r="G251" s="14"/>
      <c r="H251" s="30">
        <f t="shared" si="47"/>
        <v>6.189999999999999</v>
      </c>
      <c r="I251" s="29">
        <v>0</v>
      </c>
      <c r="J251" s="30">
        <v>16.8</v>
      </c>
      <c r="K251" s="30">
        <f t="shared" si="48"/>
        <v>10.610000000000003</v>
      </c>
      <c r="L251" s="97">
        <f>MIN(K251:K253)</f>
        <v>10.610000000000003</v>
      </c>
      <c r="M251" s="98" t="s">
        <v>33</v>
      </c>
      <c r="N251" s="15"/>
      <c r="O251" s="12"/>
      <c r="P251" s="125">
        <v>194</v>
      </c>
      <c r="Q251" s="32" t="s">
        <v>268</v>
      </c>
      <c r="R251" s="10" t="s">
        <v>2</v>
      </c>
      <c r="S251" s="31">
        <f>S252+S253</f>
        <v>3.48</v>
      </c>
      <c r="T251" s="30">
        <f>T252+T253</f>
        <v>13.379999999999999</v>
      </c>
      <c r="U251" s="14">
        <f>U252+U253</f>
        <v>3.71</v>
      </c>
      <c r="V251" s="14"/>
      <c r="W251" s="31">
        <f>T251-U251</f>
        <v>9.669999999999998</v>
      </c>
      <c r="X251" s="10">
        <v>0</v>
      </c>
      <c r="Y251" s="10">
        <v>16.8</v>
      </c>
      <c r="Z251" s="31">
        <f t="shared" si="46"/>
        <v>7.130000000000003</v>
      </c>
      <c r="AA251" s="97">
        <f>MIN(Z251:Z253)</f>
        <v>7.130000000000003</v>
      </c>
      <c r="AB251" s="98" t="s">
        <v>33</v>
      </c>
    </row>
    <row r="252" spans="1:28" ht="15" customHeight="1">
      <c r="A252" s="126"/>
      <c r="B252" s="10" t="s">
        <v>244</v>
      </c>
      <c r="C252" s="10" t="s">
        <v>2</v>
      </c>
      <c r="D252" s="10"/>
      <c r="E252" s="30">
        <v>5.59</v>
      </c>
      <c r="F252" s="14">
        <v>2.5</v>
      </c>
      <c r="G252" s="14">
        <v>30</v>
      </c>
      <c r="H252" s="30">
        <f t="shared" si="47"/>
        <v>3.09</v>
      </c>
      <c r="I252" s="29">
        <v>0</v>
      </c>
      <c r="J252" s="30">
        <v>16.8</v>
      </c>
      <c r="K252" s="30">
        <f t="shared" si="48"/>
        <v>13.71</v>
      </c>
      <c r="L252" s="97"/>
      <c r="M252" s="99"/>
      <c r="N252" s="15">
        <v>0.93</v>
      </c>
      <c r="O252" s="12"/>
      <c r="P252" s="126"/>
      <c r="Q252" s="10" t="s">
        <v>244</v>
      </c>
      <c r="R252" s="10" t="s">
        <v>2</v>
      </c>
      <c r="S252" s="10">
        <f>S141+S142+S143</f>
        <v>1.81</v>
      </c>
      <c r="T252" s="30">
        <f>S252+E252</f>
        <v>7.4</v>
      </c>
      <c r="U252" s="14">
        <v>2.5</v>
      </c>
      <c r="V252" s="14">
        <v>30</v>
      </c>
      <c r="W252" s="31">
        <f t="shared" si="49"/>
        <v>4.9</v>
      </c>
      <c r="X252" s="10">
        <v>0</v>
      </c>
      <c r="Y252" s="10">
        <v>16.8</v>
      </c>
      <c r="Z252" s="31">
        <f t="shared" si="46"/>
        <v>11.9</v>
      </c>
      <c r="AA252" s="97"/>
      <c r="AB252" s="99"/>
    </row>
    <row r="253" spans="1:28" ht="15" customHeight="1">
      <c r="A253" s="127"/>
      <c r="B253" s="10" t="s">
        <v>242</v>
      </c>
      <c r="C253" s="10" t="s">
        <v>2</v>
      </c>
      <c r="D253" s="10"/>
      <c r="E253" s="30">
        <v>4.31</v>
      </c>
      <c r="F253" s="31">
        <v>1.21</v>
      </c>
      <c r="G253" s="41">
        <v>100</v>
      </c>
      <c r="H253" s="30">
        <f t="shared" si="47"/>
        <v>3.0999999999999996</v>
      </c>
      <c r="I253" s="29">
        <v>0</v>
      </c>
      <c r="J253" s="30">
        <v>16.8</v>
      </c>
      <c r="K253" s="30">
        <f t="shared" si="48"/>
        <v>13.700000000000001</v>
      </c>
      <c r="L253" s="97"/>
      <c r="M253" s="100"/>
      <c r="N253" s="15">
        <v>0.93</v>
      </c>
      <c r="O253" s="12"/>
      <c r="P253" s="127"/>
      <c r="Q253" s="10" t="s">
        <v>242</v>
      </c>
      <c r="R253" s="10" t="s">
        <v>2</v>
      </c>
      <c r="S253" s="10">
        <v>1.67</v>
      </c>
      <c r="T253" s="30">
        <f>S253+E253</f>
        <v>5.9799999999999995</v>
      </c>
      <c r="U253" s="31">
        <v>1.21</v>
      </c>
      <c r="V253" s="41">
        <v>100</v>
      </c>
      <c r="W253" s="31">
        <f t="shared" si="49"/>
        <v>4.77</v>
      </c>
      <c r="X253" s="10">
        <v>0</v>
      </c>
      <c r="Y253" s="10">
        <v>16.8</v>
      </c>
      <c r="Z253" s="31">
        <f t="shared" si="46"/>
        <v>12.030000000000001</v>
      </c>
      <c r="AA253" s="97"/>
      <c r="AB253" s="100"/>
    </row>
    <row r="254" spans="1:28" ht="11.25">
      <c r="A254" s="125">
        <v>195</v>
      </c>
      <c r="B254" s="32" t="s">
        <v>269</v>
      </c>
      <c r="C254" s="10" t="s">
        <v>6</v>
      </c>
      <c r="D254" s="10">
        <v>16.3</v>
      </c>
      <c r="E254" s="30">
        <f>E255+E256</f>
        <v>7</v>
      </c>
      <c r="F254" s="30">
        <f>F255+F256</f>
        <v>1.96</v>
      </c>
      <c r="G254" s="14"/>
      <c r="H254" s="30">
        <f t="shared" si="47"/>
        <v>5.04</v>
      </c>
      <c r="I254" s="29">
        <v>0</v>
      </c>
      <c r="J254" s="30">
        <f>6.3*1.05</f>
        <v>6.615</v>
      </c>
      <c r="K254" s="30">
        <f t="shared" si="48"/>
        <v>1.5750000000000002</v>
      </c>
      <c r="L254" s="97">
        <f>MIN(K254:K256)</f>
        <v>1.5750000000000002</v>
      </c>
      <c r="M254" s="98" t="s">
        <v>33</v>
      </c>
      <c r="N254" s="15"/>
      <c r="O254" s="12"/>
      <c r="P254" s="128">
        <v>195</v>
      </c>
      <c r="Q254" s="24" t="s">
        <v>269</v>
      </c>
      <c r="R254" s="18" t="s">
        <v>6</v>
      </c>
      <c r="S254" s="23">
        <f>S255+S256</f>
        <v>1.9949999999999999</v>
      </c>
      <c r="T254" s="20">
        <f>T255+T256</f>
        <v>8.995000000000001</v>
      </c>
      <c r="U254" s="20">
        <f>U255+U256</f>
        <v>1.96</v>
      </c>
      <c r="V254" s="21"/>
      <c r="W254" s="23">
        <f t="shared" si="49"/>
        <v>7.035000000000001</v>
      </c>
      <c r="X254" s="18">
        <v>0</v>
      </c>
      <c r="Y254" s="18">
        <v>6.615</v>
      </c>
      <c r="Z254" s="23">
        <f t="shared" si="46"/>
        <v>-0.4200000000000008</v>
      </c>
      <c r="AA254" s="101">
        <f>MIN(Z254:Z256)</f>
        <v>-0.4200000000000008</v>
      </c>
      <c r="AB254" s="102" t="s">
        <v>33</v>
      </c>
    </row>
    <row r="255" spans="1:28" ht="15" customHeight="1">
      <c r="A255" s="126"/>
      <c r="B255" s="10" t="s">
        <v>244</v>
      </c>
      <c r="C255" s="10" t="s">
        <v>6</v>
      </c>
      <c r="D255" s="10"/>
      <c r="E255" s="30">
        <v>4.6</v>
      </c>
      <c r="F255" s="14">
        <v>1.2</v>
      </c>
      <c r="G255" s="14">
        <v>20</v>
      </c>
      <c r="H255" s="30">
        <f t="shared" si="47"/>
        <v>3.3999999999999995</v>
      </c>
      <c r="I255" s="29">
        <v>0</v>
      </c>
      <c r="J255" s="30">
        <f>6.3*1.05</f>
        <v>6.615</v>
      </c>
      <c r="K255" s="30">
        <f t="shared" si="48"/>
        <v>3.2150000000000007</v>
      </c>
      <c r="L255" s="97"/>
      <c r="M255" s="99"/>
      <c r="N255" s="15">
        <v>0.97</v>
      </c>
      <c r="O255" s="12"/>
      <c r="P255" s="129"/>
      <c r="Q255" s="18" t="s">
        <v>244</v>
      </c>
      <c r="R255" s="18" t="s">
        <v>6</v>
      </c>
      <c r="S255" s="18">
        <f>S149+S150+S127+S155/2+S178</f>
        <v>1.775</v>
      </c>
      <c r="T255" s="20">
        <f>S255+E255</f>
        <v>6.375</v>
      </c>
      <c r="U255" s="21">
        <v>1.2</v>
      </c>
      <c r="V255" s="21">
        <v>20</v>
      </c>
      <c r="W255" s="23">
        <f t="shared" si="49"/>
        <v>5.175</v>
      </c>
      <c r="X255" s="18">
        <v>0</v>
      </c>
      <c r="Y255" s="18">
        <v>6.615</v>
      </c>
      <c r="Z255" s="23">
        <f t="shared" si="46"/>
        <v>1.4400000000000004</v>
      </c>
      <c r="AA255" s="101"/>
      <c r="AB255" s="103"/>
    </row>
    <row r="256" spans="1:28" ht="15" customHeight="1">
      <c r="A256" s="127"/>
      <c r="B256" s="10" t="s">
        <v>242</v>
      </c>
      <c r="C256" s="10" t="s">
        <v>6</v>
      </c>
      <c r="D256" s="10"/>
      <c r="E256" s="30">
        <v>2.4</v>
      </c>
      <c r="F256" s="31">
        <v>0.76</v>
      </c>
      <c r="G256" s="41">
        <v>70</v>
      </c>
      <c r="H256" s="30">
        <f t="shared" si="47"/>
        <v>1.64</v>
      </c>
      <c r="I256" s="29">
        <v>0</v>
      </c>
      <c r="J256" s="30">
        <f>6.3*1.05</f>
        <v>6.615</v>
      </c>
      <c r="K256" s="30">
        <f t="shared" si="48"/>
        <v>4.9750000000000005</v>
      </c>
      <c r="L256" s="97"/>
      <c r="M256" s="100"/>
      <c r="N256" s="15">
        <v>0.92</v>
      </c>
      <c r="O256" s="12"/>
      <c r="P256" s="130"/>
      <c r="Q256" s="18" t="s">
        <v>242</v>
      </c>
      <c r="R256" s="18" t="s">
        <v>6</v>
      </c>
      <c r="S256" s="18">
        <v>0.22</v>
      </c>
      <c r="T256" s="20">
        <f>S256+E256</f>
        <v>2.62</v>
      </c>
      <c r="U256" s="23">
        <v>0.76</v>
      </c>
      <c r="V256" s="44">
        <v>70</v>
      </c>
      <c r="W256" s="23">
        <f t="shared" si="49"/>
        <v>1.86</v>
      </c>
      <c r="X256" s="18">
        <v>0</v>
      </c>
      <c r="Y256" s="18">
        <v>6.615</v>
      </c>
      <c r="Z256" s="23">
        <f t="shared" si="46"/>
        <v>4.755</v>
      </c>
      <c r="AA256" s="101"/>
      <c r="AB256" s="104"/>
    </row>
    <row r="257" spans="1:28" ht="11.25">
      <c r="A257" s="125">
        <v>196</v>
      </c>
      <c r="B257" s="32" t="s">
        <v>270</v>
      </c>
      <c r="C257" s="10" t="s">
        <v>6</v>
      </c>
      <c r="D257" s="10">
        <v>16.3</v>
      </c>
      <c r="E257" s="30">
        <f>E258+E259</f>
        <v>2.552</v>
      </c>
      <c r="F257" s="14">
        <f>F258+F259</f>
        <v>1.9</v>
      </c>
      <c r="G257" s="14"/>
      <c r="H257" s="30">
        <f t="shared" si="47"/>
        <v>0.6520000000000001</v>
      </c>
      <c r="I257" s="29">
        <v>0</v>
      </c>
      <c r="J257" s="30">
        <v>6.62</v>
      </c>
      <c r="K257" s="30">
        <f t="shared" si="48"/>
        <v>5.968</v>
      </c>
      <c r="L257" s="97">
        <f>MIN(K257:K259)</f>
        <v>5.876</v>
      </c>
      <c r="M257" s="98" t="s">
        <v>33</v>
      </c>
      <c r="N257" s="15"/>
      <c r="O257" s="12"/>
      <c r="P257" s="125">
        <v>196</v>
      </c>
      <c r="Q257" s="32" t="s">
        <v>270</v>
      </c>
      <c r="R257" s="10" t="s">
        <v>6</v>
      </c>
      <c r="S257" s="31">
        <f>S258+S259</f>
        <v>1.53</v>
      </c>
      <c r="T257" s="30">
        <f>T258+T259</f>
        <v>4.082</v>
      </c>
      <c r="U257" s="14">
        <f>U258+U259</f>
        <v>1.9</v>
      </c>
      <c r="V257" s="14"/>
      <c r="W257" s="31">
        <f t="shared" si="49"/>
        <v>2.182</v>
      </c>
      <c r="X257" s="10">
        <v>0</v>
      </c>
      <c r="Y257" s="10">
        <v>6.62</v>
      </c>
      <c r="Z257" s="31">
        <f t="shared" si="46"/>
        <v>4.438000000000001</v>
      </c>
      <c r="AA257" s="97">
        <f>MIN(Z257:Z259)</f>
        <v>4.438000000000001</v>
      </c>
      <c r="AB257" s="98" t="s">
        <v>33</v>
      </c>
    </row>
    <row r="258" spans="1:28" ht="15" customHeight="1">
      <c r="A258" s="126"/>
      <c r="B258" s="10" t="s">
        <v>244</v>
      </c>
      <c r="C258" s="10" t="s">
        <v>6</v>
      </c>
      <c r="D258" s="10"/>
      <c r="E258" s="30">
        <v>1.808</v>
      </c>
      <c r="F258" s="14">
        <v>1.9</v>
      </c>
      <c r="G258" s="14">
        <v>20</v>
      </c>
      <c r="H258" s="30">
        <f t="shared" si="47"/>
        <v>-0.09199999999999986</v>
      </c>
      <c r="I258" s="29">
        <v>0</v>
      </c>
      <c r="J258" s="30">
        <v>6.62</v>
      </c>
      <c r="K258" s="30">
        <f t="shared" si="48"/>
        <v>6.712</v>
      </c>
      <c r="L258" s="97"/>
      <c r="M258" s="99"/>
      <c r="N258" s="15">
        <v>0.97</v>
      </c>
      <c r="O258" s="12"/>
      <c r="P258" s="126"/>
      <c r="Q258" s="10" t="s">
        <v>244</v>
      </c>
      <c r="R258" s="10" t="s">
        <v>6</v>
      </c>
      <c r="S258" s="10">
        <f>S145+S151</f>
        <v>1.45</v>
      </c>
      <c r="T258" s="30">
        <f>S258+E258</f>
        <v>3.258</v>
      </c>
      <c r="U258" s="14">
        <v>1.9</v>
      </c>
      <c r="V258" s="14">
        <v>20</v>
      </c>
      <c r="W258" s="31">
        <f t="shared" si="49"/>
        <v>1.358</v>
      </c>
      <c r="X258" s="10">
        <v>0</v>
      </c>
      <c r="Y258" s="10">
        <v>6.62</v>
      </c>
      <c r="Z258" s="31">
        <f t="shared" si="46"/>
        <v>5.2620000000000005</v>
      </c>
      <c r="AA258" s="97"/>
      <c r="AB258" s="99"/>
    </row>
    <row r="259" spans="1:28" ht="15" customHeight="1">
      <c r="A259" s="127"/>
      <c r="B259" s="10" t="s">
        <v>242</v>
      </c>
      <c r="C259" s="10" t="s">
        <v>6</v>
      </c>
      <c r="D259" s="10"/>
      <c r="E259" s="30">
        <v>0.744</v>
      </c>
      <c r="F259" s="14">
        <v>0</v>
      </c>
      <c r="G259" s="14">
        <v>0</v>
      </c>
      <c r="H259" s="30">
        <f t="shared" si="47"/>
        <v>0.744</v>
      </c>
      <c r="I259" s="29">
        <v>0</v>
      </c>
      <c r="J259" s="30">
        <v>6.62</v>
      </c>
      <c r="K259" s="30">
        <f t="shared" si="48"/>
        <v>5.876</v>
      </c>
      <c r="L259" s="97"/>
      <c r="M259" s="100"/>
      <c r="N259" s="15">
        <v>0.95</v>
      </c>
      <c r="O259" s="12"/>
      <c r="P259" s="127"/>
      <c r="Q259" s="10" t="s">
        <v>242</v>
      </c>
      <c r="R259" s="10" t="s">
        <v>6</v>
      </c>
      <c r="S259" s="10">
        <v>0.08</v>
      </c>
      <c r="T259" s="30">
        <f>S259+E259</f>
        <v>0.824</v>
      </c>
      <c r="U259" s="14">
        <v>0</v>
      </c>
      <c r="V259" s="14">
        <v>0</v>
      </c>
      <c r="W259" s="31">
        <f t="shared" si="49"/>
        <v>0.824</v>
      </c>
      <c r="X259" s="10">
        <v>0</v>
      </c>
      <c r="Y259" s="10">
        <v>6.62</v>
      </c>
      <c r="Z259" s="31">
        <f t="shared" si="46"/>
        <v>5.796</v>
      </c>
      <c r="AA259" s="97"/>
      <c r="AB259" s="100"/>
    </row>
    <row r="260" spans="1:28" ht="15" customHeight="1">
      <c r="A260" s="125">
        <v>197</v>
      </c>
      <c r="B260" s="32" t="s">
        <v>271</v>
      </c>
      <c r="C260" s="10" t="s">
        <v>2</v>
      </c>
      <c r="D260" s="10">
        <v>32</v>
      </c>
      <c r="E260" s="30">
        <f>E261+E262</f>
        <v>10.43</v>
      </c>
      <c r="F260" s="14">
        <f>F261+F262</f>
        <v>0.8500000000000001</v>
      </c>
      <c r="G260" s="14"/>
      <c r="H260" s="30">
        <f t="shared" si="47"/>
        <v>9.58</v>
      </c>
      <c r="I260" s="29">
        <v>0</v>
      </c>
      <c r="J260" s="30">
        <v>16.8</v>
      </c>
      <c r="K260" s="30">
        <f t="shared" si="48"/>
        <v>7.220000000000001</v>
      </c>
      <c r="L260" s="97">
        <f>MIN(K260:K262)</f>
        <v>7.220000000000001</v>
      </c>
      <c r="M260" s="98" t="s">
        <v>33</v>
      </c>
      <c r="N260" s="15"/>
      <c r="O260" s="12"/>
      <c r="P260" s="125">
        <v>197</v>
      </c>
      <c r="Q260" s="32" t="s">
        <v>271</v>
      </c>
      <c r="R260" s="10" t="s">
        <v>2</v>
      </c>
      <c r="S260" s="31">
        <f>S261+S262</f>
        <v>5.895999999999999</v>
      </c>
      <c r="T260" s="30">
        <f>T261+T262</f>
        <v>16.326</v>
      </c>
      <c r="U260" s="14">
        <f>U261+U262</f>
        <v>0.8500000000000001</v>
      </c>
      <c r="V260" s="14"/>
      <c r="W260" s="31">
        <f t="shared" si="49"/>
        <v>15.476</v>
      </c>
      <c r="X260" s="10">
        <v>0</v>
      </c>
      <c r="Y260" s="10">
        <v>16.8</v>
      </c>
      <c r="Z260" s="31">
        <f t="shared" si="46"/>
        <v>1.3239999999999998</v>
      </c>
      <c r="AA260" s="97">
        <f>MIN(Z260:Z262)</f>
        <v>1.3239999999999998</v>
      </c>
      <c r="AB260" s="98" t="s">
        <v>33</v>
      </c>
    </row>
    <row r="261" spans="1:28" ht="15" customHeight="1">
      <c r="A261" s="126"/>
      <c r="B261" s="10" t="s">
        <v>244</v>
      </c>
      <c r="C261" s="10" t="s">
        <v>2</v>
      </c>
      <c r="D261" s="10"/>
      <c r="E261" s="30">
        <v>5.63</v>
      </c>
      <c r="F261" s="14">
        <v>0.8</v>
      </c>
      <c r="G261" s="14">
        <v>20</v>
      </c>
      <c r="H261" s="30">
        <f t="shared" si="47"/>
        <v>4.83</v>
      </c>
      <c r="I261" s="29">
        <v>0</v>
      </c>
      <c r="J261" s="30">
        <v>16.8</v>
      </c>
      <c r="K261" s="30">
        <f t="shared" si="48"/>
        <v>11.97</v>
      </c>
      <c r="L261" s="97"/>
      <c r="M261" s="99"/>
      <c r="N261" s="15">
        <v>0.93</v>
      </c>
      <c r="O261" s="12"/>
      <c r="P261" s="126"/>
      <c r="Q261" s="10" t="s">
        <v>244</v>
      </c>
      <c r="R261" s="10" t="s">
        <v>2</v>
      </c>
      <c r="S261" s="10">
        <f>S30+S29+S28+S175+S176+S174+S173</f>
        <v>2.3459999999999996</v>
      </c>
      <c r="T261" s="30">
        <f>S261+E261</f>
        <v>7.975999999999999</v>
      </c>
      <c r="U261" s="14">
        <v>0.8</v>
      </c>
      <c r="V261" s="14">
        <v>20</v>
      </c>
      <c r="W261" s="31">
        <f t="shared" si="49"/>
        <v>7.175999999999999</v>
      </c>
      <c r="X261" s="10">
        <v>0</v>
      </c>
      <c r="Y261" s="10">
        <v>16.8</v>
      </c>
      <c r="Z261" s="31">
        <f t="shared" si="46"/>
        <v>9.624000000000002</v>
      </c>
      <c r="AA261" s="97"/>
      <c r="AB261" s="99"/>
    </row>
    <row r="262" spans="1:28" ht="15" customHeight="1">
      <c r="A262" s="127"/>
      <c r="B262" s="10" t="s">
        <v>242</v>
      </c>
      <c r="C262" s="10" t="s">
        <v>2</v>
      </c>
      <c r="D262" s="10"/>
      <c r="E262" s="30">
        <v>4.8</v>
      </c>
      <c r="F262" s="31">
        <v>0.05</v>
      </c>
      <c r="G262" s="41">
        <v>50</v>
      </c>
      <c r="H262" s="30">
        <f t="shared" si="47"/>
        <v>4.75</v>
      </c>
      <c r="I262" s="29">
        <v>0</v>
      </c>
      <c r="J262" s="30">
        <v>16.8</v>
      </c>
      <c r="K262" s="30">
        <f t="shared" si="48"/>
        <v>12.05</v>
      </c>
      <c r="L262" s="97"/>
      <c r="M262" s="100"/>
      <c r="N262" s="15">
        <v>0.94</v>
      </c>
      <c r="O262" s="12"/>
      <c r="P262" s="127"/>
      <c r="Q262" s="10" t="s">
        <v>242</v>
      </c>
      <c r="R262" s="10" t="s">
        <v>2</v>
      </c>
      <c r="S262" s="10">
        <v>3.55</v>
      </c>
      <c r="T262" s="30">
        <f>S262+E262</f>
        <v>8.35</v>
      </c>
      <c r="U262" s="31">
        <v>0.05</v>
      </c>
      <c r="V262" s="41">
        <v>50</v>
      </c>
      <c r="W262" s="31">
        <f t="shared" si="49"/>
        <v>8.299999999999999</v>
      </c>
      <c r="X262" s="10">
        <v>0</v>
      </c>
      <c r="Y262" s="10">
        <v>16.8</v>
      </c>
      <c r="Z262" s="31">
        <f t="shared" si="46"/>
        <v>8.500000000000002</v>
      </c>
      <c r="AA262" s="97"/>
      <c r="AB262" s="100"/>
    </row>
    <row r="263" spans="1:28" ht="15.75" customHeight="1">
      <c r="A263" s="125">
        <v>198</v>
      </c>
      <c r="B263" s="37" t="s">
        <v>272</v>
      </c>
      <c r="C263" s="10" t="s">
        <v>1</v>
      </c>
      <c r="D263" s="10">
        <v>16.3</v>
      </c>
      <c r="E263" s="30">
        <f>E264+E265</f>
        <v>1.9594810050208546</v>
      </c>
      <c r="F263" s="31">
        <f>F264+F265</f>
        <v>0.8</v>
      </c>
      <c r="G263" s="14"/>
      <c r="H263" s="30">
        <f t="shared" si="47"/>
        <v>1.1594810050208546</v>
      </c>
      <c r="I263" s="29">
        <v>0</v>
      </c>
      <c r="J263" s="30">
        <v>6.62</v>
      </c>
      <c r="K263" s="30">
        <f t="shared" si="48"/>
        <v>5.460518994979146</v>
      </c>
      <c r="L263" s="97">
        <f>MIN(K263:K265)</f>
        <v>5.460518994979146</v>
      </c>
      <c r="M263" s="97" t="s">
        <v>40</v>
      </c>
      <c r="N263" s="15"/>
      <c r="O263" s="12"/>
      <c r="P263" s="125">
        <v>198</v>
      </c>
      <c r="Q263" s="37" t="s">
        <v>272</v>
      </c>
      <c r="R263" s="10" t="s">
        <v>1</v>
      </c>
      <c r="S263" s="31">
        <f>S264+S265</f>
        <v>0.19</v>
      </c>
      <c r="T263" s="30">
        <f>T264+T265</f>
        <v>2.1494810050208546</v>
      </c>
      <c r="U263" s="31">
        <f>U264+U265</f>
        <v>0.8</v>
      </c>
      <c r="V263" s="14"/>
      <c r="W263" s="31">
        <f t="shared" si="49"/>
        <v>1.3494810050208546</v>
      </c>
      <c r="X263" s="10">
        <v>0</v>
      </c>
      <c r="Y263" s="10">
        <v>6.62</v>
      </c>
      <c r="Z263" s="31">
        <f t="shared" si="46"/>
        <v>5.270518994979145</v>
      </c>
      <c r="AA263" s="97">
        <f>MIN(Z263:Z265)</f>
        <v>5.270518994979145</v>
      </c>
      <c r="AB263" s="97" t="s">
        <v>40</v>
      </c>
    </row>
    <row r="264" spans="1:28" s="56" customFormat="1" ht="11.25">
      <c r="A264" s="126"/>
      <c r="B264" s="10" t="s">
        <v>244</v>
      </c>
      <c r="C264" s="10" t="s">
        <v>1</v>
      </c>
      <c r="D264" s="10"/>
      <c r="E264" s="30">
        <v>0.9</v>
      </c>
      <c r="F264" s="10">
        <v>0.8</v>
      </c>
      <c r="G264" s="10">
        <v>10</v>
      </c>
      <c r="H264" s="30">
        <f t="shared" si="47"/>
        <v>0.09999999999999998</v>
      </c>
      <c r="I264" s="29">
        <v>0</v>
      </c>
      <c r="J264" s="30">
        <v>6.62</v>
      </c>
      <c r="K264" s="30">
        <f t="shared" si="48"/>
        <v>6.5200000000000005</v>
      </c>
      <c r="L264" s="97"/>
      <c r="M264" s="97"/>
      <c r="N264" s="10">
        <v>0.98</v>
      </c>
      <c r="O264" s="55"/>
      <c r="P264" s="126"/>
      <c r="Q264" s="10" t="s">
        <v>244</v>
      </c>
      <c r="R264" s="10" t="s">
        <v>1</v>
      </c>
      <c r="S264" s="10">
        <f>S76+S89+S65</f>
        <v>0.17</v>
      </c>
      <c r="T264" s="30">
        <f>S264+E264</f>
        <v>1.07</v>
      </c>
      <c r="U264" s="10">
        <v>0.8</v>
      </c>
      <c r="V264" s="10">
        <v>10</v>
      </c>
      <c r="W264" s="31">
        <f t="shared" si="49"/>
        <v>0.27</v>
      </c>
      <c r="X264" s="10">
        <v>0</v>
      </c>
      <c r="Y264" s="10">
        <v>6.62</v>
      </c>
      <c r="Z264" s="31">
        <f t="shared" si="46"/>
        <v>6.35</v>
      </c>
      <c r="AA264" s="97"/>
      <c r="AB264" s="97"/>
    </row>
    <row r="265" spans="1:28" s="56" customFormat="1" ht="11.25">
      <c r="A265" s="127"/>
      <c r="B265" s="10" t="s">
        <v>242</v>
      </c>
      <c r="C265" s="10" t="s">
        <v>1</v>
      </c>
      <c r="D265" s="10"/>
      <c r="E265" s="30">
        <v>1.0594810050208545</v>
      </c>
      <c r="F265" s="31">
        <v>0</v>
      </c>
      <c r="G265" s="14">
        <v>0</v>
      </c>
      <c r="H265" s="30">
        <f t="shared" si="47"/>
        <v>1.0594810050208545</v>
      </c>
      <c r="I265" s="29">
        <v>0</v>
      </c>
      <c r="J265" s="30">
        <v>6.62</v>
      </c>
      <c r="K265" s="30">
        <f t="shared" si="48"/>
        <v>5.560518994979145</v>
      </c>
      <c r="L265" s="97"/>
      <c r="M265" s="97"/>
      <c r="N265" s="10">
        <v>0.83</v>
      </c>
      <c r="O265" s="55"/>
      <c r="P265" s="127"/>
      <c r="Q265" s="10" t="s">
        <v>242</v>
      </c>
      <c r="R265" s="10" t="s">
        <v>1</v>
      </c>
      <c r="S265" s="10">
        <v>0.02</v>
      </c>
      <c r="T265" s="30">
        <f>S265+E265</f>
        <v>1.0794810050208545</v>
      </c>
      <c r="U265" s="31">
        <v>0</v>
      </c>
      <c r="V265" s="14">
        <v>0</v>
      </c>
      <c r="W265" s="31">
        <f t="shared" si="49"/>
        <v>1.0794810050208545</v>
      </c>
      <c r="X265" s="10">
        <v>0</v>
      </c>
      <c r="Y265" s="10">
        <v>6.62</v>
      </c>
      <c r="Z265" s="31">
        <f t="shared" si="46"/>
        <v>5.540518994979146</v>
      </c>
      <c r="AA265" s="97"/>
      <c r="AB265" s="97"/>
    </row>
    <row r="266" spans="1:28" ht="15" customHeight="1">
      <c r="A266" s="125">
        <v>199</v>
      </c>
      <c r="B266" s="27" t="s">
        <v>273</v>
      </c>
      <c r="C266" s="10" t="s">
        <v>6</v>
      </c>
      <c r="D266" s="10">
        <v>16.3</v>
      </c>
      <c r="E266" s="30">
        <f>E267+E268</f>
        <v>1.3181818181818181</v>
      </c>
      <c r="F266" s="31">
        <f>F267+F268</f>
        <v>1.5</v>
      </c>
      <c r="G266" s="14"/>
      <c r="H266" s="30">
        <f t="shared" si="47"/>
        <v>-0.18181818181818188</v>
      </c>
      <c r="I266" s="29">
        <v>0</v>
      </c>
      <c r="J266" s="30">
        <v>6.62</v>
      </c>
      <c r="K266" s="30">
        <f t="shared" si="48"/>
        <v>6.801818181818182</v>
      </c>
      <c r="L266" s="97">
        <f>MIN(K266:K268)</f>
        <v>6.701818181818182</v>
      </c>
      <c r="M266" s="97" t="s">
        <v>40</v>
      </c>
      <c r="N266" s="15"/>
      <c r="O266" s="12"/>
      <c r="P266" s="125">
        <v>199</v>
      </c>
      <c r="Q266" s="27" t="s">
        <v>273</v>
      </c>
      <c r="R266" s="10" t="s">
        <v>6</v>
      </c>
      <c r="S266" s="31">
        <f>S267+S268</f>
        <v>0.0245</v>
      </c>
      <c r="T266" s="30">
        <f>T267+T268</f>
        <v>1.342681818181818</v>
      </c>
      <c r="U266" s="31">
        <f>U267+U268</f>
        <v>1.5</v>
      </c>
      <c r="V266" s="14"/>
      <c r="W266" s="31">
        <f t="shared" si="49"/>
        <v>-0.1573181818181819</v>
      </c>
      <c r="X266" s="10">
        <v>0</v>
      </c>
      <c r="Y266" s="10">
        <v>6.62</v>
      </c>
      <c r="Z266" s="31">
        <f t="shared" si="46"/>
        <v>6.777318181818182</v>
      </c>
      <c r="AA266" s="97">
        <f>MIN(Z266:Z268)</f>
        <v>6.681818181818182</v>
      </c>
      <c r="AB266" s="97" t="s">
        <v>40</v>
      </c>
    </row>
    <row r="267" spans="1:28" ht="11.25">
      <c r="A267" s="126"/>
      <c r="B267" s="10" t="s">
        <v>244</v>
      </c>
      <c r="C267" s="10" t="s">
        <v>6</v>
      </c>
      <c r="D267" s="10"/>
      <c r="E267" s="30">
        <v>0.9</v>
      </c>
      <c r="F267" s="10">
        <v>1</v>
      </c>
      <c r="G267" s="10">
        <v>60</v>
      </c>
      <c r="H267" s="30">
        <f t="shared" si="47"/>
        <v>-0.09999999999999998</v>
      </c>
      <c r="I267" s="29">
        <v>0</v>
      </c>
      <c r="J267" s="30">
        <v>6.62</v>
      </c>
      <c r="K267" s="30">
        <f t="shared" si="48"/>
        <v>6.72</v>
      </c>
      <c r="L267" s="97"/>
      <c r="M267" s="97"/>
      <c r="N267" s="15">
        <v>0.97</v>
      </c>
      <c r="O267" s="12"/>
      <c r="P267" s="126"/>
      <c r="Q267" s="10" t="s">
        <v>244</v>
      </c>
      <c r="R267" s="10" t="s">
        <v>6</v>
      </c>
      <c r="S267" s="10">
        <f>S110/2</f>
        <v>0.0045</v>
      </c>
      <c r="T267" s="30">
        <f>S267+E267</f>
        <v>0.9045</v>
      </c>
      <c r="U267" s="10">
        <v>1</v>
      </c>
      <c r="V267" s="10">
        <v>60</v>
      </c>
      <c r="W267" s="31">
        <f t="shared" si="49"/>
        <v>-0.09550000000000003</v>
      </c>
      <c r="X267" s="10">
        <v>0</v>
      </c>
      <c r="Y267" s="10">
        <v>6.62</v>
      </c>
      <c r="Z267" s="31">
        <f t="shared" si="46"/>
        <v>6.7155000000000005</v>
      </c>
      <c r="AA267" s="97"/>
      <c r="AB267" s="97"/>
    </row>
    <row r="268" spans="1:28" ht="11.25">
      <c r="A268" s="127"/>
      <c r="B268" s="10" t="s">
        <v>242</v>
      </c>
      <c r="C268" s="10" t="s">
        <v>6</v>
      </c>
      <c r="D268" s="10"/>
      <c r="E268" s="30">
        <v>0.41818181818181815</v>
      </c>
      <c r="F268" s="31">
        <v>0.5</v>
      </c>
      <c r="G268" s="14">
        <v>120</v>
      </c>
      <c r="H268" s="30">
        <f t="shared" si="47"/>
        <v>-0.08181818181818185</v>
      </c>
      <c r="I268" s="29">
        <v>0</v>
      </c>
      <c r="J268" s="30">
        <v>6.62</v>
      </c>
      <c r="K268" s="30">
        <f t="shared" si="48"/>
        <v>6.701818181818182</v>
      </c>
      <c r="L268" s="97"/>
      <c r="M268" s="97"/>
      <c r="N268" s="15">
        <v>0.97</v>
      </c>
      <c r="O268" s="12"/>
      <c r="P268" s="127"/>
      <c r="Q268" s="10" t="s">
        <v>242</v>
      </c>
      <c r="R268" s="10" t="s">
        <v>6</v>
      </c>
      <c r="S268" s="10">
        <v>0.02</v>
      </c>
      <c r="T268" s="30">
        <f>S268+E268</f>
        <v>0.4381818181818182</v>
      </c>
      <c r="U268" s="31">
        <v>0.5</v>
      </c>
      <c r="V268" s="14">
        <v>120</v>
      </c>
      <c r="W268" s="31">
        <f t="shared" si="49"/>
        <v>-0.06181818181818183</v>
      </c>
      <c r="X268" s="10">
        <v>0</v>
      </c>
      <c r="Y268" s="10">
        <v>6.62</v>
      </c>
      <c r="Z268" s="31">
        <f t="shared" si="46"/>
        <v>6.681818181818182</v>
      </c>
      <c r="AA268" s="97"/>
      <c r="AB268" s="97"/>
    </row>
    <row r="269" spans="1:28" s="64" customFormat="1" ht="11.25">
      <c r="A269" s="57"/>
      <c r="B269" s="58" t="s">
        <v>274</v>
      </c>
      <c r="C269" s="59">
        <v>2862.5</v>
      </c>
      <c r="D269" s="59">
        <f>SUM(D9:D25)+SUM(D27:D33)+SUM(D35:D179)+SUM(D181:D266)</f>
        <v>2862.499999999999</v>
      </c>
      <c r="E269" s="60">
        <f>SUM(E9:E24)+SUM(E26:E33)+SUM(E35:E179)+E181+E184+E187+E190+E193+E196+E199+E202+E205+E208+E211+E214+E217+E220+E223+E226+E229+E230+E233+E236+E239+E242+E245+E248+E251+E254+E257+E260+E263+E266</f>
        <v>681.18691852265</v>
      </c>
      <c r="F269" s="59"/>
      <c r="G269" s="59"/>
      <c r="H269" s="59"/>
      <c r="I269" s="59"/>
      <c r="J269" s="59"/>
      <c r="K269" s="59"/>
      <c r="L269" s="60">
        <f>SUM(L9:L33)+SUM(L35:L179)+SUM(L181:L268)</f>
        <v>862.3063678409867</v>
      </c>
      <c r="M269" s="61"/>
      <c r="N269" s="59"/>
      <c r="O269" s="62"/>
      <c r="P269" s="57"/>
      <c r="Q269" s="58" t="s">
        <v>274</v>
      </c>
      <c r="R269" s="59">
        <v>2864.1</v>
      </c>
      <c r="S269" s="60"/>
      <c r="T269" s="60">
        <f>SUM(T9:T24)+SUM(T26:T33)+SUM(T35:T179)+T181+T184+T187+T190+T193+T196+T199+T202+T205+T208+T211+T214+T217+T220+T223+T226+T229+T230+T233+T236+T239+T242+T245+T248+T251+T254+T257+T260+T263+T266</f>
        <v>1033.77565152265</v>
      </c>
      <c r="U269" s="59"/>
      <c r="V269" s="59"/>
      <c r="W269" s="59"/>
      <c r="X269" s="59"/>
      <c r="Y269" s="59"/>
      <c r="Z269" s="59"/>
      <c r="AA269" s="63">
        <f>SUM(AA9:AA33)+SUM(AA35:AA179)+SUM(AA181:AA268)</f>
        <v>513.90649847735</v>
      </c>
      <c r="AB269" s="58"/>
    </row>
    <row r="270" spans="1:28" s="64" customFormat="1" ht="11.25">
      <c r="A270" s="57"/>
      <c r="B270" s="58" t="s">
        <v>275</v>
      </c>
      <c r="C270" s="59"/>
      <c r="D270" s="59"/>
      <c r="E270" s="59"/>
      <c r="F270" s="59"/>
      <c r="G270" s="59"/>
      <c r="H270" s="59"/>
      <c r="I270" s="59"/>
      <c r="J270" s="59"/>
      <c r="K270" s="59"/>
      <c r="L270" s="60">
        <f>L9+L10+L11+L12+L13+L14+L15+L16+L17+L18+L19+L20+L21+L22+L24+L27+L28+L29+L30+L33+L72+L125+L129+L229+L248</f>
        <v>-16.982447603807113</v>
      </c>
      <c r="M270" s="61"/>
      <c r="N270" s="59"/>
      <c r="O270" s="62"/>
      <c r="P270" s="57"/>
      <c r="Q270" s="58" t="s">
        <v>275</v>
      </c>
      <c r="R270" s="59"/>
      <c r="S270" s="59"/>
      <c r="T270" s="59"/>
      <c r="U270" s="59"/>
      <c r="V270" s="59"/>
      <c r="W270" s="59"/>
      <c r="X270" s="59"/>
      <c r="Y270" s="59"/>
      <c r="Z270" s="59"/>
      <c r="AA270" s="60">
        <f>AA9+AA10+AA11+AA12+AA13+AA14+AA15+AA16+AA17+AA18+AA19+AA20+AA21+AA22+AA24+AA27+AA28+AA29+AA30+AA33+AA37+AA52+AA54+AA72+AA84+AA121+AA125+AA126+AA129+AA130+AA134+AA139+AA143+AA144+AA147+AA148+AA155+AA205+AA220+AA229+AA248+AA254</f>
        <v>-56.81810273671019</v>
      </c>
      <c r="AB270" s="58"/>
    </row>
    <row r="271" spans="1:28" s="64" customFormat="1" ht="11.25">
      <c r="A271" s="57"/>
      <c r="B271" s="58" t="s">
        <v>276</v>
      </c>
      <c r="C271" s="59"/>
      <c r="D271" s="59"/>
      <c r="E271" s="59"/>
      <c r="F271" s="59"/>
      <c r="G271" s="59"/>
      <c r="H271" s="59"/>
      <c r="I271" s="59"/>
      <c r="J271" s="59"/>
      <c r="K271" s="59"/>
      <c r="L271" s="65">
        <f>L23+SUM(L35:L71)+SUM(L73:L124)+SUM(L126:L128)+SUM(L130:L179)+SUM(L181:L226)+SUM(L230:L245)+SUM(L251:L266)</f>
        <v>879.4618154447933</v>
      </c>
      <c r="M271" s="66" t="s">
        <v>277</v>
      </c>
      <c r="N271" s="59"/>
      <c r="O271" s="62"/>
      <c r="P271" s="57"/>
      <c r="Q271" s="58" t="s">
        <v>276</v>
      </c>
      <c r="R271" s="59"/>
      <c r="S271" s="59"/>
      <c r="T271" s="59"/>
      <c r="U271" s="59"/>
      <c r="V271" s="59"/>
      <c r="W271" s="59"/>
      <c r="X271" s="59"/>
      <c r="Y271" s="59"/>
      <c r="Z271" s="59"/>
      <c r="AA271" s="65">
        <f>AA23+SUM(AA35:AA36)+SUM(AA38:AA51)+AA53+SUM(AA55:AA71)+SUM(AA73:AA83)+SUM(AA85:AA120)+SUM(AA122:AA124)+SUM(AA127:AA128)+SUM(AA131:AA133)+SUM(AA135:AA138)+SUM(AA140:AA142)+SUM(AA145:AA146)+SUM(AA149:AA154)+SUM(AA156:AA179)+SUM(AA181:AA202)+SUM(AA208:AA217)+SUM(AA223:AA226)+SUM(AA230:AA245)++AA251+SUM(AA257:AA266)</f>
        <v>570.8976012140603</v>
      </c>
      <c r="AB271" s="66" t="s">
        <v>277</v>
      </c>
    </row>
    <row r="274" spans="1:27" s="67" customFormat="1" ht="15">
      <c r="A274" s="67" t="s">
        <v>278</v>
      </c>
      <c r="B274" s="92"/>
      <c r="C274" s="92"/>
      <c r="D274" s="92"/>
      <c r="E274" s="93"/>
      <c r="F274" s="93"/>
      <c r="G274" s="94"/>
      <c r="H274" s="95"/>
      <c r="I274" s="92"/>
      <c r="N274" s="69"/>
      <c r="O274" s="70"/>
      <c r="AA274" s="68"/>
    </row>
    <row r="275" ht="11.25">
      <c r="L275" s="71"/>
    </row>
    <row r="304" ht="11.25">
      <c r="P304" s="8"/>
    </row>
    <row r="305" ht="11.25">
      <c r="P305" s="8"/>
    </row>
    <row r="306" ht="11.25">
      <c r="P306" s="8"/>
    </row>
    <row r="307" ht="11.25">
      <c r="P307" s="8"/>
    </row>
    <row r="308" ht="11.25">
      <c r="P308" s="8"/>
    </row>
    <row r="309" ht="11.25">
      <c r="P309" s="8"/>
    </row>
    <row r="310" ht="11.25">
      <c r="P310" s="8"/>
    </row>
    <row r="311" ht="11.25">
      <c r="P311" s="8"/>
    </row>
    <row r="312" ht="11.25">
      <c r="P312" s="8"/>
    </row>
    <row r="313" ht="11.25">
      <c r="P313" s="8"/>
    </row>
    <row r="314" ht="11.25">
      <c r="P314" s="8"/>
    </row>
    <row r="315" ht="11.25">
      <c r="P315" s="8"/>
    </row>
    <row r="316" ht="11.25">
      <c r="P316" s="8"/>
    </row>
    <row r="317" ht="11.25">
      <c r="P317" s="8"/>
    </row>
    <row r="318" ht="11.25">
      <c r="P318" s="8"/>
    </row>
    <row r="319" ht="11.25">
      <c r="P319" s="8"/>
    </row>
    <row r="320" ht="11.25">
      <c r="P320" s="8"/>
    </row>
    <row r="321" ht="11.25">
      <c r="P321" s="8"/>
    </row>
    <row r="322" ht="11.25">
      <c r="P322" s="8"/>
    </row>
    <row r="323" ht="11.25">
      <c r="P323" s="8"/>
    </row>
    <row r="324" ht="11.25">
      <c r="P324" s="8"/>
    </row>
    <row r="325" ht="11.25">
      <c r="P325" s="8"/>
    </row>
    <row r="326" ht="11.25">
      <c r="P326" s="8"/>
    </row>
    <row r="327" ht="11.25">
      <c r="P327" s="8"/>
    </row>
    <row r="328" ht="11.25">
      <c r="P328" s="8"/>
    </row>
    <row r="329" ht="11.25">
      <c r="P329" s="8"/>
    </row>
    <row r="330" ht="11.25">
      <c r="P330" s="8"/>
    </row>
    <row r="331" ht="11.25">
      <c r="P331" s="8"/>
    </row>
    <row r="332" ht="11.25">
      <c r="P332" s="8"/>
    </row>
    <row r="333" ht="11.25">
      <c r="P333" s="8"/>
    </row>
    <row r="334" ht="11.25">
      <c r="P334" s="8"/>
    </row>
    <row r="335" ht="11.25">
      <c r="P335" s="8"/>
    </row>
    <row r="336" ht="11.25">
      <c r="P336" s="8"/>
    </row>
    <row r="337" ht="11.25">
      <c r="P337" s="8"/>
    </row>
    <row r="338" ht="11.25">
      <c r="P338" s="8"/>
    </row>
    <row r="339" ht="11.25">
      <c r="P339" s="8"/>
    </row>
    <row r="340" ht="11.25">
      <c r="P340" s="8"/>
    </row>
    <row r="341" ht="11.25">
      <c r="P341" s="8"/>
    </row>
    <row r="342" ht="11.25">
      <c r="P342" s="8"/>
    </row>
    <row r="343" ht="11.25">
      <c r="P343" s="8"/>
    </row>
    <row r="344" ht="11.25">
      <c r="P344" s="8"/>
    </row>
    <row r="345" ht="11.25">
      <c r="P345" s="8"/>
    </row>
    <row r="346" ht="11.25">
      <c r="P346" s="8"/>
    </row>
    <row r="347" ht="11.25">
      <c r="P347" s="8"/>
    </row>
    <row r="348" ht="11.25">
      <c r="P348" s="8"/>
    </row>
    <row r="349" ht="11.25">
      <c r="P349" s="8"/>
    </row>
    <row r="350" ht="11.25">
      <c r="P350" s="8"/>
    </row>
    <row r="351" ht="11.25">
      <c r="P351" s="8"/>
    </row>
    <row r="352" ht="11.25">
      <c r="P352" s="8"/>
    </row>
    <row r="353" ht="11.25">
      <c r="P353" s="8"/>
    </row>
    <row r="354" ht="11.25">
      <c r="P354" s="8"/>
    </row>
    <row r="355" ht="11.25">
      <c r="P355" s="8"/>
    </row>
    <row r="356" ht="11.25">
      <c r="P356" s="8"/>
    </row>
    <row r="357" ht="11.25">
      <c r="P357" s="8"/>
    </row>
    <row r="358" ht="11.25">
      <c r="P358" s="8"/>
    </row>
    <row r="359" ht="11.25">
      <c r="P359" s="8"/>
    </row>
    <row r="360" ht="11.25">
      <c r="P360" s="8"/>
    </row>
    <row r="361" ht="11.25">
      <c r="P361" s="8"/>
    </row>
    <row r="362" ht="11.25">
      <c r="P362" s="8"/>
    </row>
    <row r="363" ht="11.25">
      <c r="P363" s="8"/>
    </row>
    <row r="364" ht="11.25">
      <c r="P364" s="8"/>
    </row>
    <row r="365" ht="11.25">
      <c r="P365" s="8"/>
    </row>
    <row r="366" ht="11.25">
      <c r="P366" s="8"/>
    </row>
    <row r="367" ht="11.25">
      <c r="P367" s="8"/>
    </row>
    <row r="368" ht="11.25">
      <c r="P368" s="8"/>
    </row>
    <row r="369" ht="11.25">
      <c r="P369" s="8"/>
    </row>
    <row r="370" ht="11.25">
      <c r="P370" s="8"/>
    </row>
    <row r="371" ht="11.25">
      <c r="P371" s="8"/>
    </row>
    <row r="372" ht="11.25">
      <c r="P372" s="8"/>
    </row>
    <row r="373" ht="11.25">
      <c r="P373" s="8"/>
    </row>
    <row r="374" ht="11.25">
      <c r="P374" s="8"/>
    </row>
    <row r="375" ht="11.25">
      <c r="P375" s="8"/>
    </row>
    <row r="376" ht="11.25">
      <c r="P376" s="8"/>
    </row>
    <row r="377" ht="11.25">
      <c r="P377" s="8"/>
    </row>
    <row r="378" ht="11.25">
      <c r="P378" s="8"/>
    </row>
    <row r="379" ht="11.25">
      <c r="P379" s="8"/>
    </row>
    <row r="380" ht="11.25">
      <c r="P380" s="8"/>
    </row>
    <row r="381" ht="11.25">
      <c r="P381" s="8"/>
    </row>
    <row r="382" ht="11.25">
      <c r="P382" s="8"/>
    </row>
    <row r="383" ht="11.25">
      <c r="P383" s="8"/>
    </row>
    <row r="384" ht="11.25">
      <c r="P384" s="8"/>
    </row>
    <row r="385" ht="11.25">
      <c r="P385" s="8"/>
    </row>
    <row r="386" ht="11.25">
      <c r="P386" s="8"/>
    </row>
    <row r="387" ht="11.25">
      <c r="P387" s="8"/>
    </row>
    <row r="388" ht="11.25">
      <c r="P388" s="8"/>
    </row>
    <row r="389" ht="11.25">
      <c r="P389" s="8"/>
    </row>
    <row r="390" ht="11.25">
      <c r="P390" s="8"/>
    </row>
    <row r="391" ht="11.25">
      <c r="P391" s="8"/>
    </row>
    <row r="392" ht="11.25">
      <c r="P392" s="8"/>
    </row>
    <row r="393" ht="11.25">
      <c r="P393" s="8"/>
    </row>
    <row r="394" ht="11.25">
      <c r="P394" s="8"/>
    </row>
    <row r="395" ht="11.25">
      <c r="P395" s="8"/>
    </row>
    <row r="396" ht="11.25">
      <c r="P396" s="8"/>
    </row>
    <row r="397" ht="11.25">
      <c r="P397" s="8"/>
    </row>
    <row r="398" ht="11.25">
      <c r="P398" s="8"/>
    </row>
    <row r="399" ht="11.25">
      <c r="P399" s="8"/>
    </row>
    <row r="400" ht="11.25">
      <c r="P400" s="8"/>
    </row>
    <row r="401" ht="11.25">
      <c r="P401" s="8"/>
    </row>
    <row r="402" ht="11.25">
      <c r="P402" s="8"/>
    </row>
    <row r="403" ht="11.25">
      <c r="P403" s="8"/>
    </row>
    <row r="404" ht="11.25">
      <c r="P404" s="8"/>
    </row>
    <row r="405" ht="11.25">
      <c r="P405" s="8"/>
    </row>
    <row r="406" ht="11.25">
      <c r="P406" s="8"/>
    </row>
    <row r="407" ht="11.25">
      <c r="P407" s="8"/>
    </row>
    <row r="408" ht="11.25">
      <c r="P408" s="8"/>
    </row>
    <row r="409" ht="11.25">
      <c r="P409" s="8"/>
    </row>
    <row r="410" ht="11.25">
      <c r="P410" s="8"/>
    </row>
    <row r="411" ht="11.25">
      <c r="P411" s="8"/>
    </row>
    <row r="412" ht="11.25">
      <c r="P412" s="8"/>
    </row>
    <row r="413" ht="11.25">
      <c r="P413" s="8"/>
    </row>
    <row r="414" ht="11.25">
      <c r="P414" s="8"/>
    </row>
    <row r="415" ht="11.25">
      <c r="P415" s="8"/>
    </row>
    <row r="416" ht="11.25">
      <c r="P416" s="8"/>
    </row>
    <row r="417" ht="11.25">
      <c r="P417" s="8"/>
    </row>
    <row r="418" ht="11.25">
      <c r="P418" s="8"/>
    </row>
    <row r="419" ht="11.25">
      <c r="P419" s="8"/>
    </row>
    <row r="420" ht="11.25">
      <c r="P420" s="8"/>
    </row>
    <row r="421" ht="11.25">
      <c r="P421" s="8"/>
    </row>
    <row r="422" ht="11.25">
      <c r="P422" s="8"/>
    </row>
    <row r="423" ht="11.25">
      <c r="P423" s="8"/>
    </row>
    <row r="424" ht="11.25">
      <c r="P424" s="8"/>
    </row>
    <row r="425" ht="11.25">
      <c r="P425" s="8"/>
    </row>
    <row r="426" ht="11.25">
      <c r="P426" s="8"/>
    </row>
    <row r="427" ht="11.25">
      <c r="P427" s="8"/>
    </row>
    <row r="428" ht="11.25">
      <c r="P428" s="8"/>
    </row>
    <row r="429" ht="11.25">
      <c r="P429" s="8"/>
    </row>
    <row r="430" ht="11.25">
      <c r="P430" s="8"/>
    </row>
    <row r="431" ht="11.25">
      <c r="P431" s="8"/>
    </row>
    <row r="432" ht="11.25">
      <c r="P432" s="8"/>
    </row>
    <row r="433" ht="11.25">
      <c r="P433" s="8"/>
    </row>
    <row r="434" ht="11.25">
      <c r="P434" s="8"/>
    </row>
    <row r="435" ht="11.25">
      <c r="P435" s="8"/>
    </row>
    <row r="436" ht="11.25">
      <c r="P436" s="8"/>
    </row>
    <row r="437" ht="11.25">
      <c r="P437" s="8"/>
    </row>
    <row r="438" ht="11.25">
      <c r="P438" s="8"/>
    </row>
    <row r="439" ht="11.25">
      <c r="P439" s="8"/>
    </row>
    <row r="440" ht="11.25">
      <c r="P440" s="8"/>
    </row>
    <row r="441" ht="11.25">
      <c r="P441" s="8"/>
    </row>
    <row r="442" ht="11.25">
      <c r="P442" s="8"/>
    </row>
    <row r="443" ht="11.25">
      <c r="P443" s="8"/>
    </row>
    <row r="535" spans="7:15" s="64" customFormat="1" ht="10.5">
      <c r="G535" s="72"/>
      <c r="N535" s="72"/>
      <c r="O535" s="73"/>
    </row>
    <row r="536" spans="7:15" s="64" customFormat="1" ht="10.5">
      <c r="G536" s="72"/>
      <c r="N536" s="72"/>
      <c r="O536" s="73"/>
    </row>
    <row r="537" spans="7:15" s="64" customFormat="1" ht="10.5">
      <c r="G537" s="72"/>
      <c r="N537" s="72"/>
      <c r="O537" s="73"/>
    </row>
    <row r="538" spans="1:15" ht="11.25">
      <c r="A538" s="74"/>
      <c r="B538" s="11"/>
      <c r="C538" s="11"/>
      <c r="D538" s="11"/>
      <c r="E538" s="11"/>
      <c r="F538" s="75"/>
      <c r="G538" s="75"/>
      <c r="H538" s="76"/>
      <c r="I538" s="75"/>
      <c r="J538" s="11"/>
      <c r="K538" s="11"/>
      <c r="L538" s="75"/>
      <c r="M538" s="77"/>
      <c r="N538" s="11"/>
      <c r="O538" s="11"/>
    </row>
  </sheetData>
  <sheetProtection/>
  <mergeCells count="207">
    <mergeCell ref="P251:P253"/>
    <mergeCell ref="P254:P256"/>
    <mergeCell ref="P257:P259"/>
    <mergeCell ref="P260:P262"/>
    <mergeCell ref="P263:P265"/>
    <mergeCell ref="P266:P268"/>
    <mergeCell ref="A263:A265"/>
    <mergeCell ref="A266:A268"/>
    <mergeCell ref="A251:A253"/>
    <mergeCell ref="A254:A256"/>
    <mergeCell ref="A257:A259"/>
    <mergeCell ref="A260:A262"/>
    <mergeCell ref="L260:L262"/>
    <mergeCell ref="L251:L253"/>
    <mergeCell ref="P181:P183"/>
    <mergeCell ref="P184:P186"/>
    <mergeCell ref="P187:P189"/>
    <mergeCell ref="P190:P192"/>
    <mergeCell ref="P193:P195"/>
    <mergeCell ref="P196:P198"/>
    <mergeCell ref="P199:P201"/>
    <mergeCell ref="P202:P204"/>
    <mergeCell ref="P205:P207"/>
    <mergeCell ref="P208:P210"/>
    <mergeCell ref="P211:P213"/>
    <mergeCell ref="P214:P216"/>
    <mergeCell ref="P217:P219"/>
    <mergeCell ref="P220:P222"/>
    <mergeCell ref="P223:P225"/>
    <mergeCell ref="P226:P229"/>
    <mergeCell ref="P230:P232"/>
    <mergeCell ref="P233:P235"/>
    <mergeCell ref="P236:P238"/>
    <mergeCell ref="P239:P241"/>
    <mergeCell ref="P242:P244"/>
    <mergeCell ref="P245:P247"/>
    <mergeCell ref="A236:A238"/>
    <mergeCell ref="A239:A241"/>
    <mergeCell ref="A242:A244"/>
    <mergeCell ref="A245:A247"/>
    <mergeCell ref="A248:A250"/>
    <mergeCell ref="M236:M238"/>
    <mergeCell ref="M239:M241"/>
    <mergeCell ref="M242:M244"/>
    <mergeCell ref="M245:M247"/>
    <mergeCell ref="M248:M250"/>
    <mergeCell ref="L245:L247"/>
    <mergeCell ref="L236:L238"/>
    <mergeCell ref="L248:L250"/>
    <mergeCell ref="L239:L241"/>
    <mergeCell ref="P248:P250"/>
    <mergeCell ref="A208:A210"/>
    <mergeCell ref="A211:A213"/>
    <mergeCell ref="A214:A216"/>
    <mergeCell ref="A217:A219"/>
    <mergeCell ref="A220:A222"/>
    <mergeCell ref="A223:A225"/>
    <mergeCell ref="A226:A229"/>
    <mergeCell ref="A230:A232"/>
    <mergeCell ref="A233:A235"/>
    <mergeCell ref="A181:A183"/>
    <mergeCell ref="A184:A186"/>
    <mergeCell ref="A187:A189"/>
    <mergeCell ref="A190:A192"/>
    <mergeCell ref="A193:A195"/>
    <mergeCell ref="A196:A198"/>
    <mergeCell ref="A199:A201"/>
    <mergeCell ref="A202:A204"/>
    <mergeCell ref="A205:A207"/>
    <mergeCell ref="K1:L1"/>
    <mergeCell ref="F5:G5"/>
    <mergeCell ref="H5:H6"/>
    <mergeCell ref="I5:I6"/>
    <mergeCell ref="K3:L3"/>
    <mergeCell ref="K5:L6"/>
    <mergeCell ref="L199:L201"/>
    <mergeCell ref="L202:L204"/>
    <mergeCell ref="L205:L207"/>
    <mergeCell ref="L190:L192"/>
    <mergeCell ref="L193:L195"/>
    <mergeCell ref="A8:M8"/>
    <mergeCell ref="A34:M34"/>
    <mergeCell ref="A180:M180"/>
    <mergeCell ref="A4:A6"/>
    <mergeCell ref="A2:M2"/>
    <mergeCell ref="L196:L198"/>
    <mergeCell ref="M4:M6"/>
    <mergeCell ref="B4:B6"/>
    <mergeCell ref="C5:C6"/>
    <mergeCell ref="E5:E6"/>
    <mergeCell ref="J5:J6"/>
    <mergeCell ref="C4:L4"/>
    <mergeCell ref="L181:L183"/>
    <mergeCell ref="P180:AB180"/>
    <mergeCell ref="L230:L232"/>
    <mergeCell ref="L233:L235"/>
    <mergeCell ref="L214:L216"/>
    <mergeCell ref="L217:L219"/>
    <mergeCell ref="L220:L222"/>
    <mergeCell ref="L223:L225"/>
    <mergeCell ref="L226:L228"/>
    <mergeCell ref="L208:L210"/>
    <mergeCell ref="L211:L213"/>
    <mergeCell ref="L184:L186"/>
    <mergeCell ref="AB193:AB195"/>
    <mergeCell ref="AB196:AB198"/>
    <mergeCell ref="AB199:AB201"/>
    <mergeCell ref="AB202:AB204"/>
    <mergeCell ref="AB208:AB210"/>
    <mergeCell ref="L187:L189"/>
    <mergeCell ref="M193:M195"/>
    <mergeCell ref="M196:M198"/>
    <mergeCell ref="M199:M201"/>
    <mergeCell ref="M202:M204"/>
    <mergeCell ref="AA208:AA210"/>
    <mergeCell ref="AA211:AA213"/>
    <mergeCell ref="AA214:AA216"/>
    <mergeCell ref="P4:P6"/>
    <mergeCell ref="Q4:Q6"/>
    <mergeCell ref="R4:AA4"/>
    <mergeCell ref="AB4:AB6"/>
    <mergeCell ref="R5:R6"/>
    <mergeCell ref="S5:S6"/>
    <mergeCell ref="T5:T6"/>
    <mergeCell ref="U5:V5"/>
    <mergeCell ref="W5:W6"/>
    <mergeCell ref="X5:X6"/>
    <mergeCell ref="Y5:Y6"/>
    <mergeCell ref="Z5:AA6"/>
    <mergeCell ref="P8:AB8"/>
    <mergeCell ref="P34:AB34"/>
    <mergeCell ref="AA239:AA241"/>
    <mergeCell ref="AA248:AA250"/>
    <mergeCell ref="AA251:AA253"/>
    <mergeCell ref="M230:M232"/>
    <mergeCell ref="M233:M235"/>
    <mergeCell ref="M181:M183"/>
    <mergeCell ref="M184:M186"/>
    <mergeCell ref="M187:M189"/>
    <mergeCell ref="M190:M192"/>
    <mergeCell ref="M205:M207"/>
    <mergeCell ref="M220:M222"/>
    <mergeCell ref="M223:M225"/>
    <mergeCell ref="M226:M228"/>
    <mergeCell ref="M208:M210"/>
    <mergeCell ref="M211:M213"/>
    <mergeCell ref="M214:M216"/>
    <mergeCell ref="M217:M219"/>
    <mergeCell ref="AB205:AB207"/>
    <mergeCell ref="AB181:AB183"/>
    <mergeCell ref="AB184:AB186"/>
    <mergeCell ref="AB187:AB189"/>
    <mergeCell ref="AB190:AB192"/>
    <mergeCell ref="AA223:AA225"/>
    <mergeCell ref="AA257:AA259"/>
    <mergeCell ref="AA260:AA262"/>
    <mergeCell ref="AA263:AA265"/>
    <mergeCell ref="AA254:AA256"/>
    <mergeCell ref="AA226:AA228"/>
    <mergeCell ref="AA230:AA232"/>
    <mergeCell ref="AA233:AA235"/>
    <mergeCell ref="AA236:AA238"/>
    <mergeCell ref="AA242:AA244"/>
    <mergeCell ref="AA245:AA247"/>
    <mergeCell ref="AB211:AB213"/>
    <mergeCell ref="AB214:AB216"/>
    <mergeCell ref="AB217:AB219"/>
    <mergeCell ref="AB220:AB222"/>
    <mergeCell ref="AB223:AB225"/>
    <mergeCell ref="AB226:AB228"/>
    <mergeCell ref="AB230:AB232"/>
    <mergeCell ref="AB233:AB235"/>
    <mergeCell ref="AB236:AB238"/>
    <mergeCell ref="AB266:AB268"/>
    <mergeCell ref="AB239:AB241"/>
    <mergeCell ref="AB242:AB244"/>
    <mergeCell ref="AB245:AB247"/>
    <mergeCell ref="AB248:AB250"/>
    <mergeCell ref="AB251:AB253"/>
    <mergeCell ref="AB254:AB256"/>
    <mergeCell ref="AB257:AB259"/>
    <mergeCell ref="AB260:AB262"/>
    <mergeCell ref="AB263:AB265"/>
    <mergeCell ref="N4:N6"/>
    <mergeCell ref="AA266:AA268"/>
    <mergeCell ref="L242:L244"/>
    <mergeCell ref="L254:L256"/>
    <mergeCell ref="L257:L259"/>
    <mergeCell ref="M251:M253"/>
    <mergeCell ref="M254:M256"/>
    <mergeCell ref="L263:L265"/>
    <mergeCell ref="L266:L268"/>
    <mergeCell ref="M263:M265"/>
    <mergeCell ref="M266:M268"/>
    <mergeCell ref="M257:M259"/>
    <mergeCell ref="M260:M262"/>
    <mergeCell ref="AA181:AA183"/>
    <mergeCell ref="AA184:AA186"/>
    <mergeCell ref="AA187:AA189"/>
    <mergeCell ref="AA190:AA192"/>
    <mergeCell ref="AA193:AA195"/>
    <mergeCell ref="AA196:AA198"/>
    <mergeCell ref="AA199:AA201"/>
    <mergeCell ref="AA202:AA204"/>
    <mergeCell ref="AA205:AA207"/>
    <mergeCell ref="AA217:AA219"/>
    <mergeCell ref="AA220:AA222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39" r:id="rId1"/>
  <ignoredErrors>
    <ignoredError sqref="J142 J1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.28125" style="6" customWidth="1"/>
    <col min="2" max="2" width="43.28125" style="6" customWidth="1"/>
    <col min="3" max="3" width="24.140625" style="6" customWidth="1"/>
    <col min="4" max="4" width="24.140625" style="6" hidden="1" customWidth="1"/>
    <col min="5" max="16384" width="9.140625" style="6" customWidth="1"/>
  </cols>
  <sheetData>
    <row r="1" spans="1:11" ht="31.5" customHeight="1">
      <c r="A1" s="141" t="s">
        <v>286</v>
      </c>
      <c r="B1" s="141"/>
      <c r="C1" s="141"/>
      <c r="D1" s="141"/>
      <c r="E1" s="141"/>
      <c r="F1" s="1"/>
      <c r="G1" s="1"/>
      <c r="H1" s="1"/>
      <c r="I1" s="1"/>
      <c r="J1" s="1"/>
      <c r="K1" s="1"/>
    </row>
    <row r="2" spans="1:14" ht="62.25" customHeight="1">
      <c r="A2" s="80" t="s">
        <v>283</v>
      </c>
      <c r="B2" s="87" t="s">
        <v>47</v>
      </c>
      <c r="C2" s="87" t="s">
        <v>50</v>
      </c>
      <c r="D2" s="88"/>
      <c r="E2" s="88" t="s">
        <v>285</v>
      </c>
      <c r="F2" s="2"/>
      <c r="G2" s="3"/>
      <c r="H2" s="3"/>
      <c r="I2" s="3"/>
      <c r="J2" s="3"/>
      <c r="K2" s="3"/>
      <c r="L2" s="3"/>
      <c r="M2" s="3"/>
      <c r="N2" s="3"/>
    </row>
    <row r="3" spans="1:11" ht="15" customHeight="1">
      <c r="A3" s="131" t="s">
        <v>284</v>
      </c>
      <c r="B3" s="132"/>
      <c r="C3" s="132"/>
      <c r="D3" s="132"/>
      <c r="E3" s="132"/>
      <c r="F3" s="4"/>
      <c r="G3" s="5"/>
      <c r="H3" s="5"/>
      <c r="I3" s="5"/>
      <c r="J3" s="5"/>
      <c r="K3" s="5"/>
    </row>
    <row r="4" spans="1:5" ht="15">
      <c r="A4" s="83">
        <v>1</v>
      </c>
      <c r="B4" s="27" t="s">
        <v>289</v>
      </c>
      <c r="C4" s="10">
        <v>10</v>
      </c>
      <c r="D4" s="10">
        <v>10</v>
      </c>
      <c r="E4" s="81">
        <v>-0.2</v>
      </c>
    </row>
    <row r="5" spans="1:5" ht="15">
      <c r="A5" s="84">
        <v>2</v>
      </c>
      <c r="B5" s="32" t="s">
        <v>67</v>
      </c>
      <c r="C5" s="10">
        <v>6.3</v>
      </c>
      <c r="D5" s="10">
        <v>6.3</v>
      </c>
      <c r="E5" s="81">
        <v>-1.5</v>
      </c>
    </row>
    <row r="6" spans="1:5" ht="15">
      <c r="A6" s="84">
        <v>3</v>
      </c>
      <c r="B6" s="37" t="s">
        <v>290</v>
      </c>
      <c r="C6" s="10">
        <v>2.5</v>
      </c>
      <c r="D6" s="10">
        <v>2.5</v>
      </c>
      <c r="E6" s="81">
        <v>-0.04</v>
      </c>
    </row>
    <row r="7" spans="1:5" ht="15">
      <c r="A7" s="84">
        <v>4</v>
      </c>
      <c r="B7" s="37" t="s">
        <v>69</v>
      </c>
      <c r="C7" s="10">
        <v>3.2</v>
      </c>
      <c r="D7" s="10">
        <v>3.2</v>
      </c>
      <c r="E7" s="81">
        <v>-0.77</v>
      </c>
    </row>
    <row r="8" spans="1:5" ht="15">
      <c r="A8" s="84">
        <v>5</v>
      </c>
      <c r="B8" s="37" t="s">
        <v>70</v>
      </c>
      <c r="C8" s="10">
        <v>2.5</v>
      </c>
      <c r="D8" s="10">
        <v>2.5</v>
      </c>
      <c r="E8" s="81">
        <v>-0.82</v>
      </c>
    </row>
    <row r="9" spans="1:5" ht="15">
      <c r="A9" s="84">
        <v>6</v>
      </c>
      <c r="B9" s="37" t="s">
        <v>71</v>
      </c>
      <c r="C9" s="10">
        <v>2.5</v>
      </c>
      <c r="D9" s="10">
        <v>2.5</v>
      </c>
      <c r="E9" s="81">
        <v>-0.18</v>
      </c>
    </row>
    <row r="10" spans="1:5" ht="15">
      <c r="A10" s="84">
        <v>7</v>
      </c>
      <c r="B10" s="37" t="s">
        <v>291</v>
      </c>
      <c r="C10" s="10">
        <v>2.5</v>
      </c>
      <c r="D10" s="10">
        <v>2.5</v>
      </c>
      <c r="E10" s="81">
        <v>-0.11</v>
      </c>
    </row>
    <row r="11" spans="1:5" ht="15">
      <c r="A11" s="84">
        <v>8</v>
      </c>
      <c r="B11" s="37" t="s">
        <v>73</v>
      </c>
      <c r="C11" s="10">
        <v>2.5</v>
      </c>
      <c r="D11" s="10">
        <v>2.5</v>
      </c>
      <c r="E11" s="81">
        <v>-0.46</v>
      </c>
    </row>
    <row r="12" spans="1:5" ht="15">
      <c r="A12" s="84">
        <v>9</v>
      </c>
      <c r="B12" s="32" t="s">
        <v>292</v>
      </c>
      <c r="C12" s="10">
        <v>2.5</v>
      </c>
      <c r="D12" s="10">
        <v>2.5</v>
      </c>
      <c r="E12" s="81">
        <v>-0.41</v>
      </c>
    </row>
    <row r="13" spans="1:5" ht="15">
      <c r="A13" s="84">
        <v>10</v>
      </c>
      <c r="B13" s="37" t="s">
        <v>75</v>
      </c>
      <c r="C13" s="10">
        <v>2.5</v>
      </c>
      <c r="D13" s="10">
        <v>2.5</v>
      </c>
      <c r="E13" s="81">
        <v>-0.81</v>
      </c>
    </row>
    <row r="14" spans="1:5" ht="15">
      <c r="A14" s="84">
        <v>11</v>
      </c>
      <c r="B14" s="27" t="s">
        <v>76</v>
      </c>
      <c r="C14" s="28">
        <v>2.5</v>
      </c>
      <c r="D14" s="28">
        <v>2.5</v>
      </c>
      <c r="E14" s="81">
        <v>-0.54</v>
      </c>
    </row>
    <row r="15" spans="1:5" ht="15">
      <c r="A15" s="84">
        <v>12</v>
      </c>
      <c r="B15" s="27" t="s">
        <v>293</v>
      </c>
      <c r="C15" s="28">
        <v>2.5</v>
      </c>
      <c r="D15" s="28">
        <v>2.5</v>
      </c>
      <c r="E15" s="81">
        <v>-0.05</v>
      </c>
    </row>
    <row r="16" spans="1:5" ht="15">
      <c r="A16" s="84">
        <v>13</v>
      </c>
      <c r="B16" s="27" t="s">
        <v>78</v>
      </c>
      <c r="C16" s="28">
        <v>2.5</v>
      </c>
      <c r="D16" s="28">
        <v>2.5</v>
      </c>
      <c r="E16" s="81">
        <v>-0.55</v>
      </c>
    </row>
    <row r="17" spans="1:5" ht="15">
      <c r="A17" s="84">
        <v>14</v>
      </c>
      <c r="B17" s="27" t="s">
        <v>297</v>
      </c>
      <c r="C17" s="28">
        <v>2.5</v>
      </c>
      <c r="D17" s="28">
        <v>2.5</v>
      </c>
      <c r="E17" s="81">
        <v>-0.01</v>
      </c>
    </row>
    <row r="18" spans="1:5" ht="15">
      <c r="A18" s="84">
        <v>15</v>
      </c>
      <c r="B18" s="32" t="s">
        <v>81</v>
      </c>
      <c r="C18" s="10">
        <v>1.6</v>
      </c>
      <c r="D18" s="10">
        <v>1.6</v>
      </c>
      <c r="E18" s="81">
        <v>-0.39</v>
      </c>
    </row>
    <row r="19" spans="1:5" ht="15">
      <c r="A19" s="84">
        <v>16</v>
      </c>
      <c r="B19" s="32" t="s">
        <v>84</v>
      </c>
      <c r="C19" s="10">
        <v>4</v>
      </c>
      <c r="D19" s="10">
        <v>4</v>
      </c>
      <c r="E19" s="81">
        <v>-0.88</v>
      </c>
    </row>
    <row r="20" spans="1:5" ht="15">
      <c r="A20" s="84">
        <v>17</v>
      </c>
      <c r="B20" s="32" t="s">
        <v>85</v>
      </c>
      <c r="C20" s="10">
        <v>2.5</v>
      </c>
      <c r="D20" s="10">
        <v>2.5</v>
      </c>
      <c r="E20" s="81">
        <v>-0.22</v>
      </c>
    </row>
    <row r="21" spans="1:5" ht="15">
      <c r="A21" s="84">
        <v>18</v>
      </c>
      <c r="B21" s="32" t="s">
        <v>294</v>
      </c>
      <c r="C21" s="10">
        <v>2.5</v>
      </c>
      <c r="D21" s="10">
        <v>2.5</v>
      </c>
      <c r="E21" s="81">
        <v>-0.37</v>
      </c>
    </row>
    <row r="22" spans="1:5" ht="15">
      <c r="A22" s="84">
        <v>19</v>
      </c>
      <c r="B22" s="32" t="s">
        <v>87</v>
      </c>
      <c r="C22" s="10">
        <v>2.5</v>
      </c>
      <c r="D22" s="10">
        <v>2.5</v>
      </c>
      <c r="E22" s="81">
        <v>-1.05</v>
      </c>
    </row>
    <row r="23" spans="1:5" ht="15">
      <c r="A23" s="84">
        <v>20</v>
      </c>
      <c r="B23" s="32" t="s">
        <v>90</v>
      </c>
      <c r="C23" s="10">
        <v>6.3</v>
      </c>
      <c r="D23" s="10">
        <v>6.3</v>
      </c>
      <c r="E23" s="81">
        <v>-1.45</v>
      </c>
    </row>
    <row r="24" spans="1:5" ht="15">
      <c r="A24" s="84">
        <v>21</v>
      </c>
      <c r="B24" s="37" t="s">
        <v>295</v>
      </c>
      <c r="C24" s="10" t="s">
        <v>14</v>
      </c>
      <c r="D24" s="10">
        <f>3.2+1.6</f>
        <v>4.800000000000001</v>
      </c>
      <c r="E24" s="81">
        <v>-0.24</v>
      </c>
    </row>
    <row r="25" spans="1:5" ht="15">
      <c r="A25" s="84">
        <v>22</v>
      </c>
      <c r="B25" s="32" t="s">
        <v>280</v>
      </c>
      <c r="C25" s="10" t="s">
        <v>24</v>
      </c>
      <c r="D25" s="10">
        <f>1+1+1</f>
        <v>3</v>
      </c>
      <c r="E25" s="81">
        <v>-0.66</v>
      </c>
    </row>
    <row r="26" spans="1:5" ht="15">
      <c r="A26" s="84">
        <v>23</v>
      </c>
      <c r="B26" s="32" t="s">
        <v>185</v>
      </c>
      <c r="C26" s="10" t="s">
        <v>26</v>
      </c>
      <c r="D26" s="10">
        <f>5.6+4</f>
        <v>9.6</v>
      </c>
      <c r="E26" s="81">
        <v>-2.3</v>
      </c>
    </row>
    <row r="27" spans="1:5" ht="15.75" customHeight="1">
      <c r="A27" s="85">
        <v>24</v>
      </c>
      <c r="B27" s="32" t="s">
        <v>296</v>
      </c>
      <c r="C27" s="10">
        <v>31.5</v>
      </c>
      <c r="D27" s="10">
        <v>31.5</v>
      </c>
      <c r="E27" s="81">
        <v>-2.38</v>
      </c>
    </row>
    <row r="28" spans="1:5" ht="15">
      <c r="A28" s="133">
        <v>25</v>
      </c>
      <c r="B28" s="32" t="s">
        <v>267</v>
      </c>
      <c r="C28" s="10" t="s">
        <v>2</v>
      </c>
      <c r="D28" s="10">
        <f>16+16</f>
        <v>32</v>
      </c>
      <c r="E28" s="138">
        <v>-0.6</v>
      </c>
    </row>
    <row r="29" spans="1:5" ht="15">
      <c r="A29" s="134"/>
      <c r="B29" s="10" t="s">
        <v>244</v>
      </c>
      <c r="C29" s="10" t="s">
        <v>2</v>
      </c>
      <c r="D29" s="10"/>
      <c r="E29" s="139"/>
    </row>
    <row r="30" spans="1:5" ht="15">
      <c r="A30" s="135"/>
      <c r="B30" s="10" t="s">
        <v>242</v>
      </c>
      <c r="C30" s="10" t="s">
        <v>2</v>
      </c>
      <c r="D30" s="10"/>
      <c r="E30" s="140"/>
    </row>
    <row r="31" spans="1:5" ht="15">
      <c r="A31" s="136" t="s">
        <v>288</v>
      </c>
      <c r="B31" s="137"/>
      <c r="C31" s="86">
        <f>SUM(D4:D28)</f>
        <v>147.3</v>
      </c>
      <c r="D31" s="86"/>
      <c r="E31" s="86">
        <f>SUM(E4:E30)</f>
        <v>-16.99</v>
      </c>
    </row>
  </sheetData>
  <sheetProtection/>
  <mergeCells count="5">
    <mergeCell ref="A3:E3"/>
    <mergeCell ref="A28:A30"/>
    <mergeCell ref="A31:B31"/>
    <mergeCell ref="E28:E30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H49" sqref="H49"/>
    </sheetView>
  </sheetViews>
  <sheetFormatPr defaultColWidth="9.140625" defaultRowHeight="15"/>
  <cols>
    <col min="1" max="1" width="4.28125" style="6" customWidth="1"/>
    <col min="2" max="2" width="38.8515625" style="6" customWidth="1"/>
    <col min="3" max="3" width="27.28125" style="6" customWidth="1"/>
    <col min="4" max="4" width="0" style="6" hidden="1" customWidth="1"/>
    <col min="5" max="5" width="12.421875" style="6" customWidth="1"/>
    <col min="6" max="16384" width="9.140625" style="6" customWidth="1"/>
  </cols>
  <sheetData>
    <row r="1" spans="1:11" ht="31.5" customHeight="1">
      <c r="A1" s="141" t="s">
        <v>282</v>
      </c>
      <c r="B1" s="141"/>
      <c r="C1" s="141"/>
      <c r="D1" s="141"/>
      <c r="E1" s="141"/>
      <c r="F1" s="1"/>
      <c r="G1" s="1"/>
      <c r="H1" s="1"/>
      <c r="I1" s="1"/>
      <c r="J1" s="1"/>
      <c r="K1" s="1"/>
    </row>
    <row r="2" spans="1:14" ht="62.25" customHeight="1">
      <c r="A2" s="80" t="s">
        <v>283</v>
      </c>
      <c r="B2" s="87" t="s">
        <v>47</v>
      </c>
      <c r="C2" s="87" t="s">
        <v>50</v>
      </c>
      <c r="D2" s="88"/>
      <c r="E2" s="88" t="s">
        <v>48</v>
      </c>
      <c r="F2" s="2"/>
      <c r="G2" s="3"/>
      <c r="H2" s="3"/>
      <c r="I2" s="3"/>
      <c r="J2" s="3"/>
      <c r="K2" s="3"/>
      <c r="L2" s="3"/>
      <c r="M2" s="3"/>
      <c r="N2" s="3"/>
    </row>
    <row r="3" spans="1:11" ht="15" customHeight="1">
      <c r="A3" s="131" t="s">
        <v>284</v>
      </c>
      <c r="B3" s="132"/>
      <c r="C3" s="132"/>
      <c r="D3" s="132"/>
      <c r="E3" s="132"/>
      <c r="F3" s="4"/>
      <c r="G3" s="5"/>
      <c r="H3" s="5"/>
      <c r="I3" s="5"/>
      <c r="J3" s="5"/>
      <c r="K3" s="5"/>
    </row>
    <row r="4" spans="1:5" ht="15">
      <c r="A4" s="82">
        <v>1</v>
      </c>
      <c r="B4" s="27" t="s">
        <v>289</v>
      </c>
      <c r="C4" s="10">
        <v>10</v>
      </c>
      <c r="D4" s="10">
        <v>10</v>
      </c>
      <c r="E4" s="81">
        <v>-1</v>
      </c>
    </row>
    <row r="5" spans="1:5" ht="15">
      <c r="A5" s="82">
        <v>2</v>
      </c>
      <c r="B5" s="32" t="s">
        <v>67</v>
      </c>
      <c r="C5" s="10">
        <v>6.3</v>
      </c>
      <c r="D5" s="10">
        <v>6.3</v>
      </c>
      <c r="E5" s="81">
        <v>-2.4</v>
      </c>
    </row>
    <row r="6" spans="1:5" ht="15">
      <c r="A6" s="82">
        <v>3</v>
      </c>
      <c r="B6" s="37" t="s">
        <v>290</v>
      </c>
      <c r="C6" s="10">
        <v>2.5</v>
      </c>
      <c r="D6" s="10">
        <v>2.5</v>
      </c>
      <c r="E6" s="81">
        <v>-0.06</v>
      </c>
    </row>
    <row r="7" spans="1:5" ht="15">
      <c r="A7" s="82">
        <v>4</v>
      </c>
      <c r="B7" s="37" t="s">
        <v>69</v>
      </c>
      <c r="C7" s="10">
        <v>3.2</v>
      </c>
      <c r="D7" s="10">
        <v>3.2</v>
      </c>
      <c r="E7" s="81">
        <v>-1.29</v>
      </c>
    </row>
    <row r="8" spans="1:5" ht="15">
      <c r="A8" s="82">
        <v>5</v>
      </c>
      <c r="B8" s="37" t="s">
        <v>70</v>
      </c>
      <c r="C8" s="10">
        <v>2.5</v>
      </c>
      <c r="D8" s="10">
        <v>2.5</v>
      </c>
      <c r="E8" s="81">
        <v>-1.32</v>
      </c>
    </row>
    <row r="9" spans="1:5" ht="15">
      <c r="A9" s="82">
        <v>6</v>
      </c>
      <c r="B9" s="37" t="s">
        <v>71</v>
      </c>
      <c r="C9" s="10">
        <v>2.5</v>
      </c>
      <c r="D9" s="10">
        <v>2.5</v>
      </c>
      <c r="E9" s="81">
        <v>-0.18</v>
      </c>
    </row>
    <row r="10" spans="1:5" ht="15">
      <c r="A10" s="82">
        <v>7</v>
      </c>
      <c r="B10" s="37" t="s">
        <v>291</v>
      </c>
      <c r="C10" s="10">
        <v>2.5</v>
      </c>
      <c r="D10" s="10">
        <v>2.5</v>
      </c>
      <c r="E10" s="81">
        <v>-0.11</v>
      </c>
    </row>
    <row r="11" spans="1:5" ht="15">
      <c r="A11" s="82">
        <v>8</v>
      </c>
      <c r="B11" s="37" t="s">
        <v>73</v>
      </c>
      <c r="C11" s="10">
        <v>2.5</v>
      </c>
      <c r="D11" s="10">
        <v>2.5</v>
      </c>
      <c r="E11" s="81">
        <v>-0.47</v>
      </c>
    </row>
    <row r="12" spans="1:5" ht="15">
      <c r="A12" s="82">
        <v>9</v>
      </c>
      <c r="B12" s="32" t="s">
        <v>292</v>
      </c>
      <c r="C12" s="10">
        <v>2.5</v>
      </c>
      <c r="D12" s="10">
        <v>2.5</v>
      </c>
      <c r="E12" s="81">
        <v>-0.45</v>
      </c>
    </row>
    <row r="13" spans="1:5" ht="15">
      <c r="A13" s="82">
        <v>10</v>
      </c>
      <c r="B13" s="37" t="s">
        <v>75</v>
      </c>
      <c r="C13" s="10">
        <v>2.5</v>
      </c>
      <c r="D13" s="10">
        <v>2.5</v>
      </c>
      <c r="E13" s="81">
        <v>-1.08</v>
      </c>
    </row>
    <row r="14" spans="1:5" ht="15">
      <c r="A14" s="82">
        <v>11</v>
      </c>
      <c r="B14" s="27" t="s">
        <v>76</v>
      </c>
      <c r="C14" s="28">
        <v>2.5</v>
      </c>
      <c r="D14" s="28">
        <v>2.5</v>
      </c>
      <c r="E14" s="81">
        <v>-0.56</v>
      </c>
    </row>
    <row r="15" spans="1:5" ht="16.5" customHeight="1">
      <c r="A15" s="82">
        <v>12</v>
      </c>
      <c r="B15" s="27" t="s">
        <v>293</v>
      </c>
      <c r="C15" s="28">
        <v>2.5</v>
      </c>
      <c r="D15" s="28">
        <v>2.5</v>
      </c>
      <c r="E15" s="81">
        <v>-0.11</v>
      </c>
    </row>
    <row r="16" spans="1:5" ht="15">
      <c r="A16" s="82">
        <v>13</v>
      </c>
      <c r="B16" s="27" t="s">
        <v>78</v>
      </c>
      <c r="C16" s="28">
        <v>2.5</v>
      </c>
      <c r="D16" s="28">
        <v>2.5</v>
      </c>
      <c r="E16" s="81">
        <v>-0.55</v>
      </c>
    </row>
    <row r="17" spans="1:5" ht="15">
      <c r="A17" s="82">
        <v>14</v>
      </c>
      <c r="B17" s="27" t="s">
        <v>297</v>
      </c>
      <c r="C17" s="28">
        <v>2.5</v>
      </c>
      <c r="D17" s="28">
        <v>2.5</v>
      </c>
      <c r="E17" s="81">
        <v>-0.04</v>
      </c>
    </row>
    <row r="18" spans="1:5" ht="15">
      <c r="A18" s="82">
        <v>15</v>
      </c>
      <c r="B18" s="32" t="s">
        <v>81</v>
      </c>
      <c r="C18" s="10">
        <v>1.6</v>
      </c>
      <c r="D18" s="10">
        <v>1.6</v>
      </c>
      <c r="E18" s="81">
        <v>-0.39</v>
      </c>
    </row>
    <row r="19" spans="1:5" ht="15">
      <c r="A19" s="82">
        <v>16</v>
      </c>
      <c r="B19" s="32" t="s">
        <v>84</v>
      </c>
      <c r="C19" s="10">
        <v>4</v>
      </c>
      <c r="D19" s="10">
        <v>4</v>
      </c>
      <c r="E19" s="81">
        <v>-0.89</v>
      </c>
    </row>
    <row r="20" spans="1:5" ht="15">
      <c r="A20" s="82">
        <v>17</v>
      </c>
      <c r="B20" s="32" t="s">
        <v>85</v>
      </c>
      <c r="C20" s="10">
        <v>2.5</v>
      </c>
      <c r="D20" s="10">
        <v>2.5</v>
      </c>
      <c r="E20" s="81">
        <v>-0.27</v>
      </c>
    </row>
    <row r="21" spans="1:5" ht="15">
      <c r="A21" s="82">
        <v>18</v>
      </c>
      <c r="B21" s="32" t="s">
        <v>294</v>
      </c>
      <c r="C21" s="10">
        <v>2.5</v>
      </c>
      <c r="D21" s="10">
        <v>2.5</v>
      </c>
      <c r="E21" s="81">
        <v>-1.18</v>
      </c>
    </row>
    <row r="22" spans="1:5" ht="15">
      <c r="A22" s="82">
        <v>19</v>
      </c>
      <c r="B22" s="32" t="s">
        <v>87</v>
      </c>
      <c r="C22" s="10">
        <v>2.5</v>
      </c>
      <c r="D22" s="10">
        <v>2.5</v>
      </c>
      <c r="E22" s="81">
        <v>-1.05</v>
      </c>
    </row>
    <row r="23" spans="1:5" ht="15">
      <c r="A23" s="82">
        <v>20</v>
      </c>
      <c r="B23" s="32" t="s">
        <v>90</v>
      </c>
      <c r="C23" s="10">
        <v>6.3</v>
      </c>
      <c r="D23" s="10">
        <v>6.3</v>
      </c>
      <c r="E23" s="81">
        <v>-2.06</v>
      </c>
    </row>
    <row r="24" spans="1:5" ht="15">
      <c r="A24" s="82">
        <v>21</v>
      </c>
      <c r="B24" s="37" t="s">
        <v>93</v>
      </c>
      <c r="C24" s="10" t="s">
        <v>3</v>
      </c>
      <c r="D24" s="10">
        <f>2.5+6.3</f>
        <v>8.8</v>
      </c>
      <c r="E24" s="81">
        <v>-0.03</v>
      </c>
    </row>
    <row r="25" spans="1:5" ht="15">
      <c r="A25" s="82">
        <v>22</v>
      </c>
      <c r="B25" s="32" t="s">
        <v>298</v>
      </c>
      <c r="C25" s="10" t="s">
        <v>0</v>
      </c>
      <c r="D25" s="10">
        <f>40+40</f>
        <v>80</v>
      </c>
      <c r="E25" s="81">
        <v>-4.2</v>
      </c>
    </row>
    <row r="26" spans="1:5" ht="17.25" customHeight="1">
      <c r="A26" s="82">
        <v>23</v>
      </c>
      <c r="B26" s="32" t="s">
        <v>299</v>
      </c>
      <c r="C26" s="10" t="s">
        <v>0</v>
      </c>
      <c r="D26" s="10">
        <f>40+40</f>
        <v>80</v>
      </c>
      <c r="E26" s="81">
        <v>-0.95</v>
      </c>
    </row>
    <row r="27" spans="1:5" ht="15">
      <c r="A27" s="82">
        <v>24</v>
      </c>
      <c r="B27" s="37" t="s">
        <v>295</v>
      </c>
      <c r="C27" s="10" t="s">
        <v>14</v>
      </c>
      <c r="D27" s="10">
        <f>3.2+1.6</f>
        <v>4.800000000000001</v>
      </c>
      <c r="E27" s="81">
        <v>-0.38</v>
      </c>
    </row>
    <row r="28" spans="1:5" ht="15">
      <c r="A28" s="82">
        <v>25</v>
      </c>
      <c r="B28" s="37" t="s">
        <v>300</v>
      </c>
      <c r="C28" s="10" t="s">
        <v>10</v>
      </c>
      <c r="D28" s="10">
        <f>4+4</f>
        <v>8</v>
      </c>
      <c r="E28" s="81">
        <v>-0.37</v>
      </c>
    </row>
    <row r="29" spans="1:5" ht="15">
      <c r="A29" s="82">
        <v>26</v>
      </c>
      <c r="B29" s="27" t="s">
        <v>301</v>
      </c>
      <c r="C29" s="49" t="s">
        <v>4</v>
      </c>
      <c r="D29" s="49">
        <f>2.5+2.5</f>
        <v>5</v>
      </c>
      <c r="E29" s="81">
        <v>-0.74</v>
      </c>
    </row>
    <row r="30" spans="1:5" ht="15">
      <c r="A30" s="82">
        <v>27</v>
      </c>
      <c r="B30" s="32" t="s">
        <v>280</v>
      </c>
      <c r="C30" s="10" t="s">
        <v>24</v>
      </c>
      <c r="D30" s="10">
        <f>1+1+1</f>
        <v>3</v>
      </c>
      <c r="E30" s="81">
        <v>-0.75</v>
      </c>
    </row>
    <row r="31" spans="1:5" ht="15">
      <c r="A31" s="82">
        <v>28</v>
      </c>
      <c r="B31" s="32" t="s">
        <v>281</v>
      </c>
      <c r="C31" s="10" t="s">
        <v>4</v>
      </c>
      <c r="D31" s="10">
        <f>2.5+2.5</f>
        <v>5</v>
      </c>
      <c r="E31" s="81">
        <v>-0.14</v>
      </c>
    </row>
    <row r="32" spans="1:5" ht="15">
      <c r="A32" s="82">
        <v>29</v>
      </c>
      <c r="B32" s="32" t="s">
        <v>185</v>
      </c>
      <c r="C32" s="10" t="s">
        <v>26</v>
      </c>
      <c r="D32" s="10">
        <f>5.6+4</f>
        <v>9.6</v>
      </c>
      <c r="E32" s="81">
        <v>-4.58</v>
      </c>
    </row>
    <row r="33" spans="1:5" ht="15">
      <c r="A33" s="82">
        <v>30</v>
      </c>
      <c r="B33" s="32" t="s">
        <v>186</v>
      </c>
      <c r="C33" s="10" t="s">
        <v>27</v>
      </c>
      <c r="D33" s="10">
        <f>3.2+4</f>
        <v>7.2</v>
      </c>
      <c r="E33" s="81">
        <v>-0.38</v>
      </c>
    </row>
    <row r="34" spans="1:5" ht="15">
      <c r="A34" s="82">
        <v>31</v>
      </c>
      <c r="B34" s="32" t="s">
        <v>190</v>
      </c>
      <c r="C34" s="10" t="s">
        <v>29</v>
      </c>
      <c r="D34" s="10">
        <f>4+3.2</f>
        <v>7.2</v>
      </c>
      <c r="E34" s="81">
        <v>-3.97</v>
      </c>
    </row>
    <row r="35" spans="1:5" ht="15">
      <c r="A35" s="82">
        <v>32</v>
      </c>
      <c r="B35" s="32" t="s">
        <v>195</v>
      </c>
      <c r="C35" s="10" t="s">
        <v>10</v>
      </c>
      <c r="D35" s="10">
        <f>4+4</f>
        <v>8</v>
      </c>
      <c r="E35" s="81">
        <v>-1.56</v>
      </c>
    </row>
    <row r="36" spans="1:5" ht="15">
      <c r="A36" s="82">
        <v>33</v>
      </c>
      <c r="B36" s="32" t="s">
        <v>199</v>
      </c>
      <c r="C36" s="10" t="s">
        <v>28</v>
      </c>
      <c r="D36" s="10">
        <f>4+2.5</f>
        <v>6.5</v>
      </c>
      <c r="E36" s="81">
        <v>-1.38</v>
      </c>
    </row>
    <row r="37" spans="1:5" ht="15">
      <c r="A37" s="82">
        <v>34</v>
      </c>
      <c r="B37" s="32" t="s">
        <v>200</v>
      </c>
      <c r="C37" s="10" t="s">
        <v>10</v>
      </c>
      <c r="D37" s="10">
        <f>4+4</f>
        <v>8</v>
      </c>
      <c r="E37" s="81">
        <v>-4.96</v>
      </c>
    </row>
    <row r="38" spans="1:5" ht="18" customHeight="1">
      <c r="A38" s="82">
        <v>35</v>
      </c>
      <c r="B38" s="32" t="s">
        <v>302</v>
      </c>
      <c r="C38" s="10" t="s">
        <v>4</v>
      </c>
      <c r="D38" s="10">
        <f>2.5+2.5</f>
        <v>5</v>
      </c>
      <c r="E38" s="81">
        <v>-0.44</v>
      </c>
    </row>
    <row r="39" spans="1:5" ht="15">
      <c r="A39" s="82">
        <v>36</v>
      </c>
      <c r="B39" s="32" t="s">
        <v>303</v>
      </c>
      <c r="C39" s="10" t="s">
        <v>17</v>
      </c>
      <c r="D39" s="10">
        <f>2.5+4</f>
        <v>6.5</v>
      </c>
      <c r="E39" s="81">
        <v>-0.24</v>
      </c>
    </row>
    <row r="40" spans="1:5" ht="15">
      <c r="A40" s="82">
        <v>37</v>
      </c>
      <c r="B40" s="32" t="s">
        <v>304</v>
      </c>
      <c r="C40" s="10" t="s">
        <v>10</v>
      </c>
      <c r="D40" s="10">
        <f>4+4</f>
        <v>8</v>
      </c>
      <c r="E40" s="81">
        <v>-0.41</v>
      </c>
    </row>
    <row r="41" spans="1:5" ht="18" customHeight="1">
      <c r="A41" s="143">
        <v>38</v>
      </c>
      <c r="B41" s="27" t="s">
        <v>305</v>
      </c>
      <c r="C41" s="10" t="s">
        <v>2</v>
      </c>
      <c r="D41" s="10">
        <f>16+16</f>
        <v>32</v>
      </c>
      <c r="E41" s="138">
        <v>-3.08</v>
      </c>
    </row>
    <row r="42" spans="1:5" ht="15">
      <c r="A42" s="144"/>
      <c r="B42" s="10" t="s">
        <v>306</v>
      </c>
      <c r="C42" s="10" t="s">
        <v>2</v>
      </c>
      <c r="D42" s="10"/>
      <c r="E42" s="139"/>
    </row>
    <row r="43" spans="1:5" ht="15">
      <c r="A43" s="145"/>
      <c r="B43" s="10" t="s">
        <v>307</v>
      </c>
      <c r="C43" s="10" t="s">
        <v>2</v>
      </c>
      <c r="D43" s="10"/>
      <c r="E43" s="140"/>
    </row>
    <row r="44" spans="1:5" ht="15">
      <c r="A44" s="143">
        <v>39</v>
      </c>
      <c r="B44" s="32" t="s">
        <v>308</v>
      </c>
      <c r="C44" s="10" t="s">
        <v>36</v>
      </c>
      <c r="D44" s="10">
        <f>63+15+25</f>
        <v>103</v>
      </c>
      <c r="E44" s="138">
        <v>-4.05</v>
      </c>
    </row>
    <row r="45" spans="1:5" ht="15">
      <c r="A45" s="144"/>
      <c r="B45" s="10" t="s">
        <v>306</v>
      </c>
      <c r="C45" s="10" t="s">
        <v>36</v>
      </c>
      <c r="D45" s="10"/>
      <c r="E45" s="139"/>
    </row>
    <row r="46" spans="1:5" ht="15">
      <c r="A46" s="145"/>
      <c r="B46" s="10" t="s">
        <v>307</v>
      </c>
      <c r="C46" s="10" t="s">
        <v>36</v>
      </c>
      <c r="D46" s="10"/>
      <c r="E46" s="140"/>
    </row>
    <row r="47" spans="1:5" ht="18.75" customHeight="1">
      <c r="A47" s="82">
        <v>40</v>
      </c>
      <c r="B47" s="32" t="s">
        <v>296</v>
      </c>
      <c r="C47" s="10">
        <v>31.5</v>
      </c>
      <c r="D47" s="10">
        <v>31.5</v>
      </c>
      <c r="E47" s="81">
        <v>-2.9</v>
      </c>
    </row>
    <row r="48" spans="1:5" ht="15">
      <c r="A48" s="143">
        <v>41</v>
      </c>
      <c r="B48" s="32" t="s">
        <v>267</v>
      </c>
      <c r="C48" s="10" t="s">
        <v>2</v>
      </c>
      <c r="D48" s="10">
        <f>16+16</f>
        <v>32</v>
      </c>
      <c r="E48" s="138">
        <v>-5.41</v>
      </c>
    </row>
    <row r="49" spans="1:5" ht="15">
      <c r="A49" s="144"/>
      <c r="B49" s="10" t="s">
        <v>306</v>
      </c>
      <c r="C49" s="10" t="s">
        <v>2</v>
      </c>
      <c r="D49" s="10"/>
      <c r="E49" s="139"/>
    </row>
    <row r="50" spans="1:5" ht="15">
      <c r="A50" s="145"/>
      <c r="B50" s="10" t="s">
        <v>307</v>
      </c>
      <c r="C50" s="10" t="s">
        <v>2</v>
      </c>
      <c r="D50" s="10"/>
      <c r="E50" s="140"/>
    </row>
    <row r="51" spans="1:5" ht="18" customHeight="1">
      <c r="A51" s="143">
        <v>42</v>
      </c>
      <c r="B51" s="32" t="s">
        <v>309</v>
      </c>
      <c r="C51" s="10" t="s">
        <v>6</v>
      </c>
      <c r="D51" s="10">
        <f>10+6.3</f>
        <v>16.3</v>
      </c>
      <c r="E51" s="138">
        <v>-0.42</v>
      </c>
    </row>
    <row r="52" spans="1:5" ht="15">
      <c r="A52" s="144"/>
      <c r="B52" s="10" t="s">
        <v>244</v>
      </c>
      <c r="C52" s="10" t="s">
        <v>6</v>
      </c>
      <c r="D52" s="10"/>
      <c r="E52" s="139"/>
    </row>
    <row r="53" spans="1:5" ht="15">
      <c r="A53" s="145"/>
      <c r="B53" s="10" t="s">
        <v>242</v>
      </c>
      <c r="C53" s="10" t="s">
        <v>6</v>
      </c>
      <c r="D53" s="10"/>
      <c r="E53" s="140"/>
    </row>
    <row r="54" spans="1:5" ht="15">
      <c r="A54" s="136" t="s">
        <v>287</v>
      </c>
      <c r="B54" s="142"/>
      <c r="C54" s="86">
        <f>SUM(D4:D51)</f>
        <v>541.8</v>
      </c>
      <c r="D54" s="86"/>
      <c r="E54" s="86">
        <f>SUM(E4:E53)</f>
        <v>-56.8</v>
      </c>
    </row>
  </sheetData>
  <sheetProtection/>
  <mergeCells count="11">
    <mergeCell ref="A1:E1"/>
    <mergeCell ref="A3:E3"/>
    <mergeCell ref="E41:E43"/>
    <mergeCell ref="E44:E46"/>
    <mergeCell ref="E48:E50"/>
    <mergeCell ref="A54:B54"/>
    <mergeCell ref="E51:E53"/>
    <mergeCell ref="A41:A43"/>
    <mergeCell ref="A44:A46"/>
    <mergeCell ref="A48:A50"/>
    <mergeCell ref="A51:A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Пылинкина Мария</cp:lastModifiedBy>
  <cp:lastPrinted>2010-03-11T08:46:41Z</cp:lastPrinted>
  <dcterms:created xsi:type="dcterms:W3CDTF">2008-10-03T08:18:33Z</dcterms:created>
  <dcterms:modified xsi:type="dcterms:W3CDTF">2012-07-26T12:37:58Z</dcterms:modified>
  <cp:category/>
  <cp:version/>
  <cp:contentType/>
  <cp:contentStatus/>
</cp:coreProperties>
</file>