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та\РЗА\планы\2021\ТЗ\АУОТ\с датой\"/>
    </mc:Choice>
  </mc:AlternateContent>
  <bookViews>
    <workbookView xWindow="0" yWindow="0" windowWidth="12240" windowHeight="6180"/>
  </bookViews>
  <sheets>
    <sheet name=" 8-гр. ЛС 1 (2)" sheetId="5" r:id="rId1"/>
    <sheet name="Лист1" sheetId="6" r:id="rId2"/>
    <sheet name="Source" sheetId="1" r:id="rId3"/>
    <sheet name="SourceObSm" sheetId="2" r:id="rId4"/>
    <sheet name="SmtRes" sheetId="3" r:id="rId5"/>
    <sheet name="EtalonRes" sheetId="4" r:id="rId6"/>
  </sheets>
  <externalReferences>
    <externalReference r:id="rId7"/>
  </externalReferences>
  <definedNames>
    <definedName name="_xlnm._FilterDatabase" localSheetId="1" hidden="1">Лист1!$A$1:$C$20</definedName>
    <definedName name="_xlnm.Print_Titles" localSheetId="0">' 8-гр. ЛС 1 (2)'!$22:$22</definedName>
    <definedName name="_xlnm.Print_Area" localSheetId="0">' 8-гр. ЛС 1 (2)'!$A$1:$H$109</definedName>
  </definedNames>
  <calcPr calcId="152511"/>
</workbook>
</file>

<file path=xl/calcChain.xml><?xml version="1.0" encoding="utf-8"?>
<calcChain xmlns="http://schemas.openxmlformats.org/spreadsheetml/2006/main">
  <c r="F4" i="5" l="1"/>
  <c r="G20" i="1" l="1"/>
  <c r="C109" i="5"/>
  <c r="B109" i="5"/>
  <c r="C108" i="5"/>
  <c r="C106" i="5"/>
  <c r="B106" i="5"/>
  <c r="C105" i="5"/>
  <c r="C103" i="5"/>
  <c r="B103" i="5"/>
  <c r="C102" i="5"/>
  <c r="C100" i="5"/>
  <c r="C97" i="5"/>
  <c r="B97" i="5"/>
  <c r="C94" i="5"/>
  <c r="B94" i="5"/>
  <c r="G16" i="5"/>
  <c r="G15" i="5"/>
  <c r="B87" i="5"/>
  <c r="B85" i="5"/>
  <c r="B84" i="5"/>
  <c r="B83" i="5"/>
  <c r="B82" i="5"/>
  <c r="B81" i="5"/>
  <c r="B80" i="5"/>
  <c r="B75" i="5"/>
  <c r="B74" i="5"/>
  <c r="B73" i="5"/>
  <c r="B72" i="5"/>
  <c r="B71" i="5"/>
  <c r="B70" i="5"/>
  <c r="G65" i="5"/>
  <c r="G64" i="5"/>
  <c r="AE34" i="1"/>
  <c r="AD34" i="1"/>
  <c r="AC34" i="1"/>
  <c r="BT7" i="3"/>
  <c r="AF34" i="1" s="1"/>
  <c r="AI7" i="3"/>
  <c r="E62" i="5"/>
  <c r="D62" i="5"/>
  <c r="C62" i="5"/>
  <c r="B62" i="5"/>
  <c r="I34" i="1"/>
  <c r="F62" i="5" s="1"/>
  <c r="D61" i="5"/>
  <c r="C61" i="5"/>
  <c r="B61" i="5"/>
  <c r="A61" i="5"/>
  <c r="G59" i="5"/>
  <c r="G58" i="5"/>
  <c r="AO33" i="1"/>
  <c r="AE33" i="1"/>
  <c r="AD33" i="1"/>
  <c r="AC33" i="1"/>
  <c r="BT6" i="3"/>
  <c r="AF33" i="1" s="1"/>
  <c r="AI6" i="3"/>
  <c r="E56" i="5"/>
  <c r="D56" i="5"/>
  <c r="C56" i="5"/>
  <c r="B56" i="5"/>
  <c r="I33" i="1"/>
  <c r="F56" i="5" s="1"/>
  <c r="D55" i="5"/>
  <c r="C55" i="5"/>
  <c r="B55" i="5"/>
  <c r="A55" i="5"/>
  <c r="G53" i="5"/>
  <c r="G52" i="5"/>
  <c r="AE32" i="1"/>
  <c r="AD32" i="1"/>
  <c r="AC32" i="1"/>
  <c r="BT5" i="3"/>
  <c r="AF32" i="1" s="1"/>
  <c r="AI5" i="3"/>
  <c r="E50" i="5"/>
  <c r="D50" i="5"/>
  <c r="C50" i="5"/>
  <c r="B50" i="5"/>
  <c r="I32" i="1"/>
  <c r="F50" i="5" s="1"/>
  <c r="D49" i="5"/>
  <c r="C49" i="5"/>
  <c r="B49" i="5"/>
  <c r="A49" i="5"/>
  <c r="G47" i="5"/>
  <c r="G46" i="5"/>
  <c r="AE31" i="1"/>
  <c r="AD31" i="1"/>
  <c r="AC31" i="1"/>
  <c r="BT4" i="3"/>
  <c r="AF31" i="1" s="1"/>
  <c r="AI4" i="3"/>
  <c r="AK4" i="3" s="1"/>
  <c r="E44" i="5"/>
  <c r="D44" i="5"/>
  <c r="C44" i="5"/>
  <c r="B44" i="5"/>
  <c r="I31" i="1"/>
  <c r="F44" i="5" s="1"/>
  <c r="D43" i="5"/>
  <c r="C43" i="5"/>
  <c r="B43" i="5"/>
  <c r="A43" i="5"/>
  <c r="G41" i="5"/>
  <c r="G40" i="5"/>
  <c r="AE30" i="1"/>
  <c r="AD30" i="1"/>
  <c r="AC30" i="1"/>
  <c r="BT3" i="3"/>
  <c r="AF30" i="1" s="1"/>
  <c r="AI3" i="3"/>
  <c r="E38" i="5"/>
  <c r="D38" i="5"/>
  <c r="C38" i="5"/>
  <c r="B38" i="5"/>
  <c r="I30" i="1"/>
  <c r="F38" i="5" s="1"/>
  <c r="D37" i="5"/>
  <c r="C37" i="5"/>
  <c r="B37" i="5"/>
  <c r="A37" i="5"/>
  <c r="G35" i="5"/>
  <c r="G34" i="5"/>
  <c r="AE29" i="1"/>
  <c r="AD29" i="1"/>
  <c r="AC29" i="1"/>
  <c r="BT2" i="3"/>
  <c r="AF29" i="1" s="1"/>
  <c r="AI2" i="3"/>
  <c r="AK2" i="3" s="1"/>
  <c r="AO29" i="1" s="1"/>
  <c r="E32" i="5"/>
  <c r="D32" i="5"/>
  <c r="C32" i="5"/>
  <c r="B32" i="5"/>
  <c r="I29" i="1"/>
  <c r="F32" i="5" s="1"/>
  <c r="D31" i="5"/>
  <c r="C31" i="5"/>
  <c r="B31" i="5"/>
  <c r="A31" i="5"/>
  <c r="G29" i="5"/>
  <c r="G28" i="5"/>
  <c r="AE28" i="1"/>
  <c r="AD28" i="1"/>
  <c r="AC28" i="1"/>
  <c r="BT1" i="3"/>
  <c r="AF28" i="1" s="1"/>
  <c r="AI1" i="3"/>
  <c r="E26" i="5"/>
  <c r="D26" i="5"/>
  <c r="C26" i="5"/>
  <c r="B26" i="5"/>
  <c r="I28" i="1"/>
  <c r="F26" i="5" s="1"/>
  <c r="D25" i="5"/>
  <c r="C25" i="5"/>
  <c r="B25" i="5"/>
  <c r="A25" i="5"/>
  <c r="A23" i="5"/>
  <c r="A11" i="5"/>
  <c r="A7" i="5"/>
  <c r="A3" i="5"/>
  <c r="A2" i="5"/>
  <c r="AK7" i="3"/>
  <c r="AO34" i="1" s="1"/>
  <c r="AK6" i="3"/>
  <c r="AK5" i="3"/>
  <c r="AO32" i="1" s="1"/>
  <c r="AK3" i="3"/>
  <c r="AO30" i="1" s="1"/>
  <c r="AK1" i="3"/>
  <c r="AO28" i="1" s="1"/>
  <c r="H44" i="5" l="1"/>
  <c r="AO31" i="1"/>
  <c r="H32" i="5"/>
  <c r="H56" i="5"/>
  <c r="H26" i="5"/>
  <c r="H38" i="5"/>
  <c r="H50" i="5"/>
  <c r="H62" i="5"/>
  <c r="A1" i="4"/>
  <c r="A2" i="4"/>
  <c r="A3" i="4"/>
  <c r="A4" i="4"/>
  <c r="A5" i="4"/>
  <c r="A6" i="4"/>
  <c r="A7" i="4"/>
  <c r="A1" i="3"/>
  <c r="CX1" i="3"/>
  <c r="CY1" i="3"/>
  <c r="CZ1" i="3"/>
  <c r="DA1" i="3"/>
  <c r="A2" i="3"/>
  <c r="CX2" i="3"/>
  <c r="CY2" i="3"/>
  <c r="CZ2" i="3"/>
  <c r="DA2" i="3"/>
  <c r="A3" i="3"/>
  <c r="CX3" i="3"/>
  <c r="CY3" i="3"/>
  <c r="CZ3" i="3"/>
  <c r="DA3" i="3"/>
  <c r="A4" i="3"/>
  <c r="CX4" i="3"/>
  <c r="CY4" i="3"/>
  <c r="CZ4" i="3"/>
  <c r="DA4" i="3"/>
  <c r="A5" i="3"/>
  <c r="CX5" i="3"/>
  <c r="CY5" i="3"/>
  <c r="CZ5" i="3"/>
  <c r="DA5" i="3"/>
  <c r="A6" i="3"/>
  <c r="CX6" i="3"/>
  <c r="CY6" i="3"/>
  <c r="CZ6" i="3"/>
  <c r="DA6" i="3"/>
  <c r="A7" i="3"/>
  <c r="CX7" i="3"/>
  <c r="CY7" i="3"/>
  <c r="CZ7" i="3"/>
  <c r="DA7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CT28" i="1"/>
  <c r="S28" i="1" s="1"/>
  <c r="AG28" i="1"/>
  <c r="AH28" i="1"/>
  <c r="CV28" i="1" s="1"/>
  <c r="U28" i="1" s="1"/>
  <c r="AI28" i="1"/>
  <c r="AJ28" i="1"/>
  <c r="CX28" i="1" s="1"/>
  <c r="W28" i="1" s="1"/>
  <c r="CQ28" i="1"/>
  <c r="P28" i="1" s="1"/>
  <c r="CR28" i="1"/>
  <c r="Q28" i="1" s="1"/>
  <c r="CS28" i="1"/>
  <c r="R28" i="1" s="1"/>
  <c r="GK28" i="1" s="1"/>
  <c r="CU28" i="1"/>
  <c r="T28" i="1" s="1"/>
  <c r="CW28" i="1"/>
  <c r="V28" i="1" s="1"/>
  <c r="FR28" i="1"/>
  <c r="GL28" i="1"/>
  <c r="GO28" i="1"/>
  <c r="GP28" i="1"/>
  <c r="GV28" i="1"/>
  <c r="GX28" i="1"/>
  <c r="C29" i="1"/>
  <c r="D29" i="1"/>
  <c r="CR29" i="1"/>
  <c r="Q29" i="1" s="1"/>
  <c r="CT29" i="1"/>
  <c r="S29" i="1" s="1"/>
  <c r="AG29" i="1"/>
  <c r="AH29" i="1"/>
  <c r="CV29" i="1" s="1"/>
  <c r="U29" i="1" s="1"/>
  <c r="AI29" i="1"/>
  <c r="AJ29" i="1"/>
  <c r="CX29" i="1" s="1"/>
  <c r="W29" i="1" s="1"/>
  <c r="CQ29" i="1"/>
  <c r="P29" i="1" s="1"/>
  <c r="CS29" i="1"/>
  <c r="R29" i="1" s="1"/>
  <c r="CU29" i="1"/>
  <c r="T29" i="1" s="1"/>
  <c r="CW29" i="1"/>
  <c r="V29" i="1" s="1"/>
  <c r="FR29" i="1"/>
  <c r="GL29" i="1"/>
  <c r="GO29" i="1"/>
  <c r="GP29" i="1"/>
  <c r="GV29" i="1"/>
  <c r="GX29" i="1"/>
  <c r="C30" i="1"/>
  <c r="D30" i="1"/>
  <c r="CR30" i="1"/>
  <c r="Q30" i="1" s="1"/>
  <c r="CT30" i="1"/>
  <c r="S30" i="1" s="1"/>
  <c r="AG30" i="1"/>
  <c r="AH30" i="1"/>
  <c r="CV30" i="1" s="1"/>
  <c r="U30" i="1" s="1"/>
  <c r="AI30" i="1"/>
  <c r="AJ30" i="1"/>
  <c r="CX30" i="1" s="1"/>
  <c r="W30" i="1" s="1"/>
  <c r="CQ30" i="1"/>
  <c r="P30" i="1" s="1"/>
  <c r="CS30" i="1"/>
  <c r="R30" i="1" s="1"/>
  <c r="GK30" i="1" s="1"/>
  <c r="CU30" i="1"/>
  <c r="T30" i="1" s="1"/>
  <c r="CW30" i="1"/>
  <c r="V30" i="1" s="1"/>
  <c r="FR30" i="1"/>
  <c r="GL30" i="1"/>
  <c r="GO30" i="1"/>
  <c r="GP30" i="1"/>
  <c r="GV30" i="1"/>
  <c r="GX30" i="1"/>
  <c r="C31" i="1"/>
  <c r="D31" i="1"/>
  <c r="CR31" i="1"/>
  <c r="Q31" i="1" s="1"/>
  <c r="CT31" i="1"/>
  <c r="S31" i="1" s="1"/>
  <c r="AG31" i="1"/>
  <c r="AH31" i="1"/>
  <c r="CV31" i="1" s="1"/>
  <c r="U31" i="1" s="1"/>
  <c r="AI31" i="1"/>
  <c r="AJ31" i="1"/>
  <c r="CX31" i="1" s="1"/>
  <c r="W31" i="1" s="1"/>
  <c r="CQ31" i="1"/>
  <c r="P31" i="1" s="1"/>
  <c r="CS31" i="1"/>
  <c r="R31" i="1" s="1"/>
  <c r="GK31" i="1" s="1"/>
  <c r="CU31" i="1"/>
  <c r="T31" i="1" s="1"/>
  <c r="CW31" i="1"/>
  <c r="V31" i="1" s="1"/>
  <c r="FR31" i="1"/>
  <c r="GL31" i="1"/>
  <c r="GO31" i="1"/>
  <c r="GP31" i="1"/>
  <c r="GV31" i="1"/>
  <c r="GX31" i="1"/>
  <c r="C32" i="1"/>
  <c r="D32" i="1"/>
  <c r="CR32" i="1"/>
  <c r="Q32" i="1" s="1"/>
  <c r="CT32" i="1"/>
  <c r="S32" i="1" s="1"/>
  <c r="AG32" i="1"/>
  <c r="AH32" i="1"/>
  <c r="CV32" i="1" s="1"/>
  <c r="U32" i="1" s="1"/>
  <c r="AI32" i="1"/>
  <c r="AJ32" i="1"/>
  <c r="CX32" i="1" s="1"/>
  <c r="W32" i="1" s="1"/>
  <c r="CQ32" i="1"/>
  <c r="P32" i="1" s="1"/>
  <c r="CS32" i="1"/>
  <c r="R32" i="1" s="1"/>
  <c r="GK32" i="1" s="1"/>
  <c r="CU32" i="1"/>
  <c r="T32" i="1" s="1"/>
  <c r="CW32" i="1"/>
  <c r="V32" i="1" s="1"/>
  <c r="FR32" i="1"/>
  <c r="GL32" i="1"/>
  <c r="GO32" i="1"/>
  <c r="GP32" i="1"/>
  <c r="GV32" i="1"/>
  <c r="GX32" i="1"/>
  <c r="C33" i="1"/>
  <c r="D33" i="1"/>
  <c r="CR33" i="1"/>
  <c r="Q33" i="1" s="1"/>
  <c r="CT33" i="1"/>
  <c r="S33" i="1" s="1"/>
  <c r="AG33" i="1"/>
  <c r="AH33" i="1"/>
  <c r="CV33" i="1" s="1"/>
  <c r="U33" i="1" s="1"/>
  <c r="AI33" i="1"/>
  <c r="AJ33" i="1"/>
  <c r="CX33" i="1" s="1"/>
  <c r="W33" i="1" s="1"/>
  <c r="CQ33" i="1"/>
  <c r="P33" i="1" s="1"/>
  <c r="CS33" i="1"/>
  <c r="R33" i="1" s="1"/>
  <c r="GK33" i="1" s="1"/>
  <c r="CU33" i="1"/>
  <c r="T33" i="1" s="1"/>
  <c r="CW33" i="1"/>
  <c r="V33" i="1" s="1"/>
  <c r="FR33" i="1"/>
  <c r="GL33" i="1"/>
  <c r="GO33" i="1"/>
  <c r="GP33" i="1"/>
  <c r="GV33" i="1"/>
  <c r="GX33" i="1"/>
  <c r="C34" i="1"/>
  <c r="D34" i="1"/>
  <c r="CR34" i="1"/>
  <c r="Q34" i="1" s="1"/>
  <c r="CT34" i="1"/>
  <c r="S34" i="1" s="1"/>
  <c r="AG34" i="1"/>
  <c r="AH34" i="1"/>
  <c r="CV34" i="1" s="1"/>
  <c r="U34" i="1" s="1"/>
  <c r="AI34" i="1"/>
  <c r="AJ34" i="1"/>
  <c r="CX34" i="1" s="1"/>
  <c r="W34" i="1" s="1"/>
  <c r="CQ34" i="1"/>
  <c r="P34" i="1" s="1"/>
  <c r="CS34" i="1"/>
  <c r="R34" i="1" s="1"/>
  <c r="GK34" i="1" s="1"/>
  <c r="CU34" i="1"/>
  <c r="T34" i="1" s="1"/>
  <c r="CW34" i="1"/>
  <c r="V34" i="1" s="1"/>
  <c r="FR34" i="1"/>
  <c r="GL34" i="1"/>
  <c r="GO34" i="1"/>
  <c r="GP34" i="1"/>
  <c r="GV34" i="1"/>
  <c r="GX34" i="1"/>
  <c r="B36" i="1"/>
  <c r="B26" i="1" s="1"/>
  <c r="C36" i="1"/>
  <c r="C26" i="1" s="1"/>
  <c r="D36" i="1"/>
  <c r="D26" i="1" s="1"/>
  <c r="F36" i="1"/>
  <c r="F26" i="1" s="1"/>
  <c r="G36" i="1"/>
  <c r="G26" i="1" s="1"/>
  <c r="AO36" i="1"/>
  <c r="AO26" i="1" s="1"/>
  <c r="BC36" i="1"/>
  <c r="BC26" i="1" s="1"/>
  <c r="BX36" i="1"/>
  <c r="BX26" i="1" s="1"/>
  <c r="CK36" i="1"/>
  <c r="CK26" i="1" s="1"/>
  <c r="CL36" i="1"/>
  <c r="CL26" i="1" s="1"/>
  <c r="F40" i="1"/>
  <c r="F52" i="1"/>
  <c r="B68" i="1"/>
  <c r="B22" i="1" s="1"/>
  <c r="C68" i="1"/>
  <c r="C22" i="1" s="1"/>
  <c r="D68" i="1"/>
  <c r="D22" i="1" s="1"/>
  <c r="F68" i="1"/>
  <c r="F22" i="1" s="1"/>
  <c r="G68" i="1"/>
  <c r="G22" i="1" s="1"/>
  <c r="AO68" i="1"/>
  <c r="AO22" i="1" s="1"/>
  <c r="BC68" i="1"/>
  <c r="BC22" i="1" s="1"/>
  <c r="F72" i="1"/>
  <c r="F84" i="1"/>
  <c r="B100" i="1"/>
  <c r="B18" i="1" s="1"/>
  <c r="C100" i="1"/>
  <c r="C18" i="1" s="1"/>
  <c r="D100" i="1"/>
  <c r="D18" i="1" s="1"/>
  <c r="F100" i="1"/>
  <c r="F18" i="1" s="1"/>
  <c r="G100" i="1"/>
  <c r="G18" i="1" s="1"/>
  <c r="AO100" i="1"/>
  <c r="AO18" i="1" s="1"/>
  <c r="BC100" i="1"/>
  <c r="BC18" i="1" s="1"/>
  <c r="F104" i="1"/>
  <c r="F116" i="1"/>
  <c r="B20" i="2"/>
  <c r="B21" i="2"/>
  <c r="B30" i="2"/>
  <c r="B32" i="2"/>
  <c r="B33" i="2"/>
  <c r="B39" i="2"/>
  <c r="B40" i="2"/>
  <c r="B41" i="2"/>
  <c r="B42" i="2"/>
  <c r="B43" i="2"/>
  <c r="B44" i="2"/>
  <c r="BY36" i="1" l="1"/>
  <c r="BY26" i="1" s="1"/>
  <c r="BZ36" i="1"/>
  <c r="BZ26" i="1" s="1"/>
  <c r="CJ36" i="1"/>
  <c r="CJ26" i="1" s="1"/>
  <c r="CD36" i="1"/>
  <c r="CD26" i="1" s="1"/>
  <c r="CC36" i="1"/>
  <c r="CC26" i="1" s="1"/>
  <c r="AJ36" i="1"/>
  <c r="AJ26" i="1" s="1"/>
  <c r="AH36" i="1"/>
  <c r="AH26" i="1" s="1"/>
  <c r="AB28" i="1"/>
  <c r="G25" i="5" s="1"/>
  <c r="BB36" i="1"/>
  <c r="CP34" i="1"/>
  <c r="O34" i="1" s="1"/>
  <c r="H61" i="5" s="1"/>
  <c r="CP33" i="1"/>
  <c r="O33" i="1" s="1"/>
  <c r="H55" i="5" s="1"/>
  <c r="CP32" i="1"/>
  <c r="O32" i="1" s="1"/>
  <c r="H49" i="5" s="1"/>
  <c r="CP31" i="1"/>
  <c r="O31" i="1" s="1"/>
  <c r="H43" i="5" s="1"/>
  <c r="CP30" i="1"/>
  <c r="O30" i="1" s="1"/>
  <c r="H37" i="5" s="1"/>
  <c r="AG36" i="1"/>
  <c r="CP29" i="1"/>
  <c r="O29" i="1" s="1"/>
  <c r="H31" i="5" s="1"/>
  <c r="AC36" i="1"/>
  <c r="CZ34" i="1"/>
  <c r="Y34" i="1" s="1"/>
  <c r="CY34" i="1"/>
  <c r="X34" i="1" s="1"/>
  <c r="H64" i="5" s="1"/>
  <c r="CZ33" i="1"/>
  <c r="Y33" i="1" s="1"/>
  <c r="CY33" i="1"/>
  <c r="X33" i="1" s="1"/>
  <c r="H58" i="5" s="1"/>
  <c r="CZ32" i="1"/>
  <c r="Y32" i="1" s="1"/>
  <c r="CY32" i="1"/>
  <c r="X32" i="1" s="1"/>
  <c r="H52" i="5" s="1"/>
  <c r="CZ31" i="1"/>
  <c r="Y31" i="1" s="1"/>
  <c r="CY31" i="1"/>
  <c r="X31" i="1" s="1"/>
  <c r="H46" i="5" s="1"/>
  <c r="CZ30" i="1"/>
  <c r="Y30" i="1" s="1"/>
  <c r="AF36" i="1"/>
  <c r="CY30" i="1"/>
  <c r="X30" i="1" s="1"/>
  <c r="H40" i="5" s="1"/>
  <c r="AD36" i="1"/>
  <c r="AI36" i="1"/>
  <c r="GK29" i="1"/>
  <c r="AE36" i="1"/>
  <c r="AB34" i="1"/>
  <c r="G61" i="5" s="1"/>
  <c r="AB33" i="1"/>
  <c r="G55" i="5" s="1"/>
  <c r="AB32" i="1"/>
  <c r="G49" i="5" s="1"/>
  <c r="AB31" i="1"/>
  <c r="G43" i="5" s="1"/>
  <c r="AB30" i="1"/>
  <c r="G37" i="5" s="1"/>
  <c r="CZ29" i="1"/>
  <c r="Y29" i="1" s="1"/>
  <c r="AB29" i="1"/>
  <c r="G31" i="5" s="1"/>
  <c r="CY28" i="1"/>
  <c r="X28" i="1" s="1"/>
  <c r="H28" i="5" s="1"/>
  <c r="CZ28" i="1"/>
  <c r="Y28" i="1" s="1"/>
  <c r="CY29" i="1"/>
  <c r="X29" i="1" s="1"/>
  <c r="H34" i="5" s="1"/>
  <c r="CP28" i="1"/>
  <c r="O28" i="1" s="1"/>
  <c r="H25" i="5" s="1"/>
  <c r="CG36" i="1" l="1"/>
  <c r="CG26" i="1" s="1"/>
  <c r="AQ36" i="1"/>
  <c r="F46" i="1" s="1"/>
  <c r="AP36" i="1"/>
  <c r="AP26" i="1" s="1"/>
  <c r="CI36" i="1"/>
  <c r="CI26" i="1" s="1"/>
  <c r="BA36" i="1"/>
  <c r="BA26" i="1" s="1"/>
  <c r="AU36" i="1"/>
  <c r="F55" i="1" s="1"/>
  <c r="AT36" i="1"/>
  <c r="AT26" i="1" s="1"/>
  <c r="U36" i="1"/>
  <c r="U26" i="1" s="1"/>
  <c r="AX36" i="1"/>
  <c r="AX26" i="1" s="1"/>
  <c r="W36" i="1"/>
  <c r="F60" i="1" s="1"/>
  <c r="H29" i="5"/>
  <c r="H30" i="5"/>
  <c r="H36" i="5"/>
  <c r="H35" i="5"/>
  <c r="H41" i="5"/>
  <c r="H42" i="5"/>
  <c r="H48" i="5"/>
  <c r="H47" i="5"/>
  <c r="H53" i="5"/>
  <c r="H54" i="5"/>
  <c r="H60" i="5"/>
  <c r="H59" i="5"/>
  <c r="H65" i="5"/>
  <c r="H66" i="5"/>
  <c r="AL36" i="1"/>
  <c r="Y36" i="1" s="1"/>
  <c r="AQ26" i="1"/>
  <c r="AD26" i="1"/>
  <c r="Q36" i="1"/>
  <c r="AF26" i="1"/>
  <c r="S36" i="1"/>
  <c r="AC26" i="1"/>
  <c r="P36" i="1"/>
  <c r="CE36" i="1"/>
  <c r="CF36" i="1"/>
  <c r="CH36" i="1"/>
  <c r="AG26" i="1"/>
  <c r="T36" i="1"/>
  <c r="GM31" i="1"/>
  <c r="GN31" i="1"/>
  <c r="GM33" i="1"/>
  <c r="GN33" i="1"/>
  <c r="BB26" i="1"/>
  <c r="BB68" i="1"/>
  <c r="F49" i="1"/>
  <c r="GM28" i="1"/>
  <c r="AB36" i="1"/>
  <c r="GN28" i="1"/>
  <c r="AK36" i="1"/>
  <c r="AE26" i="1"/>
  <c r="R36" i="1"/>
  <c r="AI26" i="1"/>
  <c r="V36" i="1"/>
  <c r="GM29" i="1"/>
  <c r="GN29" i="1"/>
  <c r="GM30" i="1"/>
  <c r="GN30" i="1"/>
  <c r="GM32" i="1"/>
  <c r="GN32" i="1"/>
  <c r="GM34" i="1"/>
  <c r="GN34" i="1"/>
  <c r="F56" i="1" l="1"/>
  <c r="AZ36" i="1"/>
  <c r="AZ68" i="1" s="1"/>
  <c r="AZ22" i="1" s="1"/>
  <c r="AQ68" i="1"/>
  <c r="AQ22" i="1" s="1"/>
  <c r="AP68" i="1"/>
  <c r="AP22" i="1" s="1"/>
  <c r="F45" i="1"/>
  <c r="BA68" i="1"/>
  <c r="BA22" i="1" s="1"/>
  <c r="AU26" i="1"/>
  <c r="AT68" i="1"/>
  <c r="F86" i="1" s="1"/>
  <c r="F16" i="2" s="1"/>
  <c r="F18" i="2" s="1"/>
  <c r="F54" i="1"/>
  <c r="AU68" i="1"/>
  <c r="F87" i="1" s="1"/>
  <c r="U68" i="1"/>
  <c r="U100" i="1" s="1"/>
  <c r="F58" i="1"/>
  <c r="H72" i="5" s="1"/>
  <c r="W26" i="1"/>
  <c r="W68" i="1"/>
  <c r="W100" i="1" s="1"/>
  <c r="AX68" i="1"/>
  <c r="AX100" i="1" s="1"/>
  <c r="F43" i="1"/>
  <c r="AL26" i="1"/>
  <c r="V26" i="1"/>
  <c r="F59" i="1"/>
  <c r="V68" i="1"/>
  <c r="R26" i="1"/>
  <c r="F50" i="1"/>
  <c r="R68" i="1"/>
  <c r="AK26" i="1"/>
  <c r="X36" i="1"/>
  <c r="AB26" i="1"/>
  <c r="O36" i="1"/>
  <c r="BB22" i="1"/>
  <c r="BB100" i="1"/>
  <c r="F81" i="1"/>
  <c r="T26" i="1"/>
  <c r="F57" i="1"/>
  <c r="T68" i="1"/>
  <c r="CH26" i="1"/>
  <c r="AY36" i="1"/>
  <c r="CE26" i="1"/>
  <c r="AV36" i="1"/>
  <c r="S26" i="1"/>
  <c r="S68" i="1"/>
  <c r="F51" i="1"/>
  <c r="H71" i="5" s="1"/>
  <c r="Q26" i="1"/>
  <c r="F48" i="1"/>
  <c r="Q68" i="1"/>
  <c r="Y26" i="1"/>
  <c r="F62" i="1"/>
  <c r="H74" i="5" s="1"/>
  <c r="Y68" i="1"/>
  <c r="CB36" i="1"/>
  <c r="CA36" i="1"/>
  <c r="CF26" i="1"/>
  <c r="AW36" i="1"/>
  <c r="P26" i="1"/>
  <c r="F39" i="1"/>
  <c r="P68" i="1"/>
  <c r="AZ100" i="1" l="1"/>
  <c r="F47" i="1"/>
  <c r="F79" i="1"/>
  <c r="AZ26" i="1"/>
  <c r="F78" i="1"/>
  <c r="AQ100" i="1"/>
  <c r="AQ18" i="1" s="1"/>
  <c r="AP100" i="1"/>
  <c r="AP18" i="1" s="1"/>
  <c r="F88" i="1"/>
  <c r="H16" i="2" s="1"/>
  <c r="H18" i="2" s="1"/>
  <c r="F77" i="1"/>
  <c r="G16" i="2" s="1"/>
  <c r="G18" i="2" s="1"/>
  <c r="BA100" i="1"/>
  <c r="F120" i="1" s="1"/>
  <c r="F90" i="1"/>
  <c r="G17" i="5" s="1"/>
  <c r="U22" i="1"/>
  <c r="AT22" i="1"/>
  <c r="W22" i="1"/>
  <c r="AU100" i="1"/>
  <c r="F119" i="1" s="1"/>
  <c r="AU22" i="1"/>
  <c r="AT100" i="1"/>
  <c r="F118" i="1" s="1"/>
  <c r="F92" i="1"/>
  <c r="AX22" i="1"/>
  <c r="F75" i="1"/>
  <c r="CB26" i="1"/>
  <c r="AS36" i="1"/>
  <c r="Q22" i="1"/>
  <c r="F80" i="1"/>
  <c r="Q100" i="1"/>
  <c r="S22" i="1"/>
  <c r="S100" i="1"/>
  <c r="F83" i="1"/>
  <c r="AV26" i="1"/>
  <c r="AV68" i="1"/>
  <c r="F41" i="1"/>
  <c r="AY26" i="1"/>
  <c r="F44" i="1"/>
  <c r="AY68" i="1"/>
  <c r="T22" i="1"/>
  <c r="F89" i="1"/>
  <c r="T100" i="1"/>
  <c r="O26" i="1"/>
  <c r="F38" i="1"/>
  <c r="H70" i="5" s="1"/>
  <c r="O68" i="1"/>
  <c r="X26" i="1"/>
  <c r="F61" i="1"/>
  <c r="H73" i="5" s="1"/>
  <c r="X68" i="1"/>
  <c r="R22" i="1"/>
  <c r="F82" i="1"/>
  <c r="R100" i="1"/>
  <c r="U18" i="1"/>
  <c r="F122" i="1"/>
  <c r="AW26" i="1"/>
  <c r="F42" i="1"/>
  <c r="AW68" i="1"/>
  <c r="P22" i="1"/>
  <c r="F71" i="1"/>
  <c r="P100" i="1"/>
  <c r="AX18" i="1"/>
  <c r="F107" i="1"/>
  <c r="CA26" i="1"/>
  <c r="AR36" i="1"/>
  <c r="AZ18" i="1"/>
  <c r="F111" i="1"/>
  <c r="Y22" i="1"/>
  <c r="F94" i="1"/>
  <c r="H84" i="5" s="1"/>
  <c r="Y100" i="1"/>
  <c r="BB18" i="1"/>
  <c r="F113" i="1"/>
  <c r="W18" i="1"/>
  <c r="F124" i="1"/>
  <c r="V22" i="1"/>
  <c r="F91" i="1"/>
  <c r="V100" i="1"/>
  <c r="BA18" i="1" l="1"/>
  <c r="H82" i="5"/>
  <c r="F110" i="1"/>
  <c r="F109" i="1"/>
  <c r="AU18" i="1"/>
  <c r="AT18" i="1"/>
  <c r="J16" i="2"/>
  <c r="J18" i="2" s="1"/>
  <c r="H81" i="5"/>
  <c r="G18" i="5"/>
  <c r="V18" i="1"/>
  <c r="F123" i="1"/>
  <c r="AR26" i="1"/>
  <c r="AR68" i="1"/>
  <c r="F63" i="1"/>
  <c r="P18" i="1"/>
  <c r="F103" i="1"/>
  <c r="R18" i="1"/>
  <c r="F114" i="1"/>
  <c r="O22" i="1"/>
  <c r="F70" i="1"/>
  <c r="H80" i="5" s="1"/>
  <c r="O100" i="1"/>
  <c r="AY22" i="1"/>
  <c r="F76" i="1"/>
  <c r="AY100" i="1"/>
  <c r="AV22" i="1"/>
  <c r="AV100" i="1"/>
  <c r="F73" i="1"/>
  <c r="AS26" i="1"/>
  <c r="F53" i="1"/>
  <c r="AS68" i="1"/>
  <c r="Y18" i="1"/>
  <c r="F126" i="1"/>
  <c r="AW22" i="1"/>
  <c r="F74" i="1"/>
  <c r="AW100" i="1"/>
  <c r="X22" i="1"/>
  <c r="F93" i="1"/>
  <c r="H83" i="5" s="1"/>
  <c r="X100" i="1"/>
  <c r="F64" i="1"/>
  <c r="H75" i="5" s="1"/>
  <c r="G14" i="5" s="1"/>
  <c r="T18" i="1"/>
  <c r="F121" i="1"/>
  <c r="S18" i="1"/>
  <c r="F115" i="1"/>
  <c r="Q18" i="1"/>
  <c r="F112" i="1"/>
  <c r="F65" i="1" l="1"/>
  <c r="F66" i="1" s="1"/>
  <c r="AW18" i="1"/>
  <c r="F106" i="1"/>
  <c r="O18" i="1"/>
  <c r="F102" i="1"/>
  <c r="AR22" i="1"/>
  <c r="AR100" i="1"/>
  <c r="F95" i="1"/>
  <c r="X18" i="1"/>
  <c r="F125" i="1"/>
  <c r="AS22" i="1"/>
  <c r="F85" i="1"/>
  <c r="E16" i="2" s="1"/>
  <c r="AS100" i="1"/>
  <c r="AV18" i="1"/>
  <c r="F105" i="1"/>
  <c r="AY18" i="1"/>
  <c r="F108" i="1"/>
  <c r="F96" i="1"/>
  <c r="H85" i="5" s="1"/>
  <c r="H86" i="5" l="1"/>
  <c r="H87" i="5" s="1"/>
  <c r="F128" i="1"/>
  <c r="F129" i="1" s="1"/>
  <c r="AS18" i="1"/>
  <c r="F117" i="1"/>
  <c r="AR18" i="1"/>
  <c r="F127" i="1"/>
  <c r="F97" i="1"/>
  <c r="I16" i="2"/>
  <c r="I18" i="2" s="1"/>
  <c r="E18" i="2"/>
  <c r="F130" i="1" l="1"/>
  <c r="F98" i="1"/>
</calcChain>
</file>

<file path=xl/sharedStrings.xml><?xml version="1.0" encoding="utf-8"?>
<sst xmlns="http://schemas.openxmlformats.org/spreadsheetml/2006/main" count="924" uniqueCount="177">
  <si>
    <t>Smeta.RU  (495) 974-1589</t>
  </si>
  <si>
    <t>_PS_</t>
  </si>
  <si>
    <t>Smeta.RU</t>
  </si>
  <si>
    <t/>
  </si>
  <si>
    <t>Новый объект_(Копия)_(Копия)_(Копия)</t>
  </si>
  <si>
    <t>Смета на ТО МПУ на ПС филиала ПАО"МРСК-Центра"-Тверьэнерго</t>
  </si>
  <si>
    <t>Сметные нормы списания</t>
  </si>
  <si>
    <t>Коды ценников</t>
  </si>
  <si>
    <t>ВУЕР-2000 Ведомственные укрупненные единичные расценки</t>
  </si>
  <si>
    <t>Минэнерго ВУЕР-2000</t>
  </si>
  <si>
    <t>Поправки для ВУЕР</t>
  </si>
  <si>
    <t>Новая локальная смета</t>
  </si>
  <si>
    <t>Новый раздел</t>
  </si>
  <si>
    <t>ТО МПУ</t>
  </si>
  <si>
    <t>3</t>
  </si>
  <si>
    <t>08-19-112-1</t>
  </si>
  <si>
    <t>Проверка кнопок К, КЕ, ПКЕ</t>
  </si>
  <si>
    <t>КНОПКА</t>
  </si>
  <si>
    <t>РЗ190112</t>
  </si>
  <si>
    <t>Прочие работы</t>
  </si>
  <si>
    <t>ВУЕР-2000. Ведомственные укрупненные единичные расценки Минэнерго Устройства релейной защиты и автоматики. Панели защит и автоматики, устройства электро¬автоматики, ВЧ аппараты, ВЧ тракты, ВЧ каналы, измерительные  трансформаторы,  блоки питания, уст</t>
  </si>
  <si>
    <t>4</t>
  </si>
  <si>
    <t>08-19-120-1</t>
  </si>
  <si>
    <t>Проверка сопротивления изоляции</t>
  </si>
  <si>
    <t>измерение</t>
  </si>
  <si>
    <t>РЗ190120</t>
  </si>
  <si>
    <t>5</t>
  </si>
  <si>
    <t>05-02-22-04-к</t>
  </si>
  <si>
    <t>профилактический контроль Релейная защита и автоматика линии 6-10 кВ</t>
  </si>
  <si>
    <t>шт.</t>
  </si>
  <si>
    <t>РЗ110601*</t>
  </si>
  <si>
    <t>6</t>
  </si>
  <si>
    <t>05-01-07-4-к</t>
  </si>
  <si>
    <t>профилактический контроль Релейная защита и автоматика выключателя ввода 6-10 кВ</t>
  </si>
  <si>
    <t>РЗ170202</t>
  </si>
  <si>
    <t>7</t>
  </si>
  <si>
    <t>07-07-011-1-в</t>
  </si>
  <si>
    <t>профилактическое восстановление Реле промежуточные реле</t>
  </si>
  <si>
    <t>РЗ071101*</t>
  </si>
  <si>
    <t>ВУЕР-2000. Ведомственные укрупненные единичные расценки Минэнерго Устройства релейной защиты и автоматики. Автоматические выключатели, реле, _x000D_
комплекты защит, устройства блокировки</t>
  </si>
  <si>
    <t>8</t>
  </si>
  <si>
    <t>05-01-11-04-к</t>
  </si>
  <si>
    <t>профилактический контроль Релейная защита и автоматика секционного выключателя 6-10 кВ</t>
  </si>
  <si>
    <t>РЗ060104*</t>
  </si>
  <si>
    <t>9</t>
  </si>
  <si>
    <t>08-16-001-1-в</t>
  </si>
  <si>
    <t>Блоки  питания</t>
  </si>
  <si>
    <t>РЗ1601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</si>
  <si>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</si>
  <si>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</si>
  <si>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</si>
  <si>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</si>
  <si>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</si>
  <si>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</si>
  <si>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</si>
  <si>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</si>
  <si>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</si>
  <si>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</si>
  <si>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</si>
  <si>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</si>
  <si>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</si>
  <si>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</si>
  <si>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</si>
  <si>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</si>
  <si>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</si>
  <si>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</si>
  <si>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</si>
  <si>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</si>
  <si>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</si>
  <si>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</si>
  <si>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</si>
  <si>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</si>
  <si>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</si>
  <si>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</si>
  <si>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</si>
  <si>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</si>
  <si>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</si>
  <si>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</si>
  <si>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</si>
  <si>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</si>
  <si>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</si>
  <si>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</si>
  <si>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</si>
  <si>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</si>
  <si>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</si>
  <si>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</si>
  <si>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</si>
  <si>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</si>
  <si>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</si>
  <si>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</si>
  <si>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</si>
  <si>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</si>
  <si>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</si>
  <si>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</si>
  <si>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</si>
  <si>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</si>
  <si>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</si>
  <si>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</si>
  <si>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</si>
  <si>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</si>
  <si>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0</t>
  </si>
  <si>
    <t>Итого</t>
  </si>
  <si>
    <t>1</t>
  </si>
  <si>
    <t>НДС 18%</t>
  </si>
  <si>
    <t>2</t>
  </si>
  <si>
    <t>Уровень цен</t>
  </si>
  <si>
    <t>Вид цен 1</t>
  </si>
  <si>
    <t>Текущие цены</t>
  </si>
  <si>
    <t>_OBSM_</t>
  </si>
  <si>
    <t>МЭ-ПС-6</t>
  </si>
  <si>
    <t>Затраты труда рабочих-строителей, разряд работ 6</t>
  </si>
  <si>
    <t>чел.-ч</t>
  </si>
  <si>
    <t>МЭ-ПС-5</t>
  </si>
  <si>
    <t>Затраты труда рабочих-строителей, разряд работ 5</t>
  </si>
  <si>
    <t>Утверждаю</t>
  </si>
  <si>
    <t>Согласовано</t>
  </si>
  <si>
    <t xml:space="preserve">Сметная стоимость </t>
  </si>
  <si>
    <t xml:space="preserve">в т.ч. монтажных работ </t>
  </si>
  <si>
    <t xml:space="preserve">в т.ч. оборудования </t>
  </si>
  <si>
    <t xml:space="preserve">Нормативная трудоемкость </t>
  </si>
  <si>
    <t xml:space="preserve">Средства на оплату труда </t>
  </si>
  <si>
    <t>№ п/п</t>
  </si>
  <si>
    <t>Шифр и номер позиции норматива</t>
  </si>
  <si>
    <t>Наименование работ и затрат</t>
  </si>
  <si>
    <t>Ед. изм.</t>
  </si>
  <si>
    <t>Количество</t>
  </si>
  <si>
    <t>Сметная стоимость в текущих ценах</t>
  </si>
  <si>
    <t>на единицу измерения</t>
  </si>
  <si>
    <t>по проектным данным</t>
  </si>
  <si>
    <t>всего</t>
  </si>
  <si>
    <t>3.1</t>
  </si>
  <si>
    <t>Итого с НР и СП</t>
  </si>
  <si>
    <t>4.1</t>
  </si>
  <si>
    <t>5.1</t>
  </si>
  <si>
    <t>6.1</t>
  </si>
  <si>
    <t>7.1</t>
  </si>
  <si>
    <t>8.1</t>
  </si>
  <si>
    <t>9.1</t>
  </si>
  <si>
    <t>Итого по разделу:</t>
  </si>
  <si>
    <t>Итого по локальной смете:</t>
  </si>
  <si>
    <t>Исполнил:</t>
  </si>
  <si>
    <t>Проверил:</t>
  </si>
  <si>
    <t>Главный инженер:</t>
  </si>
  <si>
    <t>Заказчик:</t>
  </si>
  <si>
    <t>Подрядчик:</t>
  </si>
  <si>
    <t>Субподрядчик:</t>
  </si>
  <si>
    <t>Составлена в  ценах 1кв.2020,ВУЕР(РЦЦС)</t>
  </si>
  <si>
    <t>НДС-20%</t>
  </si>
  <si>
    <t>Наименование оборудования</t>
  </si>
  <si>
    <t>Наименование ПС</t>
  </si>
  <si>
    <t>Кол-во, шт.</t>
  </si>
  <si>
    <t>Орион-2</t>
  </si>
  <si>
    <t>ПС 110/35/10 кВ Старица</t>
  </si>
  <si>
    <t>ПС 110/35/10 кВ Лихославль</t>
  </si>
  <si>
    <t>ПС 110/35/10 кВ Северная</t>
  </si>
  <si>
    <t>Орион-РТЗ</t>
  </si>
  <si>
    <t>ПС 35/10 кВ Ковалево</t>
  </si>
  <si>
    <t>ПС 35/10 кВ Жарки</t>
  </si>
  <si>
    <t>ПС 35/10кВ Плоскошь</t>
  </si>
  <si>
    <t>ПС 35/10 кВ Родня</t>
  </si>
  <si>
    <t>ПС 35/10 кВ Изоплит</t>
  </si>
  <si>
    <t>РП 10 кВ №05</t>
  </si>
  <si>
    <t>Сириус-2В</t>
  </si>
  <si>
    <t>ПС 35/10 кВ Молоково</t>
  </si>
  <si>
    <t>ПС 35/10 кВ Сороки</t>
  </si>
  <si>
    <t>ПС 110/35/10 кВ Чертолино</t>
  </si>
  <si>
    <t>Сириус-2-В-БПТ</t>
  </si>
  <si>
    <t>Сириус-2С</t>
  </si>
  <si>
    <t>ПС 110/35/10 кВ Заднее Поле</t>
  </si>
  <si>
    <t>Сириус-УВ-БПТ</t>
  </si>
  <si>
    <t>ПС 35/10кВ Бологово</t>
  </si>
  <si>
    <t>ПС 35/10 кВ Кавельщино</t>
  </si>
  <si>
    <t>ПС 110/35/10 кВ Лихославль (Орион-2  - 1шт., Сириус-2В - 2шт.); ПС 110/35/10 кВ Заднее Поле (Сириус-2С   -  1шт.); ПС 110/35/10 кВ Северная  (Орион-2  -  1шт., Орион-РТЗ -  2шт.);  ПС 110/35/10 кВ Старица  (Орион-2   -   2шт.); ПС 110/35/10 кВ Чертолино (Сириус-2В  -  2шт.); ПС 35/10 кВ Жарки  (Орион-РТЗ   -  4шт.); ПС 35/10 кВ Изоплит  (Орион-РТЗ   -  1шт.); ПС 35/10 кВ Ковалево  (Орион-РТЗ  -  2шт.); ПС 35/10 кВ Молоково  (Сириус-2В   -  1шт.); ПС 35/10 кВ Родня (Орион-РТЗ   -  1шт.); ПС 35/10 кВ Сороки  (Сириус-2В  -  4шт., Сириус-2С - 1шт.); ПС 35/10кВ Бологово  (Сириус-УВ-БПТ  -  2шт.); ПС 35/10кВ Плоскошь (Орион-РТЗ   -  1шт.); РП 10 кВ Клоково (Орион-РТЗ   -  2шт., Сириус-2-В-БПТ - 1шт.); ПС 35/10 кВ Кавельщино (Орион-РТЗ   -  1шт.)</t>
  </si>
  <si>
    <t>Первый заместитель директора - главный инженер филиала ПАО "МРСК Центра"  - "Тверьэнерго"</t>
  </si>
  <si>
    <t>было</t>
  </si>
  <si>
    <t>'____' ___________ 2021 г.</t>
  </si>
  <si>
    <r>
      <rPr>
        <b/>
        <u/>
        <sz val="10"/>
        <rFont val="Tahoma"/>
        <family val="2"/>
        <charset val="204"/>
      </rPr>
      <t xml:space="preserve">'__05__' ___июля__ </t>
    </r>
    <r>
      <rPr>
        <b/>
        <sz val="10"/>
        <rFont val="Tahoma"/>
        <family val="2"/>
        <charset val="204"/>
      </rPr>
      <t>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</si>
</sst>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4"/>
      <name val="Tahoma"/>
      <family val="2"/>
      <charset val="204"/>
    </font>
    <font>
      <b/>
      <u/>
      <sz val="11"/>
      <name val="Tahoma"/>
      <family val="2"/>
      <charset val="204"/>
    </font>
    <font>
      <b/>
      <sz val="10"/>
      <color indexed="58"/>
      <name val="Tahoma"/>
      <family val="2"/>
      <charset val="204"/>
    </font>
    <font>
      <i/>
      <sz val="9"/>
      <color indexed="36"/>
      <name val="Tahoma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u/>
      <sz val="10"/>
      <color indexed="62"/>
      <name val="Tahoma"/>
      <family val="2"/>
      <charset val="204"/>
    </font>
    <font>
      <sz val="13"/>
      <name val="Times New Roman"/>
      <family val="1"/>
      <charset val="204"/>
    </font>
    <font>
      <b/>
      <u/>
      <sz val="1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0" fillId="0" borderId="0" xfId="0" quotePrefix="1" applyFont="1" applyAlignment="1">
      <alignment vertical="top"/>
    </xf>
    <xf numFmtId="0" fontId="9" fillId="0" borderId="0" xfId="0" applyFont="1" applyAlignment="1">
      <alignment horizontal="right" vertical="top"/>
    </xf>
    <xf numFmtId="0" fontId="9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9" fillId="0" borderId="4" xfId="0" applyFont="1" applyBorder="1" applyAlignment="1">
      <alignment vertical="top"/>
    </xf>
    <xf numFmtId="0" fontId="9" fillId="0" borderId="9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3" fillId="0" borderId="12" xfId="0" applyFont="1" applyBorder="1" applyAlignment="1">
      <alignment vertical="top" wrapText="1"/>
    </xf>
    <xf numFmtId="0" fontId="13" fillId="0" borderId="12" xfId="0" applyFont="1" applyBorder="1" applyAlignment="1">
      <alignment horizontal="right" vertical="top"/>
    </xf>
    <xf numFmtId="49" fontId="14" fillId="0" borderId="13" xfId="0" applyNumberFormat="1" applyFont="1" applyBorder="1" applyAlignment="1">
      <alignment horizontal="left" vertical="top"/>
    </xf>
    <xf numFmtId="0" fontId="14" fillId="0" borderId="13" xfId="0" applyFont="1" applyBorder="1" applyAlignment="1">
      <alignment vertical="top" wrapText="1"/>
    </xf>
    <xf numFmtId="0" fontId="14" fillId="0" borderId="13" xfId="0" applyFont="1" applyBorder="1" applyAlignment="1">
      <alignment vertical="top"/>
    </xf>
    <xf numFmtId="0" fontId="14" fillId="0" borderId="13" xfId="0" applyFont="1" applyBorder="1" applyAlignment="1">
      <alignment horizontal="right" vertical="top"/>
    </xf>
    <xf numFmtId="0" fontId="9" fillId="0" borderId="13" xfId="0" applyFont="1" applyBorder="1" applyAlignment="1">
      <alignment vertical="top"/>
    </xf>
    <xf numFmtId="0" fontId="9" fillId="0" borderId="13" xfId="0" applyFont="1" applyBorder="1" applyAlignment="1">
      <alignment horizontal="right" vertical="top"/>
    </xf>
    <xf numFmtId="0" fontId="9" fillId="0" borderId="14" xfId="0" applyFont="1" applyBorder="1" applyAlignment="1">
      <alignment vertical="top"/>
    </xf>
    <xf numFmtId="0" fontId="9" fillId="0" borderId="8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15" fillId="0" borderId="0" xfId="0" applyFont="1" applyAlignment="1">
      <alignment vertical="top"/>
    </xf>
    <xf numFmtId="0" fontId="16" fillId="0" borderId="0" xfId="0" applyFont="1" applyAlignment="1">
      <alignment horizontal="left" vertical="top"/>
    </xf>
    <xf numFmtId="0" fontId="10" fillId="0" borderId="0" xfId="0" applyFont="1" applyAlignment="1">
      <alignment horizontal="right" vertical="top"/>
    </xf>
    <xf numFmtId="0" fontId="16" fillId="0" borderId="1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0" fontId="10" fillId="0" borderId="2" xfId="0" applyFont="1" applyBorder="1" applyAlignment="1">
      <alignment horizontal="right"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top"/>
    </xf>
    <xf numFmtId="0" fontId="17" fillId="0" borderId="0" xfId="0" applyFont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vertical="center"/>
    </xf>
    <xf numFmtId="0" fontId="10" fillId="0" borderId="0" xfId="0" applyFont="1" applyAlignment="1">
      <alignment vertical="top" wrapText="1"/>
    </xf>
    <xf numFmtId="2" fontId="10" fillId="0" borderId="0" xfId="0" applyNumberFormat="1" applyFont="1" applyAlignment="1">
      <alignment vertical="top"/>
    </xf>
    <xf numFmtId="0" fontId="10" fillId="0" borderId="0" xfId="0" applyFont="1" applyAlignment="1">
      <alignment horizontal="left" vertical="top"/>
    </xf>
    <xf numFmtId="0" fontId="9" fillId="2" borderId="2" xfId="0" applyFont="1" applyFill="1" applyBorder="1" applyAlignment="1">
      <alignment vertical="top"/>
    </xf>
    <xf numFmtId="0" fontId="9" fillId="2" borderId="0" xfId="0" applyFont="1" applyFill="1" applyAlignment="1">
      <alignment vertical="top"/>
    </xf>
    <xf numFmtId="0" fontId="12" fillId="0" borderId="6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rova.AnA\Desktop\&#1058;&#1047;%202021\&#1089;&#1084;&#1077;&#1090;&#1099;\&#1057;&#1084;&#1077;&#1090;&#1072;%20&#1085;&#1072;%20&#1058;&#1054;%20&#1052;&#1055;&#1059;%20&#1085;&#1072;%20&#1055;&#1057;%20&#1092;&#1080;&#1083;&#1080;&#1072;&#1083;&#1072;%20&#1055;&#1040;&#1054;_&#1052;&#1056;&#1057;&#1050;-&#1062;&#1077;&#1085;&#1090;&#1088;&#1072;_-&#1058;&#1074;&#1077;&#1088;&#1100;&#1101;&#1085;&#1077;&#1088;&#1075;&#1086;_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8-гр. ЛС 1 (2)"/>
      <sheetName val="Source"/>
      <sheetName val="SourceObSm"/>
      <sheetName val="SmtRes"/>
      <sheetName val="EtalonRes"/>
    </sheetNames>
    <sheetDataSet>
      <sheetData sheetId="0"/>
      <sheetData sheetId="1">
        <row r="12">
          <cell r="AF12" t="str">
            <v>Лобков М.В.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showGridLines="0" tabSelected="1" view="pageBreakPreview" zoomScale="90" zoomScaleNormal="100" zoomScaleSheetLayoutView="90" workbookViewId="0">
      <selection activeCell="F5" sqref="F5"/>
    </sheetView>
  </sheetViews>
  <sheetFormatPr defaultRowHeight="12.75" x14ac:dyDescent="0.2"/>
  <cols>
    <col min="1" max="1" width="5.7109375" style="10" customWidth="1"/>
    <col min="2" max="2" width="15.7109375" style="10" customWidth="1"/>
    <col min="3" max="3" width="50.7109375" style="10" customWidth="1"/>
    <col min="4" max="4" width="10.28515625" style="10" customWidth="1"/>
    <col min="5" max="8" width="12.7109375" style="10" customWidth="1"/>
    <col min="9" max="16384" width="9.140625" style="10"/>
  </cols>
  <sheetData>
    <row r="1" spans="1:8" x14ac:dyDescent="0.2">
      <c r="A1" s="11" t="s">
        <v>115</v>
      </c>
      <c r="F1" s="11" t="s">
        <v>114</v>
      </c>
      <c r="G1" s="11"/>
      <c r="H1" s="11"/>
    </row>
    <row r="2" spans="1:8" x14ac:dyDescent="0.2">
      <c r="A2" s="11" t="str">
        <f>CONCATENATE(Source!AI12," ",Source!AJ12)</f>
        <v xml:space="preserve"> </v>
      </c>
      <c r="F2" s="11"/>
      <c r="G2" s="49"/>
      <c r="H2" s="50"/>
    </row>
    <row r="3" spans="1:8" ht="38.25" customHeight="1" x14ac:dyDescent="0.2">
      <c r="A3" s="11" t="str">
        <f>CONCATENATE(Source!AH12,"___________")</f>
        <v>___________</v>
      </c>
      <c r="F3" s="56" t="s">
        <v>173</v>
      </c>
      <c r="G3" s="56"/>
      <c r="H3" s="56"/>
    </row>
    <row r="4" spans="1:8" ht="12.75" customHeight="1" x14ac:dyDescent="0.2">
      <c r="A4" s="12" t="s">
        <v>175</v>
      </c>
      <c r="F4" s="61" t="str">
        <f>CONCATENATE(" __________ ",[1]Source!AF12)</f>
        <v xml:space="preserve"> __________ Лобков М.В.</v>
      </c>
      <c r="G4" s="61"/>
      <c r="H4" s="48"/>
    </row>
    <row r="5" spans="1:8" x14ac:dyDescent="0.2">
      <c r="A5" s="11"/>
      <c r="F5" s="12" t="s">
        <v>176</v>
      </c>
      <c r="G5" s="11"/>
      <c r="H5" s="11"/>
    </row>
    <row r="7" spans="1:8" x14ac:dyDescent="0.2">
      <c r="A7" s="10" t="str">
        <f>CONCATENATE("Наименование объекта: ",Source!G12)</f>
        <v>Наименование объекта: Смета на ТО МПУ на ПС филиала ПАО"МРСК-Центра"-Тверьэнерго</v>
      </c>
    </row>
    <row r="9" spans="1:8" ht="6" customHeight="1" x14ac:dyDescent="0.2"/>
    <row r="10" spans="1:8" ht="18" x14ac:dyDescent="0.2">
      <c r="A10" s="57"/>
      <c r="B10" s="57"/>
      <c r="C10" s="57"/>
      <c r="D10" s="57"/>
      <c r="E10" s="57"/>
      <c r="F10" s="57"/>
      <c r="G10" s="57"/>
      <c r="H10" s="57"/>
    </row>
    <row r="11" spans="1:8" ht="18" customHeight="1" x14ac:dyDescent="0.2">
      <c r="A11" s="58" t="str">
        <f>Source!G20</f>
        <v>Смета на ТО МПУ на ПС филиала ПАО"МРСК-Центра"-Тверьэнерго</v>
      </c>
      <c r="B11" s="58"/>
      <c r="C11" s="58"/>
      <c r="D11" s="58"/>
      <c r="E11" s="58"/>
      <c r="F11" s="58"/>
      <c r="G11" s="58"/>
      <c r="H11" s="58"/>
    </row>
    <row r="12" spans="1:8" ht="6" customHeight="1" x14ac:dyDescent="0.2"/>
    <row r="13" spans="1:8" ht="80.25" customHeight="1" x14ac:dyDescent="0.2">
      <c r="B13" s="60" t="s">
        <v>172</v>
      </c>
      <c r="C13" s="60"/>
      <c r="D13" s="60"/>
      <c r="E13" s="60"/>
      <c r="F13" s="60"/>
      <c r="G13" s="60"/>
    </row>
    <row r="14" spans="1:8" x14ac:dyDescent="0.2">
      <c r="F14" s="13" t="s">
        <v>116</v>
      </c>
      <c r="G14" s="52" t="str">
        <f>CONCATENATE(ROUND(H75/1000,3), " тыс. руб.")</f>
        <v>490.012 тыс. руб.</v>
      </c>
    </row>
    <row r="15" spans="1:8" x14ac:dyDescent="0.2">
      <c r="F15" s="13" t="s">
        <v>117</v>
      </c>
      <c r="G15" s="10" t="str">
        <f>CONCATENATE(ROUND(SUM(Source!GT28:GT34)/1000,3), " тыс. руб.")</f>
        <v>0 тыс. руб.</v>
      </c>
    </row>
    <row r="16" spans="1:8" x14ac:dyDescent="0.2">
      <c r="F16" s="13" t="s">
        <v>118</v>
      </c>
      <c r="G16" s="10" t="str">
        <f>CONCATENATE(ROUND(SUM(Source!GU28:GU34)/1000,3), " тыс. руб.")</f>
        <v>0 тыс. руб.</v>
      </c>
    </row>
    <row r="17" spans="1:8" x14ac:dyDescent="0.2">
      <c r="F17" s="13" t="s">
        <v>119</v>
      </c>
      <c r="G17" s="10" t="str">
        <f>CONCATENATE(ROUND(Source!F90,3), " чел.-ч.")</f>
        <v>453.54 чел.-ч.</v>
      </c>
    </row>
    <row r="18" spans="1:8" x14ac:dyDescent="0.2">
      <c r="A18" s="10" t="s">
        <v>146</v>
      </c>
      <c r="F18" s="13" t="s">
        <v>120</v>
      </c>
      <c r="G18" s="10" t="str">
        <f>CONCATENATE(ROUND(Source!F83/1000,3), " тыс. руб.")</f>
        <v>128.951 тыс. руб.</v>
      </c>
    </row>
    <row r="19" spans="1:8" ht="3.95" customHeight="1" thickBot="1" x14ac:dyDescent="0.25"/>
    <row r="20" spans="1:8" ht="26.1" customHeight="1" thickBot="1" x14ac:dyDescent="0.25">
      <c r="A20" s="59" t="s">
        <v>121</v>
      </c>
      <c r="B20" s="59" t="s">
        <v>122</v>
      </c>
      <c r="C20" s="59" t="s">
        <v>123</v>
      </c>
      <c r="D20" s="59" t="s">
        <v>124</v>
      </c>
      <c r="E20" s="59" t="s">
        <v>125</v>
      </c>
      <c r="F20" s="59"/>
      <c r="G20" s="59" t="s">
        <v>126</v>
      </c>
      <c r="H20" s="59"/>
    </row>
    <row r="21" spans="1:8" ht="26.25" thickBot="1" x14ac:dyDescent="0.25">
      <c r="A21" s="59"/>
      <c r="B21" s="59"/>
      <c r="C21" s="59"/>
      <c r="D21" s="59"/>
      <c r="E21" s="14" t="s">
        <v>127</v>
      </c>
      <c r="F21" s="14" t="s">
        <v>128</v>
      </c>
      <c r="G21" s="14" t="s">
        <v>127</v>
      </c>
      <c r="H21" s="14" t="s">
        <v>129</v>
      </c>
    </row>
    <row r="22" spans="1:8" ht="13.5" thickBot="1" x14ac:dyDescent="0.25">
      <c r="A22" s="14">
        <v>1</v>
      </c>
      <c r="B22" s="14">
        <v>2</v>
      </c>
      <c r="C22" s="14">
        <v>3</v>
      </c>
      <c r="D22" s="14">
        <v>4</v>
      </c>
      <c r="E22" s="14">
        <v>5</v>
      </c>
      <c r="F22" s="14">
        <v>6</v>
      </c>
      <c r="G22" s="14">
        <v>7</v>
      </c>
      <c r="H22" s="14">
        <v>8</v>
      </c>
    </row>
    <row r="23" spans="1:8" s="15" customFormat="1" ht="15" customHeight="1" x14ac:dyDescent="0.2">
      <c r="A23" s="53" t="str">
        <f>CONCATENATE("Раздел ", Source!G24)</f>
        <v>Раздел ТО МПУ</v>
      </c>
      <c r="B23" s="54"/>
      <c r="C23" s="54"/>
      <c r="D23" s="54"/>
      <c r="E23" s="54"/>
      <c r="F23" s="54"/>
      <c r="G23" s="54"/>
      <c r="H23" s="55"/>
    </row>
    <row r="24" spans="1:8" ht="6" customHeight="1" x14ac:dyDescent="0.2">
      <c r="A24" s="16"/>
      <c r="H24" s="17"/>
    </row>
    <row r="25" spans="1:8" s="18" customFormat="1" x14ac:dyDescent="0.2">
      <c r="A25" s="23" t="str">
        <f>Source!E28</f>
        <v>3</v>
      </c>
      <c r="B25" s="24" t="str">
        <f>CONCATENATE(Source!F28,"                       ", Source!EO28)</f>
        <v xml:space="preserve">08-19-112-1                       </v>
      </c>
      <c r="C25" s="24" t="str">
        <f>Source!G28</f>
        <v>Проверка кнопок К, КЕ, ПКЕ</v>
      </c>
      <c r="D25" s="24" t="str">
        <f>Source!H28</f>
        <v>КНОПКА</v>
      </c>
      <c r="E25" s="25"/>
      <c r="F25" s="25">
        <v>65</v>
      </c>
      <c r="G25" s="25">
        <f>IF(Source!AB28=0,"-",ROUND(Source!AB28,2))</f>
        <v>28.7</v>
      </c>
      <c r="H25" s="25">
        <f>IF(Source!O28=0,"-",ROUND(Source!O28,2))</f>
        <v>1865.24</v>
      </c>
    </row>
    <row r="26" spans="1:8" s="19" customFormat="1" ht="11.25" x14ac:dyDescent="0.2">
      <c r="A26" s="26" t="s">
        <v>130</v>
      </c>
      <c r="B26" s="27" t="str">
        <f>SmtRes!I1</f>
        <v>МЭ-ПС-6</v>
      </c>
      <c r="C26" s="27" t="str">
        <f>SmtRes!K1</f>
        <v>Затраты труда рабочих-строителей, разряд работ 6</v>
      </c>
      <c r="D26" s="27" t="str">
        <f>SmtRes!O1</f>
        <v>чел.-ч</v>
      </c>
      <c r="E26" s="28">
        <f>ROUND(SmtRes!Y1,5)</f>
        <v>0.1</v>
      </c>
      <c r="F26" s="28">
        <f>ROUND(SmtRes!Y1*Source!I28,5)</f>
        <v>6.5</v>
      </c>
      <c r="G26" s="28">
        <v>286.95999999999998</v>
      </c>
      <c r="H26" s="29">
        <f>IF(SmtRes!AK1*Source!I28=0,"-",ROUND(SmtRes!AK1*Source!I28*Source!BA28,2))</f>
        <v>1865.24</v>
      </c>
    </row>
    <row r="27" spans="1:8" ht="2.1" customHeight="1" x14ac:dyDescent="0.2">
      <c r="A27" s="30"/>
      <c r="B27" s="30"/>
      <c r="C27" s="30"/>
      <c r="D27" s="30"/>
      <c r="E27" s="30"/>
      <c r="F27" s="30"/>
      <c r="G27" s="30"/>
      <c r="H27" s="30"/>
    </row>
    <row r="28" spans="1:8" x14ac:dyDescent="0.2">
      <c r="A28" s="30"/>
      <c r="B28" s="30"/>
      <c r="C28" s="30" t="s">
        <v>95</v>
      </c>
      <c r="D28" s="30"/>
      <c r="E28" s="30"/>
      <c r="F28" s="30"/>
      <c r="G28" s="31" t="str">
        <f>CONCATENATE(Source!AT28,"%")</f>
        <v>215%</v>
      </c>
      <c r="H28" s="30">
        <f>IF(Source!X28=0,"",ROUND(Source!X28,2))</f>
        <v>4010.27</v>
      </c>
    </row>
    <row r="29" spans="1:8" x14ac:dyDescent="0.2">
      <c r="A29" s="30"/>
      <c r="B29" s="30"/>
      <c r="C29" s="30" t="s">
        <v>97</v>
      </c>
      <c r="D29" s="30"/>
      <c r="E29" s="30"/>
      <c r="F29" s="30"/>
      <c r="G29" s="31" t="str">
        <f>CONCATENATE(Source!AU28,"%")</f>
        <v>65%</v>
      </c>
      <c r="H29" s="30">
        <f>IF(Source!Y28=0,"",ROUND(Source!Y28,2))</f>
        <v>1212.4100000000001</v>
      </c>
    </row>
    <row r="30" spans="1:8" x14ac:dyDescent="0.2">
      <c r="A30" s="32"/>
      <c r="B30" s="32"/>
      <c r="C30" s="32" t="s">
        <v>131</v>
      </c>
      <c r="D30" s="32"/>
      <c r="E30" s="32"/>
      <c r="F30" s="32"/>
      <c r="G30" s="32"/>
      <c r="H30" s="32">
        <f>IF(Source!Y28+Source!X28+Source!O28=0,"",ROUND(Source!Y28+Source!X28+Source!O28,2))</f>
        <v>7087.92</v>
      </c>
    </row>
    <row r="31" spans="1:8" s="18" customFormat="1" ht="25.5" x14ac:dyDescent="0.2">
      <c r="A31" s="23" t="str">
        <f>Source!E29</f>
        <v>4</v>
      </c>
      <c r="B31" s="24" t="str">
        <f>CONCATENATE(Source!F29,"                       ", Source!EO29)</f>
        <v xml:space="preserve">08-19-120-1                       </v>
      </c>
      <c r="C31" s="24" t="str">
        <f>Source!G29</f>
        <v>Проверка сопротивления изоляции</v>
      </c>
      <c r="D31" s="24" t="str">
        <f>Source!H29</f>
        <v>измерение</v>
      </c>
      <c r="E31" s="25"/>
      <c r="F31" s="25">
        <v>68</v>
      </c>
      <c r="G31" s="25">
        <f>IF(Source!AB29=0,"-",ROUND(Source!AB29,2))</f>
        <v>22.96</v>
      </c>
      <c r="H31" s="25">
        <f>IF(Source!O29=0,"-",ROUND(Source!O29,2))</f>
        <v>1561.06</v>
      </c>
    </row>
    <row r="32" spans="1:8" s="19" customFormat="1" ht="11.25" x14ac:dyDescent="0.2">
      <c r="A32" s="26" t="s">
        <v>132</v>
      </c>
      <c r="B32" s="27" t="str">
        <f>SmtRes!I2</f>
        <v>МЭ-ПС-6</v>
      </c>
      <c r="C32" s="27" t="str">
        <f>SmtRes!K2</f>
        <v>Затраты труда рабочих-строителей, разряд работ 6</v>
      </c>
      <c r="D32" s="27" t="str">
        <f>SmtRes!O2</f>
        <v>чел.-ч</v>
      </c>
      <c r="E32" s="28">
        <f>ROUND(SmtRes!Y2,5)</f>
        <v>0.08</v>
      </c>
      <c r="F32" s="28">
        <f>ROUND(SmtRes!Y2*Source!I29,5)</f>
        <v>5.44</v>
      </c>
      <c r="G32" s="28">
        <v>286.95999999999998</v>
      </c>
      <c r="H32" s="29">
        <f>IF(SmtRes!AK2*Source!I29=0,"-",ROUND(SmtRes!AK2*Source!I29*Source!BA29,2))</f>
        <v>1561.06</v>
      </c>
    </row>
    <row r="33" spans="1:8" ht="2.1" customHeight="1" x14ac:dyDescent="0.2">
      <c r="A33" s="30"/>
      <c r="B33" s="30"/>
      <c r="C33" s="30"/>
      <c r="D33" s="30"/>
      <c r="E33" s="30"/>
      <c r="F33" s="30"/>
      <c r="G33" s="30"/>
      <c r="H33" s="30"/>
    </row>
    <row r="34" spans="1:8" x14ac:dyDescent="0.2">
      <c r="A34" s="30"/>
      <c r="B34" s="30"/>
      <c r="C34" s="30" t="s">
        <v>95</v>
      </c>
      <c r="D34" s="30"/>
      <c r="E34" s="30"/>
      <c r="F34" s="30"/>
      <c r="G34" s="31" t="str">
        <f>CONCATENATE(Source!AT29,"%")</f>
        <v>215%</v>
      </c>
      <c r="H34" s="30">
        <f>IF(Source!X29=0,"",ROUND(Source!X29,2))</f>
        <v>3356.28</v>
      </c>
    </row>
    <row r="35" spans="1:8" x14ac:dyDescent="0.2">
      <c r="A35" s="30"/>
      <c r="B35" s="30"/>
      <c r="C35" s="30" t="s">
        <v>97</v>
      </c>
      <c r="D35" s="30"/>
      <c r="E35" s="30"/>
      <c r="F35" s="30"/>
      <c r="G35" s="31" t="str">
        <f>CONCATENATE(Source!AU29,"%")</f>
        <v>65%</v>
      </c>
      <c r="H35" s="30">
        <f>IF(Source!Y29=0,"",ROUND(Source!Y29,2))</f>
        <v>1014.69</v>
      </c>
    </row>
    <row r="36" spans="1:8" x14ac:dyDescent="0.2">
      <c r="A36" s="32"/>
      <c r="B36" s="32"/>
      <c r="C36" s="32" t="s">
        <v>131</v>
      </c>
      <c r="D36" s="32"/>
      <c r="E36" s="32"/>
      <c r="F36" s="32"/>
      <c r="G36" s="32"/>
      <c r="H36" s="32">
        <f>IF(Source!Y29+Source!X29+Source!O29=0,"",ROUND(Source!Y29+Source!X29+Source!O29,2))</f>
        <v>5932.03</v>
      </c>
    </row>
    <row r="37" spans="1:8" s="18" customFormat="1" ht="25.5" x14ac:dyDescent="0.2">
      <c r="A37" s="23" t="str">
        <f>Source!E30</f>
        <v>5</v>
      </c>
      <c r="B37" s="24" t="str">
        <f>CONCATENATE(Source!F30,"                       ", Source!EO30)</f>
        <v xml:space="preserve">05-02-22-04-к                       </v>
      </c>
      <c r="C37" s="24" t="str">
        <f>Source!G30</f>
        <v>профилактический контроль Релейная защита и автоматика линии 6-10 кВ</v>
      </c>
      <c r="D37" s="24" t="str">
        <f>Source!H30</f>
        <v>шт.</v>
      </c>
      <c r="E37" s="25"/>
      <c r="F37" s="25">
        <v>18</v>
      </c>
      <c r="G37" s="25">
        <f>IF(Source!AB30=0,"-",ROUND(Source!AB30,2))</f>
        <v>3242.65</v>
      </c>
      <c r="H37" s="25">
        <f>IF(Source!O30=0,"-",ROUND(Source!O30,2))</f>
        <v>58367.66</v>
      </c>
    </row>
    <row r="38" spans="1:8" s="19" customFormat="1" ht="11.25" x14ac:dyDescent="0.2">
      <c r="A38" s="26" t="s">
        <v>133</v>
      </c>
      <c r="B38" s="27" t="str">
        <f>SmtRes!I3</f>
        <v>МЭ-ПС-6</v>
      </c>
      <c r="C38" s="27" t="str">
        <f>SmtRes!K3</f>
        <v>Затраты труда рабочих-строителей, разряд работ 6</v>
      </c>
      <c r="D38" s="27" t="str">
        <f>SmtRes!O3</f>
        <v>чел.-ч</v>
      </c>
      <c r="E38" s="28">
        <f>ROUND(SmtRes!Y3,5)</f>
        <v>11.3</v>
      </c>
      <c r="F38" s="28">
        <f>ROUND(SmtRes!Y3*Source!I30,5)</f>
        <v>203.4</v>
      </c>
      <c r="G38" s="28">
        <v>286.95999999999998</v>
      </c>
      <c r="H38" s="29">
        <f>IF(SmtRes!AK3*Source!I30=0,"-",ROUND(SmtRes!AK3*Source!I30*Source!BA30,2))</f>
        <v>58367.66</v>
      </c>
    </row>
    <row r="39" spans="1:8" ht="2.1" customHeight="1" x14ac:dyDescent="0.2">
      <c r="A39" s="30"/>
      <c r="B39" s="30"/>
      <c r="C39" s="30"/>
      <c r="D39" s="30"/>
      <c r="E39" s="30"/>
      <c r="F39" s="30"/>
      <c r="G39" s="30"/>
      <c r="H39" s="30"/>
    </row>
    <row r="40" spans="1:8" x14ac:dyDescent="0.2">
      <c r="A40" s="30"/>
      <c r="B40" s="30"/>
      <c r="C40" s="30" t="s">
        <v>95</v>
      </c>
      <c r="D40" s="30"/>
      <c r="E40" s="30"/>
      <c r="F40" s="30"/>
      <c r="G40" s="31" t="str">
        <f>CONCATENATE(Source!AT30,"%")</f>
        <v>215%</v>
      </c>
      <c r="H40" s="30">
        <f>IF(Source!X30=0,"",ROUND(Source!X30,2))</f>
        <v>125490.47</v>
      </c>
    </row>
    <row r="41" spans="1:8" x14ac:dyDescent="0.2">
      <c r="A41" s="30"/>
      <c r="B41" s="30"/>
      <c r="C41" s="30" t="s">
        <v>97</v>
      </c>
      <c r="D41" s="30"/>
      <c r="E41" s="30"/>
      <c r="F41" s="30"/>
      <c r="G41" s="31" t="str">
        <f>CONCATENATE(Source!AU30,"%")</f>
        <v>65%</v>
      </c>
      <c r="H41" s="30">
        <f>IF(Source!Y30=0,"",ROUND(Source!Y30,2))</f>
        <v>37938.980000000003</v>
      </c>
    </row>
    <row r="42" spans="1:8" x14ac:dyDescent="0.2">
      <c r="A42" s="32"/>
      <c r="B42" s="32"/>
      <c r="C42" s="32" t="s">
        <v>131</v>
      </c>
      <c r="D42" s="32"/>
      <c r="E42" s="32"/>
      <c r="F42" s="32"/>
      <c r="G42" s="32"/>
      <c r="H42" s="32">
        <f>IF(Source!Y30+Source!X30+Source!O30=0,"",ROUND(Source!Y30+Source!X30+Source!O30,2))</f>
        <v>221797.11</v>
      </c>
    </row>
    <row r="43" spans="1:8" s="18" customFormat="1" ht="25.5" x14ac:dyDescent="0.2">
      <c r="A43" s="23" t="str">
        <f>Source!E31</f>
        <v>6</v>
      </c>
      <c r="B43" s="24" t="str">
        <f>CONCATENATE(Source!F31,"                       ", Source!EO31)</f>
        <v xml:space="preserve">05-01-07-4-к                       </v>
      </c>
      <c r="C43" s="24" t="str">
        <f>Source!G31</f>
        <v>профилактический контроль Релейная защита и автоматика выключателя ввода 6-10 кВ</v>
      </c>
      <c r="D43" s="24" t="str">
        <f>Source!H31</f>
        <v>шт.</v>
      </c>
      <c r="E43" s="25"/>
      <c r="F43" s="25">
        <v>12</v>
      </c>
      <c r="G43" s="25">
        <f>IF(Source!AB31=0,"-",ROUND(Source!AB31,2))</f>
        <v>1779.15</v>
      </c>
      <c r="H43" s="25">
        <f>IF(Source!O31=0,"-",ROUND(Source!O31,2))</f>
        <v>21349.82</v>
      </c>
    </row>
    <row r="44" spans="1:8" s="19" customFormat="1" ht="11.25" x14ac:dyDescent="0.2">
      <c r="A44" s="26" t="s">
        <v>134</v>
      </c>
      <c r="B44" s="27" t="str">
        <f>SmtRes!I4</f>
        <v>МЭ-ПС-6</v>
      </c>
      <c r="C44" s="27" t="str">
        <f>SmtRes!K4</f>
        <v>Затраты труда рабочих-строителей, разряд работ 6</v>
      </c>
      <c r="D44" s="27" t="str">
        <f>SmtRes!O4</f>
        <v>чел.-ч</v>
      </c>
      <c r="E44" s="28">
        <f>ROUND(SmtRes!Y4,5)</f>
        <v>6.2</v>
      </c>
      <c r="F44" s="28">
        <f>ROUND(SmtRes!Y4*Source!I31,5)</f>
        <v>74.400000000000006</v>
      </c>
      <c r="G44" s="28">
        <v>286.95999999999998</v>
      </c>
      <c r="H44" s="29">
        <f>IF(SmtRes!AK4*Source!I31=0,"-",ROUND(SmtRes!AK4*Source!I31*Source!BA31,2))</f>
        <v>21349.82</v>
      </c>
    </row>
    <row r="45" spans="1:8" ht="2.1" customHeight="1" x14ac:dyDescent="0.2">
      <c r="A45" s="30"/>
      <c r="B45" s="30"/>
      <c r="C45" s="30"/>
      <c r="D45" s="30"/>
      <c r="E45" s="30"/>
      <c r="F45" s="30"/>
      <c r="G45" s="30"/>
      <c r="H45" s="30"/>
    </row>
    <row r="46" spans="1:8" x14ac:dyDescent="0.2">
      <c r="A46" s="30"/>
      <c r="B46" s="30"/>
      <c r="C46" s="30" t="s">
        <v>95</v>
      </c>
      <c r="D46" s="30"/>
      <c r="E46" s="30"/>
      <c r="F46" s="30"/>
      <c r="G46" s="31" t="str">
        <f>CONCATENATE(Source!AT31,"%")</f>
        <v>215%</v>
      </c>
      <c r="H46" s="30">
        <f>IF(Source!X31=0,"",ROUND(Source!X31,2))</f>
        <v>45902.11</v>
      </c>
    </row>
    <row r="47" spans="1:8" x14ac:dyDescent="0.2">
      <c r="A47" s="30"/>
      <c r="B47" s="30"/>
      <c r="C47" s="30" t="s">
        <v>97</v>
      </c>
      <c r="D47" s="30"/>
      <c r="E47" s="30"/>
      <c r="F47" s="30"/>
      <c r="G47" s="31" t="str">
        <f>CONCATENATE(Source!AU31,"%")</f>
        <v>65%</v>
      </c>
      <c r="H47" s="30">
        <f>IF(Source!Y31=0,"",ROUND(Source!Y31,2))</f>
        <v>13877.38</v>
      </c>
    </row>
    <row r="48" spans="1:8" x14ac:dyDescent="0.2">
      <c r="A48" s="32"/>
      <c r="B48" s="32"/>
      <c r="C48" s="32" t="s">
        <v>131</v>
      </c>
      <c r="D48" s="32"/>
      <c r="E48" s="32"/>
      <c r="F48" s="32"/>
      <c r="G48" s="32"/>
      <c r="H48" s="32">
        <f>IF(Source!Y31+Source!X31+Source!O31=0,"",ROUND(Source!Y31+Source!X31+Source!O31,2))</f>
        <v>81129.31</v>
      </c>
    </row>
    <row r="49" spans="1:8" s="18" customFormat="1" ht="25.5" x14ac:dyDescent="0.2">
      <c r="A49" s="23" t="str">
        <f>Source!E32</f>
        <v>7</v>
      </c>
      <c r="B49" s="24" t="str">
        <f>CONCATENATE(Source!F32,"                       ", Source!EO32)</f>
        <v xml:space="preserve">07-07-011-1-в                       </v>
      </c>
      <c r="C49" s="24" t="str">
        <f>Source!G32</f>
        <v>профилактическое восстановление Реле промежуточные реле</v>
      </c>
      <c r="D49" s="24" t="str">
        <f>Source!H32</f>
        <v>шт.</v>
      </c>
      <c r="E49" s="25"/>
      <c r="F49" s="25">
        <v>32</v>
      </c>
      <c r="G49" s="25">
        <f>IF(Source!AB32=0,"-",ROUND(Source!AB32,2))</f>
        <v>73.87</v>
      </c>
      <c r="H49" s="25">
        <f>IF(Source!O32=0,"-",ROUND(Source!O32,2))</f>
        <v>2363.9</v>
      </c>
    </row>
    <row r="50" spans="1:8" s="19" customFormat="1" ht="11.25" x14ac:dyDescent="0.2">
      <c r="A50" s="26" t="s">
        <v>135</v>
      </c>
      <c r="B50" s="27" t="str">
        <f>SmtRes!I5</f>
        <v>МЭ-ПС-5</v>
      </c>
      <c r="C50" s="27" t="str">
        <f>SmtRes!K5</f>
        <v>Затраты труда рабочих-строителей, разряд работ 5</v>
      </c>
      <c r="D50" s="27" t="str">
        <f>SmtRes!O5</f>
        <v>чел.-ч</v>
      </c>
      <c r="E50" s="28">
        <f>ROUND(SmtRes!Y5,5)</f>
        <v>0.3</v>
      </c>
      <c r="F50" s="28">
        <f>ROUND(SmtRes!Y5*Source!I32,5)</f>
        <v>9.6</v>
      </c>
      <c r="G50" s="28">
        <v>246.24</v>
      </c>
      <c r="H50" s="29">
        <f>IF(SmtRes!AK5*Source!I32=0,"-",ROUND(SmtRes!AK5*Source!I32*Source!BA32,2))</f>
        <v>2363.9</v>
      </c>
    </row>
    <row r="51" spans="1:8" ht="2.1" customHeight="1" x14ac:dyDescent="0.2">
      <c r="A51" s="30"/>
      <c r="B51" s="30"/>
      <c r="C51" s="30"/>
      <c r="D51" s="30"/>
      <c r="E51" s="30"/>
      <c r="F51" s="30"/>
      <c r="G51" s="30"/>
      <c r="H51" s="30"/>
    </row>
    <row r="52" spans="1:8" x14ac:dyDescent="0.2">
      <c r="A52" s="30"/>
      <c r="B52" s="30"/>
      <c r="C52" s="30" t="s">
        <v>95</v>
      </c>
      <c r="D52" s="30"/>
      <c r="E52" s="30"/>
      <c r="F52" s="30"/>
      <c r="G52" s="31" t="str">
        <f>CONCATENATE(Source!AT32,"%")</f>
        <v>215%</v>
      </c>
      <c r="H52" s="30">
        <f>IF(Source!X32=0,"",ROUND(Source!X32,2))</f>
        <v>5082.3900000000003</v>
      </c>
    </row>
    <row r="53" spans="1:8" x14ac:dyDescent="0.2">
      <c r="A53" s="30"/>
      <c r="B53" s="30"/>
      <c r="C53" s="30" t="s">
        <v>97</v>
      </c>
      <c r="D53" s="30"/>
      <c r="E53" s="30"/>
      <c r="F53" s="30"/>
      <c r="G53" s="31" t="str">
        <f>CONCATENATE(Source!AU32,"%")</f>
        <v>65%</v>
      </c>
      <c r="H53" s="30">
        <f>IF(Source!Y32=0,"",ROUND(Source!Y32,2))</f>
        <v>1536.54</v>
      </c>
    </row>
    <row r="54" spans="1:8" x14ac:dyDescent="0.2">
      <c r="A54" s="32"/>
      <c r="B54" s="32"/>
      <c r="C54" s="32" t="s">
        <v>131</v>
      </c>
      <c r="D54" s="32"/>
      <c r="E54" s="32"/>
      <c r="F54" s="32"/>
      <c r="G54" s="32"/>
      <c r="H54" s="32">
        <f>IF(Source!Y32+Source!X32+Source!O32=0,"",ROUND(Source!Y32+Source!X32+Source!O32,2))</f>
        <v>8982.83</v>
      </c>
    </row>
    <row r="55" spans="1:8" s="18" customFormat="1" ht="25.5" x14ac:dyDescent="0.2">
      <c r="A55" s="23" t="str">
        <f>Source!E33</f>
        <v>8</v>
      </c>
      <c r="B55" s="24" t="str">
        <f>CONCATENATE(Source!F33,"                       ", Source!EO33)</f>
        <v xml:space="preserve">05-01-11-04-к                       </v>
      </c>
      <c r="C55" s="24" t="str">
        <f>Source!G33</f>
        <v>профилактический контроль Релейная защита и автоматика секционного выключателя 6-10 кВ</v>
      </c>
      <c r="D55" s="24" t="str">
        <f>Source!H33</f>
        <v>шт.</v>
      </c>
      <c r="E55" s="25"/>
      <c r="F55" s="25">
        <v>2</v>
      </c>
      <c r="G55" s="25">
        <f>IF(Source!AB33=0,"-",ROUND(Source!AB33,2))</f>
        <v>2437.7800000000002</v>
      </c>
      <c r="H55" s="25">
        <f>IF(Source!O33=0,"-",ROUND(Source!O33,2))</f>
        <v>4875.55</v>
      </c>
    </row>
    <row r="56" spans="1:8" s="19" customFormat="1" ht="11.25" x14ac:dyDescent="0.2">
      <c r="A56" s="26" t="s">
        <v>136</v>
      </c>
      <c r="B56" s="27" t="str">
        <f>SmtRes!I6</f>
        <v>МЭ-ПС-5</v>
      </c>
      <c r="C56" s="27" t="str">
        <f>SmtRes!K6</f>
        <v>Затраты труда рабочих-строителей, разряд работ 5</v>
      </c>
      <c r="D56" s="27" t="str">
        <f>SmtRes!O6</f>
        <v>чел.-ч</v>
      </c>
      <c r="E56" s="28">
        <f>ROUND(SmtRes!Y6,5)</f>
        <v>9.9</v>
      </c>
      <c r="F56" s="28">
        <f>ROUND(SmtRes!Y6*Source!I33,5)</f>
        <v>19.8</v>
      </c>
      <c r="G56" s="28">
        <v>246.24</v>
      </c>
      <c r="H56" s="29">
        <f>IF(SmtRes!AK6*Source!I33=0,"-",ROUND(SmtRes!AK6*Source!I33*Source!BA33,2))</f>
        <v>4875.55</v>
      </c>
    </row>
    <row r="57" spans="1:8" ht="2.1" customHeight="1" x14ac:dyDescent="0.2">
      <c r="A57" s="30"/>
      <c r="B57" s="30"/>
      <c r="C57" s="30"/>
      <c r="D57" s="30"/>
      <c r="E57" s="30"/>
      <c r="F57" s="30"/>
      <c r="G57" s="30"/>
      <c r="H57" s="30"/>
    </row>
    <row r="58" spans="1:8" x14ac:dyDescent="0.2">
      <c r="A58" s="30"/>
      <c r="B58" s="30"/>
      <c r="C58" s="30" t="s">
        <v>95</v>
      </c>
      <c r="D58" s="30"/>
      <c r="E58" s="30"/>
      <c r="F58" s="30"/>
      <c r="G58" s="31" t="str">
        <f>CONCATENATE(Source!AT33,"%")</f>
        <v>215%</v>
      </c>
      <c r="H58" s="30">
        <f>IF(Source!X33=0,"",ROUND(Source!X33,2))</f>
        <v>10482.43</v>
      </c>
    </row>
    <row r="59" spans="1:8" x14ac:dyDescent="0.2">
      <c r="A59" s="30"/>
      <c r="B59" s="30"/>
      <c r="C59" s="30" t="s">
        <v>97</v>
      </c>
      <c r="D59" s="30"/>
      <c r="E59" s="30"/>
      <c r="F59" s="30"/>
      <c r="G59" s="31" t="str">
        <f>CONCATENATE(Source!AU33,"%")</f>
        <v>65%</v>
      </c>
      <c r="H59" s="30">
        <f>IF(Source!Y33=0,"",ROUND(Source!Y33,2))</f>
        <v>3169.11</v>
      </c>
    </row>
    <row r="60" spans="1:8" x14ac:dyDescent="0.2">
      <c r="A60" s="32"/>
      <c r="B60" s="32"/>
      <c r="C60" s="32" t="s">
        <v>131</v>
      </c>
      <c r="D60" s="32"/>
      <c r="E60" s="32"/>
      <c r="F60" s="32"/>
      <c r="G60" s="32"/>
      <c r="H60" s="32">
        <f>IF(Source!Y33+Source!X33+Source!O33=0,"",ROUND(Source!Y33+Source!X33+Source!O33,2))</f>
        <v>18527.09</v>
      </c>
    </row>
    <row r="61" spans="1:8" s="18" customFormat="1" x14ac:dyDescent="0.2">
      <c r="A61" s="23" t="str">
        <f>Source!E34</f>
        <v>9</v>
      </c>
      <c r="B61" s="24" t="str">
        <f>CONCATENATE(Source!F34,"                       ", Source!EO34)</f>
        <v xml:space="preserve">08-16-001-1-в                       </v>
      </c>
      <c r="C61" s="24" t="str">
        <f>Source!G34</f>
        <v>Блоки  питания</v>
      </c>
      <c r="D61" s="24" t="str">
        <f>Source!H34</f>
        <v>шт.</v>
      </c>
      <c r="E61" s="25"/>
      <c r="F61" s="25">
        <v>32</v>
      </c>
      <c r="G61" s="25">
        <f>IF(Source!AB34=0,"-",ROUND(Source!AB34,2))</f>
        <v>1205.23</v>
      </c>
      <c r="H61" s="25">
        <f>IF(Source!O34=0,"-",ROUND(Source!O34,2))</f>
        <v>38567.42</v>
      </c>
    </row>
    <row r="62" spans="1:8" s="19" customFormat="1" ht="11.25" x14ac:dyDescent="0.2">
      <c r="A62" s="26" t="s">
        <v>137</v>
      </c>
      <c r="B62" s="27" t="str">
        <f>SmtRes!I7</f>
        <v>МЭ-ПС-6</v>
      </c>
      <c r="C62" s="27" t="str">
        <f>SmtRes!K7</f>
        <v>Затраты труда рабочих-строителей, разряд работ 6</v>
      </c>
      <c r="D62" s="27" t="str">
        <f>SmtRes!O7</f>
        <v>чел.-ч</v>
      </c>
      <c r="E62" s="28">
        <f>ROUND(SmtRes!Y7,5)</f>
        <v>4.2</v>
      </c>
      <c r="F62" s="28">
        <f>ROUND(SmtRes!Y7*Source!I34,5)</f>
        <v>134.4</v>
      </c>
      <c r="G62" s="28">
        <v>286.95999999999998</v>
      </c>
      <c r="H62" s="29">
        <f>IF(SmtRes!AK7*Source!I34=0,"-",ROUND(SmtRes!AK7*Source!I34*Source!BA34,2))</f>
        <v>38567.42</v>
      </c>
    </row>
    <row r="63" spans="1:8" ht="2.1" customHeight="1" x14ac:dyDescent="0.2">
      <c r="A63" s="30"/>
      <c r="B63" s="30"/>
      <c r="C63" s="30"/>
      <c r="D63" s="30"/>
      <c r="E63" s="30"/>
      <c r="F63" s="30"/>
      <c r="G63" s="30"/>
      <c r="H63" s="30"/>
    </row>
    <row r="64" spans="1:8" x14ac:dyDescent="0.2">
      <c r="A64" s="30"/>
      <c r="B64" s="30"/>
      <c r="C64" s="30" t="s">
        <v>95</v>
      </c>
      <c r="D64" s="30"/>
      <c r="E64" s="30"/>
      <c r="F64" s="30"/>
      <c r="G64" s="31" t="str">
        <f>CONCATENATE(Source!AT34,"%")</f>
        <v>215%</v>
      </c>
      <c r="H64" s="30">
        <f>IF(Source!X34=0,"",ROUND(Source!X34,2))</f>
        <v>82919.95</v>
      </c>
    </row>
    <row r="65" spans="1:8" x14ac:dyDescent="0.2">
      <c r="A65" s="30"/>
      <c r="B65" s="30"/>
      <c r="C65" s="30" t="s">
        <v>97</v>
      </c>
      <c r="D65" s="30"/>
      <c r="E65" s="30"/>
      <c r="F65" s="30"/>
      <c r="G65" s="31" t="str">
        <f>CONCATENATE(Source!AU34,"%")</f>
        <v>65%</v>
      </c>
      <c r="H65" s="30">
        <f>IF(Source!Y34=0,"",ROUND(Source!Y34,2))</f>
        <v>25068.82</v>
      </c>
    </row>
    <row r="66" spans="1:8" x14ac:dyDescent="0.2">
      <c r="A66" s="32"/>
      <c r="B66" s="32"/>
      <c r="C66" s="32" t="s">
        <v>131</v>
      </c>
      <c r="D66" s="32"/>
      <c r="E66" s="32"/>
      <c r="F66" s="32"/>
      <c r="G66" s="32"/>
      <c r="H66" s="32">
        <f>IF(Source!Y34+Source!X34+Source!O34=0,"",ROUND(Source!Y34+Source!X34+Source!O34,2))</f>
        <v>146556.19</v>
      </c>
    </row>
    <row r="67" spans="1:8" x14ac:dyDescent="0.2">
      <c r="A67" s="33"/>
      <c r="H67" s="34"/>
    </row>
    <row r="68" spans="1:8" ht="14.25" x14ac:dyDescent="0.2">
      <c r="A68" s="38"/>
      <c r="B68" s="36" t="s">
        <v>138</v>
      </c>
      <c r="C68" s="37"/>
      <c r="D68" s="37"/>
      <c r="E68" s="37"/>
      <c r="F68" s="37"/>
      <c r="G68" s="37"/>
      <c r="H68" s="40"/>
    </row>
    <row r="69" spans="1:8" ht="14.25" x14ac:dyDescent="0.2">
      <c r="A69" s="39"/>
      <c r="B69" s="35"/>
      <c r="H69" s="17"/>
    </row>
    <row r="70" spans="1:8" x14ac:dyDescent="0.2">
      <c r="A70" s="16"/>
      <c r="B70" s="41" t="str">
        <f>Source!H38</f>
        <v>Прямые затраты</v>
      </c>
      <c r="C70" s="41"/>
      <c r="D70" s="41"/>
      <c r="E70" s="41"/>
      <c r="F70" s="41"/>
      <c r="G70" s="41"/>
      <c r="H70" s="17">
        <f>IF(Source!P38&lt;&gt;"",ROUND(Source!P38,2),ROUND(Source!F38,2))</f>
        <v>128950.65</v>
      </c>
    </row>
    <row r="71" spans="1:8" x14ac:dyDescent="0.2">
      <c r="A71" s="16"/>
      <c r="B71" s="42" t="str">
        <f>Source!H51</f>
        <v>Основная ЗП рабочих</v>
      </c>
      <c r="C71" s="42"/>
      <c r="D71" s="42"/>
      <c r="E71" s="42"/>
      <c r="F71" s="42"/>
      <c r="G71" s="42"/>
      <c r="H71" s="17">
        <f>IF(Source!P51&lt;&gt;"",ROUND(Source!P51,2),ROUND(Source!F51,2))</f>
        <v>128950.65</v>
      </c>
    </row>
    <row r="72" spans="1:8" x14ac:dyDescent="0.2">
      <c r="A72" s="16"/>
      <c r="B72" s="42" t="str">
        <f>Source!H58</f>
        <v>Трудозатраты строителей</v>
      </c>
      <c r="C72" s="42"/>
      <c r="D72" s="42"/>
      <c r="E72" s="42"/>
      <c r="F72" s="42"/>
      <c r="G72" s="42"/>
      <c r="H72" s="17">
        <f>IF(Source!P58&lt;&gt;"",ROUND(Source!P58,2),ROUND(Source!F58,2))</f>
        <v>453.54</v>
      </c>
    </row>
    <row r="73" spans="1:8" x14ac:dyDescent="0.2">
      <c r="A73" s="16"/>
      <c r="B73" s="42" t="str">
        <f>Source!H61</f>
        <v>Накладные расходы</v>
      </c>
      <c r="C73" s="42"/>
      <c r="D73" s="42"/>
      <c r="E73" s="42"/>
      <c r="F73" s="42"/>
      <c r="G73" s="42"/>
      <c r="H73" s="17">
        <f>IF(Source!P61&lt;&gt;"",ROUND(Source!P61,2),ROUND(Source!F61,2))</f>
        <v>277243.90000000002</v>
      </c>
    </row>
    <row r="74" spans="1:8" x14ac:dyDescent="0.2">
      <c r="A74" s="16"/>
      <c r="B74" s="42" t="str">
        <f>Source!H62</f>
        <v>Сметная прибыль</v>
      </c>
      <c r="C74" s="42"/>
      <c r="D74" s="42"/>
      <c r="E74" s="42"/>
      <c r="F74" s="42"/>
      <c r="G74" s="42"/>
      <c r="H74" s="17">
        <f>IF(Source!P62&lt;&gt;"",ROUND(Source!P62,2),ROUND(Source!F62,2))</f>
        <v>83817.929999999993</v>
      </c>
    </row>
    <row r="75" spans="1:8" x14ac:dyDescent="0.2">
      <c r="A75" s="16"/>
      <c r="B75" s="42" t="str">
        <f>Source!H64</f>
        <v>Итого</v>
      </c>
      <c r="C75" s="42"/>
      <c r="D75" s="42"/>
      <c r="E75" s="42"/>
      <c r="F75" s="42"/>
      <c r="G75" s="42"/>
      <c r="H75" s="17">
        <f>IF(Source!P64&lt;&gt;"",ROUND(Source!P64,2),ROUND(Source!F64,2))</f>
        <v>490012.48</v>
      </c>
    </row>
    <row r="76" spans="1:8" x14ac:dyDescent="0.2">
      <c r="A76" s="16"/>
      <c r="H76" s="17"/>
    </row>
    <row r="77" spans="1:8" x14ac:dyDescent="0.2">
      <c r="A77" s="16"/>
      <c r="H77" s="17"/>
    </row>
    <row r="78" spans="1:8" ht="14.25" x14ac:dyDescent="0.2">
      <c r="A78" s="38"/>
      <c r="B78" s="36" t="s">
        <v>139</v>
      </c>
      <c r="C78" s="37"/>
      <c r="D78" s="37"/>
      <c r="E78" s="37"/>
      <c r="F78" s="37"/>
      <c r="G78" s="37"/>
      <c r="H78" s="40"/>
    </row>
    <row r="79" spans="1:8" ht="14.25" x14ac:dyDescent="0.2">
      <c r="A79" s="39"/>
      <c r="B79" s="35"/>
      <c r="H79" s="17"/>
    </row>
    <row r="80" spans="1:8" x14ac:dyDescent="0.2">
      <c r="A80" s="16"/>
      <c r="B80" s="41" t="str">
        <f>Source!H70</f>
        <v>Прямые затраты</v>
      </c>
      <c r="C80" s="41"/>
      <c r="D80" s="41"/>
      <c r="E80" s="41"/>
      <c r="F80" s="41"/>
      <c r="G80" s="41"/>
      <c r="H80" s="17">
        <f>IF(Source!P70&lt;&gt;"",ROUND(Source!P70,2),ROUND(Source!F70,2))</f>
        <v>128950.65</v>
      </c>
    </row>
    <row r="81" spans="1:10" x14ac:dyDescent="0.2">
      <c r="A81" s="16"/>
      <c r="B81" s="42" t="str">
        <f>Source!H83</f>
        <v>Основная ЗП рабочих</v>
      </c>
      <c r="C81" s="42"/>
      <c r="D81" s="42"/>
      <c r="E81" s="42"/>
      <c r="F81" s="42"/>
      <c r="G81" s="42"/>
      <c r="H81" s="17">
        <f>IF(Source!P83&lt;&gt;"",ROUND(Source!P83,2),ROUND(Source!F83,2))</f>
        <v>128950.65</v>
      </c>
    </row>
    <row r="82" spans="1:10" x14ac:dyDescent="0.2">
      <c r="A82" s="16"/>
      <c r="B82" s="42" t="str">
        <f>Source!H90</f>
        <v>Трудозатраты строителей</v>
      </c>
      <c r="C82" s="42"/>
      <c r="D82" s="42"/>
      <c r="E82" s="42"/>
      <c r="F82" s="42"/>
      <c r="G82" s="42"/>
      <c r="H82" s="17">
        <f>IF(Source!P90&lt;&gt;"",ROUND(Source!P90,2),ROUND(Source!F90,2))</f>
        <v>453.54</v>
      </c>
    </row>
    <row r="83" spans="1:10" x14ac:dyDescent="0.2">
      <c r="A83" s="16"/>
      <c r="B83" s="42" t="str">
        <f>Source!H93</f>
        <v>Накладные расходы</v>
      </c>
      <c r="C83" s="42"/>
      <c r="D83" s="42"/>
      <c r="E83" s="42"/>
      <c r="F83" s="42"/>
      <c r="G83" s="42"/>
      <c r="H83" s="17">
        <f>IF(Source!P93&lt;&gt;"",ROUND(Source!P93,2),ROUND(Source!F93,2))</f>
        <v>277243.90000000002</v>
      </c>
    </row>
    <row r="84" spans="1:10" x14ac:dyDescent="0.2">
      <c r="A84" s="16"/>
      <c r="B84" s="42" t="str">
        <f>Source!H94</f>
        <v>Сметная прибыль</v>
      </c>
      <c r="C84" s="42"/>
      <c r="D84" s="42"/>
      <c r="E84" s="42"/>
      <c r="F84" s="42"/>
      <c r="G84" s="42"/>
      <c r="H84" s="17">
        <f>IF(Source!P94&lt;&gt;"",ROUND(Source!P94,2),ROUND(Source!F94,2))</f>
        <v>83817.929999999993</v>
      </c>
    </row>
    <row r="85" spans="1:10" x14ac:dyDescent="0.2">
      <c r="A85" s="16"/>
      <c r="B85" s="42" t="str">
        <f>Source!H96</f>
        <v>Итого</v>
      </c>
      <c r="C85" s="42"/>
      <c r="D85" s="42"/>
      <c r="E85" s="42"/>
      <c r="F85" s="42"/>
      <c r="G85" s="42"/>
      <c r="H85" s="51">
        <f>IF(Source!P96&lt;&gt;"",ROUND(Source!P96,2),ROUND(Source!F96,2))</f>
        <v>490012.48</v>
      </c>
      <c r="I85" s="10">
        <v>490025.23</v>
      </c>
      <c r="J85" s="10" t="s">
        <v>174</v>
      </c>
    </row>
    <row r="86" spans="1:10" x14ac:dyDescent="0.2">
      <c r="A86" s="16"/>
      <c r="B86" s="42" t="s">
        <v>147</v>
      </c>
      <c r="C86" s="42"/>
      <c r="D86" s="42"/>
      <c r="E86" s="42"/>
      <c r="F86" s="42"/>
      <c r="G86" s="42"/>
      <c r="H86" s="17">
        <f>H85*20%</f>
        <v>98002.495999999999</v>
      </c>
    </row>
    <row r="87" spans="1:10" x14ac:dyDescent="0.2">
      <c r="A87" s="16"/>
      <c r="B87" s="42" t="str">
        <f>Source!H98</f>
        <v>Всего</v>
      </c>
      <c r="C87" s="42"/>
      <c r="D87" s="42"/>
      <c r="E87" s="42"/>
      <c r="F87" s="42"/>
      <c r="G87" s="42"/>
      <c r="H87" s="17">
        <f>H85+H86</f>
        <v>588014.97600000002</v>
      </c>
    </row>
    <row r="88" spans="1:10" x14ac:dyDescent="0.2">
      <c r="A88" s="16"/>
      <c r="H88" s="17"/>
    </row>
    <row r="89" spans="1:10" x14ac:dyDescent="0.2">
      <c r="A89" s="16"/>
      <c r="H89" s="17"/>
    </row>
    <row r="90" spans="1:10" x14ac:dyDescent="0.2">
      <c r="A90" s="16"/>
      <c r="H90" s="17"/>
    </row>
    <row r="91" spans="1:10" x14ac:dyDescent="0.2">
      <c r="A91" s="16"/>
      <c r="H91" s="17"/>
    </row>
    <row r="92" spans="1:10" x14ac:dyDescent="0.2">
      <c r="A92" s="16"/>
      <c r="H92" s="17"/>
    </row>
    <row r="93" spans="1:10" x14ac:dyDescent="0.2">
      <c r="A93" s="16"/>
      <c r="B93" s="43" t="s">
        <v>140</v>
      </c>
      <c r="H93" s="17"/>
    </row>
    <row r="94" spans="1:10" x14ac:dyDescent="0.2">
      <c r="A94" s="16"/>
      <c r="B94" s="13" t="str">
        <f>IF(Source!AC12=0,"",Source!AC12)</f>
        <v/>
      </c>
      <c r="C94" s="10" t="str">
        <f>CONCATENATE(" _______________________ ",Source!AB12)</f>
        <v xml:space="preserve"> _______________________ </v>
      </c>
      <c r="H94" s="17"/>
    </row>
    <row r="95" spans="1:10" x14ac:dyDescent="0.2">
      <c r="A95" s="16"/>
      <c r="H95" s="17"/>
    </row>
    <row r="96" spans="1:10" x14ac:dyDescent="0.2">
      <c r="A96" s="16"/>
      <c r="B96" s="43" t="s">
        <v>141</v>
      </c>
      <c r="H96" s="17"/>
    </row>
    <row r="97" spans="1:8" x14ac:dyDescent="0.2">
      <c r="A97" s="16"/>
      <c r="B97" s="13" t="str">
        <f>IF(Source!AE12=0,"",Source!AE12)</f>
        <v/>
      </c>
      <c r="C97" s="10" t="str">
        <f>CONCATENATE(" _______________________ ",Source!AD12)</f>
        <v xml:space="preserve"> _______________________ </v>
      </c>
      <c r="H97" s="17"/>
    </row>
    <row r="98" spans="1:8" x14ac:dyDescent="0.2">
      <c r="A98" s="16"/>
      <c r="H98" s="17"/>
    </row>
    <row r="99" spans="1:8" x14ac:dyDescent="0.2">
      <c r="A99" s="16"/>
      <c r="B99" s="43" t="s">
        <v>142</v>
      </c>
      <c r="H99" s="17"/>
    </row>
    <row r="100" spans="1:8" x14ac:dyDescent="0.2">
      <c r="A100" s="16"/>
      <c r="C100" s="10" t="str">
        <f>CONCATENATE(" _______________________ ",Source!X12)</f>
        <v xml:space="preserve"> _______________________ </v>
      </c>
      <c r="H100" s="17"/>
    </row>
    <row r="101" spans="1:8" x14ac:dyDescent="0.2">
      <c r="A101" s="16"/>
      <c r="H101" s="17"/>
    </row>
    <row r="102" spans="1:8" ht="20.100000000000001" customHeight="1" x14ac:dyDescent="0.2">
      <c r="A102" s="16"/>
      <c r="B102" s="43" t="s">
        <v>143</v>
      </c>
      <c r="C102" s="10" t="str">
        <f>IF(Source!AJ12=0,"",Source!AJ12)</f>
        <v/>
      </c>
      <c r="H102" s="17"/>
    </row>
    <row r="103" spans="1:8" x14ac:dyDescent="0.2">
      <c r="A103" s="16"/>
      <c r="B103" s="13" t="str">
        <f>IF(Source!AI12=0,"",Source!AI12)</f>
        <v/>
      </c>
      <c r="C103" s="10" t="str">
        <f>IF(Source!AH12&lt;&gt;"",CONCATENATE(" _______________________ ",Source!AH12),"")</f>
        <v/>
      </c>
      <c r="H103" s="17"/>
    </row>
    <row r="104" spans="1:8" x14ac:dyDescent="0.2">
      <c r="A104" s="16"/>
      <c r="H104" s="17"/>
    </row>
    <row r="105" spans="1:8" ht="20.100000000000001" customHeight="1" x14ac:dyDescent="0.2">
      <c r="A105" s="16"/>
      <c r="B105" s="43" t="s">
        <v>144</v>
      </c>
      <c r="C105" s="10" t="str">
        <f>IF(Source!AN12=0,"",Source!AN12)</f>
        <v/>
      </c>
      <c r="H105" s="17"/>
    </row>
    <row r="106" spans="1:8" x14ac:dyDescent="0.2">
      <c r="A106" s="16"/>
      <c r="B106" s="13" t="str">
        <f>IF(Source!AM12=0,"",Source!AM12)</f>
        <v/>
      </c>
      <c r="C106" s="10" t="str">
        <f>IF(Source!AL12&lt;&gt;"",CONCATENATE(" _______________________ ",Source!AL12),"")</f>
        <v/>
      </c>
      <c r="H106" s="17"/>
    </row>
    <row r="107" spans="1:8" x14ac:dyDescent="0.2">
      <c r="A107" s="16"/>
      <c r="H107" s="17"/>
    </row>
    <row r="108" spans="1:8" ht="20.100000000000001" customHeight="1" x14ac:dyDescent="0.2">
      <c r="A108" s="16"/>
      <c r="B108" s="43" t="s">
        <v>145</v>
      </c>
      <c r="C108" s="10" t="str">
        <f>IF(Source!AR12=0,"",Source!AR12)</f>
        <v/>
      </c>
      <c r="H108" s="17"/>
    </row>
    <row r="109" spans="1:8" x14ac:dyDescent="0.2">
      <c r="A109" s="21"/>
      <c r="B109" s="44" t="str">
        <f>IF(Source!AQ12=0,"",Source!AQ12)</f>
        <v/>
      </c>
      <c r="C109" s="20" t="str">
        <f>IF(Source!AP12&lt;&gt;"",CONCATENATE(" _______________________ ",Source!AP12),"")</f>
        <v/>
      </c>
      <c r="D109" s="20"/>
      <c r="E109" s="20"/>
      <c r="F109" s="20"/>
      <c r="G109" s="20"/>
      <c r="H109" s="22"/>
    </row>
  </sheetData>
  <mergeCells count="12">
    <mergeCell ref="A23:H23"/>
    <mergeCell ref="F3:H3"/>
    <mergeCell ref="A10:H10"/>
    <mergeCell ref="A11:H11"/>
    <mergeCell ref="A20:A21"/>
    <mergeCell ref="B20:B21"/>
    <mergeCell ref="C20:C21"/>
    <mergeCell ref="D20:D21"/>
    <mergeCell ref="E20:F20"/>
    <mergeCell ref="G20:H20"/>
    <mergeCell ref="B13:G13"/>
    <mergeCell ref="F4:G4"/>
  </mergeCells>
  <pageMargins left="0.69444444444444442" right="0.34722222222222221" top="0.46944444444444439" bottom="0.4" header="0.20833333333333334" footer="0.27777777777777779"/>
  <pageSetup paperSize="9" scale="70" orientation="portrait" r:id="rId1"/>
  <headerFooter>
    <oddHeader>&amp;L&amp;"Arial Cyr"&amp;7&amp;UПрограммные комплексы "Smeta.ru", "BabyСмета" (4822) 70-09-59&amp;R&amp;"Arial Cyr,обычный"&amp;7&amp;U10.06.2020 11:23:39   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" sqref="A2:C20"/>
    </sheetView>
  </sheetViews>
  <sheetFormatPr defaultRowHeight="12.75" x14ac:dyDescent="0.2"/>
  <cols>
    <col min="1" max="1" width="31.42578125" bestFit="1" customWidth="1"/>
    <col min="2" max="2" width="33" bestFit="1" customWidth="1"/>
    <col min="3" max="3" width="12.7109375" customWidth="1"/>
  </cols>
  <sheetData>
    <row r="1" spans="1:3" ht="17.25" thickBot="1" x14ac:dyDescent="0.25">
      <c r="A1" s="45" t="s">
        <v>148</v>
      </c>
      <c r="B1" s="45" t="s">
        <v>149</v>
      </c>
      <c r="C1" s="45" t="s">
        <v>150</v>
      </c>
    </row>
    <row r="2" spans="1:3" ht="17.25" thickBot="1" x14ac:dyDescent="0.25">
      <c r="A2" s="47" t="s">
        <v>167</v>
      </c>
      <c r="B2" s="46" t="s">
        <v>168</v>
      </c>
      <c r="C2" s="46">
        <v>1</v>
      </c>
    </row>
    <row r="3" spans="1:3" ht="17.25" thickBot="1" x14ac:dyDescent="0.25">
      <c r="A3" s="47" t="s">
        <v>151</v>
      </c>
      <c r="B3" s="46" t="s">
        <v>153</v>
      </c>
      <c r="C3" s="46">
        <v>1</v>
      </c>
    </row>
    <row r="4" spans="1:3" ht="17.25" thickBot="1" x14ac:dyDescent="0.25">
      <c r="A4" s="47" t="s">
        <v>162</v>
      </c>
      <c r="B4" s="46" t="s">
        <v>153</v>
      </c>
      <c r="C4" s="46">
        <v>2</v>
      </c>
    </row>
    <row r="5" spans="1:3" ht="17.25" thickBot="1" x14ac:dyDescent="0.25">
      <c r="A5" s="47" t="s">
        <v>151</v>
      </c>
      <c r="B5" s="46" t="s">
        <v>154</v>
      </c>
      <c r="C5" s="46">
        <v>1</v>
      </c>
    </row>
    <row r="6" spans="1:3" ht="17.25" thickBot="1" x14ac:dyDescent="0.25">
      <c r="A6" s="47" t="s">
        <v>155</v>
      </c>
      <c r="B6" s="46" t="s">
        <v>154</v>
      </c>
      <c r="C6" s="46">
        <v>2</v>
      </c>
    </row>
    <row r="7" spans="1:3" ht="17.25" thickBot="1" x14ac:dyDescent="0.25">
      <c r="A7" s="47" t="s">
        <v>151</v>
      </c>
      <c r="B7" s="46" t="s">
        <v>152</v>
      </c>
      <c r="C7" s="46">
        <v>2</v>
      </c>
    </row>
    <row r="8" spans="1:3" ht="17.25" thickBot="1" x14ac:dyDescent="0.25">
      <c r="A8" s="47" t="s">
        <v>162</v>
      </c>
      <c r="B8" s="46" t="s">
        <v>165</v>
      </c>
      <c r="C8" s="46">
        <v>2</v>
      </c>
    </row>
    <row r="9" spans="1:3" ht="17.25" thickBot="1" x14ac:dyDescent="0.25">
      <c r="A9" s="47" t="s">
        <v>155</v>
      </c>
      <c r="B9" s="46" t="s">
        <v>157</v>
      </c>
      <c r="C9" s="46">
        <v>4</v>
      </c>
    </row>
    <row r="10" spans="1:3" ht="17.25" thickBot="1" x14ac:dyDescent="0.25">
      <c r="A10" s="47" t="s">
        <v>155</v>
      </c>
      <c r="B10" s="46" t="s">
        <v>160</v>
      </c>
      <c r="C10" s="46">
        <v>1</v>
      </c>
    </row>
    <row r="11" spans="1:3" ht="17.25" thickBot="1" x14ac:dyDescent="0.25">
      <c r="A11" s="47" t="s">
        <v>155</v>
      </c>
      <c r="B11" s="46" t="s">
        <v>171</v>
      </c>
      <c r="C11" s="46">
        <v>1</v>
      </c>
    </row>
    <row r="12" spans="1:3" ht="17.25" thickBot="1" x14ac:dyDescent="0.25">
      <c r="A12" s="47" t="s">
        <v>155</v>
      </c>
      <c r="B12" s="46" t="s">
        <v>156</v>
      </c>
      <c r="C12" s="46">
        <v>2</v>
      </c>
    </row>
    <row r="13" spans="1:3" ht="17.25" thickBot="1" x14ac:dyDescent="0.25">
      <c r="A13" s="47" t="s">
        <v>162</v>
      </c>
      <c r="B13" s="46" t="s">
        <v>163</v>
      </c>
      <c r="C13" s="46">
        <v>1</v>
      </c>
    </row>
    <row r="14" spans="1:3" ht="17.25" thickBot="1" x14ac:dyDescent="0.25">
      <c r="A14" s="47" t="s">
        <v>155</v>
      </c>
      <c r="B14" s="46" t="s">
        <v>159</v>
      </c>
      <c r="C14" s="46">
        <v>1</v>
      </c>
    </row>
    <row r="15" spans="1:3" ht="17.25" thickBot="1" x14ac:dyDescent="0.25">
      <c r="A15" s="47" t="s">
        <v>162</v>
      </c>
      <c r="B15" s="46" t="s">
        <v>164</v>
      </c>
      <c r="C15" s="46">
        <v>4</v>
      </c>
    </row>
    <row r="16" spans="1:3" ht="17.25" thickBot="1" x14ac:dyDescent="0.25">
      <c r="A16" s="47" t="s">
        <v>167</v>
      </c>
      <c r="B16" s="46" t="s">
        <v>164</v>
      </c>
      <c r="C16" s="46">
        <v>1</v>
      </c>
    </row>
    <row r="17" spans="1:3" ht="17.25" thickBot="1" x14ac:dyDescent="0.25">
      <c r="A17" s="46" t="s">
        <v>169</v>
      </c>
      <c r="B17" s="46" t="s">
        <v>170</v>
      </c>
      <c r="C17" s="46">
        <v>2</v>
      </c>
    </row>
    <row r="18" spans="1:3" ht="17.25" thickBot="1" x14ac:dyDescent="0.25">
      <c r="A18" s="47" t="s">
        <v>155</v>
      </c>
      <c r="B18" s="46" t="s">
        <v>158</v>
      </c>
      <c r="C18" s="46">
        <v>1</v>
      </c>
    </row>
    <row r="19" spans="1:3" ht="17.25" thickBot="1" x14ac:dyDescent="0.25">
      <c r="A19" s="47" t="s">
        <v>155</v>
      </c>
      <c r="B19" s="46" t="s">
        <v>161</v>
      </c>
      <c r="C19" s="46">
        <v>2</v>
      </c>
    </row>
    <row r="20" spans="1:3" ht="17.25" thickBot="1" x14ac:dyDescent="0.25">
      <c r="A20" s="46" t="s">
        <v>166</v>
      </c>
      <c r="B20" s="46" t="s">
        <v>161</v>
      </c>
      <c r="C20" s="46">
        <v>1</v>
      </c>
    </row>
  </sheetData>
  <autoFilter ref="A1:C20">
    <sortState ref="A2:C20">
      <sortCondition ref="B1:B20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140"/>
  <sheetViews>
    <sheetView workbookViewId="0">
      <selection activeCell="G21" sqref="G2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22679</v>
      </c>
      <c r="M1">
        <v>10</v>
      </c>
    </row>
    <row r="12" spans="1:133" x14ac:dyDescent="0.2">
      <c r="A12" s="1">
        <v>1</v>
      </c>
      <c r="B12" s="1">
        <v>135</v>
      </c>
      <c r="C12" s="1">
        <v>0</v>
      </c>
      <c r="D12" s="1">
        <f>ROW(A100)</f>
        <v>100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3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0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-1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4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3">
        <v>52</v>
      </c>
      <c r="B18" s="3">
        <f t="shared" ref="B18:G18" si="0">B100</f>
        <v>135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>Новый объект_(Копия)_(Копия)_(Копия)</v>
      </c>
      <c r="G18" s="3" t="str">
        <f t="shared" si="0"/>
        <v>Смета на ТО МПУ на ПС филиала ПАО"МРСК-Центра"-Тверьэнерго</v>
      </c>
      <c r="H18" s="3"/>
      <c r="I18" s="3"/>
      <c r="J18" s="3"/>
      <c r="K18" s="3"/>
      <c r="L18" s="3"/>
      <c r="M18" s="3"/>
      <c r="N18" s="3"/>
      <c r="O18" s="3">
        <f t="shared" ref="O18:AT18" si="1">O100</f>
        <v>128950.65</v>
      </c>
      <c r="P18" s="3">
        <f t="shared" si="1"/>
        <v>0</v>
      </c>
      <c r="Q18" s="3">
        <f t="shared" si="1"/>
        <v>0</v>
      </c>
      <c r="R18" s="3">
        <f t="shared" si="1"/>
        <v>0</v>
      </c>
      <c r="S18" s="3">
        <f t="shared" si="1"/>
        <v>128950.65</v>
      </c>
      <c r="T18" s="3">
        <f t="shared" si="1"/>
        <v>0</v>
      </c>
      <c r="U18" s="3">
        <f t="shared" si="1"/>
        <v>453.54000000000008</v>
      </c>
      <c r="V18" s="3">
        <f t="shared" si="1"/>
        <v>0</v>
      </c>
      <c r="W18" s="3">
        <f t="shared" si="1"/>
        <v>0</v>
      </c>
      <c r="X18" s="3">
        <f t="shared" si="1"/>
        <v>277243.90000000002</v>
      </c>
      <c r="Y18" s="3">
        <f t="shared" si="1"/>
        <v>83817.929999999993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490012.48</v>
      </c>
      <c r="AS18" s="3">
        <f t="shared" si="1"/>
        <v>490012.48</v>
      </c>
      <c r="AT18" s="3">
        <f t="shared" si="1"/>
        <v>0</v>
      </c>
      <c r="AU18" s="3">
        <f t="shared" ref="AU18:BZ18" si="2">AU100</f>
        <v>0</v>
      </c>
      <c r="AV18" s="3">
        <f t="shared" si="2"/>
        <v>0</v>
      </c>
      <c r="AW18" s="3">
        <f t="shared" si="2"/>
        <v>0</v>
      </c>
      <c r="AX18" s="3">
        <f t="shared" si="2"/>
        <v>0</v>
      </c>
      <c r="AY18" s="3">
        <f t="shared" si="2"/>
        <v>0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CA100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DG100</f>
        <v>0</v>
      </c>
      <c r="DH18" s="4">
        <f t="shared" si="4"/>
        <v>0</v>
      </c>
      <c r="DI18" s="4">
        <f t="shared" si="4"/>
        <v>0</v>
      </c>
      <c r="DJ18" s="4">
        <f t="shared" si="4"/>
        <v>0</v>
      </c>
      <c r="DK18" s="4">
        <f t="shared" si="4"/>
        <v>0</v>
      </c>
      <c r="DL18" s="4">
        <f t="shared" si="4"/>
        <v>0</v>
      </c>
      <c r="DM18" s="4">
        <f t="shared" si="4"/>
        <v>0</v>
      </c>
      <c r="DN18" s="4">
        <f t="shared" si="4"/>
        <v>0</v>
      </c>
      <c r="DO18" s="4">
        <f t="shared" si="4"/>
        <v>0</v>
      </c>
      <c r="DP18" s="4">
        <f t="shared" si="4"/>
        <v>0</v>
      </c>
      <c r="DQ18" s="4">
        <f t="shared" si="4"/>
        <v>0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0</v>
      </c>
      <c r="EK18" s="4">
        <f t="shared" si="4"/>
        <v>0</v>
      </c>
      <c r="EL18" s="4">
        <f t="shared" si="4"/>
        <v>0</v>
      </c>
      <c r="EM18" s="4">
        <f t="shared" ref="EM18:FR18" si="5">EM100</f>
        <v>0</v>
      </c>
      <c r="EN18" s="4">
        <f t="shared" si="5"/>
        <v>0</v>
      </c>
      <c r="EO18" s="4">
        <f t="shared" si="5"/>
        <v>0</v>
      </c>
      <c r="EP18" s="4">
        <f t="shared" si="5"/>
        <v>0</v>
      </c>
      <c r="EQ18" s="4">
        <f t="shared" si="5"/>
        <v>0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FS100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ROW(A68)</f>
        <v>68</v>
      </c>
      <c r="E20" s="1"/>
      <c r="F20" s="1" t="s">
        <v>11</v>
      </c>
      <c r="G20" s="1" t="str">
        <f>G18</f>
        <v>Смета на ТО МПУ на ПС филиала ПАО"МРСК-Центра"-Тверьэнерго</v>
      </c>
      <c r="H20" s="1" t="s">
        <v>3</v>
      </c>
      <c r="I20" s="1">
        <v>0</v>
      </c>
      <c r="J20" s="1" t="s">
        <v>3</v>
      </c>
      <c r="K20" s="1">
        <v>0</v>
      </c>
      <c r="L20" s="1" t="s">
        <v>3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3">
        <v>52</v>
      </c>
      <c r="B22" s="3">
        <f t="shared" ref="B22:G22" si="7">B68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Новая локальная смета</v>
      </c>
      <c r="G22" s="3" t="str">
        <f t="shared" si="7"/>
        <v>Смета на ТО МПУ на ПС филиала ПАО"МРСК-Центра"-Тверьэнерго</v>
      </c>
      <c r="H22" s="3"/>
      <c r="I22" s="3"/>
      <c r="J22" s="3"/>
      <c r="K22" s="3"/>
      <c r="L22" s="3"/>
      <c r="M22" s="3"/>
      <c r="N22" s="3"/>
      <c r="O22" s="3">
        <f t="shared" ref="O22:AT22" si="8">O68</f>
        <v>128950.65</v>
      </c>
      <c r="P22" s="3">
        <f t="shared" si="8"/>
        <v>0</v>
      </c>
      <c r="Q22" s="3">
        <f t="shared" si="8"/>
        <v>0</v>
      </c>
      <c r="R22" s="3">
        <f t="shared" si="8"/>
        <v>0</v>
      </c>
      <c r="S22" s="3">
        <f t="shared" si="8"/>
        <v>128950.65</v>
      </c>
      <c r="T22" s="3">
        <f t="shared" si="8"/>
        <v>0</v>
      </c>
      <c r="U22" s="3">
        <f t="shared" si="8"/>
        <v>453.54000000000008</v>
      </c>
      <c r="V22" s="3">
        <f t="shared" si="8"/>
        <v>0</v>
      </c>
      <c r="W22" s="3">
        <f t="shared" si="8"/>
        <v>0</v>
      </c>
      <c r="X22" s="3">
        <f t="shared" si="8"/>
        <v>277243.90000000002</v>
      </c>
      <c r="Y22" s="3">
        <f t="shared" si="8"/>
        <v>83817.929999999993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490012.48</v>
      </c>
      <c r="AS22" s="3">
        <f t="shared" si="8"/>
        <v>490012.48</v>
      </c>
      <c r="AT22" s="3">
        <f t="shared" si="8"/>
        <v>0</v>
      </c>
      <c r="AU22" s="3">
        <f t="shared" ref="AU22:BZ22" si="9">AU68</f>
        <v>0</v>
      </c>
      <c r="AV22" s="3">
        <f t="shared" si="9"/>
        <v>0</v>
      </c>
      <c r="AW22" s="3">
        <f t="shared" si="9"/>
        <v>0</v>
      </c>
      <c r="AX22" s="3">
        <f t="shared" si="9"/>
        <v>0</v>
      </c>
      <c r="AY22" s="3">
        <f t="shared" si="9"/>
        <v>0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CA68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DG68</f>
        <v>0</v>
      </c>
      <c r="DH22" s="4">
        <f t="shared" si="11"/>
        <v>0</v>
      </c>
      <c r="DI22" s="4">
        <f t="shared" si="11"/>
        <v>0</v>
      </c>
      <c r="DJ22" s="4">
        <f t="shared" si="11"/>
        <v>0</v>
      </c>
      <c r="DK22" s="4">
        <f t="shared" si="11"/>
        <v>0</v>
      </c>
      <c r="DL22" s="4">
        <f t="shared" si="11"/>
        <v>0</v>
      </c>
      <c r="DM22" s="4">
        <f t="shared" si="11"/>
        <v>0</v>
      </c>
      <c r="DN22" s="4">
        <f t="shared" si="11"/>
        <v>0</v>
      </c>
      <c r="DO22" s="4">
        <f t="shared" si="11"/>
        <v>0</v>
      </c>
      <c r="DP22" s="4">
        <f t="shared" si="11"/>
        <v>0</v>
      </c>
      <c r="DQ22" s="4">
        <f t="shared" si="11"/>
        <v>0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0</v>
      </c>
      <c r="EK22" s="4">
        <f t="shared" si="11"/>
        <v>0</v>
      </c>
      <c r="EL22" s="4">
        <f t="shared" si="11"/>
        <v>0</v>
      </c>
      <c r="EM22" s="4">
        <f t="shared" ref="EM22:FR22" si="12">EM68</f>
        <v>0</v>
      </c>
      <c r="EN22" s="4">
        <f t="shared" si="12"/>
        <v>0</v>
      </c>
      <c r="EO22" s="4">
        <f t="shared" si="12"/>
        <v>0</v>
      </c>
      <c r="EP22" s="4">
        <f t="shared" si="12"/>
        <v>0</v>
      </c>
      <c r="EQ22" s="4">
        <f t="shared" si="12"/>
        <v>0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FS68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ROW(A36)</f>
        <v>36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-1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3">
        <v>52</v>
      </c>
      <c r="B26" s="3">
        <f t="shared" ref="B26:G26" si="14">B36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ТО МПУ</v>
      </c>
      <c r="H26" s="3"/>
      <c r="I26" s="3"/>
      <c r="J26" s="3"/>
      <c r="K26" s="3"/>
      <c r="L26" s="3"/>
      <c r="M26" s="3"/>
      <c r="N26" s="3"/>
      <c r="O26" s="3">
        <f t="shared" ref="O26:AT26" si="15">O36</f>
        <v>128950.65</v>
      </c>
      <c r="P26" s="3">
        <f t="shared" si="15"/>
        <v>0</v>
      </c>
      <c r="Q26" s="3">
        <f t="shared" si="15"/>
        <v>0</v>
      </c>
      <c r="R26" s="3">
        <f t="shared" si="15"/>
        <v>0</v>
      </c>
      <c r="S26" s="3">
        <f t="shared" si="15"/>
        <v>128950.65</v>
      </c>
      <c r="T26" s="3">
        <f t="shared" si="15"/>
        <v>0</v>
      </c>
      <c r="U26" s="3">
        <f t="shared" si="15"/>
        <v>453.54000000000008</v>
      </c>
      <c r="V26" s="3">
        <f t="shared" si="15"/>
        <v>0</v>
      </c>
      <c r="W26" s="3">
        <f t="shared" si="15"/>
        <v>0</v>
      </c>
      <c r="X26" s="3">
        <f t="shared" si="15"/>
        <v>277243.90000000002</v>
      </c>
      <c r="Y26" s="3">
        <f t="shared" si="15"/>
        <v>83817.929999999993</v>
      </c>
      <c r="Z26" s="3">
        <f t="shared" si="15"/>
        <v>0</v>
      </c>
      <c r="AA26" s="3">
        <f t="shared" si="15"/>
        <v>0</v>
      </c>
      <c r="AB26" s="3">
        <f t="shared" si="15"/>
        <v>128950.65</v>
      </c>
      <c r="AC26" s="3">
        <f t="shared" si="15"/>
        <v>0</v>
      </c>
      <c r="AD26" s="3">
        <f t="shared" si="15"/>
        <v>0</v>
      </c>
      <c r="AE26" s="3">
        <f t="shared" si="15"/>
        <v>0</v>
      </c>
      <c r="AF26" s="3">
        <f t="shared" si="15"/>
        <v>128950.65</v>
      </c>
      <c r="AG26" s="3">
        <f t="shared" si="15"/>
        <v>0</v>
      </c>
      <c r="AH26" s="3">
        <f t="shared" si="15"/>
        <v>453.54000000000008</v>
      </c>
      <c r="AI26" s="3">
        <f t="shared" si="15"/>
        <v>0</v>
      </c>
      <c r="AJ26" s="3">
        <f t="shared" si="15"/>
        <v>0</v>
      </c>
      <c r="AK26" s="3">
        <f t="shared" si="15"/>
        <v>277243.90000000002</v>
      </c>
      <c r="AL26" s="3">
        <f t="shared" si="15"/>
        <v>83817.929999999993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490012.48</v>
      </c>
      <c r="AS26" s="3">
        <f t="shared" si="15"/>
        <v>490012.48</v>
      </c>
      <c r="AT26" s="3">
        <f t="shared" si="15"/>
        <v>0</v>
      </c>
      <c r="AU26" s="3">
        <f t="shared" ref="AU26:BZ26" si="16">AU36</f>
        <v>0</v>
      </c>
      <c r="AV26" s="3">
        <f t="shared" si="16"/>
        <v>0</v>
      </c>
      <c r="AW26" s="3">
        <f t="shared" si="16"/>
        <v>0</v>
      </c>
      <c r="AX26" s="3">
        <f t="shared" si="16"/>
        <v>0</v>
      </c>
      <c r="AY26" s="3">
        <f t="shared" si="16"/>
        <v>0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CA36</f>
        <v>490012.48</v>
      </c>
      <c r="CB26" s="3">
        <f t="shared" si="17"/>
        <v>490012.48</v>
      </c>
      <c r="CC26" s="3">
        <f t="shared" si="17"/>
        <v>0</v>
      </c>
      <c r="CD26" s="3">
        <f t="shared" si="17"/>
        <v>0</v>
      </c>
      <c r="CE26" s="3">
        <f t="shared" si="17"/>
        <v>0</v>
      </c>
      <c r="CF26" s="3">
        <f t="shared" si="17"/>
        <v>0</v>
      </c>
      <c r="CG26" s="3">
        <f t="shared" si="17"/>
        <v>0</v>
      </c>
      <c r="CH26" s="3">
        <f t="shared" si="17"/>
        <v>0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DG36</f>
        <v>0</v>
      </c>
      <c r="DH26" s="4">
        <f t="shared" si="18"/>
        <v>0</v>
      </c>
      <c r="DI26" s="4">
        <f t="shared" si="18"/>
        <v>0</v>
      </c>
      <c r="DJ26" s="4">
        <f t="shared" si="18"/>
        <v>0</v>
      </c>
      <c r="DK26" s="4">
        <f t="shared" si="18"/>
        <v>0</v>
      </c>
      <c r="DL26" s="4">
        <f t="shared" si="18"/>
        <v>0</v>
      </c>
      <c r="DM26" s="4">
        <f t="shared" si="18"/>
        <v>0</v>
      </c>
      <c r="DN26" s="4">
        <f t="shared" si="18"/>
        <v>0</v>
      </c>
      <c r="DO26" s="4">
        <f t="shared" si="18"/>
        <v>0</v>
      </c>
      <c r="DP26" s="4">
        <f t="shared" si="18"/>
        <v>0</v>
      </c>
      <c r="DQ26" s="4">
        <f t="shared" si="18"/>
        <v>0</v>
      </c>
      <c r="DR26" s="4">
        <f t="shared" si="18"/>
        <v>0</v>
      </c>
      <c r="DS26" s="4">
        <f t="shared" si="18"/>
        <v>0</v>
      </c>
      <c r="DT26" s="4">
        <f t="shared" si="18"/>
        <v>0</v>
      </c>
      <c r="DU26" s="4">
        <f t="shared" si="18"/>
        <v>0</v>
      </c>
      <c r="DV26" s="4">
        <f t="shared" si="18"/>
        <v>0</v>
      </c>
      <c r="DW26" s="4">
        <f t="shared" si="18"/>
        <v>0</v>
      </c>
      <c r="DX26" s="4">
        <f t="shared" si="18"/>
        <v>0</v>
      </c>
      <c r="DY26" s="4">
        <f t="shared" si="18"/>
        <v>0</v>
      </c>
      <c r="DZ26" s="4">
        <f t="shared" si="18"/>
        <v>0</v>
      </c>
      <c r="EA26" s="4">
        <f t="shared" si="18"/>
        <v>0</v>
      </c>
      <c r="EB26" s="4">
        <f t="shared" si="18"/>
        <v>0</v>
      </c>
      <c r="EC26" s="4">
        <f t="shared" si="18"/>
        <v>0</v>
      </c>
      <c r="ED26" s="4">
        <f t="shared" si="18"/>
        <v>0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0</v>
      </c>
      <c r="EK26" s="4">
        <f t="shared" si="18"/>
        <v>0</v>
      </c>
      <c r="EL26" s="4">
        <f t="shared" si="18"/>
        <v>0</v>
      </c>
      <c r="EM26" s="4">
        <f t="shared" ref="EM26:FR26" si="19">EM36</f>
        <v>0</v>
      </c>
      <c r="EN26" s="4">
        <f t="shared" si="19"/>
        <v>0</v>
      </c>
      <c r="EO26" s="4">
        <f t="shared" si="19"/>
        <v>0</v>
      </c>
      <c r="EP26" s="4">
        <f t="shared" si="19"/>
        <v>0</v>
      </c>
      <c r="EQ26" s="4">
        <f t="shared" si="19"/>
        <v>0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FS36</f>
        <v>0</v>
      </c>
      <c r="FT26" s="4">
        <f t="shared" si="20"/>
        <v>0</v>
      </c>
      <c r="FU26" s="4">
        <f t="shared" si="20"/>
        <v>0</v>
      </c>
      <c r="FV26" s="4">
        <f t="shared" si="20"/>
        <v>0</v>
      </c>
      <c r="FW26" s="4">
        <f t="shared" si="20"/>
        <v>0</v>
      </c>
      <c r="FX26" s="4">
        <f t="shared" si="20"/>
        <v>0</v>
      </c>
      <c r="FY26" s="4">
        <f t="shared" si="20"/>
        <v>0</v>
      </c>
      <c r="FZ26" s="4">
        <f t="shared" si="20"/>
        <v>0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45" x14ac:dyDescent="0.2">
      <c r="A28">
        <v>17</v>
      </c>
      <c r="B28">
        <v>1</v>
      </c>
      <c r="C28">
        <f>ROW(SmtRes!A1)</f>
        <v>1</v>
      </c>
      <c r="D28">
        <f>ROW(EtalonRes!A1)</f>
        <v>1</v>
      </c>
      <c r="E28" t="s">
        <v>14</v>
      </c>
      <c r="F28" t="s">
        <v>15</v>
      </c>
      <c r="G28" t="s">
        <v>16</v>
      </c>
      <c r="H28" t="s">
        <v>17</v>
      </c>
      <c r="I28">
        <f>' 8-гр. ЛС 1 (2)'!F25</f>
        <v>65</v>
      </c>
      <c r="J28">
        <v>0</v>
      </c>
      <c r="O28">
        <f t="shared" ref="O28:O34" si="21">ROUND(CP28,2)</f>
        <v>1865.24</v>
      </c>
      <c r="P28">
        <f t="shared" ref="P28:P34" si="22">ROUND(CQ28*I28,2)</f>
        <v>0</v>
      </c>
      <c r="Q28">
        <f t="shared" ref="Q28:Q34" si="23">ROUND(CR28*I28,2)</f>
        <v>0</v>
      </c>
      <c r="R28">
        <f t="shared" ref="R28:R34" si="24">ROUND(CS28*I28,2)</f>
        <v>0</v>
      </c>
      <c r="S28">
        <f t="shared" ref="S28:S34" si="25">ROUND(CT28*I28,2)</f>
        <v>1865.24</v>
      </c>
      <c r="T28">
        <f t="shared" ref="T28:T34" si="26">ROUND(CU28*I28,2)</f>
        <v>0</v>
      </c>
      <c r="U28">
        <f t="shared" ref="U28:U34" si="27">CV28*I28</f>
        <v>6.5</v>
      </c>
      <c r="V28">
        <f t="shared" ref="V28:V34" si="28">CW28*I28</f>
        <v>0</v>
      </c>
      <c r="W28">
        <f t="shared" ref="W28:W34" si="29">ROUND(CX28*I28,2)</f>
        <v>0</v>
      </c>
      <c r="X28">
        <f t="shared" ref="X28:Y34" si="30">ROUND(CY28,2)</f>
        <v>4010.27</v>
      </c>
      <c r="Y28">
        <f t="shared" si="30"/>
        <v>1212.4100000000001</v>
      </c>
      <c r="AA28">
        <v>24979405</v>
      </c>
      <c r="AB28">
        <f t="shared" ref="AB28:AB34" si="31">(AC28+AD28+AF28)</f>
        <v>28.695999999999998</v>
      </c>
      <c r="AC28">
        <f>(0)</f>
        <v>0</v>
      </c>
      <c r="AD28">
        <f>(0)</f>
        <v>0</v>
      </c>
      <c r="AE28">
        <f>(0)</f>
        <v>0</v>
      </c>
      <c r="AF28">
        <f>(SUM(SmtRes!BT1:'SmtRes'!BT1))</f>
        <v>28.695999999999998</v>
      </c>
      <c r="AG28">
        <f t="shared" ref="AG28:AG34" si="32">(AP28)</f>
        <v>0</v>
      </c>
      <c r="AH28">
        <f>(SUM(SmtRes!BU1:'SmtRes'!BU1))</f>
        <v>0.1</v>
      </c>
      <c r="AI28">
        <f>(0)</f>
        <v>0</v>
      </c>
      <c r="AJ28">
        <f t="shared" ref="AJ28:AJ34" si="33">(AS28)</f>
        <v>0</v>
      </c>
      <c r="AK28">
        <v>26.257999999999999</v>
      </c>
      <c r="AL28">
        <v>0</v>
      </c>
      <c r="AM28">
        <v>0</v>
      </c>
      <c r="AN28">
        <v>0</v>
      </c>
      <c r="AO28">
        <f>SUM(SmtRes!AK1:'SmtRes'!AK1)</f>
        <v>28.696000000000002</v>
      </c>
      <c r="AP28">
        <v>0</v>
      </c>
      <c r="AQ28">
        <v>0.1</v>
      </c>
      <c r="AR28">
        <v>0</v>
      </c>
      <c r="AS28">
        <v>0</v>
      </c>
      <c r="AT28">
        <v>215</v>
      </c>
      <c r="AU28">
        <v>65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18</v>
      </c>
      <c r="BM28">
        <v>162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215</v>
      </c>
      <c r="CA28">
        <v>65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ref="CP28:CP34" si="34">(P28+Q28+S28)</f>
        <v>1865.24</v>
      </c>
      <c r="CQ28">
        <f t="shared" ref="CQ28:CQ34" si="35">AC28*BC28</f>
        <v>0</v>
      </c>
      <c r="CR28">
        <f t="shared" ref="CR28:CR34" si="36">AD28*BB28</f>
        <v>0</v>
      </c>
      <c r="CS28">
        <f t="shared" ref="CS28:CS34" si="37">AE28*BS28</f>
        <v>0</v>
      </c>
      <c r="CT28">
        <f t="shared" ref="CT28:CT34" si="38">AF28*BA28</f>
        <v>28.695999999999998</v>
      </c>
      <c r="CU28">
        <f t="shared" ref="CU28:CX34" si="39">AG28</f>
        <v>0</v>
      </c>
      <c r="CV28">
        <f t="shared" si="39"/>
        <v>0.1</v>
      </c>
      <c r="CW28">
        <f t="shared" si="39"/>
        <v>0</v>
      </c>
      <c r="CX28">
        <f t="shared" si="39"/>
        <v>0</v>
      </c>
      <c r="CY28">
        <f t="shared" ref="CY28:CY34" si="40">(((S28+R28)*FX28)/100)</f>
        <v>4010.2659999999996</v>
      </c>
      <c r="CZ28">
        <f t="shared" ref="CZ28:CZ34" si="41">(((S28+R28)*FY28)/100)</f>
        <v>1212.4059999999999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17</v>
      </c>
      <c r="DW28" t="s">
        <v>17</v>
      </c>
      <c r="DX28">
        <v>1</v>
      </c>
      <c r="EE28">
        <v>13306998</v>
      </c>
      <c r="EF28">
        <v>1</v>
      </c>
      <c r="EG28" t="s">
        <v>19</v>
      </c>
      <c r="EH28">
        <v>0</v>
      </c>
      <c r="EI28" t="s">
        <v>3</v>
      </c>
      <c r="EJ28">
        <v>1</v>
      </c>
      <c r="EK28">
        <v>162</v>
      </c>
      <c r="EL28" t="s">
        <v>20</v>
      </c>
      <c r="EM28" t="s">
        <v>3</v>
      </c>
      <c r="EO28" t="s">
        <v>3</v>
      </c>
      <c r="EQ28">
        <v>0</v>
      </c>
      <c r="ER28">
        <v>0.95</v>
      </c>
      <c r="ES28">
        <v>0</v>
      </c>
      <c r="ET28">
        <v>0</v>
      </c>
      <c r="EU28">
        <v>0</v>
      </c>
      <c r="EV28">
        <v>0.95</v>
      </c>
      <c r="EW28">
        <v>0.1</v>
      </c>
      <c r="EX28">
        <v>0</v>
      </c>
      <c r="EY28">
        <v>0</v>
      </c>
      <c r="FQ28">
        <v>0</v>
      </c>
      <c r="FR28">
        <f t="shared" ref="FR28:FR34" si="42">ROUND(IF(AND(BH28=3,BI28=3),P28,0),2)</f>
        <v>0</v>
      </c>
      <c r="FS28">
        <v>0</v>
      </c>
      <c r="FX28">
        <v>215</v>
      </c>
      <c r="FY28">
        <v>65</v>
      </c>
      <c r="GA28" t="s">
        <v>3</v>
      </c>
      <c r="GD28">
        <v>0</v>
      </c>
      <c r="GF28">
        <v>-661409894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ref="GL28:GL34" si="43">ROUND(IF(AND(BH28=3,BI28=3,FS28&lt;&gt;0),P28,0),2)</f>
        <v>0</v>
      </c>
      <c r="GM28">
        <f t="shared" ref="GM28:GM34" si="44">ROUND(O28+X28+Y28+GK28,2)+GX28</f>
        <v>7087.92</v>
      </c>
      <c r="GN28">
        <f t="shared" ref="GN28:GN34" si="45">IF(OR(BI28=0,BI28=1),ROUND(O28+X28+Y28+GK28,2),0)</f>
        <v>7087.92</v>
      </c>
      <c r="GO28">
        <f t="shared" ref="GO28:GO34" si="46">IF(BI28=2,ROUND(O28+X28+Y28+GK28,2),0)</f>
        <v>0</v>
      </c>
      <c r="GP28">
        <f t="shared" ref="GP28:GP34" si="47">IF(BI28=4,ROUND(O28+X28+Y28+GK28,2)+GX28,0)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34" si="48">GT28</f>
        <v>0</v>
      </c>
      <c r="GW28">
        <v>1</v>
      </c>
      <c r="GX28">
        <f t="shared" ref="GX28:GX34" si="49">ROUND(GV28*GW28*I28,2)</f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C29">
        <f>ROW(SmtRes!A2)</f>
        <v>2</v>
      </c>
      <c r="D29">
        <f>ROW(EtalonRes!A2)</f>
        <v>2</v>
      </c>
      <c r="E29" t="s">
        <v>21</v>
      </c>
      <c r="F29" t="s">
        <v>22</v>
      </c>
      <c r="G29" t="s">
        <v>23</v>
      </c>
      <c r="H29" t="s">
        <v>24</v>
      </c>
      <c r="I29">
        <f>' 8-гр. ЛС 1 (2)'!F31</f>
        <v>68</v>
      </c>
      <c r="J29">
        <v>0</v>
      </c>
      <c r="O29">
        <f t="shared" si="21"/>
        <v>1561.06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1561.06</v>
      </c>
      <c r="T29">
        <f t="shared" si="26"/>
        <v>0</v>
      </c>
      <c r="U29">
        <f t="shared" si="27"/>
        <v>5.44</v>
      </c>
      <c r="V29">
        <f t="shared" si="28"/>
        <v>0</v>
      </c>
      <c r="W29">
        <f t="shared" si="29"/>
        <v>0</v>
      </c>
      <c r="X29">
        <f t="shared" si="30"/>
        <v>3356.28</v>
      </c>
      <c r="Y29">
        <f t="shared" si="30"/>
        <v>1014.69</v>
      </c>
      <c r="AA29">
        <v>24979405</v>
      </c>
      <c r="AB29">
        <f t="shared" si="31"/>
        <v>22.956799999999998</v>
      </c>
      <c r="AC29">
        <f>(0)</f>
        <v>0</v>
      </c>
      <c r="AD29">
        <f>(0)</f>
        <v>0</v>
      </c>
      <c r="AE29">
        <f>(0)</f>
        <v>0</v>
      </c>
      <c r="AF29">
        <f>(SUM(SmtRes!BT2:'SmtRes'!BT2))</f>
        <v>22.956799999999998</v>
      </c>
      <c r="AG29">
        <f t="shared" si="32"/>
        <v>0</v>
      </c>
      <c r="AH29">
        <f>(SUM(SmtRes!BU2:'SmtRes'!BU2))</f>
        <v>0.08</v>
      </c>
      <c r="AI29">
        <f>(0)</f>
        <v>0</v>
      </c>
      <c r="AJ29">
        <f t="shared" si="33"/>
        <v>0</v>
      </c>
      <c r="AK29">
        <v>21.006399999999999</v>
      </c>
      <c r="AL29">
        <v>0</v>
      </c>
      <c r="AM29">
        <v>0</v>
      </c>
      <c r="AN29">
        <v>0</v>
      </c>
      <c r="AO29">
        <f>SUM(SmtRes!AK2:'SmtRes'!AK2)</f>
        <v>22.956800000000001</v>
      </c>
      <c r="AP29">
        <v>0</v>
      </c>
      <c r="AQ29">
        <v>0.08</v>
      </c>
      <c r="AR29">
        <v>0</v>
      </c>
      <c r="AS29">
        <v>0</v>
      </c>
      <c r="AT29">
        <v>215</v>
      </c>
      <c r="AU29">
        <v>65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25</v>
      </c>
      <c r="BM29">
        <v>162</v>
      </c>
      <c r="BN29">
        <v>0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215</v>
      </c>
      <c r="CA29">
        <v>65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4"/>
        <v>1561.06</v>
      </c>
      <c r="CQ29">
        <f t="shared" si="35"/>
        <v>0</v>
      </c>
      <c r="CR29">
        <f t="shared" si="36"/>
        <v>0</v>
      </c>
      <c r="CS29">
        <f t="shared" si="37"/>
        <v>0</v>
      </c>
      <c r="CT29">
        <f t="shared" si="38"/>
        <v>22.956799999999998</v>
      </c>
      <c r="CU29">
        <f t="shared" si="39"/>
        <v>0</v>
      </c>
      <c r="CV29">
        <f t="shared" si="39"/>
        <v>0.08</v>
      </c>
      <c r="CW29">
        <f t="shared" si="39"/>
        <v>0</v>
      </c>
      <c r="CX29">
        <f t="shared" si="39"/>
        <v>0</v>
      </c>
      <c r="CY29">
        <f t="shared" si="40"/>
        <v>3356.2789999999995</v>
      </c>
      <c r="CZ29">
        <f t="shared" si="41"/>
        <v>1014.689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24</v>
      </c>
      <c r="DW29" t="s">
        <v>24</v>
      </c>
      <c r="DX29">
        <v>1</v>
      </c>
      <c r="EE29">
        <v>13306998</v>
      </c>
      <c r="EF29">
        <v>1</v>
      </c>
      <c r="EG29" t="s">
        <v>19</v>
      </c>
      <c r="EH29">
        <v>0</v>
      </c>
      <c r="EI29" t="s">
        <v>3</v>
      </c>
      <c r="EJ29">
        <v>1</v>
      </c>
      <c r="EK29">
        <v>162</v>
      </c>
      <c r="EL29" t="s">
        <v>20</v>
      </c>
      <c r="EM29" t="s">
        <v>3</v>
      </c>
      <c r="EO29" t="s">
        <v>3</v>
      </c>
      <c r="EQ29">
        <v>0</v>
      </c>
      <c r="ER29">
        <v>0.87</v>
      </c>
      <c r="ES29">
        <v>0</v>
      </c>
      <c r="ET29">
        <v>0</v>
      </c>
      <c r="EU29">
        <v>0</v>
      </c>
      <c r="EV29">
        <v>0.87</v>
      </c>
      <c r="EW29">
        <v>0.08</v>
      </c>
      <c r="EX29">
        <v>0</v>
      </c>
      <c r="EY29">
        <v>0</v>
      </c>
      <c r="FQ29">
        <v>0</v>
      </c>
      <c r="FR29">
        <f t="shared" si="42"/>
        <v>0</v>
      </c>
      <c r="FS29">
        <v>0</v>
      </c>
      <c r="FX29">
        <v>215</v>
      </c>
      <c r="FY29">
        <v>65</v>
      </c>
      <c r="GA29" t="s">
        <v>3</v>
      </c>
      <c r="GD29">
        <v>0</v>
      </c>
      <c r="GF29">
        <v>769887934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43"/>
        <v>0</v>
      </c>
      <c r="GM29">
        <f t="shared" si="44"/>
        <v>5932.03</v>
      </c>
      <c r="GN29">
        <f t="shared" si="45"/>
        <v>5932.03</v>
      </c>
      <c r="GO29">
        <f t="shared" si="46"/>
        <v>0</v>
      </c>
      <c r="GP29">
        <f t="shared" si="47"/>
        <v>0</v>
      </c>
      <c r="GR29">
        <v>0</v>
      </c>
      <c r="GS29">
        <v>3</v>
      </c>
      <c r="GT29">
        <v>0</v>
      </c>
      <c r="GU29" t="s">
        <v>3</v>
      </c>
      <c r="GV29">
        <f t="shared" si="48"/>
        <v>0</v>
      </c>
      <c r="GW29">
        <v>1</v>
      </c>
      <c r="GX29">
        <f t="shared" si="49"/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ROW(SmtRes!A3)</f>
        <v>3</v>
      </c>
      <c r="D30">
        <f>ROW(EtalonRes!A3)</f>
        <v>3</v>
      </c>
      <c r="E30" t="s">
        <v>26</v>
      </c>
      <c r="F30" t="s">
        <v>27</v>
      </c>
      <c r="G30" t="s">
        <v>28</v>
      </c>
      <c r="H30" t="s">
        <v>29</v>
      </c>
      <c r="I30">
        <f>' 8-гр. ЛС 1 (2)'!F37</f>
        <v>18</v>
      </c>
      <c r="J30">
        <v>0</v>
      </c>
      <c r="O30">
        <f t="shared" si="21"/>
        <v>58367.66</v>
      </c>
      <c r="P30">
        <f t="shared" si="22"/>
        <v>0</v>
      </c>
      <c r="Q30">
        <f t="shared" si="23"/>
        <v>0</v>
      </c>
      <c r="R30">
        <f t="shared" si="24"/>
        <v>0</v>
      </c>
      <c r="S30">
        <f t="shared" si="25"/>
        <v>58367.66</v>
      </c>
      <c r="T30">
        <f t="shared" si="26"/>
        <v>0</v>
      </c>
      <c r="U30">
        <f t="shared" si="27"/>
        <v>203.4</v>
      </c>
      <c r="V30">
        <f t="shared" si="28"/>
        <v>0</v>
      </c>
      <c r="W30">
        <f t="shared" si="29"/>
        <v>0</v>
      </c>
      <c r="X30">
        <f t="shared" si="30"/>
        <v>125490.47</v>
      </c>
      <c r="Y30">
        <f t="shared" si="30"/>
        <v>37938.980000000003</v>
      </c>
      <c r="AA30">
        <v>24979405</v>
      </c>
      <c r="AB30">
        <f t="shared" si="31"/>
        <v>3242.6480000000001</v>
      </c>
      <c r="AC30">
        <f>(0)</f>
        <v>0</v>
      </c>
      <c r="AD30">
        <f>(0)</f>
        <v>0</v>
      </c>
      <c r="AE30">
        <f>(0)</f>
        <v>0</v>
      </c>
      <c r="AF30">
        <f>(SUM(SmtRes!BT3:'SmtRes'!BT3))</f>
        <v>3242.6480000000001</v>
      </c>
      <c r="AG30">
        <f t="shared" si="32"/>
        <v>0</v>
      </c>
      <c r="AH30">
        <f>(SUM(SmtRes!BU3:'SmtRes'!BU3))</f>
        <v>11.3</v>
      </c>
      <c r="AI30">
        <f>(0)</f>
        <v>0</v>
      </c>
      <c r="AJ30">
        <f t="shared" si="33"/>
        <v>0</v>
      </c>
      <c r="AK30">
        <v>2967.154</v>
      </c>
      <c r="AL30">
        <v>0</v>
      </c>
      <c r="AM30">
        <v>0</v>
      </c>
      <c r="AN30">
        <v>0</v>
      </c>
      <c r="AO30">
        <f>SUM(SmtRes!AK3:'SmtRes'!AK3)</f>
        <v>3242.6480000000001</v>
      </c>
      <c r="AP30">
        <v>0</v>
      </c>
      <c r="AQ30">
        <v>11.3</v>
      </c>
      <c r="AR30">
        <v>0</v>
      </c>
      <c r="AS30">
        <v>0</v>
      </c>
      <c r="AT30">
        <v>215</v>
      </c>
      <c r="AU30">
        <v>65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30</v>
      </c>
      <c r="BM30">
        <v>162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215</v>
      </c>
      <c r="CA30">
        <v>65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4"/>
        <v>58367.66</v>
      </c>
      <c r="CQ30">
        <f t="shared" si="35"/>
        <v>0</v>
      </c>
      <c r="CR30">
        <f t="shared" si="36"/>
        <v>0</v>
      </c>
      <c r="CS30">
        <f t="shared" si="37"/>
        <v>0</v>
      </c>
      <c r="CT30">
        <f t="shared" si="38"/>
        <v>3242.6480000000001</v>
      </c>
      <c r="CU30">
        <f t="shared" si="39"/>
        <v>0</v>
      </c>
      <c r="CV30">
        <f t="shared" si="39"/>
        <v>11.3</v>
      </c>
      <c r="CW30">
        <f t="shared" si="39"/>
        <v>0</v>
      </c>
      <c r="CX30">
        <f t="shared" si="39"/>
        <v>0</v>
      </c>
      <c r="CY30">
        <f t="shared" si="40"/>
        <v>125490.469</v>
      </c>
      <c r="CZ30">
        <f t="shared" si="41"/>
        <v>37938.979000000007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6834547</v>
      </c>
      <c r="DV30" t="s">
        <v>29</v>
      </c>
      <c r="DW30" t="s">
        <v>29</v>
      </c>
      <c r="DX30">
        <v>1</v>
      </c>
      <c r="EE30">
        <v>13306998</v>
      </c>
      <c r="EF30">
        <v>1</v>
      </c>
      <c r="EG30" t="s">
        <v>19</v>
      </c>
      <c r="EH30">
        <v>0</v>
      </c>
      <c r="EI30" t="s">
        <v>3</v>
      </c>
      <c r="EJ30">
        <v>1</v>
      </c>
      <c r="EK30">
        <v>162</v>
      </c>
      <c r="EL30" t="s">
        <v>20</v>
      </c>
      <c r="EM30" t="s">
        <v>3</v>
      </c>
      <c r="EO30" t="s">
        <v>3</v>
      </c>
      <c r="EQ30">
        <v>0</v>
      </c>
      <c r="ER30">
        <v>7.39</v>
      </c>
      <c r="ES30">
        <v>0</v>
      </c>
      <c r="ET30">
        <v>0</v>
      </c>
      <c r="EU30">
        <v>0</v>
      </c>
      <c r="EV30">
        <v>7.39</v>
      </c>
      <c r="EW30">
        <v>0.6</v>
      </c>
      <c r="EX30">
        <v>0</v>
      </c>
      <c r="EY30">
        <v>0</v>
      </c>
      <c r="FQ30">
        <v>0</v>
      </c>
      <c r="FR30">
        <f t="shared" si="42"/>
        <v>0</v>
      </c>
      <c r="FS30">
        <v>0</v>
      </c>
      <c r="FX30">
        <v>215</v>
      </c>
      <c r="FY30">
        <v>65</v>
      </c>
      <c r="GA30" t="s">
        <v>3</v>
      </c>
      <c r="GD30">
        <v>0</v>
      </c>
      <c r="GF30">
        <v>1149325664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43"/>
        <v>0</v>
      </c>
      <c r="GM30">
        <f t="shared" si="44"/>
        <v>221797.11</v>
      </c>
      <c r="GN30">
        <f t="shared" si="45"/>
        <v>221797.11</v>
      </c>
      <c r="GO30">
        <f t="shared" si="46"/>
        <v>0</v>
      </c>
      <c r="GP30">
        <f t="shared" si="47"/>
        <v>0</v>
      </c>
      <c r="GR30">
        <v>0</v>
      </c>
      <c r="GS30">
        <v>3</v>
      </c>
      <c r="GT30">
        <v>0</v>
      </c>
      <c r="GU30" t="s">
        <v>3</v>
      </c>
      <c r="GV30">
        <f t="shared" si="48"/>
        <v>0</v>
      </c>
      <c r="GW30">
        <v>1</v>
      </c>
      <c r="GX30">
        <f t="shared" si="49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C31">
        <f>ROW(SmtRes!A4)</f>
        <v>4</v>
      </c>
      <c r="D31">
        <f>ROW(EtalonRes!A4)</f>
        <v>4</v>
      </c>
      <c r="E31" t="s">
        <v>31</v>
      </c>
      <c r="F31" t="s">
        <v>32</v>
      </c>
      <c r="G31" t="s">
        <v>33</v>
      </c>
      <c r="H31" t="s">
        <v>29</v>
      </c>
      <c r="I31">
        <f>' 8-гр. ЛС 1 (2)'!F43</f>
        <v>12</v>
      </c>
      <c r="J31">
        <v>0</v>
      </c>
      <c r="O31">
        <f t="shared" si="21"/>
        <v>21349.82</v>
      </c>
      <c r="P31">
        <f t="shared" si="22"/>
        <v>0</v>
      </c>
      <c r="Q31">
        <f t="shared" si="23"/>
        <v>0</v>
      </c>
      <c r="R31">
        <f t="shared" si="24"/>
        <v>0</v>
      </c>
      <c r="S31">
        <f t="shared" si="25"/>
        <v>21349.82</v>
      </c>
      <c r="T31">
        <f t="shared" si="26"/>
        <v>0</v>
      </c>
      <c r="U31">
        <f t="shared" si="27"/>
        <v>74.400000000000006</v>
      </c>
      <c r="V31">
        <f t="shared" si="28"/>
        <v>0</v>
      </c>
      <c r="W31">
        <f t="shared" si="29"/>
        <v>0</v>
      </c>
      <c r="X31">
        <f t="shared" si="30"/>
        <v>45902.11</v>
      </c>
      <c r="Y31">
        <f t="shared" si="30"/>
        <v>13877.38</v>
      </c>
      <c r="AA31">
        <v>24979405</v>
      </c>
      <c r="AB31">
        <f t="shared" si="31"/>
        <v>1779.1519999999998</v>
      </c>
      <c r="AC31">
        <f>(0)</f>
        <v>0</v>
      </c>
      <c r="AD31">
        <f>(0)</f>
        <v>0</v>
      </c>
      <c r="AE31">
        <f>(0)</f>
        <v>0</v>
      </c>
      <c r="AF31">
        <f>(SUM(SmtRes!BT4:'SmtRes'!BT4))</f>
        <v>1779.1519999999998</v>
      </c>
      <c r="AG31">
        <f t="shared" si="32"/>
        <v>0</v>
      </c>
      <c r="AH31">
        <f>(SUM(SmtRes!BU4:'SmtRes'!BU4))</f>
        <v>6.2</v>
      </c>
      <c r="AI31">
        <f>(0)</f>
        <v>0</v>
      </c>
      <c r="AJ31">
        <f t="shared" si="33"/>
        <v>0</v>
      </c>
      <c r="AK31">
        <v>1627.9959999999999</v>
      </c>
      <c r="AL31">
        <v>0</v>
      </c>
      <c r="AM31">
        <v>0</v>
      </c>
      <c r="AN31">
        <v>0</v>
      </c>
      <c r="AO31">
        <f>SUM(SmtRes!AK4:'SmtRes'!AK4)</f>
        <v>1779.152</v>
      </c>
      <c r="AP31">
        <v>0</v>
      </c>
      <c r="AQ31">
        <v>6.2</v>
      </c>
      <c r="AR31">
        <v>0</v>
      </c>
      <c r="AS31">
        <v>0</v>
      </c>
      <c r="AT31">
        <v>215</v>
      </c>
      <c r="AU31">
        <v>65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1</v>
      </c>
      <c r="BJ31" t="s">
        <v>34</v>
      </c>
      <c r="BM31">
        <v>162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215</v>
      </c>
      <c r="CA31">
        <v>65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4"/>
        <v>21349.82</v>
      </c>
      <c r="CQ31">
        <f t="shared" si="35"/>
        <v>0</v>
      </c>
      <c r="CR31">
        <f t="shared" si="36"/>
        <v>0</v>
      </c>
      <c r="CS31">
        <f t="shared" si="37"/>
        <v>0</v>
      </c>
      <c r="CT31">
        <f t="shared" si="38"/>
        <v>1779.1519999999998</v>
      </c>
      <c r="CU31">
        <f t="shared" si="39"/>
        <v>0</v>
      </c>
      <c r="CV31">
        <f t="shared" si="39"/>
        <v>6.2</v>
      </c>
      <c r="CW31">
        <f t="shared" si="39"/>
        <v>0</v>
      </c>
      <c r="CX31">
        <f t="shared" si="39"/>
        <v>0</v>
      </c>
      <c r="CY31">
        <f t="shared" si="40"/>
        <v>45902.112999999998</v>
      </c>
      <c r="CZ31">
        <f t="shared" si="41"/>
        <v>13877.383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6834547</v>
      </c>
      <c r="DV31" t="s">
        <v>29</v>
      </c>
      <c r="DW31" t="s">
        <v>29</v>
      </c>
      <c r="DX31">
        <v>1</v>
      </c>
      <c r="EE31">
        <v>13306998</v>
      </c>
      <c r="EF31">
        <v>1</v>
      </c>
      <c r="EG31" t="s">
        <v>19</v>
      </c>
      <c r="EH31">
        <v>0</v>
      </c>
      <c r="EI31" t="s">
        <v>3</v>
      </c>
      <c r="EJ31">
        <v>1</v>
      </c>
      <c r="EK31">
        <v>162</v>
      </c>
      <c r="EL31" t="s">
        <v>20</v>
      </c>
      <c r="EM31" t="s">
        <v>3</v>
      </c>
      <c r="EO31" t="s">
        <v>3</v>
      </c>
      <c r="EQ31">
        <v>0</v>
      </c>
      <c r="ER31">
        <v>42.6</v>
      </c>
      <c r="ES31">
        <v>0</v>
      </c>
      <c r="ET31">
        <v>0</v>
      </c>
      <c r="EU31">
        <v>0</v>
      </c>
      <c r="EV31">
        <v>42.6</v>
      </c>
      <c r="EW31">
        <v>3.4</v>
      </c>
      <c r="EX31">
        <v>0</v>
      </c>
      <c r="EY31">
        <v>0</v>
      </c>
      <c r="FQ31">
        <v>0</v>
      </c>
      <c r="FR31">
        <f t="shared" si="42"/>
        <v>0</v>
      </c>
      <c r="FS31">
        <v>0</v>
      </c>
      <c r="FX31">
        <v>215</v>
      </c>
      <c r="FY31">
        <v>65</v>
      </c>
      <c r="GA31" t="s">
        <v>3</v>
      </c>
      <c r="GD31">
        <v>0</v>
      </c>
      <c r="GF31">
        <v>-779324107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43"/>
        <v>0</v>
      </c>
      <c r="GM31">
        <f t="shared" si="44"/>
        <v>81129.31</v>
      </c>
      <c r="GN31">
        <f t="shared" si="45"/>
        <v>81129.31</v>
      </c>
      <c r="GO31">
        <f t="shared" si="46"/>
        <v>0</v>
      </c>
      <c r="GP31">
        <f t="shared" si="47"/>
        <v>0</v>
      </c>
      <c r="GR31">
        <v>0</v>
      </c>
      <c r="GS31">
        <v>3</v>
      </c>
      <c r="GT31">
        <v>0</v>
      </c>
      <c r="GU31" t="s">
        <v>3</v>
      </c>
      <c r="GV31">
        <f t="shared" si="48"/>
        <v>0</v>
      </c>
      <c r="GW31">
        <v>1</v>
      </c>
      <c r="GX31">
        <f t="shared" si="49"/>
        <v>0</v>
      </c>
      <c r="HA31">
        <v>0</v>
      </c>
      <c r="HB31">
        <v>0</v>
      </c>
      <c r="IK31">
        <v>0</v>
      </c>
    </row>
    <row r="32" spans="1:245" ht="357" x14ac:dyDescent="0.2">
      <c r="A32">
        <v>17</v>
      </c>
      <c r="B32">
        <v>1</v>
      </c>
      <c r="C32">
        <f>ROW(SmtRes!A5)</f>
        <v>5</v>
      </c>
      <c r="D32">
        <f>ROW(EtalonRes!A5)</f>
        <v>5</v>
      </c>
      <c r="E32" t="s">
        <v>35</v>
      </c>
      <c r="F32" t="s">
        <v>36</v>
      </c>
      <c r="G32" t="s">
        <v>37</v>
      </c>
      <c r="H32" t="s">
        <v>29</v>
      </c>
      <c r="I32">
        <f>' 8-гр. ЛС 1 (2)'!F49</f>
        <v>32</v>
      </c>
      <c r="J32">
        <v>0</v>
      </c>
      <c r="O32">
        <f t="shared" si="21"/>
        <v>2363.9</v>
      </c>
      <c r="P32">
        <f t="shared" si="22"/>
        <v>0</v>
      </c>
      <c r="Q32">
        <f t="shared" si="23"/>
        <v>0</v>
      </c>
      <c r="R32">
        <f t="shared" si="24"/>
        <v>0</v>
      </c>
      <c r="S32">
        <f t="shared" si="25"/>
        <v>2363.9</v>
      </c>
      <c r="T32">
        <f t="shared" si="26"/>
        <v>0</v>
      </c>
      <c r="U32">
        <f t="shared" si="27"/>
        <v>9.6</v>
      </c>
      <c r="V32">
        <f t="shared" si="28"/>
        <v>0</v>
      </c>
      <c r="W32">
        <f t="shared" si="29"/>
        <v>0</v>
      </c>
      <c r="X32">
        <f t="shared" si="30"/>
        <v>5082.3900000000003</v>
      </c>
      <c r="Y32">
        <f t="shared" si="30"/>
        <v>1536.54</v>
      </c>
      <c r="AA32">
        <v>24979405</v>
      </c>
      <c r="AB32">
        <f t="shared" si="31"/>
        <v>73.872</v>
      </c>
      <c r="AC32">
        <f>(0)</f>
        <v>0</v>
      </c>
      <c r="AD32">
        <f>(0)</f>
        <v>0</v>
      </c>
      <c r="AE32">
        <f>(0)</f>
        <v>0</v>
      </c>
      <c r="AF32">
        <f>(SUM(SmtRes!BT5:'SmtRes'!BT5))</f>
        <v>73.872</v>
      </c>
      <c r="AG32">
        <f t="shared" si="32"/>
        <v>0</v>
      </c>
      <c r="AH32">
        <f>(SUM(SmtRes!BU5:'SmtRes'!BU5))</f>
        <v>0.3</v>
      </c>
      <c r="AI32">
        <f>(0)</f>
        <v>0</v>
      </c>
      <c r="AJ32">
        <f t="shared" si="33"/>
        <v>0</v>
      </c>
      <c r="AK32">
        <v>67.595999999999989</v>
      </c>
      <c r="AL32">
        <v>0</v>
      </c>
      <c r="AM32">
        <v>0</v>
      </c>
      <c r="AN32">
        <v>0</v>
      </c>
      <c r="AO32">
        <f>SUM(SmtRes!AK5:'SmtRes'!AK5)</f>
        <v>73.872</v>
      </c>
      <c r="AP32">
        <v>0</v>
      </c>
      <c r="AQ32">
        <v>0.3</v>
      </c>
      <c r="AR32">
        <v>0</v>
      </c>
      <c r="AS32">
        <v>0</v>
      </c>
      <c r="AT32">
        <v>215</v>
      </c>
      <c r="AU32">
        <v>65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38</v>
      </c>
      <c r="BM32">
        <v>161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215</v>
      </c>
      <c r="CA32">
        <v>65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4"/>
        <v>2363.9</v>
      </c>
      <c r="CQ32">
        <f t="shared" si="35"/>
        <v>0</v>
      </c>
      <c r="CR32">
        <f t="shared" si="36"/>
        <v>0</v>
      </c>
      <c r="CS32">
        <f t="shared" si="37"/>
        <v>0</v>
      </c>
      <c r="CT32">
        <f t="shared" si="38"/>
        <v>73.872</v>
      </c>
      <c r="CU32">
        <f t="shared" si="39"/>
        <v>0</v>
      </c>
      <c r="CV32">
        <f t="shared" si="39"/>
        <v>0.3</v>
      </c>
      <c r="CW32">
        <f t="shared" si="39"/>
        <v>0</v>
      </c>
      <c r="CX32">
        <f t="shared" si="39"/>
        <v>0</v>
      </c>
      <c r="CY32">
        <f t="shared" si="40"/>
        <v>5082.3850000000002</v>
      </c>
      <c r="CZ32">
        <f t="shared" si="41"/>
        <v>1536.5350000000001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6834547</v>
      </c>
      <c r="DV32" t="s">
        <v>29</v>
      </c>
      <c r="DW32" t="s">
        <v>29</v>
      </c>
      <c r="DX32">
        <v>1</v>
      </c>
      <c r="EE32">
        <v>13306997</v>
      </c>
      <c r="EF32">
        <v>1</v>
      </c>
      <c r="EG32" t="s">
        <v>19</v>
      </c>
      <c r="EH32">
        <v>0</v>
      </c>
      <c r="EI32" t="s">
        <v>3</v>
      </c>
      <c r="EJ32">
        <v>1</v>
      </c>
      <c r="EK32">
        <v>161</v>
      </c>
      <c r="EL32" s="2" t="s">
        <v>39</v>
      </c>
      <c r="EM32" t="s">
        <v>3</v>
      </c>
      <c r="EO32" t="s">
        <v>3</v>
      </c>
      <c r="EQ32">
        <v>0</v>
      </c>
      <c r="ER32">
        <v>3.21</v>
      </c>
      <c r="ES32">
        <v>0</v>
      </c>
      <c r="ET32">
        <v>0</v>
      </c>
      <c r="EU32">
        <v>0</v>
      </c>
      <c r="EV32">
        <v>3.21</v>
      </c>
      <c r="EW32">
        <v>0.3</v>
      </c>
      <c r="EX32">
        <v>0</v>
      </c>
      <c r="EY32">
        <v>0</v>
      </c>
      <c r="FQ32">
        <v>0</v>
      </c>
      <c r="FR32">
        <f t="shared" si="42"/>
        <v>0</v>
      </c>
      <c r="FS32">
        <v>0</v>
      </c>
      <c r="FX32">
        <v>215</v>
      </c>
      <c r="FY32">
        <v>65</v>
      </c>
      <c r="GA32" t="s">
        <v>3</v>
      </c>
      <c r="GD32">
        <v>0</v>
      </c>
      <c r="GF32">
        <v>-1510358280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si="43"/>
        <v>0</v>
      </c>
      <c r="GM32">
        <f t="shared" si="44"/>
        <v>8982.83</v>
      </c>
      <c r="GN32">
        <f t="shared" si="45"/>
        <v>8982.83</v>
      </c>
      <c r="GO32">
        <f t="shared" si="46"/>
        <v>0</v>
      </c>
      <c r="GP32">
        <f t="shared" si="47"/>
        <v>0</v>
      </c>
      <c r="GR32">
        <v>0</v>
      </c>
      <c r="GS32">
        <v>3</v>
      </c>
      <c r="GT32">
        <v>0</v>
      </c>
      <c r="GU32" t="s">
        <v>3</v>
      </c>
      <c r="GV32">
        <f t="shared" si="48"/>
        <v>0</v>
      </c>
      <c r="GW32">
        <v>1</v>
      </c>
      <c r="GX32">
        <f t="shared" si="49"/>
        <v>0</v>
      </c>
      <c r="HA32">
        <v>0</v>
      </c>
      <c r="HB32">
        <v>0</v>
      </c>
      <c r="IK32">
        <v>0</v>
      </c>
    </row>
    <row r="33" spans="1:245" ht="357" x14ac:dyDescent="0.2">
      <c r="A33">
        <v>17</v>
      </c>
      <c r="B33">
        <v>1</v>
      </c>
      <c r="C33">
        <f>ROW(SmtRes!A6)</f>
        <v>6</v>
      </c>
      <c r="D33">
        <f>ROW(EtalonRes!A6)</f>
        <v>6</v>
      </c>
      <c r="E33" t="s">
        <v>40</v>
      </c>
      <c r="F33" t="s">
        <v>41</v>
      </c>
      <c r="G33" t="s">
        <v>42</v>
      </c>
      <c r="H33" t="s">
        <v>29</v>
      </c>
      <c r="I33">
        <f>' 8-гр. ЛС 1 (2)'!F55</f>
        <v>2</v>
      </c>
      <c r="J33">
        <v>0</v>
      </c>
      <c r="O33">
        <f t="shared" si="21"/>
        <v>4875.55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4875.55</v>
      </c>
      <c r="T33">
        <f t="shared" si="26"/>
        <v>0</v>
      </c>
      <c r="U33">
        <f t="shared" si="27"/>
        <v>19.8</v>
      </c>
      <c r="V33">
        <f t="shared" si="28"/>
        <v>0</v>
      </c>
      <c r="W33">
        <f t="shared" si="29"/>
        <v>0</v>
      </c>
      <c r="X33">
        <f t="shared" si="30"/>
        <v>10482.43</v>
      </c>
      <c r="Y33">
        <f t="shared" si="30"/>
        <v>3169.11</v>
      </c>
      <c r="AA33">
        <v>24979405</v>
      </c>
      <c r="AB33">
        <f t="shared" si="31"/>
        <v>2437.7760000000003</v>
      </c>
      <c r="AC33">
        <f>(0)</f>
        <v>0</v>
      </c>
      <c r="AD33">
        <f>(0)</f>
        <v>0</v>
      </c>
      <c r="AE33">
        <f>(0)</f>
        <v>0</v>
      </c>
      <c r="AF33">
        <f>(SUM(SmtRes!BT6:'SmtRes'!BT6))</f>
        <v>2437.7760000000003</v>
      </c>
      <c r="AG33">
        <f t="shared" si="32"/>
        <v>0</v>
      </c>
      <c r="AH33">
        <f>(SUM(SmtRes!BU6:'SmtRes'!BU6))</f>
        <v>9.9</v>
      </c>
      <c r="AI33">
        <f>(0)</f>
        <v>0</v>
      </c>
      <c r="AJ33">
        <f t="shared" si="33"/>
        <v>0</v>
      </c>
      <c r="AK33">
        <v>2230.6680000000001</v>
      </c>
      <c r="AL33">
        <v>0</v>
      </c>
      <c r="AM33">
        <v>0</v>
      </c>
      <c r="AN33">
        <v>0</v>
      </c>
      <c r="AO33">
        <f>SUM(SmtRes!AK6:'SmtRes'!AK6)</f>
        <v>2437.7759999999998</v>
      </c>
      <c r="AP33">
        <v>0</v>
      </c>
      <c r="AQ33">
        <v>9.9</v>
      </c>
      <c r="AR33">
        <v>0</v>
      </c>
      <c r="AS33">
        <v>0</v>
      </c>
      <c r="AT33">
        <v>215</v>
      </c>
      <c r="AU33">
        <v>65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43</v>
      </c>
      <c r="BM33">
        <v>161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215</v>
      </c>
      <c r="CA33">
        <v>65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4"/>
        <v>4875.55</v>
      </c>
      <c r="CQ33">
        <f t="shared" si="35"/>
        <v>0</v>
      </c>
      <c r="CR33">
        <f t="shared" si="36"/>
        <v>0</v>
      </c>
      <c r="CS33">
        <f t="shared" si="37"/>
        <v>0</v>
      </c>
      <c r="CT33">
        <f t="shared" si="38"/>
        <v>2437.7760000000003</v>
      </c>
      <c r="CU33">
        <f t="shared" si="39"/>
        <v>0</v>
      </c>
      <c r="CV33">
        <f t="shared" si="39"/>
        <v>9.9</v>
      </c>
      <c r="CW33">
        <f t="shared" si="39"/>
        <v>0</v>
      </c>
      <c r="CX33">
        <f t="shared" si="39"/>
        <v>0</v>
      </c>
      <c r="CY33">
        <f t="shared" si="40"/>
        <v>10482.432500000001</v>
      </c>
      <c r="CZ33">
        <f t="shared" si="41"/>
        <v>3169.1075000000001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6834547</v>
      </c>
      <c r="DV33" t="s">
        <v>29</v>
      </c>
      <c r="DW33" t="s">
        <v>29</v>
      </c>
      <c r="DX33">
        <v>1</v>
      </c>
      <c r="EE33">
        <v>13306997</v>
      </c>
      <c r="EF33">
        <v>1</v>
      </c>
      <c r="EG33" t="s">
        <v>19</v>
      </c>
      <c r="EH33">
        <v>0</v>
      </c>
      <c r="EI33" t="s">
        <v>3</v>
      </c>
      <c r="EJ33">
        <v>1</v>
      </c>
      <c r="EK33">
        <v>161</v>
      </c>
      <c r="EL33" s="2" t="s">
        <v>39</v>
      </c>
      <c r="EM33" t="s">
        <v>3</v>
      </c>
      <c r="EO33" t="s">
        <v>3</v>
      </c>
      <c r="EQ33">
        <v>0</v>
      </c>
      <c r="ER33">
        <v>7.49</v>
      </c>
      <c r="ES33">
        <v>0</v>
      </c>
      <c r="ET33">
        <v>0</v>
      </c>
      <c r="EU33">
        <v>0</v>
      </c>
      <c r="EV33">
        <v>7.49</v>
      </c>
      <c r="EW33">
        <v>0.7</v>
      </c>
      <c r="EX33">
        <v>0</v>
      </c>
      <c r="EY33">
        <v>0</v>
      </c>
      <c r="FQ33">
        <v>0</v>
      </c>
      <c r="FR33">
        <f t="shared" si="42"/>
        <v>0</v>
      </c>
      <c r="FS33">
        <v>0</v>
      </c>
      <c r="FX33">
        <v>215</v>
      </c>
      <c r="FY33">
        <v>65</v>
      </c>
      <c r="GA33" t="s">
        <v>3</v>
      </c>
      <c r="GD33">
        <v>0</v>
      </c>
      <c r="GF33">
        <v>943738042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43"/>
        <v>0</v>
      </c>
      <c r="GM33">
        <f t="shared" si="44"/>
        <v>18527.09</v>
      </c>
      <c r="GN33">
        <f t="shared" si="45"/>
        <v>18527.09</v>
      </c>
      <c r="GO33">
        <f t="shared" si="46"/>
        <v>0</v>
      </c>
      <c r="GP33">
        <f t="shared" si="47"/>
        <v>0</v>
      </c>
      <c r="GR33">
        <v>0</v>
      </c>
      <c r="GS33">
        <v>3</v>
      </c>
      <c r="GT33">
        <v>0</v>
      </c>
      <c r="GU33" t="s">
        <v>3</v>
      </c>
      <c r="GV33">
        <f t="shared" si="48"/>
        <v>0</v>
      </c>
      <c r="GW33">
        <v>1</v>
      </c>
      <c r="GX33">
        <f t="shared" si="49"/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C34">
        <f>ROW(SmtRes!A7)</f>
        <v>7</v>
      </c>
      <c r="D34">
        <f>ROW(EtalonRes!A7)</f>
        <v>7</v>
      </c>
      <c r="E34" t="s">
        <v>44</v>
      </c>
      <c r="F34" t="s">
        <v>45</v>
      </c>
      <c r="G34" t="s">
        <v>46</v>
      </c>
      <c r="H34" t="s">
        <v>29</v>
      </c>
      <c r="I34">
        <f>' 8-гр. ЛС 1 (2)'!F61</f>
        <v>32</v>
      </c>
      <c r="J34">
        <v>0</v>
      </c>
      <c r="O34">
        <f t="shared" si="21"/>
        <v>38567.42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38567.42</v>
      </c>
      <c r="T34">
        <f t="shared" si="26"/>
        <v>0</v>
      </c>
      <c r="U34">
        <f t="shared" si="27"/>
        <v>134.4</v>
      </c>
      <c r="V34">
        <f t="shared" si="28"/>
        <v>0</v>
      </c>
      <c r="W34">
        <f t="shared" si="29"/>
        <v>0</v>
      </c>
      <c r="X34">
        <f t="shared" si="30"/>
        <v>82919.95</v>
      </c>
      <c r="Y34">
        <f t="shared" si="30"/>
        <v>25068.82</v>
      </c>
      <c r="AA34">
        <v>24979405</v>
      </c>
      <c r="AB34">
        <f t="shared" si="31"/>
        <v>1205.232</v>
      </c>
      <c r="AC34">
        <f>(0)</f>
        <v>0</v>
      </c>
      <c r="AD34">
        <f>(0)</f>
        <v>0</v>
      </c>
      <c r="AE34">
        <f>(0)</f>
        <v>0</v>
      </c>
      <c r="AF34">
        <f>(SUM(SmtRes!BT7:'SmtRes'!BT7))</f>
        <v>1205.232</v>
      </c>
      <c r="AG34">
        <f t="shared" si="32"/>
        <v>0</v>
      </c>
      <c r="AH34">
        <f>(SUM(SmtRes!BU7:'SmtRes'!BU7))</f>
        <v>4.2</v>
      </c>
      <c r="AI34">
        <f>(0)</f>
        <v>0</v>
      </c>
      <c r="AJ34">
        <f t="shared" si="33"/>
        <v>0</v>
      </c>
      <c r="AK34">
        <v>1102.836</v>
      </c>
      <c r="AL34">
        <v>0</v>
      </c>
      <c r="AM34">
        <v>0</v>
      </c>
      <c r="AN34">
        <v>0</v>
      </c>
      <c r="AO34">
        <f>SUM(SmtRes!AK7:'SmtRes'!AK7)</f>
        <v>1205.232</v>
      </c>
      <c r="AP34">
        <v>0</v>
      </c>
      <c r="AQ34">
        <v>4.2</v>
      </c>
      <c r="AR34">
        <v>0</v>
      </c>
      <c r="AS34">
        <v>0</v>
      </c>
      <c r="AT34">
        <v>215</v>
      </c>
      <c r="AU34">
        <v>65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47</v>
      </c>
      <c r="BM34">
        <v>162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215</v>
      </c>
      <c r="CA34">
        <v>65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4"/>
        <v>38567.42</v>
      </c>
      <c r="CQ34">
        <f t="shared" si="35"/>
        <v>0</v>
      </c>
      <c r="CR34">
        <f t="shared" si="36"/>
        <v>0</v>
      </c>
      <c r="CS34">
        <f t="shared" si="37"/>
        <v>0</v>
      </c>
      <c r="CT34">
        <f t="shared" si="38"/>
        <v>1205.232</v>
      </c>
      <c r="CU34">
        <f t="shared" si="39"/>
        <v>0</v>
      </c>
      <c r="CV34">
        <f t="shared" si="39"/>
        <v>4.2</v>
      </c>
      <c r="CW34">
        <f t="shared" si="39"/>
        <v>0</v>
      </c>
      <c r="CX34">
        <f t="shared" si="39"/>
        <v>0</v>
      </c>
      <c r="CY34">
        <f t="shared" si="40"/>
        <v>82919.952999999994</v>
      </c>
      <c r="CZ34">
        <f t="shared" si="41"/>
        <v>25068.822999999997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6834547</v>
      </c>
      <c r="DV34" t="s">
        <v>29</v>
      </c>
      <c r="DW34" t="s">
        <v>29</v>
      </c>
      <c r="DX34">
        <v>1</v>
      </c>
      <c r="EE34">
        <v>13306998</v>
      </c>
      <c r="EF34">
        <v>1</v>
      </c>
      <c r="EG34" t="s">
        <v>19</v>
      </c>
      <c r="EH34">
        <v>0</v>
      </c>
      <c r="EI34" t="s">
        <v>3</v>
      </c>
      <c r="EJ34">
        <v>1</v>
      </c>
      <c r="EK34">
        <v>162</v>
      </c>
      <c r="EL34" t="s">
        <v>20</v>
      </c>
      <c r="EM34" t="s">
        <v>3</v>
      </c>
      <c r="EO34" t="s">
        <v>3</v>
      </c>
      <c r="EQ34">
        <v>0</v>
      </c>
      <c r="ER34">
        <v>44.08</v>
      </c>
      <c r="ES34">
        <v>0</v>
      </c>
      <c r="ET34">
        <v>0</v>
      </c>
      <c r="EU34">
        <v>0</v>
      </c>
      <c r="EV34">
        <v>44.08</v>
      </c>
      <c r="EW34">
        <v>4.2</v>
      </c>
      <c r="EX34">
        <v>0</v>
      </c>
      <c r="EY34">
        <v>0</v>
      </c>
      <c r="FQ34">
        <v>0</v>
      </c>
      <c r="FR34">
        <f t="shared" si="42"/>
        <v>0</v>
      </c>
      <c r="FS34">
        <v>0</v>
      </c>
      <c r="FX34">
        <v>215</v>
      </c>
      <c r="FY34">
        <v>65</v>
      </c>
      <c r="GA34" t="s">
        <v>3</v>
      </c>
      <c r="GD34">
        <v>0</v>
      </c>
      <c r="GF34">
        <v>372770050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43"/>
        <v>0</v>
      </c>
      <c r="GM34">
        <f t="shared" si="44"/>
        <v>146556.19</v>
      </c>
      <c r="GN34">
        <f t="shared" si="45"/>
        <v>146556.19</v>
      </c>
      <c r="GO34">
        <f t="shared" si="46"/>
        <v>0</v>
      </c>
      <c r="GP34">
        <f t="shared" si="47"/>
        <v>0</v>
      </c>
      <c r="GR34">
        <v>0</v>
      </c>
      <c r="GS34">
        <v>3</v>
      </c>
      <c r="GT34">
        <v>0</v>
      </c>
      <c r="GU34" t="s">
        <v>3</v>
      </c>
      <c r="GV34">
        <f t="shared" si="48"/>
        <v>0</v>
      </c>
      <c r="GW34">
        <v>1</v>
      </c>
      <c r="GX34">
        <f t="shared" si="49"/>
        <v>0</v>
      </c>
      <c r="HA34">
        <v>0</v>
      </c>
      <c r="HB34">
        <v>0</v>
      </c>
      <c r="IK34">
        <v>0</v>
      </c>
    </row>
    <row r="36" spans="1:245" x14ac:dyDescent="0.2">
      <c r="A36" s="3">
        <v>51</v>
      </c>
      <c r="B36" s="3">
        <f>B24</f>
        <v>1</v>
      </c>
      <c r="C36" s="3">
        <f>A24</f>
        <v>4</v>
      </c>
      <c r="D36" s="3">
        <f>ROW(A24)</f>
        <v>24</v>
      </c>
      <c r="E36" s="3"/>
      <c r="F36" s="3" t="str">
        <f>IF(F24&lt;&gt;"",F24,"")</f>
        <v>Новый раздел</v>
      </c>
      <c r="G36" s="3" t="str">
        <f>IF(G24&lt;&gt;"",G24,"")</f>
        <v>ТО МПУ</v>
      </c>
      <c r="H36" s="3">
        <v>0</v>
      </c>
      <c r="I36" s="3"/>
      <c r="J36" s="3"/>
      <c r="K36" s="3"/>
      <c r="L36" s="3"/>
      <c r="M36" s="3"/>
      <c r="N36" s="3"/>
      <c r="O36" s="3">
        <f t="shared" ref="O36:T36" si="50">ROUND(AB36,2)</f>
        <v>128950.65</v>
      </c>
      <c r="P36" s="3">
        <f t="shared" si="50"/>
        <v>0</v>
      </c>
      <c r="Q36" s="3">
        <f t="shared" si="50"/>
        <v>0</v>
      </c>
      <c r="R36" s="3">
        <f t="shared" si="50"/>
        <v>0</v>
      </c>
      <c r="S36" s="3">
        <f t="shared" si="50"/>
        <v>128950.65</v>
      </c>
      <c r="T36" s="3">
        <f t="shared" si="50"/>
        <v>0</v>
      </c>
      <c r="U36" s="3">
        <f>AH36</f>
        <v>453.54000000000008</v>
      </c>
      <c r="V36" s="3">
        <f>AI36</f>
        <v>0</v>
      </c>
      <c r="W36" s="3">
        <f>ROUND(AJ36,2)</f>
        <v>0</v>
      </c>
      <c r="X36" s="3">
        <f>ROUND(AK36,2)</f>
        <v>277243.90000000002</v>
      </c>
      <c r="Y36" s="3">
        <f>ROUND(AL36,2)</f>
        <v>83817.929999999993</v>
      </c>
      <c r="Z36" s="3"/>
      <c r="AA36" s="3"/>
      <c r="AB36" s="3">
        <f>ROUND(SUMIF(AA28:AA34,"=24979405",O28:O34),2)</f>
        <v>128950.65</v>
      </c>
      <c r="AC36" s="3">
        <f>ROUND(SUMIF(AA28:AA34,"=24979405",P28:P34),2)</f>
        <v>0</v>
      </c>
      <c r="AD36" s="3">
        <f>ROUND(SUMIF(AA28:AA34,"=24979405",Q28:Q34),2)</f>
        <v>0</v>
      </c>
      <c r="AE36" s="3">
        <f>ROUND(SUMIF(AA28:AA34,"=24979405",R28:R34),2)</f>
        <v>0</v>
      </c>
      <c r="AF36" s="3">
        <f>ROUND(SUMIF(AA28:AA34,"=24979405",S28:S34),2)</f>
        <v>128950.65</v>
      </c>
      <c r="AG36" s="3">
        <f>ROUND(SUMIF(AA28:AA34,"=24979405",T28:T34),2)</f>
        <v>0</v>
      </c>
      <c r="AH36" s="3">
        <f>SUMIF(AA28:AA34,"=24979405",U28:U34)</f>
        <v>453.54000000000008</v>
      </c>
      <c r="AI36" s="3">
        <f>SUMIF(AA28:AA34,"=24979405",V28:V34)</f>
        <v>0</v>
      </c>
      <c r="AJ36" s="3">
        <f>ROUND(SUMIF(AA28:AA34,"=24979405",W28:W34),2)</f>
        <v>0</v>
      </c>
      <c r="AK36" s="3">
        <f>ROUND(SUMIF(AA28:AA34,"=24979405",X28:X34),2)</f>
        <v>277243.90000000002</v>
      </c>
      <c r="AL36" s="3">
        <f>ROUND(SUMIF(AA28:AA34,"=24979405",Y28:Y34),2)</f>
        <v>83817.929999999993</v>
      </c>
      <c r="AM36" s="3"/>
      <c r="AN36" s="3"/>
      <c r="AO36" s="3">
        <f t="shared" ref="AO36:BC36" si="51">ROUND(BX36,2)</f>
        <v>0</v>
      </c>
      <c r="AP36" s="3">
        <f t="shared" si="51"/>
        <v>0</v>
      </c>
      <c r="AQ36" s="3">
        <f t="shared" si="51"/>
        <v>0</v>
      </c>
      <c r="AR36" s="3">
        <f t="shared" si="51"/>
        <v>490012.48</v>
      </c>
      <c r="AS36" s="3">
        <f t="shared" si="51"/>
        <v>490012.48</v>
      </c>
      <c r="AT36" s="3">
        <f t="shared" si="51"/>
        <v>0</v>
      </c>
      <c r="AU36" s="3">
        <f t="shared" si="51"/>
        <v>0</v>
      </c>
      <c r="AV36" s="3">
        <f t="shared" si="51"/>
        <v>0</v>
      </c>
      <c r="AW36" s="3">
        <f t="shared" si="51"/>
        <v>0</v>
      </c>
      <c r="AX36" s="3">
        <f t="shared" si="51"/>
        <v>0</v>
      </c>
      <c r="AY36" s="3">
        <f t="shared" si="51"/>
        <v>0</v>
      </c>
      <c r="AZ36" s="3">
        <f t="shared" si="51"/>
        <v>0</v>
      </c>
      <c r="BA36" s="3">
        <f t="shared" si="51"/>
        <v>0</v>
      </c>
      <c r="BB36" s="3">
        <f t="shared" si="51"/>
        <v>0</v>
      </c>
      <c r="BC36" s="3">
        <f t="shared" si="51"/>
        <v>0</v>
      </c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>
        <f>ROUND(SUMIF(AA28:AA34,"=24979405",FQ28:FQ34),2)</f>
        <v>0</v>
      </c>
      <c r="BY36" s="3">
        <f>ROUND(SUMIF(AA28:AA34,"=24979405",FR28:FR34),2)</f>
        <v>0</v>
      </c>
      <c r="BZ36" s="3">
        <f>ROUND(SUMIF(AA28:AA34,"=24979405",GL28:GL34),2)</f>
        <v>0</v>
      </c>
      <c r="CA36" s="3">
        <f>ROUND(SUMIF(AA28:AA34,"=24979405",GM28:GM34),2)</f>
        <v>490012.48</v>
      </c>
      <c r="CB36" s="3">
        <f>ROUND(SUMIF(AA28:AA34,"=24979405",GN28:GN34),2)</f>
        <v>490012.48</v>
      </c>
      <c r="CC36" s="3">
        <f>ROUND(SUMIF(AA28:AA34,"=24979405",GO28:GO34),2)</f>
        <v>0</v>
      </c>
      <c r="CD36" s="3">
        <f>ROUND(SUMIF(AA28:AA34,"=24979405",GP28:GP34),2)</f>
        <v>0</v>
      </c>
      <c r="CE36" s="3">
        <f>AC36-BX36</f>
        <v>0</v>
      </c>
      <c r="CF36" s="3">
        <f>AC36-BY36</f>
        <v>0</v>
      </c>
      <c r="CG36" s="3">
        <f>BX36-BZ36</f>
        <v>0</v>
      </c>
      <c r="CH36" s="3">
        <f>AC36-BX36-BY36+BZ36</f>
        <v>0</v>
      </c>
      <c r="CI36" s="3">
        <f>BY36-BZ36</f>
        <v>0</v>
      </c>
      <c r="CJ36" s="3">
        <f>ROUND(SUMIF(AA28:AA34,"=24979405",GX28:GX34),2)</f>
        <v>0</v>
      </c>
      <c r="CK36" s="3">
        <f>ROUND(SUMIF(AA28:AA34,"=24979405",GY28:GY34),2)</f>
        <v>0</v>
      </c>
      <c r="CL36" s="3">
        <f>ROUND(SUMIF(AA28:AA34,"=24979405",GZ28:GZ34),2)</f>
        <v>0</v>
      </c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>
        <v>0</v>
      </c>
    </row>
    <row r="38" spans="1:245" x14ac:dyDescent="0.2">
      <c r="A38" s="5">
        <v>50</v>
      </c>
      <c r="B38" s="5">
        <v>1</v>
      </c>
      <c r="C38" s="5">
        <v>0</v>
      </c>
      <c r="D38" s="5">
        <v>1</v>
      </c>
      <c r="E38" s="5">
        <v>201</v>
      </c>
      <c r="F38" s="5">
        <f>ROUND(Source!O36,O38)</f>
        <v>128950.65</v>
      </c>
      <c r="G38" s="5" t="s">
        <v>48</v>
      </c>
      <c r="H38" s="5" t="s">
        <v>49</v>
      </c>
      <c r="I38" s="5"/>
      <c r="J38" s="5"/>
      <c r="K38" s="5">
        <v>201</v>
      </c>
      <c r="L38" s="5">
        <v>1</v>
      </c>
      <c r="M38" s="5">
        <v>1</v>
      </c>
      <c r="N38" s="5" t="s">
        <v>3</v>
      </c>
      <c r="O38" s="5">
        <v>2</v>
      </c>
      <c r="P38" s="5"/>
      <c r="Q38" s="5"/>
      <c r="R38" s="5"/>
      <c r="S38" s="5"/>
      <c r="T38" s="5"/>
      <c r="U38" s="5"/>
      <c r="V38" s="5"/>
      <c r="W38" s="5"/>
    </row>
    <row r="39" spans="1:245" x14ac:dyDescent="0.2">
      <c r="A39" s="5">
        <v>50</v>
      </c>
      <c r="B39" s="5">
        <v>0</v>
      </c>
      <c r="C39" s="5">
        <v>0</v>
      </c>
      <c r="D39" s="5">
        <v>1</v>
      </c>
      <c r="E39" s="5">
        <v>202</v>
      </c>
      <c r="F39" s="5">
        <f>ROUND(Source!P36,O39)</f>
        <v>0</v>
      </c>
      <c r="G39" s="5" t="s">
        <v>50</v>
      </c>
      <c r="H39" s="5" t="s">
        <v>51</v>
      </c>
      <c r="I39" s="5"/>
      <c r="J39" s="5"/>
      <c r="K39" s="5">
        <v>202</v>
      </c>
      <c r="L39" s="5">
        <v>2</v>
      </c>
      <c r="M39" s="5">
        <v>1</v>
      </c>
      <c r="N39" s="5" t="s">
        <v>3</v>
      </c>
      <c r="O39" s="5">
        <v>2</v>
      </c>
      <c r="P39" s="5"/>
      <c r="Q39" s="5"/>
      <c r="R39" s="5"/>
      <c r="S39" s="5"/>
      <c r="T39" s="5"/>
      <c r="U39" s="5"/>
      <c r="V39" s="5"/>
      <c r="W39" s="5"/>
    </row>
    <row r="40" spans="1:245" x14ac:dyDescent="0.2">
      <c r="A40" s="5">
        <v>50</v>
      </c>
      <c r="B40" s="5">
        <v>0</v>
      </c>
      <c r="C40" s="5">
        <v>0</v>
      </c>
      <c r="D40" s="5">
        <v>1</v>
      </c>
      <c r="E40" s="5">
        <v>222</v>
      </c>
      <c r="F40" s="5">
        <f>ROUND(Source!AO36,O40)</f>
        <v>0</v>
      </c>
      <c r="G40" s="5" t="s">
        <v>52</v>
      </c>
      <c r="H40" s="5" t="s">
        <v>53</v>
      </c>
      <c r="I40" s="5"/>
      <c r="J40" s="5"/>
      <c r="K40" s="5">
        <v>222</v>
      </c>
      <c r="L40" s="5">
        <v>3</v>
      </c>
      <c r="M40" s="5">
        <v>3</v>
      </c>
      <c r="N40" s="5" t="s">
        <v>3</v>
      </c>
      <c r="O40" s="5">
        <v>2</v>
      </c>
      <c r="P40" s="5"/>
      <c r="Q40" s="5"/>
      <c r="R40" s="5"/>
      <c r="S40" s="5"/>
      <c r="T40" s="5"/>
      <c r="U40" s="5"/>
      <c r="V40" s="5"/>
      <c r="W40" s="5"/>
    </row>
    <row r="41" spans="1:245" x14ac:dyDescent="0.2">
      <c r="A41" s="5">
        <v>50</v>
      </c>
      <c r="B41" s="5">
        <v>0</v>
      </c>
      <c r="C41" s="5">
        <v>0</v>
      </c>
      <c r="D41" s="5">
        <v>1</v>
      </c>
      <c r="E41" s="5">
        <v>225</v>
      </c>
      <c r="F41" s="5">
        <f>ROUND(Source!AV36,O41)</f>
        <v>0</v>
      </c>
      <c r="G41" s="5" t="s">
        <v>54</v>
      </c>
      <c r="H41" s="5" t="s">
        <v>55</v>
      </c>
      <c r="I41" s="5"/>
      <c r="J41" s="5"/>
      <c r="K41" s="5">
        <v>225</v>
      </c>
      <c r="L41" s="5">
        <v>4</v>
      </c>
      <c r="M41" s="5">
        <v>3</v>
      </c>
      <c r="N41" s="5" t="s">
        <v>3</v>
      </c>
      <c r="O41" s="5">
        <v>2</v>
      </c>
      <c r="P41" s="5"/>
      <c r="Q41" s="5"/>
      <c r="R41" s="5"/>
      <c r="S41" s="5"/>
      <c r="T41" s="5"/>
      <c r="U41" s="5"/>
      <c r="V41" s="5"/>
      <c r="W41" s="5"/>
    </row>
    <row r="42" spans="1:245" x14ac:dyDescent="0.2">
      <c r="A42" s="5">
        <v>50</v>
      </c>
      <c r="B42" s="5">
        <v>0</v>
      </c>
      <c r="C42" s="5">
        <v>0</v>
      </c>
      <c r="D42" s="5">
        <v>1</v>
      </c>
      <c r="E42" s="5">
        <v>226</v>
      </c>
      <c r="F42" s="5">
        <f>ROUND(Source!AW36,O42)</f>
        <v>0</v>
      </c>
      <c r="G42" s="5" t="s">
        <v>56</v>
      </c>
      <c r="H42" s="5" t="s">
        <v>57</v>
      </c>
      <c r="I42" s="5"/>
      <c r="J42" s="5"/>
      <c r="K42" s="5">
        <v>226</v>
      </c>
      <c r="L42" s="5">
        <v>5</v>
      </c>
      <c r="M42" s="5">
        <v>3</v>
      </c>
      <c r="N42" s="5" t="s">
        <v>3</v>
      </c>
      <c r="O42" s="5">
        <v>2</v>
      </c>
      <c r="P42" s="5"/>
      <c r="Q42" s="5"/>
      <c r="R42" s="5"/>
      <c r="S42" s="5"/>
      <c r="T42" s="5"/>
      <c r="U42" s="5"/>
      <c r="V42" s="5"/>
      <c r="W42" s="5"/>
    </row>
    <row r="43" spans="1:245" x14ac:dyDescent="0.2">
      <c r="A43" s="5">
        <v>50</v>
      </c>
      <c r="B43" s="5">
        <v>0</v>
      </c>
      <c r="C43" s="5">
        <v>0</v>
      </c>
      <c r="D43" s="5">
        <v>1</v>
      </c>
      <c r="E43" s="5">
        <v>227</v>
      </c>
      <c r="F43" s="5">
        <f>ROUND(Source!AX36,O43)</f>
        <v>0</v>
      </c>
      <c r="G43" s="5" t="s">
        <v>58</v>
      </c>
      <c r="H43" s="5" t="s">
        <v>59</v>
      </c>
      <c r="I43" s="5"/>
      <c r="J43" s="5"/>
      <c r="K43" s="5">
        <v>227</v>
      </c>
      <c r="L43" s="5">
        <v>6</v>
      </c>
      <c r="M43" s="5">
        <v>3</v>
      </c>
      <c r="N43" s="5" t="s">
        <v>3</v>
      </c>
      <c r="O43" s="5">
        <v>2</v>
      </c>
      <c r="P43" s="5"/>
      <c r="Q43" s="5"/>
      <c r="R43" s="5"/>
      <c r="S43" s="5"/>
      <c r="T43" s="5"/>
      <c r="U43" s="5"/>
      <c r="V43" s="5"/>
      <c r="W43" s="5"/>
    </row>
    <row r="44" spans="1:245" x14ac:dyDescent="0.2">
      <c r="A44" s="5">
        <v>50</v>
      </c>
      <c r="B44" s="5">
        <v>0</v>
      </c>
      <c r="C44" s="5">
        <v>0</v>
      </c>
      <c r="D44" s="5">
        <v>1</v>
      </c>
      <c r="E44" s="5">
        <v>228</v>
      </c>
      <c r="F44" s="5">
        <f>ROUND(Source!AY36,O44)</f>
        <v>0</v>
      </c>
      <c r="G44" s="5" t="s">
        <v>60</v>
      </c>
      <c r="H44" s="5" t="s">
        <v>61</v>
      </c>
      <c r="I44" s="5"/>
      <c r="J44" s="5"/>
      <c r="K44" s="5">
        <v>228</v>
      </c>
      <c r="L44" s="5">
        <v>7</v>
      </c>
      <c r="M44" s="5">
        <v>3</v>
      </c>
      <c r="N44" s="5" t="s">
        <v>3</v>
      </c>
      <c r="O44" s="5">
        <v>2</v>
      </c>
      <c r="P44" s="5"/>
      <c r="Q44" s="5"/>
      <c r="R44" s="5"/>
      <c r="S44" s="5"/>
      <c r="T44" s="5"/>
      <c r="U44" s="5"/>
      <c r="V44" s="5"/>
      <c r="W44" s="5"/>
    </row>
    <row r="45" spans="1:245" x14ac:dyDescent="0.2">
      <c r="A45" s="5">
        <v>50</v>
      </c>
      <c r="B45" s="5">
        <v>0</v>
      </c>
      <c r="C45" s="5">
        <v>0</v>
      </c>
      <c r="D45" s="5">
        <v>1</v>
      </c>
      <c r="E45" s="5">
        <v>216</v>
      </c>
      <c r="F45" s="5">
        <f>ROUND(Source!AP36,O45)</f>
        <v>0</v>
      </c>
      <c r="G45" s="5" t="s">
        <v>62</v>
      </c>
      <c r="H45" s="5" t="s">
        <v>63</v>
      </c>
      <c r="I45" s="5"/>
      <c r="J45" s="5"/>
      <c r="K45" s="5">
        <v>216</v>
      </c>
      <c r="L45" s="5">
        <v>8</v>
      </c>
      <c r="M45" s="5">
        <v>3</v>
      </c>
      <c r="N45" s="5" t="s">
        <v>3</v>
      </c>
      <c r="O45" s="5">
        <v>2</v>
      </c>
      <c r="P45" s="5"/>
      <c r="Q45" s="5"/>
      <c r="R45" s="5"/>
      <c r="S45" s="5"/>
      <c r="T45" s="5"/>
      <c r="U45" s="5"/>
      <c r="V45" s="5"/>
      <c r="W45" s="5"/>
    </row>
    <row r="46" spans="1:245" x14ac:dyDescent="0.2">
      <c r="A46" s="5">
        <v>50</v>
      </c>
      <c r="B46" s="5">
        <v>0</v>
      </c>
      <c r="C46" s="5">
        <v>0</v>
      </c>
      <c r="D46" s="5">
        <v>1</v>
      </c>
      <c r="E46" s="5">
        <v>223</v>
      </c>
      <c r="F46" s="5">
        <f>ROUND(Source!AQ36,O46)</f>
        <v>0</v>
      </c>
      <c r="G46" s="5" t="s">
        <v>64</v>
      </c>
      <c r="H46" s="5" t="s">
        <v>65</v>
      </c>
      <c r="I46" s="5"/>
      <c r="J46" s="5"/>
      <c r="K46" s="5">
        <v>223</v>
      </c>
      <c r="L46" s="5">
        <v>9</v>
      </c>
      <c r="M46" s="5">
        <v>3</v>
      </c>
      <c r="N46" s="5" t="s">
        <v>3</v>
      </c>
      <c r="O46" s="5">
        <v>2</v>
      </c>
      <c r="P46" s="5"/>
      <c r="Q46" s="5"/>
      <c r="R46" s="5"/>
      <c r="S46" s="5"/>
      <c r="T46" s="5"/>
      <c r="U46" s="5"/>
      <c r="V46" s="5"/>
      <c r="W46" s="5"/>
    </row>
    <row r="47" spans="1:245" x14ac:dyDescent="0.2">
      <c r="A47" s="5">
        <v>50</v>
      </c>
      <c r="B47" s="5">
        <v>0</v>
      </c>
      <c r="C47" s="5">
        <v>0</v>
      </c>
      <c r="D47" s="5">
        <v>1</v>
      </c>
      <c r="E47" s="5">
        <v>229</v>
      </c>
      <c r="F47" s="5">
        <f>ROUND(Source!AZ36,O47)</f>
        <v>0</v>
      </c>
      <c r="G47" s="5" t="s">
        <v>66</v>
      </c>
      <c r="H47" s="5" t="s">
        <v>67</v>
      </c>
      <c r="I47" s="5"/>
      <c r="J47" s="5"/>
      <c r="K47" s="5">
        <v>229</v>
      </c>
      <c r="L47" s="5">
        <v>10</v>
      </c>
      <c r="M47" s="5">
        <v>3</v>
      </c>
      <c r="N47" s="5" t="s">
        <v>3</v>
      </c>
      <c r="O47" s="5">
        <v>2</v>
      </c>
      <c r="P47" s="5"/>
      <c r="Q47" s="5"/>
      <c r="R47" s="5"/>
      <c r="S47" s="5"/>
      <c r="T47" s="5"/>
      <c r="U47" s="5"/>
      <c r="V47" s="5"/>
      <c r="W47" s="5"/>
    </row>
    <row r="48" spans="1:245" x14ac:dyDescent="0.2">
      <c r="A48" s="5">
        <v>50</v>
      </c>
      <c r="B48" s="5">
        <v>0</v>
      </c>
      <c r="C48" s="5">
        <v>0</v>
      </c>
      <c r="D48" s="5">
        <v>1</v>
      </c>
      <c r="E48" s="5">
        <v>203</v>
      </c>
      <c r="F48" s="5">
        <f>ROUND(Source!Q36,O48)</f>
        <v>0</v>
      </c>
      <c r="G48" s="5" t="s">
        <v>68</v>
      </c>
      <c r="H48" s="5" t="s">
        <v>69</v>
      </c>
      <c r="I48" s="5"/>
      <c r="J48" s="5"/>
      <c r="K48" s="5">
        <v>203</v>
      </c>
      <c r="L48" s="5">
        <v>11</v>
      </c>
      <c r="M48" s="5">
        <v>1</v>
      </c>
      <c r="N48" s="5" t="s">
        <v>3</v>
      </c>
      <c r="O48" s="5">
        <v>2</v>
      </c>
      <c r="P48" s="5"/>
      <c r="Q48" s="5"/>
      <c r="R48" s="5"/>
      <c r="S48" s="5"/>
      <c r="T48" s="5"/>
      <c r="U48" s="5"/>
      <c r="V48" s="5"/>
      <c r="W48" s="5"/>
    </row>
    <row r="49" spans="1:23" x14ac:dyDescent="0.2">
      <c r="A49" s="5">
        <v>50</v>
      </c>
      <c r="B49" s="5">
        <v>0</v>
      </c>
      <c r="C49" s="5">
        <v>0</v>
      </c>
      <c r="D49" s="5">
        <v>1</v>
      </c>
      <c r="E49" s="5">
        <v>231</v>
      </c>
      <c r="F49" s="5">
        <f>ROUND(Source!BB36,O49)</f>
        <v>0</v>
      </c>
      <c r="G49" s="5" t="s">
        <v>70</v>
      </c>
      <c r="H49" s="5" t="s">
        <v>71</v>
      </c>
      <c r="I49" s="5"/>
      <c r="J49" s="5"/>
      <c r="K49" s="5">
        <v>231</v>
      </c>
      <c r="L49" s="5">
        <v>12</v>
      </c>
      <c r="M49" s="5">
        <v>3</v>
      </c>
      <c r="N49" s="5" t="s">
        <v>3</v>
      </c>
      <c r="O49" s="5">
        <v>2</v>
      </c>
      <c r="P49" s="5"/>
      <c r="Q49" s="5"/>
      <c r="R49" s="5"/>
      <c r="S49" s="5"/>
      <c r="T49" s="5"/>
      <c r="U49" s="5"/>
      <c r="V49" s="5"/>
      <c r="W49" s="5"/>
    </row>
    <row r="50" spans="1:23" x14ac:dyDescent="0.2">
      <c r="A50" s="5">
        <v>50</v>
      </c>
      <c r="B50" s="5">
        <v>0</v>
      </c>
      <c r="C50" s="5">
        <v>0</v>
      </c>
      <c r="D50" s="5">
        <v>1</v>
      </c>
      <c r="E50" s="5">
        <v>204</v>
      </c>
      <c r="F50" s="5">
        <f>ROUND(Source!R36,O50)</f>
        <v>0</v>
      </c>
      <c r="G50" s="5" t="s">
        <v>72</v>
      </c>
      <c r="H50" s="5" t="s">
        <v>73</v>
      </c>
      <c r="I50" s="5"/>
      <c r="J50" s="5"/>
      <c r="K50" s="5">
        <v>204</v>
      </c>
      <c r="L50" s="5">
        <v>13</v>
      </c>
      <c r="M50" s="5">
        <v>1</v>
      </c>
      <c r="N50" s="5" t="s">
        <v>3</v>
      </c>
      <c r="O50" s="5">
        <v>2</v>
      </c>
      <c r="P50" s="5"/>
      <c r="Q50" s="5"/>
      <c r="R50" s="5"/>
      <c r="S50" s="5"/>
      <c r="T50" s="5"/>
      <c r="U50" s="5"/>
      <c r="V50" s="5"/>
      <c r="W50" s="5"/>
    </row>
    <row r="51" spans="1:23" x14ac:dyDescent="0.2">
      <c r="A51" s="5">
        <v>50</v>
      </c>
      <c r="B51" s="5">
        <v>1</v>
      </c>
      <c r="C51" s="5">
        <v>0</v>
      </c>
      <c r="D51" s="5">
        <v>1</v>
      </c>
      <c r="E51" s="5">
        <v>205</v>
      </c>
      <c r="F51" s="5">
        <f>ROUND(Source!S36,O51)</f>
        <v>128950.65</v>
      </c>
      <c r="G51" s="5" t="s">
        <v>74</v>
      </c>
      <c r="H51" s="5" t="s">
        <v>75</v>
      </c>
      <c r="I51" s="5"/>
      <c r="J51" s="5"/>
      <c r="K51" s="5">
        <v>205</v>
      </c>
      <c r="L51" s="5">
        <v>14</v>
      </c>
      <c r="M51" s="5">
        <v>1</v>
      </c>
      <c r="N51" s="5" t="s">
        <v>3</v>
      </c>
      <c r="O51" s="5">
        <v>2</v>
      </c>
      <c r="P51" s="5"/>
      <c r="Q51" s="5"/>
      <c r="R51" s="5"/>
      <c r="S51" s="5"/>
      <c r="T51" s="5"/>
      <c r="U51" s="5"/>
      <c r="V51" s="5"/>
      <c r="W51" s="5"/>
    </row>
    <row r="52" spans="1:23" x14ac:dyDescent="0.2">
      <c r="A52" s="5">
        <v>50</v>
      </c>
      <c r="B52" s="5">
        <v>0</v>
      </c>
      <c r="C52" s="5">
        <v>0</v>
      </c>
      <c r="D52" s="5">
        <v>1</v>
      </c>
      <c r="E52" s="5">
        <v>232</v>
      </c>
      <c r="F52" s="5">
        <f>ROUND(Source!BC36,O52)</f>
        <v>0</v>
      </c>
      <c r="G52" s="5" t="s">
        <v>76</v>
      </c>
      <c r="H52" s="5" t="s">
        <v>77</v>
      </c>
      <c r="I52" s="5"/>
      <c r="J52" s="5"/>
      <c r="K52" s="5">
        <v>232</v>
      </c>
      <c r="L52" s="5">
        <v>15</v>
      </c>
      <c r="M52" s="5">
        <v>3</v>
      </c>
      <c r="N52" s="5" t="s">
        <v>3</v>
      </c>
      <c r="O52" s="5">
        <v>2</v>
      </c>
      <c r="P52" s="5"/>
      <c r="Q52" s="5"/>
      <c r="R52" s="5"/>
      <c r="S52" s="5"/>
      <c r="T52" s="5"/>
      <c r="U52" s="5"/>
      <c r="V52" s="5"/>
      <c r="W52" s="5"/>
    </row>
    <row r="53" spans="1:23" x14ac:dyDescent="0.2">
      <c r="A53" s="5">
        <v>50</v>
      </c>
      <c r="B53" s="5">
        <v>0</v>
      </c>
      <c r="C53" s="5">
        <v>0</v>
      </c>
      <c r="D53" s="5">
        <v>1</v>
      </c>
      <c r="E53" s="5">
        <v>214</v>
      </c>
      <c r="F53" s="5">
        <f>ROUND(Source!AS36,O53)</f>
        <v>490012.48</v>
      </c>
      <c r="G53" s="5" t="s">
        <v>78</v>
      </c>
      <c r="H53" s="5" t="s">
        <v>79</v>
      </c>
      <c r="I53" s="5"/>
      <c r="J53" s="5"/>
      <c r="K53" s="5">
        <v>214</v>
      </c>
      <c r="L53" s="5">
        <v>16</v>
      </c>
      <c r="M53" s="5">
        <v>3</v>
      </c>
      <c r="N53" s="5" t="s">
        <v>3</v>
      </c>
      <c r="O53" s="5">
        <v>2</v>
      </c>
      <c r="P53" s="5"/>
      <c r="Q53" s="5"/>
      <c r="R53" s="5"/>
      <c r="S53" s="5"/>
      <c r="T53" s="5"/>
      <c r="U53" s="5"/>
      <c r="V53" s="5"/>
      <c r="W53" s="5"/>
    </row>
    <row r="54" spans="1:23" x14ac:dyDescent="0.2">
      <c r="A54" s="5">
        <v>50</v>
      </c>
      <c r="B54" s="5">
        <v>0</v>
      </c>
      <c r="C54" s="5">
        <v>0</v>
      </c>
      <c r="D54" s="5">
        <v>1</v>
      </c>
      <c r="E54" s="5">
        <v>215</v>
      </c>
      <c r="F54" s="5">
        <f>ROUND(Source!AT36,O54)</f>
        <v>0</v>
      </c>
      <c r="G54" s="5" t="s">
        <v>80</v>
      </c>
      <c r="H54" s="5" t="s">
        <v>81</v>
      </c>
      <c r="I54" s="5"/>
      <c r="J54" s="5"/>
      <c r="K54" s="5">
        <v>215</v>
      </c>
      <c r="L54" s="5">
        <v>17</v>
      </c>
      <c r="M54" s="5">
        <v>3</v>
      </c>
      <c r="N54" s="5" t="s">
        <v>3</v>
      </c>
      <c r="O54" s="5">
        <v>2</v>
      </c>
      <c r="P54" s="5"/>
      <c r="Q54" s="5"/>
      <c r="R54" s="5"/>
      <c r="S54" s="5"/>
      <c r="T54" s="5"/>
      <c r="U54" s="5"/>
      <c r="V54" s="5"/>
      <c r="W54" s="5"/>
    </row>
    <row r="55" spans="1:23" x14ac:dyDescent="0.2">
      <c r="A55" s="5">
        <v>50</v>
      </c>
      <c r="B55" s="5">
        <v>0</v>
      </c>
      <c r="C55" s="5">
        <v>0</v>
      </c>
      <c r="D55" s="5">
        <v>1</v>
      </c>
      <c r="E55" s="5">
        <v>217</v>
      </c>
      <c r="F55" s="5">
        <f>ROUND(Source!AU36,O55)</f>
        <v>0</v>
      </c>
      <c r="G55" s="5" t="s">
        <v>82</v>
      </c>
      <c r="H55" s="5" t="s">
        <v>83</v>
      </c>
      <c r="I55" s="5"/>
      <c r="J55" s="5"/>
      <c r="K55" s="5">
        <v>217</v>
      </c>
      <c r="L55" s="5">
        <v>18</v>
      </c>
      <c r="M55" s="5">
        <v>3</v>
      </c>
      <c r="N55" s="5" t="s">
        <v>3</v>
      </c>
      <c r="O55" s="5">
        <v>2</v>
      </c>
      <c r="P55" s="5"/>
      <c r="Q55" s="5"/>
      <c r="R55" s="5"/>
      <c r="S55" s="5"/>
      <c r="T55" s="5"/>
      <c r="U55" s="5"/>
      <c r="V55" s="5"/>
      <c r="W55" s="5"/>
    </row>
    <row r="56" spans="1:23" x14ac:dyDescent="0.2">
      <c r="A56" s="5">
        <v>50</v>
      </c>
      <c r="B56" s="5">
        <v>0</v>
      </c>
      <c r="C56" s="5">
        <v>0</v>
      </c>
      <c r="D56" s="5">
        <v>1</v>
      </c>
      <c r="E56" s="5">
        <v>230</v>
      </c>
      <c r="F56" s="5">
        <f>ROUND(Source!BA36,O56)</f>
        <v>0</v>
      </c>
      <c r="G56" s="5" t="s">
        <v>84</v>
      </c>
      <c r="H56" s="5" t="s">
        <v>85</v>
      </c>
      <c r="I56" s="5"/>
      <c r="J56" s="5"/>
      <c r="K56" s="5">
        <v>230</v>
      </c>
      <c r="L56" s="5">
        <v>19</v>
      </c>
      <c r="M56" s="5">
        <v>3</v>
      </c>
      <c r="N56" s="5" t="s">
        <v>3</v>
      </c>
      <c r="O56" s="5">
        <v>2</v>
      </c>
      <c r="P56" s="5"/>
      <c r="Q56" s="5"/>
      <c r="R56" s="5"/>
      <c r="S56" s="5"/>
      <c r="T56" s="5"/>
      <c r="U56" s="5"/>
      <c r="V56" s="5"/>
      <c r="W56" s="5"/>
    </row>
    <row r="57" spans="1:23" x14ac:dyDescent="0.2">
      <c r="A57" s="5">
        <v>50</v>
      </c>
      <c r="B57" s="5">
        <v>0</v>
      </c>
      <c r="C57" s="5">
        <v>0</v>
      </c>
      <c r="D57" s="5">
        <v>1</v>
      </c>
      <c r="E57" s="5">
        <v>206</v>
      </c>
      <c r="F57" s="5">
        <f>ROUND(Source!T36,O57)</f>
        <v>0</v>
      </c>
      <c r="G57" s="5" t="s">
        <v>86</v>
      </c>
      <c r="H57" s="5" t="s">
        <v>87</v>
      </c>
      <c r="I57" s="5"/>
      <c r="J57" s="5"/>
      <c r="K57" s="5">
        <v>206</v>
      </c>
      <c r="L57" s="5">
        <v>20</v>
      </c>
      <c r="M57" s="5">
        <v>1</v>
      </c>
      <c r="N57" s="5" t="s">
        <v>3</v>
      </c>
      <c r="O57" s="5">
        <v>2</v>
      </c>
      <c r="P57" s="5"/>
      <c r="Q57" s="5"/>
      <c r="R57" s="5"/>
      <c r="S57" s="5"/>
      <c r="T57" s="5"/>
      <c r="U57" s="5"/>
      <c r="V57" s="5"/>
      <c r="W57" s="5"/>
    </row>
    <row r="58" spans="1:23" x14ac:dyDescent="0.2">
      <c r="A58" s="5">
        <v>50</v>
      </c>
      <c r="B58" s="5">
        <v>1</v>
      </c>
      <c r="C58" s="5">
        <v>0</v>
      </c>
      <c r="D58" s="5">
        <v>1</v>
      </c>
      <c r="E58" s="5">
        <v>207</v>
      </c>
      <c r="F58" s="5">
        <f>Source!U36</f>
        <v>453.54000000000008</v>
      </c>
      <c r="G58" s="5" t="s">
        <v>88</v>
      </c>
      <c r="H58" s="5" t="s">
        <v>89</v>
      </c>
      <c r="I58" s="5"/>
      <c r="J58" s="5"/>
      <c r="K58" s="5">
        <v>207</v>
      </c>
      <c r="L58" s="5">
        <v>21</v>
      </c>
      <c r="M58" s="5">
        <v>1</v>
      </c>
      <c r="N58" s="5" t="s">
        <v>3</v>
      </c>
      <c r="O58" s="5">
        <v>-1</v>
      </c>
      <c r="P58" s="5"/>
      <c r="Q58" s="5"/>
      <c r="R58" s="5"/>
      <c r="S58" s="5"/>
      <c r="T58" s="5"/>
      <c r="U58" s="5"/>
      <c r="V58" s="5"/>
      <c r="W58" s="5"/>
    </row>
    <row r="59" spans="1:23" x14ac:dyDescent="0.2">
      <c r="A59" s="5">
        <v>50</v>
      </c>
      <c r="B59" s="5">
        <v>0</v>
      </c>
      <c r="C59" s="5">
        <v>0</v>
      </c>
      <c r="D59" s="5">
        <v>1</v>
      </c>
      <c r="E59" s="5">
        <v>208</v>
      </c>
      <c r="F59" s="5">
        <f>Source!V36</f>
        <v>0</v>
      </c>
      <c r="G59" s="5" t="s">
        <v>90</v>
      </c>
      <c r="H59" s="5" t="s">
        <v>91</v>
      </c>
      <c r="I59" s="5"/>
      <c r="J59" s="5"/>
      <c r="K59" s="5">
        <v>208</v>
      </c>
      <c r="L59" s="5">
        <v>22</v>
      </c>
      <c r="M59" s="5">
        <v>1</v>
      </c>
      <c r="N59" s="5" t="s">
        <v>3</v>
      </c>
      <c r="O59" s="5">
        <v>-1</v>
      </c>
      <c r="P59" s="5"/>
      <c r="Q59" s="5"/>
      <c r="R59" s="5"/>
      <c r="S59" s="5"/>
      <c r="T59" s="5"/>
      <c r="U59" s="5"/>
      <c r="V59" s="5"/>
      <c r="W59" s="5"/>
    </row>
    <row r="60" spans="1:23" x14ac:dyDescent="0.2">
      <c r="A60" s="5">
        <v>50</v>
      </c>
      <c r="B60" s="5">
        <v>0</v>
      </c>
      <c r="C60" s="5">
        <v>0</v>
      </c>
      <c r="D60" s="5">
        <v>1</v>
      </c>
      <c r="E60" s="5">
        <v>209</v>
      </c>
      <c r="F60" s="5">
        <f>ROUND(Source!W36,O60)</f>
        <v>0</v>
      </c>
      <c r="G60" s="5" t="s">
        <v>92</v>
      </c>
      <c r="H60" s="5" t="s">
        <v>93</v>
      </c>
      <c r="I60" s="5"/>
      <c r="J60" s="5"/>
      <c r="K60" s="5">
        <v>209</v>
      </c>
      <c r="L60" s="5">
        <v>23</v>
      </c>
      <c r="M60" s="5">
        <v>1</v>
      </c>
      <c r="N60" s="5" t="s">
        <v>3</v>
      </c>
      <c r="O60" s="5">
        <v>2</v>
      </c>
      <c r="P60" s="5"/>
      <c r="Q60" s="5"/>
      <c r="R60" s="5"/>
      <c r="S60" s="5"/>
      <c r="T60" s="5"/>
      <c r="U60" s="5"/>
      <c r="V60" s="5"/>
      <c r="W60" s="5"/>
    </row>
    <row r="61" spans="1:23" x14ac:dyDescent="0.2">
      <c r="A61" s="5">
        <v>50</v>
      </c>
      <c r="B61" s="5">
        <v>1</v>
      </c>
      <c r="C61" s="5">
        <v>0</v>
      </c>
      <c r="D61" s="5">
        <v>1</v>
      </c>
      <c r="E61" s="5">
        <v>210</v>
      </c>
      <c r="F61" s="5">
        <f>ROUND(Source!X36,O61)</f>
        <v>277243.90000000002</v>
      </c>
      <c r="G61" s="5" t="s">
        <v>94</v>
      </c>
      <c r="H61" s="5" t="s">
        <v>95</v>
      </c>
      <c r="I61" s="5"/>
      <c r="J61" s="5"/>
      <c r="K61" s="5">
        <v>210</v>
      </c>
      <c r="L61" s="5">
        <v>24</v>
      </c>
      <c r="M61" s="5">
        <v>1</v>
      </c>
      <c r="N61" s="5" t="s">
        <v>3</v>
      </c>
      <c r="O61" s="5">
        <v>2</v>
      </c>
      <c r="P61" s="5"/>
      <c r="Q61" s="5"/>
      <c r="R61" s="5"/>
      <c r="S61" s="5"/>
      <c r="T61" s="5"/>
      <c r="U61" s="5"/>
      <c r="V61" s="5"/>
      <c r="W61" s="5"/>
    </row>
    <row r="62" spans="1:23" x14ac:dyDescent="0.2">
      <c r="A62" s="5">
        <v>50</v>
      </c>
      <c r="B62" s="5">
        <v>1</v>
      </c>
      <c r="C62" s="5">
        <v>0</v>
      </c>
      <c r="D62" s="5">
        <v>1</v>
      </c>
      <c r="E62" s="5">
        <v>211</v>
      </c>
      <c r="F62" s="5">
        <f>ROUND(Source!Y36,O62)</f>
        <v>83817.929999999993</v>
      </c>
      <c r="G62" s="5" t="s">
        <v>96</v>
      </c>
      <c r="H62" s="5" t="s">
        <v>97</v>
      </c>
      <c r="I62" s="5"/>
      <c r="J62" s="5"/>
      <c r="K62" s="5">
        <v>211</v>
      </c>
      <c r="L62" s="5">
        <v>25</v>
      </c>
      <c r="M62" s="5">
        <v>1</v>
      </c>
      <c r="N62" s="5" t="s">
        <v>3</v>
      </c>
      <c r="O62" s="5">
        <v>2</v>
      </c>
      <c r="P62" s="5"/>
      <c r="Q62" s="5"/>
      <c r="R62" s="5"/>
      <c r="S62" s="5"/>
      <c r="T62" s="5"/>
      <c r="U62" s="5"/>
      <c r="V62" s="5"/>
      <c r="W62" s="5"/>
    </row>
    <row r="63" spans="1:23" x14ac:dyDescent="0.2">
      <c r="A63" s="5">
        <v>50</v>
      </c>
      <c r="B63" s="5">
        <v>0</v>
      </c>
      <c r="C63" s="5">
        <v>0</v>
      </c>
      <c r="D63" s="5">
        <v>1</v>
      </c>
      <c r="E63" s="5">
        <v>224</v>
      </c>
      <c r="F63" s="5">
        <f>ROUND(Source!AR36,O63)</f>
        <v>490012.48</v>
      </c>
      <c r="G63" s="5" t="s">
        <v>98</v>
      </c>
      <c r="H63" s="5" t="s">
        <v>99</v>
      </c>
      <c r="I63" s="5"/>
      <c r="J63" s="5"/>
      <c r="K63" s="5">
        <v>224</v>
      </c>
      <c r="L63" s="5">
        <v>26</v>
      </c>
      <c r="M63" s="5">
        <v>3</v>
      </c>
      <c r="N63" s="5" t="s">
        <v>3</v>
      </c>
      <c r="O63" s="5">
        <v>2</v>
      </c>
      <c r="P63" s="5"/>
      <c r="Q63" s="5"/>
      <c r="R63" s="5"/>
      <c r="S63" s="5"/>
      <c r="T63" s="5"/>
      <c r="U63" s="5"/>
      <c r="V63" s="5"/>
      <c r="W63" s="5"/>
    </row>
    <row r="64" spans="1:23" x14ac:dyDescent="0.2">
      <c r="A64" s="5">
        <v>50</v>
      </c>
      <c r="B64" s="5">
        <v>1</v>
      </c>
      <c r="C64" s="5">
        <v>0</v>
      </c>
      <c r="D64" s="5">
        <v>2</v>
      </c>
      <c r="E64" s="5">
        <v>0</v>
      </c>
      <c r="F64" s="5">
        <f>ROUND(F38+F61+F62,O64)</f>
        <v>490012.48</v>
      </c>
      <c r="G64" s="5" t="s">
        <v>100</v>
      </c>
      <c r="H64" s="5" t="s">
        <v>101</v>
      </c>
      <c r="I64" s="5"/>
      <c r="J64" s="5"/>
      <c r="K64" s="5">
        <v>212</v>
      </c>
      <c r="L64" s="5">
        <v>27</v>
      </c>
      <c r="M64" s="5">
        <v>0</v>
      </c>
      <c r="N64" s="5" t="s">
        <v>3</v>
      </c>
      <c r="O64" s="5">
        <v>2</v>
      </c>
      <c r="P64" s="5"/>
      <c r="Q64" s="5"/>
      <c r="R64" s="5"/>
      <c r="S64" s="5"/>
      <c r="T64" s="5"/>
      <c r="U64" s="5"/>
      <c r="V64" s="5"/>
      <c r="W64" s="5"/>
    </row>
    <row r="65" spans="1:206" x14ac:dyDescent="0.2">
      <c r="A65" s="5">
        <v>50</v>
      </c>
      <c r="B65" s="5">
        <v>1</v>
      </c>
      <c r="C65" s="5">
        <v>0</v>
      </c>
      <c r="D65" s="5">
        <v>2</v>
      </c>
      <c r="E65" s="5">
        <v>0</v>
      </c>
      <c r="F65" s="5">
        <f>ROUND(F64*0.18,O65)</f>
        <v>88202.25</v>
      </c>
      <c r="G65" s="5" t="s">
        <v>102</v>
      </c>
      <c r="H65" s="5" t="s">
        <v>103</v>
      </c>
      <c r="I65" s="5"/>
      <c r="J65" s="5"/>
      <c r="K65" s="5">
        <v>212</v>
      </c>
      <c r="L65" s="5">
        <v>28</v>
      </c>
      <c r="M65" s="5">
        <v>0</v>
      </c>
      <c r="N65" s="5" t="s">
        <v>3</v>
      </c>
      <c r="O65" s="5">
        <v>2</v>
      </c>
      <c r="P65" s="5"/>
      <c r="Q65" s="5"/>
      <c r="R65" s="5"/>
      <c r="S65" s="5"/>
      <c r="T65" s="5"/>
      <c r="U65" s="5"/>
      <c r="V65" s="5"/>
      <c r="W65" s="5"/>
    </row>
    <row r="66" spans="1:206" x14ac:dyDescent="0.2">
      <c r="A66" s="5">
        <v>50</v>
      </c>
      <c r="B66" s="5">
        <v>1</v>
      </c>
      <c r="C66" s="5">
        <v>0</v>
      </c>
      <c r="D66" s="5">
        <v>2</v>
      </c>
      <c r="E66" s="5">
        <v>0</v>
      </c>
      <c r="F66" s="5">
        <f>ROUND(F64+F65,O66)</f>
        <v>578214.73</v>
      </c>
      <c r="G66" s="5" t="s">
        <v>104</v>
      </c>
      <c r="H66" s="5" t="s">
        <v>98</v>
      </c>
      <c r="I66" s="5"/>
      <c r="J66" s="5"/>
      <c r="K66" s="5">
        <v>212</v>
      </c>
      <c r="L66" s="5">
        <v>29</v>
      </c>
      <c r="M66" s="5">
        <v>0</v>
      </c>
      <c r="N66" s="5" t="s">
        <v>3</v>
      </c>
      <c r="O66" s="5">
        <v>2</v>
      </c>
      <c r="P66" s="5"/>
      <c r="Q66" s="5"/>
      <c r="R66" s="5"/>
      <c r="S66" s="5"/>
      <c r="T66" s="5"/>
      <c r="U66" s="5"/>
      <c r="V66" s="5"/>
      <c r="W66" s="5"/>
    </row>
    <row r="68" spans="1:206" x14ac:dyDescent="0.2">
      <c r="A68" s="3">
        <v>51</v>
      </c>
      <c r="B68" s="3">
        <f>B20</f>
        <v>1</v>
      </c>
      <c r="C68" s="3">
        <f>A20</f>
        <v>3</v>
      </c>
      <c r="D68" s="3">
        <f>ROW(A20)</f>
        <v>20</v>
      </c>
      <c r="E68" s="3"/>
      <c r="F68" s="3" t="str">
        <f>IF(F20&lt;&gt;"",F20,"")</f>
        <v>Новая локальная смета</v>
      </c>
      <c r="G68" s="3" t="str">
        <f>IF(G20&lt;&gt;"",G20,"")</f>
        <v>Смета на ТО МПУ на ПС филиала ПАО"МРСК-Центра"-Тверьэнерго</v>
      </c>
      <c r="H68" s="3">
        <v>0</v>
      </c>
      <c r="I68" s="3"/>
      <c r="J68" s="3"/>
      <c r="K68" s="3"/>
      <c r="L68" s="3"/>
      <c r="M68" s="3"/>
      <c r="N68" s="3"/>
      <c r="O68" s="3">
        <f t="shared" ref="O68:T68" si="52">ROUND(O36+AB68,2)</f>
        <v>128950.65</v>
      </c>
      <c r="P68" s="3">
        <f t="shared" si="52"/>
        <v>0</v>
      </c>
      <c r="Q68" s="3">
        <f t="shared" si="52"/>
        <v>0</v>
      </c>
      <c r="R68" s="3">
        <f t="shared" si="52"/>
        <v>0</v>
      </c>
      <c r="S68" s="3">
        <f t="shared" si="52"/>
        <v>128950.65</v>
      </c>
      <c r="T68" s="3">
        <f t="shared" si="52"/>
        <v>0</v>
      </c>
      <c r="U68" s="3">
        <f>U36+AH68</f>
        <v>453.54000000000008</v>
      </c>
      <c r="V68" s="3">
        <f>V36+AI68</f>
        <v>0</v>
      </c>
      <c r="W68" s="3">
        <f>ROUND(W36+AJ68,2)</f>
        <v>0</v>
      </c>
      <c r="X68" s="3">
        <f>ROUND(X36+AK68,2)</f>
        <v>277243.90000000002</v>
      </c>
      <c r="Y68" s="3">
        <f>ROUND(Y36+AL68,2)</f>
        <v>83817.929999999993</v>
      </c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>
        <f t="shared" ref="AO68:BC68" si="53">ROUND(AO36+BX68,2)</f>
        <v>0</v>
      </c>
      <c r="AP68" s="3">
        <f t="shared" si="53"/>
        <v>0</v>
      </c>
      <c r="AQ68" s="3">
        <f t="shared" si="53"/>
        <v>0</v>
      </c>
      <c r="AR68" s="3">
        <f t="shared" si="53"/>
        <v>490012.48</v>
      </c>
      <c r="AS68" s="3">
        <f t="shared" si="53"/>
        <v>490012.48</v>
      </c>
      <c r="AT68" s="3">
        <f t="shared" si="53"/>
        <v>0</v>
      </c>
      <c r="AU68" s="3">
        <f t="shared" si="53"/>
        <v>0</v>
      </c>
      <c r="AV68" s="3">
        <f t="shared" si="53"/>
        <v>0</v>
      </c>
      <c r="AW68" s="3">
        <f t="shared" si="53"/>
        <v>0</v>
      </c>
      <c r="AX68" s="3">
        <f t="shared" si="53"/>
        <v>0</v>
      </c>
      <c r="AY68" s="3">
        <f t="shared" si="53"/>
        <v>0</v>
      </c>
      <c r="AZ68" s="3">
        <f t="shared" si="53"/>
        <v>0</v>
      </c>
      <c r="BA68" s="3">
        <f t="shared" si="53"/>
        <v>0</v>
      </c>
      <c r="BB68" s="3">
        <f t="shared" si="53"/>
        <v>0</v>
      </c>
      <c r="BC68" s="3">
        <f t="shared" si="53"/>
        <v>0</v>
      </c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>
        <v>0</v>
      </c>
    </row>
    <row r="70" spans="1:206" x14ac:dyDescent="0.2">
      <c r="A70" s="5">
        <v>50</v>
      </c>
      <c r="B70" s="5">
        <v>1</v>
      </c>
      <c r="C70" s="5">
        <v>0</v>
      </c>
      <c r="D70" s="5">
        <v>1</v>
      </c>
      <c r="E70" s="5">
        <v>201</v>
      </c>
      <c r="F70" s="5">
        <f>ROUND(Source!O68,O70)</f>
        <v>128950.65</v>
      </c>
      <c r="G70" s="5" t="s">
        <v>48</v>
      </c>
      <c r="H70" s="5" t="s">
        <v>49</v>
      </c>
      <c r="I70" s="5"/>
      <c r="J70" s="5"/>
      <c r="K70" s="5">
        <v>201</v>
      </c>
      <c r="L70" s="5">
        <v>1</v>
      </c>
      <c r="M70" s="5">
        <v>1</v>
      </c>
      <c r="N70" s="5" t="s">
        <v>3</v>
      </c>
      <c r="O70" s="5">
        <v>2</v>
      </c>
      <c r="P70" s="5"/>
      <c r="Q70" s="5"/>
      <c r="R70" s="5"/>
      <c r="S70" s="5"/>
      <c r="T70" s="5"/>
      <c r="U70" s="5"/>
      <c r="V70" s="5"/>
      <c r="W70" s="5"/>
    </row>
    <row r="71" spans="1:206" x14ac:dyDescent="0.2">
      <c r="A71" s="5">
        <v>50</v>
      </c>
      <c r="B71" s="5">
        <v>0</v>
      </c>
      <c r="C71" s="5">
        <v>0</v>
      </c>
      <c r="D71" s="5">
        <v>1</v>
      </c>
      <c r="E71" s="5">
        <v>202</v>
      </c>
      <c r="F71" s="5">
        <f>ROUND(Source!P68,O71)</f>
        <v>0</v>
      </c>
      <c r="G71" s="5" t="s">
        <v>50</v>
      </c>
      <c r="H71" s="5" t="s">
        <v>51</v>
      </c>
      <c r="I71" s="5"/>
      <c r="J71" s="5"/>
      <c r="K71" s="5">
        <v>202</v>
      </c>
      <c r="L71" s="5">
        <v>2</v>
      </c>
      <c r="M71" s="5">
        <v>1</v>
      </c>
      <c r="N71" s="5" t="s">
        <v>3</v>
      </c>
      <c r="O71" s="5">
        <v>2</v>
      </c>
      <c r="P71" s="5"/>
      <c r="Q71" s="5"/>
      <c r="R71" s="5"/>
      <c r="S71" s="5"/>
      <c r="T71" s="5"/>
      <c r="U71" s="5"/>
      <c r="V71" s="5"/>
      <c r="W71" s="5"/>
    </row>
    <row r="72" spans="1:206" x14ac:dyDescent="0.2">
      <c r="A72" s="5">
        <v>50</v>
      </c>
      <c r="B72" s="5">
        <v>0</v>
      </c>
      <c r="C72" s="5">
        <v>0</v>
      </c>
      <c r="D72" s="5">
        <v>1</v>
      </c>
      <c r="E72" s="5">
        <v>222</v>
      </c>
      <c r="F72" s="5">
        <f>ROUND(Source!AO68,O72)</f>
        <v>0</v>
      </c>
      <c r="G72" s="5" t="s">
        <v>52</v>
      </c>
      <c r="H72" s="5" t="s">
        <v>53</v>
      </c>
      <c r="I72" s="5"/>
      <c r="J72" s="5"/>
      <c r="K72" s="5">
        <v>222</v>
      </c>
      <c r="L72" s="5">
        <v>3</v>
      </c>
      <c r="M72" s="5">
        <v>3</v>
      </c>
      <c r="N72" s="5" t="s">
        <v>3</v>
      </c>
      <c r="O72" s="5">
        <v>2</v>
      </c>
      <c r="P72" s="5"/>
      <c r="Q72" s="5"/>
      <c r="R72" s="5"/>
      <c r="S72" s="5"/>
      <c r="T72" s="5"/>
      <c r="U72" s="5"/>
      <c r="V72" s="5"/>
      <c r="W72" s="5"/>
    </row>
    <row r="73" spans="1:206" x14ac:dyDescent="0.2">
      <c r="A73" s="5">
        <v>50</v>
      </c>
      <c r="B73" s="5">
        <v>0</v>
      </c>
      <c r="C73" s="5">
        <v>0</v>
      </c>
      <c r="D73" s="5">
        <v>1</v>
      </c>
      <c r="E73" s="5">
        <v>225</v>
      </c>
      <c r="F73" s="5">
        <f>ROUND(Source!AV68,O73)</f>
        <v>0</v>
      </c>
      <c r="G73" s="5" t="s">
        <v>54</v>
      </c>
      <c r="H73" s="5" t="s">
        <v>55</v>
      </c>
      <c r="I73" s="5"/>
      <c r="J73" s="5"/>
      <c r="K73" s="5">
        <v>225</v>
      </c>
      <c r="L73" s="5">
        <v>4</v>
      </c>
      <c r="M73" s="5">
        <v>3</v>
      </c>
      <c r="N73" s="5" t="s">
        <v>3</v>
      </c>
      <c r="O73" s="5">
        <v>2</v>
      </c>
      <c r="P73" s="5"/>
      <c r="Q73" s="5"/>
      <c r="R73" s="5"/>
      <c r="S73" s="5"/>
      <c r="T73" s="5"/>
      <c r="U73" s="5"/>
      <c r="V73" s="5"/>
      <c r="W73" s="5"/>
    </row>
    <row r="74" spans="1:206" x14ac:dyDescent="0.2">
      <c r="A74" s="5">
        <v>50</v>
      </c>
      <c r="B74" s="5">
        <v>0</v>
      </c>
      <c r="C74" s="5">
        <v>0</v>
      </c>
      <c r="D74" s="5">
        <v>1</v>
      </c>
      <c r="E74" s="5">
        <v>226</v>
      </c>
      <c r="F74" s="5">
        <f>ROUND(Source!AW68,O74)</f>
        <v>0</v>
      </c>
      <c r="G74" s="5" t="s">
        <v>56</v>
      </c>
      <c r="H74" s="5" t="s">
        <v>57</v>
      </c>
      <c r="I74" s="5"/>
      <c r="J74" s="5"/>
      <c r="K74" s="5">
        <v>226</v>
      </c>
      <c r="L74" s="5">
        <v>5</v>
      </c>
      <c r="M74" s="5">
        <v>3</v>
      </c>
      <c r="N74" s="5" t="s">
        <v>3</v>
      </c>
      <c r="O74" s="5">
        <v>2</v>
      </c>
      <c r="P74" s="5"/>
      <c r="Q74" s="5"/>
      <c r="R74" s="5"/>
      <c r="S74" s="5"/>
      <c r="T74" s="5"/>
      <c r="U74" s="5"/>
      <c r="V74" s="5"/>
      <c r="W74" s="5"/>
    </row>
    <row r="75" spans="1:206" x14ac:dyDescent="0.2">
      <c r="A75" s="5">
        <v>50</v>
      </c>
      <c r="B75" s="5">
        <v>0</v>
      </c>
      <c r="C75" s="5">
        <v>0</v>
      </c>
      <c r="D75" s="5">
        <v>1</v>
      </c>
      <c r="E75" s="5">
        <v>227</v>
      </c>
      <c r="F75" s="5">
        <f>ROUND(Source!AX68,O75)</f>
        <v>0</v>
      </c>
      <c r="G75" s="5" t="s">
        <v>58</v>
      </c>
      <c r="H75" s="5" t="s">
        <v>59</v>
      </c>
      <c r="I75" s="5"/>
      <c r="J75" s="5"/>
      <c r="K75" s="5">
        <v>227</v>
      </c>
      <c r="L75" s="5">
        <v>6</v>
      </c>
      <c r="M75" s="5">
        <v>3</v>
      </c>
      <c r="N75" s="5" t="s">
        <v>3</v>
      </c>
      <c r="O75" s="5">
        <v>2</v>
      </c>
      <c r="P75" s="5"/>
      <c r="Q75" s="5"/>
      <c r="R75" s="5"/>
      <c r="S75" s="5"/>
      <c r="T75" s="5"/>
      <c r="U75" s="5"/>
      <c r="V75" s="5"/>
      <c r="W75" s="5"/>
    </row>
    <row r="76" spans="1:206" x14ac:dyDescent="0.2">
      <c r="A76" s="5">
        <v>50</v>
      </c>
      <c r="B76" s="5">
        <v>0</v>
      </c>
      <c r="C76" s="5">
        <v>0</v>
      </c>
      <c r="D76" s="5">
        <v>1</v>
      </c>
      <c r="E76" s="5">
        <v>228</v>
      </c>
      <c r="F76" s="5">
        <f>ROUND(Source!AY68,O76)</f>
        <v>0</v>
      </c>
      <c r="G76" s="5" t="s">
        <v>60</v>
      </c>
      <c r="H76" s="5" t="s">
        <v>61</v>
      </c>
      <c r="I76" s="5"/>
      <c r="J76" s="5"/>
      <c r="K76" s="5">
        <v>228</v>
      </c>
      <c r="L76" s="5">
        <v>7</v>
      </c>
      <c r="M76" s="5">
        <v>3</v>
      </c>
      <c r="N76" s="5" t="s">
        <v>3</v>
      </c>
      <c r="O76" s="5">
        <v>2</v>
      </c>
      <c r="P76" s="5"/>
      <c r="Q76" s="5"/>
      <c r="R76" s="5"/>
      <c r="S76" s="5"/>
      <c r="T76" s="5"/>
      <c r="U76" s="5"/>
      <c r="V76" s="5"/>
      <c r="W76" s="5"/>
    </row>
    <row r="77" spans="1:206" x14ac:dyDescent="0.2">
      <c r="A77" s="5">
        <v>50</v>
      </c>
      <c r="B77" s="5">
        <v>0</v>
      </c>
      <c r="C77" s="5">
        <v>0</v>
      </c>
      <c r="D77" s="5">
        <v>1</v>
      </c>
      <c r="E77" s="5">
        <v>216</v>
      </c>
      <c r="F77" s="5">
        <f>ROUND(Source!AP68,O77)</f>
        <v>0</v>
      </c>
      <c r="G77" s="5" t="s">
        <v>62</v>
      </c>
      <c r="H77" s="5" t="s">
        <v>63</v>
      </c>
      <c r="I77" s="5"/>
      <c r="J77" s="5"/>
      <c r="K77" s="5">
        <v>216</v>
      </c>
      <c r="L77" s="5">
        <v>8</v>
      </c>
      <c r="M77" s="5">
        <v>3</v>
      </c>
      <c r="N77" s="5" t="s">
        <v>3</v>
      </c>
      <c r="O77" s="5">
        <v>2</v>
      </c>
      <c r="P77" s="5"/>
      <c r="Q77" s="5"/>
      <c r="R77" s="5"/>
      <c r="S77" s="5"/>
      <c r="T77" s="5"/>
      <c r="U77" s="5"/>
      <c r="V77" s="5"/>
      <c r="W77" s="5"/>
    </row>
    <row r="78" spans="1:206" x14ac:dyDescent="0.2">
      <c r="A78" s="5">
        <v>50</v>
      </c>
      <c r="B78" s="5">
        <v>0</v>
      </c>
      <c r="C78" s="5">
        <v>0</v>
      </c>
      <c r="D78" s="5">
        <v>1</v>
      </c>
      <c r="E78" s="5">
        <v>223</v>
      </c>
      <c r="F78" s="5">
        <f>ROUND(Source!AQ68,O78)</f>
        <v>0</v>
      </c>
      <c r="G78" s="5" t="s">
        <v>64</v>
      </c>
      <c r="H78" s="5" t="s">
        <v>65</v>
      </c>
      <c r="I78" s="5"/>
      <c r="J78" s="5"/>
      <c r="K78" s="5">
        <v>223</v>
      </c>
      <c r="L78" s="5">
        <v>9</v>
      </c>
      <c r="M78" s="5">
        <v>3</v>
      </c>
      <c r="N78" s="5" t="s">
        <v>3</v>
      </c>
      <c r="O78" s="5">
        <v>2</v>
      </c>
      <c r="P78" s="5"/>
      <c r="Q78" s="5"/>
      <c r="R78" s="5"/>
      <c r="S78" s="5"/>
      <c r="T78" s="5"/>
      <c r="U78" s="5"/>
      <c r="V78" s="5"/>
      <c r="W78" s="5"/>
    </row>
    <row r="79" spans="1:206" x14ac:dyDescent="0.2">
      <c r="A79" s="5">
        <v>50</v>
      </c>
      <c r="B79" s="5">
        <v>0</v>
      </c>
      <c r="C79" s="5">
        <v>0</v>
      </c>
      <c r="D79" s="5">
        <v>1</v>
      </c>
      <c r="E79" s="5">
        <v>229</v>
      </c>
      <c r="F79" s="5">
        <f>ROUND(Source!AZ68,O79)</f>
        <v>0</v>
      </c>
      <c r="G79" s="5" t="s">
        <v>66</v>
      </c>
      <c r="H79" s="5" t="s">
        <v>67</v>
      </c>
      <c r="I79" s="5"/>
      <c r="J79" s="5"/>
      <c r="K79" s="5">
        <v>229</v>
      </c>
      <c r="L79" s="5">
        <v>10</v>
      </c>
      <c r="M79" s="5">
        <v>3</v>
      </c>
      <c r="N79" s="5" t="s">
        <v>3</v>
      </c>
      <c r="O79" s="5">
        <v>2</v>
      </c>
      <c r="P79" s="5"/>
      <c r="Q79" s="5"/>
      <c r="R79" s="5"/>
      <c r="S79" s="5"/>
      <c r="T79" s="5"/>
      <c r="U79" s="5"/>
      <c r="V79" s="5"/>
      <c r="W79" s="5"/>
    </row>
    <row r="80" spans="1:206" x14ac:dyDescent="0.2">
      <c r="A80" s="5">
        <v>50</v>
      </c>
      <c r="B80" s="5">
        <v>0</v>
      </c>
      <c r="C80" s="5">
        <v>0</v>
      </c>
      <c r="D80" s="5">
        <v>1</v>
      </c>
      <c r="E80" s="5">
        <v>203</v>
      </c>
      <c r="F80" s="5">
        <f>ROUND(Source!Q68,O80)</f>
        <v>0</v>
      </c>
      <c r="G80" s="5" t="s">
        <v>68</v>
      </c>
      <c r="H80" s="5" t="s">
        <v>69</v>
      </c>
      <c r="I80" s="5"/>
      <c r="J80" s="5"/>
      <c r="K80" s="5">
        <v>203</v>
      </c>
      <c r="L80" s="5">
        <v>11</v>
      </c>
      <c r="M80" s="5">
        <v>1</v>
      </c>
      <c r="N80" s="5" t="s">
        <v>3</v>
      </c>
      <c r="O80" s="5">
        <v>2</v>
      </c>
      <c r="P80" s="5"/>
      <c r="Q80" s="5"/>
      <c r="R80" s="5"/>
      <c r="S80" s="5"/>
      <c r="T80" s="5"/>
      <c r="U80" s="5"/>
      <c r="V80" s="5"/>
      <c r="W80" s="5"/>
    </row>
    <row r="81" spans="1:23" x14ac:dyDescent="0.2">
      <c r="A81" s="5">
        <v>50</v>
      </c>
      <c r="B81" s="5">
        <v>0</v>
      </c>
      <c r="C81" s="5">
        <v>0</v>
      </c>
      <c r="D81" s="5">
        <v>1</v>
      </c>
      <c r="E81" s="5">
        <v>231</v>
      </c>
      <c r="F81" s="5">
        <f>ROUND(Source!BB68,O81)</f>
        <v>0</v>
      </c>
      <c r="G81" s="5" t="s">
        <v>70</v>
      </c>
      <c r="H81" s="5" t="s">
        <v>71</v>
      </c>
      <c r="I81" s="5"/>
      <c r="J81" s="5"/>
      <c r="K81" s="5">
        <v>231</v>
      </c>
      <c r="L81" s="5">
        <v>12</v>
      </c>
      <c r="M81" s="5">
        <v>3</v>
      </c>
      <c r="N81" s="5" t="s">
        <v>3</v>
      </c>
      <c r="O81" s="5">
        <v>2</v>
      </c>
      <c r="P81" s="5"/>
      <c r="Q81" s="5"/>
      <c r="R81" s="5"/>
      <c r="S81" s="5"/>
      <c r="T81" s="5"/>
      <c r="U81" s="5"/>
      <c r="V81" s="5"/>
      <c r="W81" s="5"/>
    </row>
    <row r="82" spans="1:23" x14ac:dyDescent="0.2">
      <c r="A82" s="5">
        <v>50</v>
      </c>
      <c r="B82" s="5">
        <v>0</v>
      </c>
      <c r="C82" s="5">
        <v>0</v>
      </c>
      <c r="D82" s="5">
        <v>1</v>
      </c>
      <c r="E82" s="5">
        <v>204</v>
      </c>
      <c r="F82" s="5">
        <f>ROUND(Source!R68,O82)</f>
        <v>0</v>
      </c>
      <c r="G82" s="5" t="s">
        <v>72</v>
      </c>
      <c r="H82" s="5" t="s">
        <v>73</v>
      </c>
      <c r="I82" s="5"/>
      <c r="J82" s="5"/>
      <c r="K82" s="5">
        <v>204</v>
      </c>
      <c r="L82" s="5">
        <v>13</v>
      </c>
      <c r="M82" s="5">
        <v>1</v>
      </c>
      <c r="N82" s="5" t="s">
        <v>3</v>
      </c>
      <c r="O82" s="5">
        <v>2</v>
      </c>
      <c r="P82" s="5"/>
      <c r="Q82" s="5"/>
      <c r="R82" s="5"/>
      <c r="S82" s="5"/>
      <c r="T82" s="5"/>
      <c r="U82" s="5"/>
      <c r="V82" s="5"/>
      <c r="W82" s="5"/>
    </row>
    <row r="83" spans="1:23" x14ac:dyDescent="0.2">
      <c r="A83" s="5">
        <v>50</v>
      </c>
      <c r="B83" s="5">
        <v>1</v>
      </c>
      <c r="C83" s="5">
        <v>0</v>
      </c>
      <c r="D83" s="5">
        <v>1</v>
      </c>
      <c r="E83" s="5">
        <v>205</v>
      </c>
      <c r="F83" s="5">
        <f>ROUND(Source!S68,O83)</f>
        <v>128950.65</v>
      </c>
      <c r="G83" s="5" t="s">
        <v>74</v>
      </c>
      <c r="H83" s="5" t="s">
        <v>75</v>
      </c>
      <c r="I83" s="5"/>
      <c r="J83" s="5"/>
      <c r="K83" s="5">
        <v>205</v>
      </c>
      <c r="L83" s="5">
        <v>14</v>
      </c>
      <c r="M83" s="5">
        <v>1</v>
      </c>
      <c r="N83" s="5" t="s">
        <v>3</v>
      </c>
      <c r="O83" s="5">
        <v>2</v>
      </c>
      <c r="P83" s="5"/>
      <c r="Q83" s="5"/>
      <c r="R83" s="5"/>
      <c r="S83" s="5"/>
      <c r="T83" s="5"/>
      <c r="U83" s="5"/>
      <c r="V83" s="5"/>
      <c r="W83" s="5"/>
    </row>
    <row r="84" spans="1:23" x14ac:dyDescent="0.2">
      <c r="A84" s="5">
        <v>50</v>
      </c>
      <c r="B84" s="5">
        <v>0</v>
      </c>
      <c r="C84" s="5">
        <v>0</v>
      </c>
      <c r="D84" s="5">
        <v>1</v>
      </c>
      <c r="E84" s="5">
        <v>232</v>
      </c>
      <c r="F84" s="5">
        <f>ROUND(Source!BC68,O84)</f>
        <v>0</v>
      </c>
      <c r="G84" s="5" t="s">
        <v>76</v>
      </c>
      <c r="H84" s="5" t="s">
        <v>77</v>
      </c>
      <c r="I84" s="5"/>
      <c r="J84" s="5"/>
      <c r="K84" s="5">
        <v>232</v>
      </c>
      <c r="L84" s="5">
        <v>15</v>
      </c>
      <c r="M84" s="5">
        <v>3</v>
      </c>
      <c r="N84" s="5" t="s">
        <v>3</v>
      </c>
      <c r="O84" s="5">
        <v>2</v>
      </c>
      <c r="P84" s="5"/>
      <c r="Q84" s="5"/>
      <c r="R84" s="5"/>
      <c r="S84" s="5"/>
      <c r="T84" s="5"/>
      <c r="U84" s="5"/>
      <c r="V84" s="5"/>
      <c r="W84" s="5"/>
    </row>
    <row r="85" spans="1:23" x14ac:dyDescent="0.2">
      <c r="A85" s="5">
        <v>50</v>
      </c>
      <c r="B85" s="5">
        <v>0</v>
      </c>
      <c r="C85" s="5">
        <v>0</v>
      </c>
      <c r="D85" s="5">
        <v>1</v>
      </c>
      <c r="E85" s="5">
        <v>214</v>
      </c>
      <c r="F85" s="5">
        <f>ROUND(Source!AS68,O85)</f>
        <v>490012.48</v>
      </c>
      <c r="G85" s="5" t="s">
        <v>78</v>
      </c>
      <c r="H85" s="5" t="s">
        <v>79</v>
      </c>
      <c r="I85" s="5"/>
      <c r="J85" s="5"/>
      <c r="K85" s="5">
        <v>214</v>
      </c>
      <c r="L85" s="5">
        <v>16</v>
      </c>
      <c r="M85" s="5">
        <v>3</v>
      </c>
      <c r="N85" s="5" t="s">
        <v>3</v>
      </c>
      <c r="O85" s="5">
        <v>2</v>
      </c>
      <c r="P85" s="5"/>
      <c r="Q85" s="5"/>
      <c r="R85" s="5"/>
      <c r="S85" s="5"/>
      <c r="T85" s="5"/>
      <c r="U85" s="5"/>
      <c r="V85" s="5"/>
      <c r="W85" s="5"/>
    </row>
    <row r="86" spans="1:23" x14ac:dyDescent="0.2">
      <c r="A86" s="5">
        <v>50</v>
      </c>
      <c r="B86" s="5">
        <v>0</v>
      </c>
      <c r="C86" s="5">
        <v>0</v>
      </c>
      <c r="D86" s="5">
        <v>1</v>
      </c>
      <c r="E86" s="5">
        <v>215</v>
      </c>
      <c r="F86" s="5">
        <f>ROUND(Source!AT68,O86)</f>
        <v>0</v>
      </c>
      <c r="G86" s="5" t="s">
        <v>80</v>
      </c>
      <c r="H86" s="5" t="s">
        <v>81</v>
      </c>
      <c r="I86" s="5"/>
      <c r="J86" s="5"/>
      <c r="K86" s="5">
        <v>215</v>
      </c>
      <c r="L86" s="5">
        <v>17</v>
      </c>
      <c r="M86" s="5">
        <v>3</v>
      </c>
      <c r="N86" s="5" t="s">
        <v>3</v>
      </c>
      <c r="O86" s="5">
        <v>2</v>
      </c>
      <c r="P86" s="5"/>
      <c r="Q86" s="5"/>
      <c r="R86" s="5"/>
      <c r="S86" s="5"/>
      <c r="T86" s="5"/>
      <c r="U86" s="5"/>
      <c r="V86" s="5"/>
      <c r="W86" s="5"/>
    </row>
    <row r="87" spans="1:23" x14ac:dyDescent="0.2">
      <c r="A87" s="5">
        <v>50</v>
      </c>
      <c r="B87" s="5">
        <v>0</v>
      </c>
      <c r="C87" s="5">
        <v>0</v>
      </c>
      <c r="D87" s="5">
        <v>1</v>
      </c>
      <c r="E87" s="5">
        <v>217</v>
      </c>
      <c r="F87" s="5">
        <f>ROUND(Source!AU68,O87)</f>
        <v>0</v>
      </c>
      <c r="G87" s="5" t="s">
        <v>82</v>
      </c>
      <c r="H87" s="5" t="s">
        <v>83</v>
      </c>
      <c r="I87" s="5"/>
      <c r="J87" s="5"/>
      <c r="K87" s="5">
        <v>217</v>
      </c>
      <c r="L87" s="5">
        <v>18</v>
      </c>
      <c r="M87" s="5">
        <v>3</v>
      </c>
      <c r="N87" s="5" t="s">
        <v>3</v>
      </c>
      <c r="O87" s="5">
        <v>2</v>
      </c>
      <c r="P87" s="5"/>
      <c r="Q87" s="5"/>
      <c r="R87" s="5"/>
      <c r="S87" s="5"/>
      <c r="T87" s="5"/>
      <c r="U87" s="5"/>
      <c r="V87" s="5"/>
      <c r="W87" s="5"/>
    </row>
    <row r="88" spans="1:23" x14ac:dyDescent="0.2">
      <c r="A88" s="5">
        <v>50</v>
      </c>
      <c r="B88" s="5">
        <v>0</v>
      </c>
      <c r="C88" s="5">
        <v>0</v>
      </c>
      <c r="D88" s="5">
        <v>1</v>
      </c>
      <c r="E88" s="5">
        <v>230</v>
      </c>
      <c r="F88" s="5">
        <f>ROUND(Source!BA68,O88)</f>
        <v>0</v>
      </c>
      <c r="G88" s="5" t="s">
        <v>84</v>
      </c>
      <c r="H88" s="5" t="s">
        <v>85</v>
      </c>
      <c r="I88" s="5"/>
      <c r="J88" s="5"/>
      <c r="K88" s="5">
        <v>230</v>
      </c>
      <c r="L88" s="5">
        <v>19</v>
      </c>
      <c r="M88" s="5">
        <v>3</v>
      </c>
      <c r="N88" s="5" t="s">
        <v>3</v>
      </c>
      <c r="O88" s="5">
        <v>2</v>
      </c>
      <c r="P88" s="5"/>
      <c r="Q88" s="5"/>
      <c r="R88" s="5"/>
      <c r="S88" s="5"/>
      <c r="T88" s="5"/>
      <c r="U88" s="5"/>
      <c r="V88" s="5"/>
      <c r="W88" s="5"/>
    </row>
    <row r="89" spans="1:23" x14ac:dyDescent="0.2">
      <c r="A89" s="5">
        <v>50</v>
      </c>
      <c r="B89" s="5">
        <v>0</v>
      </c>
      <c r="C89" s="5">
        <v>0</v>
      </c>
      <c r="D89" s="5">
        <v>1</v>
      </c>
      <c r="E89" s="5">
        <v>206</v>
      </c>
      <c r="F89" s="5">
        <f>ROUND(Source!T68,O89)</f>
        <v>0</v>
      </c>
      <c r="G89" s="5" t="s">
        <v>86</v>
      </c>
      <c r="H89" s="5" t="s">
        <v>87</v>
      </c>
      <c r="I89" s="5"/>
      <c r="J89" s="5"/>
      <c r="K89" s="5">
        <v>206</v>
      </c>
      <c r="L89" s="5">
        <v>20</v>
      </c>
      <c r="M89" s="5">
        <v>1</v>
      </c>
      <c r="N89" s="5" t="s">
        <v>3</v>
      </c>
      <c r="O89" s="5">
        <v>2</v>
      </c>
      <c r="P89" s="5"/>
      <c r="Q89" s="5"/>
      <c r="R89" s="5"/>
      <c r="S89" s="5"/>
      <c r="T89" s="5"/>
      <c r="U89" s="5"/>
      <c r="V89" s="5"/>
      <c r="W89" s="5"/>
    </row>
    <row r="90" spans="1:23" x14ac:dyDescent="0.2">
      <c r="A90" s="5">
        <v>50</v>
      </c>
      <c r="B90" s="5">
        <v>1</v>
      </c>
      <c r="C90" s="5">
        <v>0</v>
      </c>
      <c r="D90" s="5">
        <v>1</v>
      </c>
      <c r="E90" s="5">
        <v>207</v>
      </c>
      <c r="F90" s="5">
        <f>Source!U68</f>
        <v>453.54000000000008</v>
      </c>
      <c r="G90" s="5" t="s">
        <v>88</v>
      </c>
      <c r="H90" s="5" t="s">
        <v>89</v>
      </c>
      <c r="I90" s="5"/>
      <c r="J90" s="5"/>
      <c r="K90" s="5">
        <v>207</v>
      </c>
      <c r="L90" s="5">
        <v>21</v>
      </c>
      <c r="M90" s="5">
        <v>1</v>
      </c>
      <c r="N90" s="5" t="s">
        <v>3</v>
      </c>
      <c r="O90" s="5">
        <v>-1</v>
      </c>
      <c r="P90" s="5"/>
      <c r="Q90" s="5"/>
      <c r="R90" s="5"/>
      <c r="S90" s="5"/>
      <c r="T90" s="5"/>
      <c r="U90" s="5"/>
      <c r="V90" s="5"/>
      <c r="W90" s="5"/>
    </row>
    <row r="91" spans="1:23" x14ac:dyDescent="0.2">
      <c r="A91" s="5">
        <v>50</v>
      </c>
      <c r="B91" s="5">
        <v>0</v>
      </c>
      <c r="C91" s="5">
        <v>0</v>
      </c>
      <c r="D91" s="5">
        <v>1</v>
      </c>
      <c r="E91" s="5">
        <v>208</v>
      </c>
      <c r="F91" s="5">
        <f>Source!V68</f>
        <v>0</v>
      </c>
      <c r="G91" s="5" t="s">
        <v>90</v>
      </c>
      <c r="H91" s="5" t="s">
        <v>91</v>
      </c>
      <c r="I91" s="5"/>
      <c r="J91" s="5"/>
      <c r="K91" s="5">
        <v>208</v>
      </c>
      <c r="L91" s="5">
        <v>22</v>
      </c>
      <c r="M91" s="5">
        <v>1</v>
      </c>
      <c r="N91" s="5" t="s">
        <v>3</v>
      </c>
      <c r="O91" s="5">
        <v>-1</v>
      </c>
      <c r="P91" s="5"/>
      <c r="Q91" s="5"/>
      <c r="R91" s="5"/>
      <c r="S91" s="5"/>
      <c r="T91" s="5"/>
      <c r="U91" s="5"/>
      <c r="V91" s="5"/>
      <c r="W91" s="5"/>
    </row>
    <row r="92" spans="1:23" x14ac:dyDescent="0.2">
      <c r="A92" s="5">
        <v>50</v>
      </c>
      <c r="B92" s="5">
        <v>0</v>
      </c>
      <c r="C92" s="5">
        <v>0</v>
      </c>
      <c r="D92" s="5">
        <v>1</v>
      </c>
      <c r="E92" s="5">
        <v>209</v>
      </c>
      <c r="F92" s="5">
        <f>ROUND(Source!W68,O92)</f>
        <v>0</v>
      </c>
      <c r="G92" s="5" t="s">
        <v>92</v>
      </c>
      <c r="H92" s="5" t="s">
        <v>93</v>
      </c>
      <c r="I92" s="5"/>
      <c r="J92" s="5"/>
      <c r="K92" s="5">
        <v>209</v>
      </c>
      <c r="L92" s="5">
        <v>23</v>
      </c>
      <c r="M92" s="5">
        <v>1</v>
      </c>
      <c r="N92" s="5" t="s">
        <v>3</v>
      </c>
      <c r="O92" s="5">
        <v>2</v>
      </c>
      <c r="P92" s="5"/>
      <c r="Q92" s="5"/>
      <c r="R92" s="5"/>
      <c r="S92" s="5"/>
      <c r="T92" s="5"/>
      <c r="U92" s="5"/>
      <c r="V92" s="5"/>
      <c r="W92" s="5"/>
    </row>
    <row r="93" spans="1:23" x14ac:dyDescent="0.2">
      <c r="A93" s="5">
        <v>50</v>
      </c>
      <c r="B93" s="5">
        <v>1</v>
      </c>
      <c r="C93" s="5">
        <v>0</v>
      </c>
      <c r="D93" s="5">
        <v>1</v>
      </c>
      <c r="E93" s="5">
        <v>210</v>
      </c>
      <c r="F93" s="5">
        <f>ROUND(Source!X68,O93)</f>
        <v>277243.90000000002</v>
      </c>
      <c r="G93" s="5" t="s">
        <v>94</v>
      </c>
      <c r="H93" s="5" t="s">
        <v>95</v>
      </c>
      <c r="I93" s="5"/>
      <c r="J93" s="5"/>
      <c r="K93" s="5">
        <v>210</v>
      </c>
      <c r="L93" s="5">
        <v>24</v>
      </c>
      <c r="M93" s="5">
        <v>1</v>
      </c>
      <c r="N93" s="5" t="s">
        <v>3</v>
      </c>
      <c r="O93" s="5">
        <v>2</v>
      </c>
      <c r="P93" s="5"/>
      <c r="Q93" s="5"/>
      <c r="R93" s="5"/>
      <c r="S93" s="5"/>
      <c r="T93" s="5"/>
      <c r="U93" s="5"/>
      <c r="V93" s="5"/>
      <c r="W93" s="5"/>
    </row>
    <row r="94" spans="1:23" x14ac:dyDescent="0.2">
      <c r="A94" s="5">
        <v>50</v>
      </c>
      <c r="B94" s="5">
        <v>1</v>
      </c>
      <c r="C94" s="5">
        <v>0</v>
      </c>
      <c r="D94" s="5">
        <v>1</v>
      </c>
      <c r="E94" s="5">
        <v>211</v>
      </c>
      <c r="F94" s="5">
        <f>ROUND(Source!Y68,O94)</f>
        <v>83817.929999999993</v>
      </c>
      <c r="G94" s="5" t="s">
        <v>96</v>
      </c>
      <c r="H94" s="5" t="s">
        <v>97</v>
      </c>
      <c r="I94" s="5"/>
      <c r="J94" s="5"/>
      <c r="K94" s="5">
        <v>211</v>
      </c>
      <c r="L94" s="5">
        <v>25</v>
      </c>
      <c r="M94" s="5">
        <v>1</v>
      </c>
      <c r="N94" s="5" t="s">
        <v>3</v>
      </c>
      <c r="O94" s="5">
        <v>2</v>
      </c>
      <c r="P94" s="5"/>
      <c r="Q94" s="5"/>
      <c r="R94" s="5"/>
      <c r="S94" s="5"/>
      <c r="T94" s="5"/>
      <c r="U94" s="5"/>
      <c r="V94" s="5"/>
      <c r="W94" s="5"/>
    </row>
    <row r="95" spans="1:23" x14ac:dyDescent="0.2">
      <c r="A95" s="5">
        <v>50</v>
      </c>
      <c r="B95" s="5">
        <v>0</v>
      </c>
      <c r="C95" s="5">
        <v>0</v>
      </c>
      <c r="D95" s="5">
        <v>1</v>
      </c>
      <c r="E95" s="5">
        <v>224</v>
      </c>
      <c r="F95" s="5">
        <f>ROUND(Source!AR68,O95)</f>
        <v>490012.48</v>
      </c>
      <c r="G95" s="5" t="s">
        <v>98</v>
      </c>
      <c r="H95" s="5" t="s">
        <v>99</v>
      </c>
      <c r="I95" s="5"/>
      <c r="J95" s="5"/>
      <c r="K95" s="5">
        <v>224</v>
      </c>
      <c r="L95" s="5">
        <v>26</v>
      </c>
      <c r="M95" s="5">
        <v>3</v>
      </c>
      <c r="N95" s="5" t="s">
        <v>3</v>
      </c>
      <c r="O95" s="5">
        <v>2</v>
      </c>
      <c r="P95" s="5"/>
      <c r="Q95" s="5"/>
      <c r="R95" s="5"/>
      <c r="S95" s="5"/>
      <c r="T95" s="5"/>
      <c r="U95" s="5"/>
      <c r="V95" s="5"/>
      <c r="W95" s="5"/>
    </row>
    <row r="96" spans="1:23" x14ac:dyDescent="0.2">
      <c r="A96" s="5">
        <v>50</v>
      </c>
      <c r="B96" s="5">
        <v>1</v>
      </c>
      <c r="C96" s="5">
        <v>0</v>
      </c>
      <c r="D96" s="5">
        <v>2</v>
      </c>
      <c r="E96" s="5">
        <v>0</v>
      </c>
      <c r="F96" s="5">
        <f>ROUND(F70+F93+F94,O96)</f>
        <v>490012.48</v>
      </c>
      <c r="G96" s="5" t="s">
        <v>100</v>
      </c>
      <c r="H96" s="5" t="s">
        <v>101</v>
      </c>
      <c r="I96" s="5"/>
      <c r="J96" s="5"/>
      <c r="K96" s="5">
        <v>212</v>
      </c>
      <c r="L96" s="5">
        <v>27</v>
      </c>
      <c r="M96" s="5">
        <v>0</v>
      </c>
      <c r="N96" s="5" t="s">
        <v>3</v>
      </c>
      <c r="O96" s="5">
        <v>2</v>
      </c>
      <c r="P96" s="5"/>
      <c r="Q96" s="5"/>
      <c r="R96" s="5"/>
      <c r="S96" s="5"/>
      <c r="T96" s="5"/>
      <c r="U96" s="5"/>
      <c r="V96" s="5"/>
      <c r="W96" s="5"/>
    </row>
    <row r="97" spans="1:206" x14ac:dyDescent="0.2">
      <c r="A97" s="5">
        <v>50</v>
      </c>
      <c r="B97" s="5">
        <v>1</v>
      </c>
      <c r="C97" s="5">
        <v>0</v>
      </c>
      <c r="D97" s="5">
        <v>2</v>
      </c>
      <c r="E97" s="5">
        <v>0</v>
      </c>
      <c r="F97" s="5">
        <f>ROUND(F96*0.18,O97)</f>
        <v>88202.25</v>
      </c>
      <c r="G97" s="5" t="s">
        <v>102</v>
      </c>
      <c r="H97" s="5" t="s">
        <v>103</v>
      </c>
      <c r="I97" s="5"/>
      <c r="J97" s="5"/>
      <c r="K97" s="5">
        <v>212</v>
      </c>
      <c r="L97" s="5">
        <v>28</v>
      </c>
      <c r="M97" s="5">
        <v>0</v>
      </c>
      <c r="N97" s="5" t="s">
        <v>3</v>
      </c>
      <c r="O97" s="5">
        <v>2</v>
      </c>
      <c r="P97" s="5"/>
      <c r="Q97" s="5"/>
      <c r="R97" s="5"/>
      <c r="S97" s="5"/>
      <c r="T97" s="5"/>
      <c r="U97" s="5"/>
      <c r="V97" s="5"/>
      <c r="W97" s="5"/>
    </row>
    <row r="98" spans="1:206" x14ac:dyDescent="0.2">
      <c r="A98" s="5">
        <v>50</v>
      </c>
      <c r="B98" s="5">
        <v>1</v>
      </c>
      <c r="C98" s="5">
        <v>0</v>
      </c>
      <c r="D98" s="5">
        <v>2</v>
      </c>
      <c r="E98" s="5">
        <v>0</v>
      </c>
      <c r="F98" s="5">
        <f>ROUND(F96+F97,O98)</f>
        <v>578214.73</v>
      </c>
      <c r="G98" s="5" t="s">
        <v>104</v>
      </c>
      <c r="H98" s="5" t="s">
        <v>98</v>
      </c>
      <c r="I98" s="5"/>
      <c r="J98" s="5"/>
      <c r="K98" s="5">
        <v>212</v>
      </c>
      <c r="L98" s="5">
        <v>29</v>
      </c>
      <c r="M98" s="5">
        <v>0</v>
      </c>
      <c r="N98" s="5" t="s">
        <v>3</v>
      </c>
      <c r="O98" s="5">
        <v>2</v>
      </c>
      <c r="P98" s="5"/>
      <c r="Q98" s="5"/>
      <c r="R98" s="5"/>
      <c r="S98" s="5"/>
      <c r="T98" s="5"/>
      <c r="U98" s="5"/>
      <c r="V98" s="5"/>
      <c r="W98" s="5"/>
    </row>
    <row r="100" spans="1:206" x14ac:dyDescent="0.2">
      <c r="A100" s="3">
        <v>51</v>
      </c>
      <c r="B100" s="3">
        <f>B12</f>
        <v>135</v>
      </c>
      <c r="C100" s="3">
        <f>A12</f>
        <v>1</v>
      </c>
      <c r="D100" s="3">
        <f>ROW(A12)</f>
        <v>12</v>
      </c>
      <c r="E100" s="3"/>
      <c r="F100" s="3" t="str">
        <f>IF(F12&lt;&gt;"",F12,"")</f>
        <v>Новый объект_(Копия)_(Копия)_(Копия)</v>
      </c>
      <c r="G100" s="3" t="str">
        <f>IF(G12&lt;&gt;"",G12,"")</f>
        <v>Смета на ТО МПУ на ПС филиала ПАО"МРСК-Центра"-Тверьэнерго</v>
      </c>
      <c r="H100" s="3">
        <v>0</v>
      </c>
      <c r="I100" s="3"/>
      <c r="J100" s="3"/>
      <c r="K100" s="3"/>
      <c r="L100" s="3"/>
      <c r="M100" s="3"/>
      <c r="N100" s="3"/>
      <c r="O100" s="3">
        <f t="shared" ref="O100:T100" si="54">ROUND(O68,2)</f>
        <v>128950.65</v>
      </c>
      <c r="P100" s="3">
        <f t="shared" si="54"/>
        <v>0</v>
      </c>
      <c r="Q100" s="3">
        <f t="shared" si="54"/>
        <v>0</v>
      </c>
      <c r="R100" s="3">
        <f t="shared" si="54"/>
        <v>0</v>
      </c>
      <c r="S100" s="3">
        <f t="shared" si="54"/>
        <v>128950.65</v>
      </c>
      <c r="T100" s="3">
        <f t="shared" si="54"/>
        <v>0</v>
      </c>
      <c r="U100" s="3">
        <f>U68</f>
        <v>453.54000000000008</v>
      </c>
      <c r="V100" s="3">
        <f>V68</f>
        <v>0</v>
      </c>
      <c r="W100" s="3">
        <f>ROUND(W68,2)</f>
        <v>0</v>
      </c>
      <c r="X100" s="3">
        <f>ROUND(X68,2)</f>
        <v>277243.90000000002</v>
      </c>
      <c r="Y100" s="3">
        <f>ROUND(Y68,2)</f>
        <v>83817.929999999993</v>
      </c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>
        <f t="shared" ref="AO100:BC100" si="55">ROUND(AO68,2)</f>
        <v>0</v>
      </c>
      <c r="AP100" s="3">
        <f t="shared" si="55"/>
        <v>0</v>
      </c>
      <c r="AQ100" s="3">
        <f t="shared" si="55"/>
        <v>0</v>
      </c>
      <c r="AR100" s="3">
        <f t="shared" si="55"/>
        <v>490012.48</v>
      </c>
      <c r="AS100" s="3">
        <f t="shared" si="55"/>
        <v>490012.48</v>
      </c>
      <c r="AT100" s="3">
        <f t="shared" si="55"/>
        <v>0</v>
      </c>
      <c r="AU100" s="3">
        <f t="shared" si="55"/>
        <v>0</v>
      </c>
      <c r="AV100" s="3">
        <f t="shared" si="55"/>
        <v>0</v>
      </c>
      <c r="AW100" s="3">
        <f t="shared" si="55"/>
        <v>0</v>
      </c>
      <c r="AX100" s="3">
        <f t="shared" si="55"/>
        <v>0</v>
      </c>
      <c r="AY100" s="3">
        <f t="shared" si="55"/>
        <v>0</v>
      </c>
      <c r="AZ100" s="3">
        <f t="shared" si="55"/>
        <v>0</v>
      </c>
      <c r="BA100" s="3">
        <f t="shared" si="55"/>
        <v>0</v>
      </c>
      <c r="BB100" s="3">
        <f t="shared" si="55"/>
        <v>0</v>
      </c>
      <c r="BC100" s="3">
        <f t="shared" si="55"/>
        <v>0</v>
      </c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>
        <v>0</v>
      </c>
    </row>
    <row r="102" spans="1:206" x14ac:dyDescent="0.2">
      <c r="A102" s="5">
        <v>50</v>
      </c>
      <c r="B102" s="5">
        <v>1</v>
      </c>
      <c r="C102" s="5">
        <v>0</v>
      </c>
      <c r="D102" s="5">
        <v>1</v>
      </c>
      <c r="E102" s="5">
        <v>201</v>
      </c>
      <c r="F102" s="5">
        <f>ROUND(Source!O100,O102)</f>
        <v>128950.65</v>
      </c>
      <c r="G102" s="5" t="s">
        <v>48</v>
      </c>
      <c r="H102" s="5" t="s">
        <v>49</v>
      </c>
      <c r="I102" s="5"/>
      <c r="J102" s="5"/>
      <c r="K102" s="5">
        <v>201</v>
      </c>
      <c r="L102" s="5">
        <v>1</v>
      </c>
      <c r="M102" s="5">
        <v>1</v>
      </c>
      <c r="N102" s="5" t="s">
        <v>3</v>
      </c>
      <c r="O102" s="5">
        <v>2</v>
      </c>
      <c r="P102" s="5"/>
      <c r="Q102" s="5"/>
      <c r="R102" s="5"/>
      <c r="S102" s="5"/>
      <c r="T102" s="5"/>
      <c r="U102" s="5"/>
      <c r="V102" s="5"/>
      <c r="W102" s="5"/>
    </row>
    <row r="103" spans="1:206" x14ac:dyDescent="0.2">
      <c r="A103" s="5">
        <v>50</v>
      </c>
      <c r="B103" s="5">
        <v>0</v>
      </c>
      <c r="C103" s="5">
        <v>0</v>
      </c>
      <c r="D103" s="5">
        <v>1</v>
      </c>
      <c r="E103" s="5">
        <v>202</v>
      </c>
      <c r="F103" s="5">
        <f>ROUND(Source!P100,O103)</f>
        <v>0</v>
      </c>
      <c r="G103" s="5" t="s">
        <v>50</v>
      </c>
      <c r="H103" s="5" t="s">
        <v>51</v>
      </c>
      <c r="I103" s="5"/>
      <c r="J103" s="5"/>
      <c r="K103" s="5">
        <v>202</v>
      </c>
      <c r="L103" s="5">
        <v>2</v>
      </c>
      <c r="M103" s="5">
        <v>1</v>
      </c>
      <c r="N103" s="5" t="s">
        <v>3</v>
      </c>
      <c r="O103" s="5">
        <v>2</v>
      </c>
      <c r="P103" s="5"/>
      <c r="Q103" s="5"/>
      <c r="R103" s="5"/>
      <c r="S103" s="5"/>
      <c r="T103" s="5"/>
      <c r="U103" s="5"/>
      <c r="V103" s="5"/>
      <c r="W103" s="5"/>
    </row>
    <row r="104" spans="1:206" x14ac:dyDescent="0.2">
      <c r="A104" s="5">
        <v>50</v>
      </c>
      <c r="B104" s="5">
        <v>0</v>
      </c>
      <c r="C104" s="5">
        <v>0</v>
      </c>
      <c r="D104" s="5">
        <v>1</v>
      </c>
      <c r="E104" s="5">
        <v>222</v>
      </c>
      <c r="F104" s="5">
        <f>ROUND(Source!AO100,O104)</f>
        <v>0</v>
      </c>
      <c r="G104" s="5" t="s">
        <v>52</v>
      </c>
      <c r="H104" s="5" t="s">
        <v>53</v>
      </c>
      <c r="I104" s="5"/>
      <c r="J104" s="5"/>
      <c r="K104" s="5">
        <v>222</v>
      </c>
      <c r="L104" s="5">
        <v>3</v>
      </c>
      <c r="M104" s="5">
        <v>3</v>
      </c>
      <c r="N104" s="5" t="s">
        <v>3</v>
      </c>
      <c r="O104" s="5">
        <v>2</v>
      </c>
      <c r="P104" s="5"/>
      <c r="Q104" s="5"/>
      <c r="R104" s="5"/>
      <c r="S104" s="5"/>
      <c r="T104" s="5"/>
      <c r="U104" s="5"/>
      <c r="V104" s="5"/>
      <c r="W104" s="5"/>
    </row>
    <row r="105" spans="1:206" x14ac:dyDescent="0.2">
      <c r="A105" s="5">
        <v>50</v>
      </c>
      <c r="B105" s="5">
        <v>0</v>
      </c>
      <c r="C105" s="5">
        <v>0</v>
      </c>
      <c r="D105" s="5">
        <v>1</v>
      </c>
      <c r="E105" s="5">
        <v>225</v>
      </c>
      <c r="F105" s="5">
        <f>ROUND(Source!AV100,O105)</f>
        <v>0</v>
      </c>
      <c r="G105" s="5" t="s">
        <v>54</v>
      </c>
      <c r="H105" s="5" t="s">
        <v>55</v>
      </c>
      <c r="I105" s="5"/>
      <c r="J105" s="5"/>
      <c r="K105" s="5">
        <v>225</v>
      </c>
      <c r="L105" s="5">
        <v>4</v>
      </c>
      <c r="M105" s="5">
        <v>3</v>
      </c>
      <c r="N105" s="5" t="s">
        <v>3</v>
      </c>
      <c r="O105" s="5">
        <v>2</v>
      </c>
      <c r="P105" s="5"/>
      <c r="Q105" s="5"/>
      <c r="R105" s="5"/>
      <c r="S105" s="5"/>
      <c r="T105" s="5"/>
      <c r="U105" s="5"/>
      <c r="V105" s="5"/>
      <c r="W105" s="5"/>
    </row>
    <row r="106" spans="1:206" x14ac:dyDescent="0.2">
      <c r="A106" s="5">
        <v>50</v>
      </c>
      <c r="B106" s="5">
        <v>0</v>
      </c>
      <c r="C106" s="5">
        <v>0</v>
      </c>
      <c r="D106" s="5">
        <v>1</v>
      </c>
      <c r="E106" s="5">
        <v>226</v>
      </c>
      <c r="F106" s="5">
        <f>ROUND(Source!AW100,O106)</f>
        <v>0</v>
      </c>
      <c r="G106" s="5" t="s">
        <v>56</v>
      </c>
      <c r="H106" s="5" t="s">
        <v>57</v>
      </c>
      <c r="I106" s="5"/>
      <c r="J106" s="5"/>
      <c r="K106" s="5">
        <v>226</v>
      </c>
      <c r="L106" s="5">
        <v>5</v>
      </c>
      <c r="M106" s="5">
        <v>3</v>
      </c>
      <c r="N106" s="5" t="s">
        <v>3</v>
      </c>
      <c r="O106" s="5">
        <v>2</v>
      </c>
      <c r="P106" s="5"/>
      <c r="Q106" s="5"/>
      <c r="R106" s="5"/>
      <c r="S106" s="5"/>
      <c r="T106" s="5"/>
      <c r="U106" s="5"/>
      <c r="V106" s="5"/>
      <c r="W106" s="5"/>
    </row>
    <row r="107" spans="1:206" x14ac:dyDescent="0.2">
      <c r="A107" s="5">
        <v>50</v>
      </c>
      <c r="B107" s="5">
        <v>0</v>
      </c>
      <c r="C107" s="5">
        <v>0</v>
      </c>
      <c r="D107" s="5">
        <v>1</v>
      </c>
      <c r="E107" s="5">
        <v>227</v>
      </c>
      <c r="F107" s="5">
        <f>ROUND(Source!AX100,O107)</f>
        <v>0</v>
      </c>
      <c r="G107" s="5" t="s">
        <v>58</v>
      </c>
      <c r="H107" s="5" t="s">
        <v>59</v>
      </c>
      <c r="I107" s="5"/>
      <c r="J107" s="5"/>
      <c r="K107" s="5">
        <v>227</v>
      </c>
      <c r="L107" s="5">
        <v>6</v>
      </c>
      <c r="M107" s="5">
        <v>3</v>
      </c>
      <c r="N107" s="5" t="s">
        <v>3</v>
      </c>
      <c r="O107" s="5">
        <v>2</v>
      </c>
      <c r="P107" s="5"/>
      <c r="Q107" s="5"/>
      <c r="R107" s="5"/>
      <c r="S107" s="5"/>
      <c r="T107" s="5"/>
      <c r="U107" s="5"/>
      <c r="V107" s="5"/>
      <c r="W107" s="5"/>
    </row>
    <row r="108" spans="1:206" x14ac:dyDescent="0.2">
      <c r="A108" s="5">
        <v>50</v>
      </c>
      <c r="B108" s="5">
        <v>0</v>
      </c>
      <c r="C108" s="5">
        <v>0</v>
      </c>
      <c r="D108" s="5">
        <v>1</v>
      </c>
      <c r="E108" s="5">
        <v>228</v>
      </c>
      <c r="F108" s="5">
        <f>ROUND(Source!AY100,O108)</f>
        <v>0</v>
      </c>
      <c r="G108" s="5" t="s">
        <v>60</v>
      </c>
      <c r="H108" s="5" t="s">
        <v>61</v>
      </c>
      <c r="I108" s="5"/>
      <c r="J108" s="5"/>
      <c r="K108" s="5">
        <v>228</v>
      </c>
      <c r="L108" s="5">
        <v>7</v>
      </c>
      <c r="M108" s="5">
        <v>3</v>
      </c>
      <c r="N108" s="5" t="s">
        <v>3</v>
      </c>
      <c r="O108" s="5">
        <v>2</v>
      </c>
      <c r="P108" s="5"/>
      <c r="Q108" s="5"/>
      <c r="R108" s="5"/>
      <c r="S108" s="5"/>
      <c r="T108" s="5"/>
      <c r="U108" s="5"/>
      <c r="V108" s="5"/>
      <c r="W108" s="5"/>
    </row>
    <row r="109" spans="1:206" x14ac:dyDescent="0.2">
      <c r="A109" s="5">
        <v>50</v>
      </c>
      <c r="B109" s="5">
        <v>0</v>
      </c>
      <c r="C109" s="5">
        <v>0</v>
      </c>
      <c r="D109" s="5">
        <v>1</v>
      </c>
      <c r="E109" s="5">
        <v>216</v>
      </c>
      <c r="F109" s="5">
        <f>ROUND(Source!AP100,O109)</f>
        <v>0</v>
      </c>
      <c r="G109" s="5" t="s">
        <v>62</v>
      </c>
      <c r="H109" s="5" t="s">
        <v>63</v>
      </c>
      <c r="I109" s="5"/>
      <c r="J109" s="5"/>
      <c r="K109" s="5">
        <v>216</v>
      </c>
      <c r="L109" s="5">
        <v>8</v>
      </c>
      <c r="M109" s="5">
        <v>3</v>
      </c>
      <c r="N109" s="5" t="s">
        <v>3</v>
      </c>
      <c r="O109" s="5">
        <v>2</v>
      </c>
      <c r="P109" s="5"/>
      <c r="Q109" s="5"/>
      <c r="R109" s="5"/>
      <c r="S109" s="5"/>
      <c r="T109" s="5"/>
      <c r="U109" s="5"/>
      <c r="V109" s="5"/>
      <c r="W109" s="5"/>
    </row>
    <row r="110" spans="1:206" x14ac:dyDescent="0.2">
      <c r="A110" s="5">
        <v>50</v>
      </c>
      <c r="B110" s="5">
        <v>0</v>
      </c>
      <c r="C110" s="5">
        <v>0</v>
      </c>
      <c r="D110" s="5">
        <v>1</v>
      </c>
      <c r="E110" s="5">
        <v>223</v>
      </c>
      <c r="F110" s="5">
        <f>ROUND(Source!AQ100,O110)</f>
        <v>0</v>
      </c>
      <c r="G110" s="5" t="s">
        <v>64</v>
      </c>
      <c r="H110" s="5" t="s">
        <v>65</v>
      </c>
      <c r="I110" s="5"/>
      <c r="J110" s="5"/>
      <c r="K110" s="5">
        <v>223</v>
      </c>
      <c r="L110" s="5">
        <v>9</v>
      </c>
      <c r="M110" s="5">
        <v>3</v>
      </c>
      <c r="N110" s="5" t="s">
        <v>3</v>
      </c>
      <c r="O110" s="5">
        <v>2</v>
      </c>
      <c r="P110" s="5"/>
      <c r="Q110" s="5"/>
      <c r="R110" s="5"/>
      <c r="S110" s="5"/>
      <c r="T110" s="5"/>
      <c r="U110" s="5"/>
      <c r="V110" s="5"/>
      <c r="W110" s="5"/>
    </row>
    <row r="111" spans="1:206" x14ac:dyDescent="0.2">
      <c r="A111" s="5">
        <v>50</v>
      </c>
      <c r="B111" s="5">
        <v>0</v>
      </c>
      <c r="C111" s="5">
        <v>0</v>
      </c>
      <c r="D111" s="5">
        <v>1</v>
      </c>
      <c r="E111" s="5">
        <v>229</v>
      </c>
      <c r="F111" s="5">
        <f>ROUND(Source!AZ100,O111)</f>
        <v>0</v>
      </c>
      <c r="G111" s="5" t="s">
        <v>66</v>
      </c>
      <c r="H111" s="5" t="s">
        <v>67</v>
      </c>
      <c r="I111" s="5"/>
      <c r="J111" s="5"/>
      <c r="K111" s="5">
        <v>229</v>
      </c>
      <c r="L111" s="5">
        <v>10</v>
      </c>
      <c r="M111" s="5">
        <v>3</v>
      </c>
      <c r="N111" s="5" t="s">
        <v>3</v>
      </c>
      <c r="O111" s="5">
        <v>2</v>
      </c>
      <c r="P111" s="5"/>
      <c r="Q111" s="5"/>
      <c r="R111" s="5"/>
      <c r="S111" s="5"/>
      <c r="T111" s="5"/>
      <c r="U111" s="5"/>
      <c r="V111" s="5"/>
      <c r="W111" s="5"/>
    </row>
    <row r="112" spans="1:206" x14ac:dyDescent="0.2">
      <c r="A112" s="5">
        <v>50</v>
      </c>
      <c r="B112" s="5">
        <v>0</v>
      </c>
      <c r="C112" s="5">
        <v>0</v>
      </c>
      <c r="D112" s="5">
        <v>1</v>
      </c>
      <c r="E112" s="5">
        <v>203</v>
      </c>
      <c r="F112" s="5">
        <f>ROUND(Source!Q100,O112)</f>
        <v>0</v>
      </c>
      <c r="G112" s="5" t="s">
        <v>68</v>
      </c>
      <c r="H112" s="5" t="s">
        <v>69</v>
      </c>
      <c r="I112" s="5"/>
      <c r="J112" s="5"/>
      <c r="K112" s="5">
        <v>203</v>
      </c>
      <c r="L112" s="5">
        <v>11</v>
      </c>
      <c r="M112" s="5">
        <v>1</v>
      </c>
      <c r="N112" s="5" t="s">
        <v>3</v>
      </c>
      <c r="O112" s="5">
        <v>2</v>
      </c>
      <c r="P112" s="5"/>
      <c r="Q112" s="5"/>
      <c r="R112" s="5"/>
      <c r="S112" s="5"/>
      <c r="T112" s="5"/>
      <c r="U112" s="5"/>
      <c r="V112" s="5"/>
      <c r="W112" s="5"/>
    </row>
    <row r="113" spans="1:23" x14ac:dyDescent="0.2">
      <c r="A113" s="5">
        <v>50</v>
      </c>
      <c r="B113" s="5">
        <v>0</v>
      </c>
      <c r="C113" s="5">
        <v>0</v>
      </c>
      <c r="D113" s="5">
        <v>1</v>
      </c>
      <c r="E113" s="5">
        <v>231</v>
      </c>
      <c r="F113" s="5">
        <f>ROUND(Source!BB100,O113)</f>
        <v>0</v>
      </c>
      <c r="G113" s="5" t="s">
        <v>70</v>
      </c>
      <c r="H113" s="5" t="s">
        <v>71</v>
      </c>
      <c r="I113" s="5"/>
      <c r="J113" s="5"/>
      <c r="K113" s="5">
        <v>231</v>
      </c>
      <c r="L113" s="5">
        <v>12</v>
      </c>
      <c r="M113" s="5">
        <v>3</v>
      </c>
      <c r="N113" s="5" t="s">
        <v>3</v>
      </c>
      <c r="O113" s="5">
        <v>2</v>
      </c>
      <c r="P113" s="5"/>
      <c r="Q113" s="5"/>
      <c r="R113" s="5"/>
      <c r="S113" s="5"/>
      <c r="T113" s="5"/>
      <c r="U113" s="5"/>
      <c r="V113" s="5"/>
      <c r="W113" s="5"/>
    </row>
    <row r="114" spans="1:23" x14ac:dyDescent="0.2">
      <c r="A114" s="5">
        <v>50</v>
      </c>
      <c r="B114" s="5">
        <v>0</v>
      </c>
      <c r="C114" s="5">
        <v>0</v>
      </c>
      <c r="D114" s="5">
        <v>1</v>
      </c>
      <c r="E114" s="5">
        <v>204</v>
      </c>
      <c r="F114" s="5">
        <f>ROUND(Source!R100,O114)</f>
        <v>0</v>
      </c>
      <c r="G114" s="5" t="s">
        <v>72</v>
      </c>
      <c r="H114" s="5" t="s">
        <v>73</v>
      </c>
      <c r="I114" s="5"/>
      <c r="J114" s="5"/>
      <c r="K114" s="5">
        <v>204</v>
      </c>
      <c r="L114" s="5">
        <v>13</v>
      </c>
      <c r="M114" s="5">
        <v>1</v>
      </c>
      <c r="N114" s="5" t="s">
        <v>3</v>
      </c>
      <c r="O114" s="5">
        <v>2</v>
      </c>
      <c r="P114" s="5"/>
      <c r="Q114" s="5"/>
      <c r="R114" s="5"/>
      <c r="S114" s="5"/>
      <c r="T114" s="5"/>
      <c r="U114" s="5"/>
      <c r="V114" s="5"/>
      <c r="W114" s="5"/>
    </row>
    <row r="115" spans="1:23" x14ac:dyDescent="0.2">
      <c r="A115" s="5">
        <v>50</v>
      </c>
      <c r="B115" s="5">
        <v>1</v>
      </c>
      <c r="C115" s="5">
        <v>0</v>
      </c>
      <c r="D115" s="5">
        <v>1</v>
      </c>
      <c r="E115" s="5">
        <v>205</v>
      </c>
      <c r="F115" s="5">
        <f>ROUND(Source!S100,O115)</f>
        <v>128950.65</v>
      </c>
      <c r="G115" s="5" t="s">
        <v>74</v>
      </c>
      <c r="H115" s="5" t="s">
        <v>75</v>
      </c>
      <c r="I115" s="5"/>
      <c r="J115" s="5"/>
      <c r="K115" s="5">
        <v>205</v>
      </c>
      <c r="L115" s="5">
        <v>14</v>
      </c>
      <c r="M115" s="5">
        <v>1</v>
      </c>
      <c r="N115" s="5" t="s">
        <v>3</v>
      </c>
      <c r="O115" s="5">
        <v>2</v>
      </c>
      <c r="P115" s="5"/>
      <c r="Q115" s="5"/>
      <c r="R115" s="5"/>
      <c r="S115" s="5"/>
      <c r="T115" s="5"/>
      <c r="U115" s="5"/>
      <c r="V115" s="5"/>
      <c r="W115" s="5"/>
    </row>
    <row r="116" spans="1:23" x14ac:dyDescent="0.2">
      <c r="A116" s="5">
        <v>50</v>
      </c>
      <c r="B116" s="5">
        <v>0</v>
      </c>
      <c r="C116" s="5">
        <v>0</v>
      </c>
      <c r="D116" s="5">
        <v>1</v>
      </c>
      <c r="E116" s="5">
        <v>232</v>
      </c>
      <c r="F116" s="5">
        <f>ROUND(Source!BC100,O116)</f>
        <v>0</v>
      </c>
      <c r="G116" s="5" t="s">
        <v>76</v>
      </c>
      <c r="H116" s="5" t="s">
        <v>77</v>
      </c>
      <c r="I116" s="5"/>
      <c r="J116" s="5"/>
      <c r="K116" s="5">
        <v>232</v>
      </c>
      <c r="L116" s="5">
        <v>15</v>
      </c>
      <c r="M116" s="5">
        <v>3</v>
      </c>
      <c r="N116" s="5" t="s">
        <v>3</v>
      </c>
      <c r="O116" s="5">
        <v>2</v>
      </c>
      <c r="P116" s="5"/>
      <c r="Q116" s="5"/>
      <c r="R116" s="5"/>
      <c r="S116" s="5"/>
      <c r="T116" s="5"/>
      <c r="U116" s="5"/>
      <c r="V116" s="5"/>
      <c r="W116" s="5"/>
    </row>
    <row r="117" spans="1:23" x14ac:dyDescent="0.2">
      <c r="A117" s="5">
        <v>50</v>
      </c>
      <c r="B117" s="5">
        <v>0</v>
      </c>
      <c r="C117" s="5">
        <v>0</v>
      </c>
      <c r="D117" s="5">
        <v>1</v>
      </c>
      <c r="E117" s="5">
        <v>214</v>
      </c>
      <c r="F117" s="5">
        <f>ROUND(Source!AS100,O117)</f>
        <v>490012.48</v>
      </c>
      <c r="G117" s="5" t="s">
        <v>78</v>
      </c>
      <c r="H117" s="5" t="s">
        <v>79</v>
      </c>
      <c r="I117" s="5"/>
      <c r="J117" s="5"/>
      <c r="K117" s="5">
        <v>214</v>
      </c>
      <c r="L117" s="5">
        <v>16</v>
      </c>
      <c r="M117" s="5">
        <v>3</v>
      </c>
      <c r="N117" s="5" t="s">
        <v>3</v>
      </c>
      <c r="O117" s="5">
        <v>2</v>
      </c>
      <c r="P117" s="5"/>
      <c r="Q117" s="5"/>
      <c r="R117" s="5"/>
      <c r="S117" s="5"/>
      <c r="T117" s="5"/>
      <c r="U117" s="5"/>
      <c r="V117" s="5"/>
      <c r="W117" s="5"/>
    </row>
    <row r="118" spans="1:23" x14ac:dyDescent="0.2">
      <c r="A118" s="5">
        <v>50</v>
      </c>
      <c r="B118" s="5">
        <v>0</v>
      </c>
      <c r="C118" s="5">
        <v>0</v>
      </c>
      <c r="D118" s="5">
        <v>1</v>
      </c>
      <c r="E118" s="5">
        <v>215</v>
      </c>
      <c r="F118" s="5">
        <f>ROUND(Source!AT100,O118)</f>
        <v>0</v>
      </c>
      <c r="G118" s="5" t="s">
        <v>80</v>
      </c>
      <c r="H118" s="5" t="s">
        <v>81</v>
      </c>
      <c r="I118" s="5"/>
      <c r="J118" s="5"/>
      <c r="K118" s="5">
        <v>215</v>
      </c>
      <c r="L118" s="5">
        <v>17</v>
      </c>
      <c r="M118" s="5">
        <v>3</v>
      </c>
      <c r="N118" s="5" t="s">
        <v>3</v>
      </c>
      <c r="O118" s="5">
        <v>2</v>
      </c>
      <c r="P118" s="5"/>
      <c r="Q118" s="5"/>
      <c r="R118" s="5"/>
      <c r="S118" s="5"/>
      <c r="T118" s="5"/>
      <c r="U118" s="5"/>
      <c r="V118" s="5"/>
      <c r="W118" s="5"/>
    </row>
    <row r="119" spans="1:23" x14ac:dyDescent="0.2">
      <c r="A119" s="5">
        <v>50</v>
      </c>
      <c r="B119" s="5">
        <v>0</v>
      </c>
      <c r="C119" s="5">
        <v>0</v>
      </c>
      <c r="D119" s="5">
        <v>1</v>
      </c>
      <c r="E119" s="5">
        <v>217</v>
      </c>
      <c r="F119" s="5">
        <f>ROUND(Source!AU100,O119)</f>
        <v>0</v>
      </c>
      <c r="G119" s="5" t="s">
        <v>82</v>
      </c>
      <c r="H119" s="5" t="s">
        <v>83</v>
      </c>
      <c r="I119" s="5"/>
      <c r="J119" s="5"/>
      <c r="K119" s="5">
        <v>217</v>
      </c>
      <c r="L119" s="5">
        <v>18</v>
      </c>
      <c r="M119" s="5">
        <v>3</v>
      </c>
      <c r="N119" s="5" t="s">
        <v>3</v>
      </c>
      <c r="O119" s="5">
        <v>2</v>
      </c>
      <c r="P119" s="5"/>
      <c r="Q119" s="5"/>
      <c r="R119" s="5"/>
      <c r="S119" s="5"/>
      <c r="T119" s="5"/>
      <c r="U119" s="5"/>
      <c r="V119" s="5"/>
      <c r="W119" s="5"/>
    </row>
    <row r="120" spans="1:23" x14ac:dyDescent="0.2">
      <c r="A120" s="5">
        <v>50</v>
      </c>
      <c r="B120" s="5">
        <v>0</v>
      </c>
      <c r="C120" s="5">
        <v>0</v>
      </c>
      <c r="D120" s="5">
        <v>1</v>
      </c>
      <c r="E120" s="5">
        <v>230</v>
      </c>
      <c r="F120" s="5">
        <f>ROUND(Source!BA100,O120)</f>
        <v>0</v>
      </c>
      <c r="G120" s="5" t="s">
        <v>84</v>
      </c>
      <c r="H120" s="5" t="s">
        <v>85</v>
      </c>
      <c r="I120" s="5"/>
      <c r="J120" s="5"/>
      <c r="K120" s="5">
        <v>230</v>
      </c>
      <c r="L120" s="5">
        <v>19</v>
      </c>
      <c r="M120" s="5">
        <v>3</v>
      </c>
      <c r="N120" s="5" t="s">
        <v>3</v>
      </c>
      <c r="O120" s="5">
        <v>2</v>
      </c>
      <c r="P120" s="5"/>
      <c r="Q120" s="5"/>
      <c r="R120" s="5"/>
      <c r="S120" s="5"/>
      <c r="T120" s="5"/>
      <c r="U120" s="5"/>
      <c r="V120" s="5"/>
      <c r="W120" s="5"/>
    </row>
    <row r="121" spans="1:23" x14ac:dyDescent="0.2">
      <c r="A121" s="5">
        <v>50</v>
      </c>
      <c r="B121" s="5">
        <v>0</v>
      </c>
      <c r="C121" s="5">
        <v>0</v>
      </c>
      <c r="D121" s="5">
        <v>1</v>
      </c>
      <c r="E121" s="5">
        <v>206</v>
      </c>
      <c r="F121" s="5">
        <f>ROUND(Source!T100,O121)</f>
        <v>0</v>
      </c>
      <c r="G121" s="5" t="s">
        <v>86</v>
      </c>
      <c r="H121" s="5" t="s">
        <v>87</v>
      </c>
      <c r="I121" s="5"/>
      <c r="J121" s="5"/>
      <c r="K121" s="5">
        <v>206</v>
      </c>
      <c r="L121" s="5">
        <v>20</v>
      </c>
      <c r="M121" s="5">
        <v>1</v>
      </c>
      <c r="N121" s="5" t="s">
        <v>3</v>
      </c>
      <c r="O121" s="5">
        <v>2</v>
      </c>
      <c r="P121" s="5"/>
      <c r="Q121" s="5"/>
      <c r="R121" s="5"/>
      <c r="S121" s="5"/>
      <c r="T121" s="5"/>
      <c r="U121" s="5"/>
      <c r="V121" s="5"/>
      <c r="W121" s="5"/>
    </row>
    <row r="122" spans="1:23" x14ac:dyDescent="0.2">
      <c r="A122" s="5">
        <v>50</v>
      </c>
      <c r="B122" s="5">
        <v>1</v>
      </c>
      <c r="C122" s="5">
        <v>0</v>
      </c>
      <c r="D122" s="5">
        <v>1</v>
      </c>
      <c r="E122" s="5">
        <v>207</v>
      </c>
      <c r="F122" s="5">
        <f>Source!U100</f>
        <v>453.54000000000008</v>
      </c>
      <c r="G122" s="5" t="s">
        <v>88</v>
      </c>
      <c r="H122" s="5" t="s">
        <v>89</v>
      </c>
      <c r="I122" s="5"/>
      <c r="J122" s="5"/>
      <c r="K122" s="5">
        <v>207</v>
      </c>
      <c r="L122" s="5">
        <v>21</v>
      </c>
      <c r="M122" s="5">
        <v>1</v>
      </c>
      <c r="N122" s="5" t="s">
        <v>3</v>
      </c>
      <c r="O122" s="5">
        <v>-1</v>
      </c>
      <c r="P122" s="5"/>
      <c r="Q122" s="5"/>
      <c r="R122" s="5"/>
      <c r="S122" s="5"/>
      <c r="T122" s="5"/>
      <c r="U122" s="5"/>
      <c r="V122" s="5"/>
      <c r="W122" s="5"/>
    </row>
    <row r="123" spans="1:23" x14ac:dyDescent="0.2">
      <c r="A123" s="5">
        <v>50</v>
      </c>
      <c r="B123" s="5">
        <v>0</v>
      </c>
      <c r="C123" s="5">
        <v>0</v>
      </c>
      <c r="D123" s="5">
        <v>1</v>
      </c>
      <c r="E123" s="5">
        <v>208</v>
      </c>
      <c r="F123" s="5">
        <f>Source!V100</f>
        <v>0</v>
      </c>
      <c r="G123" s="5" t="s">
        <v>90</v>
      </c>
      <c r="H123" s="5" t="s">
        <v>91</v>
      </c>
      <c r="I123" s="5"/>
      <c r="J123" s="5"/>
      <c r="K123" s="5">
        <v>208</v>
      </c>
      <c r="L123" s="5">
        <v>22</v>
      </c>
      <c r="M123" s="5">
        <v>1</v>
      </c>
      <c r="N123" s="5" t="s">
        <v>3</v>
      </c>
      <c r="O123" s="5">
        <v>-1</v>
      </c>
      <c r="P123" s="5"/>
      <c r="Q123" s="5"/>
      <c r="R123" s="5"/>
      <c r="S123" s="5"/>
      <c r="T123" s="5"/>
      <c r="U123" s="5"/>
      <c r="V123" s="5"/>
      <c r="W123" s="5"/>
    </row>
    <row r="124" spans="1:23" x14ac:dyDescent="0.2">
      <c r="A124" s="5">
        <v>50</v>
      </c>
      <c r="B124" s="5">
        <v>0</v>
      </c>
      <c r="C124" s="5">
        <v>0</v>
      </c>
      <c r="D124" s="5">
        <v>1</v>
      </c>
      <c r="E124" s="5">
        <v>209</v>
      </c>
      <c r="F124" s="5">
        <f>ROUND(Source!W100,O124)</f>
        <v>0</v>
      </c>
      <c r="G124" s="5" t="s">
        <v>92</v>
      </c>
      <c r="H124" s="5" t="s">
        <v>93</v>
      </c>
      <c r="I124" s="5"/>
      <c r="J124" s="5"/>
      <c r="K124" s="5">
        <v>209</v>
      </c>
      <c r="L124" s="5">
        <v>23</v>
      </c>
      <c r="M124" s="5">
        <v>1</v>
      </c>
      <c r="N124" s="5" t="s">
        <v>3</v>
      </c>
      <c r="O124" s="5">
        <v>2</v>
      </c>
      <c r="P124" s="5"/>
      <c r="Q124" s="5"/>
      <c r="R124" s="5"/>
      <c r="S124" s="5"/>
      <c r="T124" s="5"/>
      <c r="U124" s="5"/>
      <c r="V124" s="5"/>
      <c r="W124" s="5"/>
    </row>
    <row r="125" spans="1:23" x14ac:dyDescent="0.2">
      <c r="A125" s="5">
        <v>50</v>
      </c>
      <c r="B125" s="5">
        <v>1</v>
      </c>
      <c r="C125" s="5">
        <v>0</v>
      </c>
      <c r="D125" s="5">
        <v>1</v>
      </c>
      <c r="E125" s="5">
        <v>210</v>
      </c>
      <c r="F125" s="5">
        <f>ROUND(Source!X100,O125)</f>
        <v>277243.90000000002</v>
      </c>
      <c r="G125" s="5" t="s">
        <v>94</v>
      </c>
      <c r="H125" s="5" t="s">
        <v>95</v>
      </c>
      <c r="I125" s="5"/>
      <c r="J125" s="5"/>
      <c r="K125" s="5">
        <v>210</v>
      </c>
      <c r="L125" s="5">
        <v>24</v>
      </c>
      <c r="M125" s="5">
        <v>1</v>
      </c>
      <c r="N125" s="5" t="s">
        <v>3</v>
      </c>
      <c r="O125" s="5">
        <v>2</v>
      </c>
      <c r="P125" s="5"/>
      <c r="Q125" s="5"/>
      <c r="R125" s="5"/>
      <c r="S125" s="5"/>
      <c r="T125" s="5"/>
      <c r="U125" s="5"/>
      <c r="V125" s="5"/>
      <c r="W125" s="5"/>
    </row>
    <row r="126" spans="1:23" x14ac:dyDescent="0.2">
      <c r="A126" s="5">
        <v>50</v>
      </c>
      <c r="B126" s="5">
        <v>1</v>
      </c>
      <c r="C126" s="5">
        <v>0</v>
      </c>
      <c r="D126" s="5">
        <v>1</v>
      </c>
      <c r="E126" s="5">
        <v>211</v>
      </c>
      <c r="F126" s="5">
        <f>ROUND(Source!Y100,O126)</f>
        <v>83817.929999999993</v>
      </c>
      <c r="G126" s="5" t="s">
        <v>96</v>
      </c>
      <c r="H126" s="5" t="s">
        <v>97</v>
      </c>
      <c r="I126" s="5"/>
      <c r="J126" s="5"/>
      <c r="K126" s="5">
        <v>211</v>
      </c>
      <c r="L126" s="5">
        <v>25</v>
      </c>
      <c r="M126" s="5">
        <v>1</v>
      </c>
      <c r="N126" s="5" t="s">
        <v>3</v>
      </c>
      <c r="O126" s="5">
        <v>2</v>
      </c>
      <c r="P126" s="5"/>
      <c r="Q126" s="5"/>
      <c r="R126" s="5"/>
      <c r="S126" s="5"/>
      <c r="T126" s="5"/>
      <c r="U126" s="5"/>
      <c r="V126" s="5"/>
      <c r="W126" s="5"/>
    </row>
    <row r="127" spans="1:23" x14ac:dyDescent="0.2">
      <c r="A127" s="5">
        <v>50</v>
      </c>
      <c r="B127" s="5">
        <v>0</v>
      </c>
      <c r="C127" s="5">
        <v>0</v>
      </c>
      <c r="D127" s="5">
        <v>1</v>
      </c>
      <c r="E127" s="5">
        <v>224</v>
      </c>
      <c r="F127" s="5">
        <f>ROUND(Source!AR100,O127)</f>
        <v>490012.48</v>
      </c>
      <c r="G127" s="5" t="s">
        <v>98</v>
      </c>
      <c r="H127" s="5" t="s">
        <v>99</v>
      </c>
      <c r="I127" s="5"/>
      <c r="J127" s="5"/>
      <c r="K127" s="5">
        <v>224</v>
      </c>
      <c r="L127" s="5">
        <v>26</v>
      </c>
      <c r="M127" s="5">
        <v>3</v>
      </c>
      <c r="N127" s="5" t="s">
        <v>3</v>
      </c>
      <c r="O127" s="5">
        <v>2</v>
      </c>
      <c r="P127" s="5"/>
      <c r="Q127" s="5"/>
      <c r="R127" s="5"/>
      <c r="S127" s="5"/>
      <c r="T127" s="5"/>
      <c r="U127" s="5"/>
      <c r="V127" s="5"/>
      <c r="W127" s="5"/>
    </row>
    <row r="128" spans="1:23" x14ac:dyDescent="0.2">
      <c r="A128" s="5">
        <v>50</v>
      </c>
      <c r="B128" s="5">
        <v>1</v>
      </c>
      <c r="C128" s="5">
        <v>0</v>
      </c>
      <c r="D128" s="5">
        <v>2</v>
      </c>
      <c r="E128" s="5">
        <v>0</v>
      </c>
      <c r="F128" s="5">
        <f>ROUND(F102+F125+F126,O128)</f>
        <v>490012.48</v>
      </c>
      <c r="G128" s="5" t="s">
        <v>100</v>
      </c>
      <c r="H128" s="5" t="s">
        <v>101</v>
      </c>
      <c r="I128" s="5"/>
      <c r="J128" s="5"/>
      <c r="K128" s="5">
        <v>212</v>
      </c>
      <c r="L128" s="5">
        <v>27</v>
      </c>
      <c r="M128" s="5">
        <v>0</v>
      </c>
      <c r="N128" s="5" t="s">
        <v>3</v>
      </c>
      <c r="O128" s="5">
        <v>2</v>
      </c>
      <c r="P128" s="5"/>
      <c r="Q128" s="5"/>
      <c r="R128" s="5"/>
      <c r="S128" s="5"/>
      <c r="T128" s="5"/>
      <c r="U128" s="5"/>
      <c r="V128" s="5"/>
      <c r="W128" s="5"/>
    </row>
    <row r="129" spans="1:23" x14ac:dyDescent="0.2">
      <c r="A129" s="5">
        <v>50</v>
      </c>
      <c r="B129" s="5">
        <v>1</v>
      </c>
      <c r="C129" s="5">
        <v>0</v>
      </c>
      <c r="D129" s="5">
        <v>2</v>
      </c>
      <c r="E129" s="5">
        <v>0</v>
      </c>
      <c r="F129" s="5">
        <f>ROUND(F128*0.18,O129)</f>
        <v>88202.25</v>
      </c>
      <c r="G129" s="5" t="s">
        <v>102</v>
      </c>
      <c r="H129" s="5" t="s">
        <v>103</v>
      </c>
      <c r="I129" s="5"/>
      <c r="J129" s="5"/>
      <c r="K129" s="5">
        <v>212</v>
      </c>
      <c r="L129" s="5">
        <v>28</v>
      </c>
      <c r="M129" s="5">
        <v>0</v>
      </c>
      <c r="N129" s="5" t="s">
        <v>3</v>
      </c>
      <c r="O129" s="5">
        <v>2</v>
      </c>
      <c r="P129" s="5"/>
      <c r="Q129" s="5"/>
      <c r="R129" s="5"/>
      <c r="S129" s="5"/>
      <c r="T129" s="5"/>
      <c r="U129" s="5"/>
      <c r="V129" s="5"/>
      <c r="W129" s="5"/>
    </row>
    <row r="130" spans="1:23" x14ac:dyDescent="0.2">
      <c r="A130" s="5">
        <v>50</v>
      </c>
      <c r="B130" s="5">
        <v>1</v>
      </c>
      <c r="C130" s="5">
        <v>0</v>
      </c>
      <c r="D130" s="5">
        <v>2</v>
      </c>
      <c r="E130" s="5">
        <v>0</v>
      </c>
      <c r="F130" s="5">
        <f>ROUND(F128+F129,O130)</f>
        <v>578214.73</v>
      </c>
      <c r="G130" s="5" t="s">
        <v>104</v>
      </c>
      <c r="H130" s="5" t="s">
        <v>98</v>
      </c>
      <c r="I130" s="5"/>
      <c r="J130" s="5"/>
      <c r="K130" s="5">
        <v>212</v>
      </c>
      <c r="L130" s="5">
        <v>29</v>
      </c>
      <c r="M130" s="5">
        <v>0</v>
      </c>
      <c r="N130" s="5" t="s">
        <v>3</v>
      </c>
      <c r="O130" s="5">
        <v>2</v>
      </c>
      <c r="P130" s="5"/>
      <c r="Q130" s="5"/>
      <c r="R130" s="5"/>
      <c r="S130" s="5"/>
      <c r="T130" s="5"/>
      <c r="U130" s="5"/>
      <c r="V130" s="5"/>
      <c r="W130" s="5"/>
    </row>
    <row r="133" spans="1:23" x14ac:dyDescent="0.2">
      <c r="A133">
        <v>-1</v>
      </c>
    </row>
    <row r="135" spans="1:23" x14ac:dyDescent="0.2">
      <c r="A135" s="4">
        <v>75</v>
      </c>
      <c r="B135" s="4" t="s">
        <v>105</v>
      </c>
      <c r="C135" s="4">
        <v>2000</v>
      </c>
      <c r="D135" s="4">
        <v>0</v>
      </c>
      <c r="E135" s="4">
        <v>1</v>
      </c>
      <c r="F135" s="4"/>
      <c r="G135" s="4">
        <v>0</v>
      </c>
      <c r="H135" s="4">
        <v>1</v>
      </c>
      <c r="I135" s="4">
        <v>0</v>
      </c>
      <c r="J135" s="4">
        <v>1</v>
      </c>
      <c r="K135" s="4">
        <v>0</v>
      </c>
      <c r="L135" s="4">
        <v>0</v>
      </c>
      <c r="M135" s="4">
        <v>0</v>
      </c>
      <c r="N135" s="4">
        <v>24979405</v>
      </c>
      <c r="O135" s="4">
        <v>1</v>
      </c>
    </row>
    <row r="136" spans="1:23" x14ac:dyDescent="0.2">
      <c r="A136" s="6">
        <v>2</v>
      </c>
      <c r="B136" s="6" t="s">
        <v>106</v>
      </c>
      <c r="C136" s="6" t="s">
        <v>107</v>
      </c>
      <c r="D136" s="6">
        <v>0</v>
      </c>
      <c r="E136" s="6">
        <v>0</v>
      </c>
    </row>
    <row r="140" spans="1:23" x14ac:dyDescent="0.2">
      <c r="A140">
        <v>65</v>
      </c>
      <c r="C140">
        <v>1</v>
      </c>
      <c r="D140">
        <v>0</v>
      </c>
      <c r="E14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108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22679</v>
      </c>
      <c r="M1">
        <v>10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3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0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-1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3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4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24979405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1</v>
      </c>
      <c r="C16" s="7" t="s">
        <v>11</v>
      </c>
      <c r="D16" s="7" t="s">
        <v>11</v>
      </c>
      <c r="E16" s="8">
        <f>(Source!F85)/1000</f>
        <v>490.01247999999998</v>
      </c>
      <c r="F16" s="8">
        <f>(Source!F86)/1000</f>
        <v>0</v>
      </c>
      <c r="G16" s="8">
        <f>(Source!F77)/1000</f>
        <v>0</v>
      </c>
      <c r="H16" s="8">
        <f>(Source!F87)/1000+(Source!F88)/1000</f>
        <v>0</v>
      </c>
      <c r="I16" s="8">
        <f>E16+F16+G16+H16</f>
        <v>490.01247999999998</v>
      </c>
      <c r="J16" s="8">
        <f>(Source!F83)/1000</f>
        <v>128.95065</v>
      </c>
      <c r="AI16" s="7">
        <v>0</v>
      </c>
      <c r="AJ16" s="7">
        <v>0</v>
      </c>
      <c r="AK16" s="7" t="s">
        <v>3</v>
      </c>
      <c r="AL16" s="7" t="s">
        <v>3</v>
      </c>
      <c r="AM16" s="7" t="s">
        <v>3</v>
      </c>
      <c r="AN16" s="7">
        <v>0</v>
      </c>
      <c r="AO16" s="7" t="s">
        <v>3</v>
      </c>
      <c r="AP16" s="7" t="s">
        <v>3</v>
      </c>
      <c r="AT16" s="8">
        <v>166812.67000000001</v>
      </c>
      <c r="AU16" s="8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8">
        <v>166812.67000000001</v>
      </c>
      <c r="BB16" s="8">
        <v>633888.13</v>
      </c>
      <c r="BC16" s="8">
        <v>0</v>
      </c>
      <c r="BD16" s="8">
        <v>0</v>
      </c>
      <c r="BE16" s="8">
        <v>0</v>
      </c>
      <c r="BF16" s="8">
        <v>653.12</v>
      </c>
      <c r="BG16" s="8">
        <v>0</v>
      </c>
      <c r="BH16" s="8">
        <v>0</v>
      </c>
      <c r="BI16" s="8">
        <v>358647.23</v>
      </c>
      <c r="BJ16" s="8">
        <v>108428.23</v>
      </c>
      <c r="BK16" s="8">
        <v>633888.13</v>
      </c>
    </row>
    <row r="18" spans="1:19" x14ac:dyDescent="0.2">
      <c r="A18">
        <v>51</v>
      </c>
      <c r="E18" s="9">
        <f>SUMIF(A16:A17,3,E16:E17)</f>
        <v>490.01247999999998</v>
      </c>
      <c r="F18" s="9">
        <f>SUMIF(A16:A17,3,F16:F17)</f>
        <v>0</v>
      </c>
      <c r="G18" s="9">
        <f>SUMIF(A16:A17,3,G16:G17)</f>
        <v>0</v>
      </c>
      <c r="H18" s="9">
        <f>SUMIF(A16:A17,3,H16:H17)</f>
        <v>0</v>
      </c>
      <c r="I18" s="9">
        <f>SUMIF(A16:A17,3,I16:I17)</f>
        <v>490.01247999999998</v>
      </c>
      <c r="J18" s="9">
        <f>SUMIF(A16:A17,3,J16:J17)</f>
        <v>128.95065</v>
      </c>
      <c r="K18" s="9"/>
      <c r="L18" s="9"/>
      <c r="M18" s="9"/>
      <c r="N18" s="9"/>
      <c r="O18" s="9"/>
      <c r="P18" s="9"/>
      <c r="Q18" s="9"/>
      <c r="R18" s="9"/>
      <c r="S18" s="9"/>
    </row>
    <row r="20" spans="1:19" x14ac:dyDescent="0.2">
      <c r="A20" s="5">
        <v>50</v>
      </c>
      <c r="B20" s="5">
        <f>IF(SourceObSm!F20&lt;&gt;0,1,0)</f>
        <v>1</v>
      </c>
      <c r="C20" s="5">
        <v>0</v>
      </c>
      <c r="D20" s="5">
        <v>1</v>
      </c>
      <c r="E20" s="5">
        <v>201</v>
      </c>
      <c r="F20" s="5">
        <v>166812.67000000001</v>
      </c>
      <c r="G20" s="5" t="s">
        <v>48</v>
      </c>
      <c r="H20" s="5" t="s">
        <v>49</v>
      </c>
      <c r="I20" s="5"/>
      <c r="J20" s="5"/>
      <c r="K20" s="5">
        <v>201</v>
      </c>
      <c r="L20" s="5">
        <v>1</v>
      </c>
      <c r="M20" s="5">
        <v>1</v>
      </c>
      <c r="N20" s="5" t="s">
        <v>3</v>
      </c>
      <c r="O20" s="5">
        <v>2</v>
      </c>
      <c r="P20" s="5"/>
    </row>
    <row r="21" spans="1:19" x14ac:dyDescent="0.2">
      <c r="A21" s="5">
        <v>50</v>
      </c>
      <c r="B21" s="5">
        <f>IF(SourceObSm!F21&lt;&gt;0,1,0)</f>
        <v>0</v>
      </c>
      <c r="C21" s="5">
        <v>0</v>
      </c>
      <c r="D21" s="5">
        <v>1</v>
      </c>
      <c r="E21" s="5">
        <v>202</v>
      </c>
      <c r="F21" s="5">
        <v>0</v>
      </c>
      <c r="G21" s="5" t="s">
        <v>50</v>
      </c>
      <c r="H21" s="5" t="s">
        <v>51</v>
      </c>
      <c r="I21" s="5"/>
      <c r="J21" s="5"/>
      <c r="K21" s="5">
        <v>202</v>
      </c>
      <c r="L21" s="5">
        <v>2</v>
      </c>
      <c r="M21" s="5">
        <v>1</v>
      </c>
      <c r="N21" s="5" t="s">
        <v>3</v>
      </c>
      <c r="O21" s="5">
        <v>2</v>
      </c>
      <c r="P21" s="5"/>
    </row>
    <row r="22" spans="1:19" x14ac:dyDescent="0.2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52</v>
      </c>
      <c r="H22" s="5" t="s">
        <v>53</v>
      </c>
      <c r="I22" s="5"/>
      <c r="J22" s="5"/>
      <c r="K22" s="5">
        <v>222</v>
      </c>
      <c r="L22" s="5">
        <v>3</v>
      </c>
      <c r="M22" s="5">
        <v>3</v>
      </c>
      <c r="N22" s="5" t="s">
        <v>3</v>
      </c>
      <c r="O22" s="5">
        <v>2</v>
      </c>
      <c r="P22" s="5"/>
    </row>
    <row r="23" spans="1:19" x14ac:dyDescent="0.2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0</v>
      </c>
      <c r="G23" s="5" t="s">
        <v>54</v>
      </c>
      <c r="H23" s="5" t="s">
        <v>55</v>
      </c>
      <c r="I23" s="5"/>
      <c r="J23" s="5"/>
      <c r="K23" s="5">
        <v>225</v>
      </c>
      <c r="L23" s="5">
        <v>4</v>
      </c>
      <c r="M23" s="5">
        <v>3</v>
      </c>
      <c r="N23" s="5" t="s">
        <v>3</v>
      </c>
      <c r="O23" s="5">
        <v>2</v>
      </c>
      <c r="P23" s="5"/>
    </row>
    <row r="24" spans="1:19" x14ac:dyDescent="0.2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0</v>
      </c>
      <c r="G24" s="5" t="s">
        <v>56</v>
      </c>
      <c r="H24" s="5" t="s">
        <v>57</v>
      </c>
      <c r="I24" s="5"/>
      <c r="J24" s="5"/>
      <c r="K24" s="5">
        <v>226</v>
      </c>
      <c r="L24" s="5">
        <v>5</v>
      </c>
      <c r="M24" s="5">
        <v>3</v>
      </c>
      <c r="N24" s="5" t="s">
        <v>3</v>
      </c>
      <c r="O24" s="5">
        <v>2</v>
      </c>
      <c r="P24" s="5"/>
    </row>
    <row r="25" spans="1:19" x14ac:dyDescent="0.2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58</v>
      </c>
      <c r="H25" s="5" t="s">
        <v>59</v>
      </c>
      <c r="I25" s="5"/>
      <c r="J25" s="5"/>
      <c r="K25" s="5">
        <v>227</v>
      </c>
      <c r="L25" s="5">
        <v>6</v>
      </c>
      <c r="M25" s="5">
        <v>3</v>
      </c>
      <c r="N25" s="5" t="s">
        <v>3</v>
      </c>
      <c r="O25" s="5">
        <v>2</v>
      </c>
      <c r="P25" s="5"/>
    </row>
    <row r="26" spans="1:19" x14ac:dyDescent="0.2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0</v>
      </c>
      <c r="G26" s="5" t="s">
        <v>60</v>
      </c>
      <c r="H26" s="5" t="s">
        <v>61</v>
      </c>
      <c r="I26" s="5"/>
      <c r="J26" s="5"/>
      <c r="K26" s="5">
        <v>228</v>
      </c>
      <c r="L26" s="5">
        <v>7</v>
      </c>
      <c r="M26" s="5">
        <v>3</v>
      </c>
      <c r="N26" s="5" t="s">
        <v>3</v>
      </c>
      <c r="O26" s="5">
        <v>2</v>
      </c>
      <c r="P26" s="5"/>
    </row>
    <row r="27" spans="1:19" x14ac:dyDescent="0.2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62</v>
      </c>
      <c r="H27" s="5" t="s">
        <v>63</v>
      </c>
      <c r="I27" s="5"/>
      <c r="J27" s="5"/>
      <c r="K27" s="5">
        <v>216</v>
      </c>
      <c r="L27" s="5">
        <v>8</v>
      </c>
      <c r="M27" s="5">
        <v>3</v>
      </c>
      <c r="N27" s="5" t="s">
        <v>3</v>
      </c>
      <c r="O27" s="5">
        <v>2</v>
      </c>
      <c r="P27" s="5"/>
    </row>
    <row r="28" spans="1:19" x14ac:dyDescent="0.2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64</v>
      </c>
      <c r="H28" s="5" t="s">
        <v>65</v>
      </c>
      <c r="I28" s="5"/>
      <c r="J28" s="5"/>
      <c r="K28" s="5">
        <v>223</v>
      </c>
      <c r="L28" s="5">
        <v>9</v>
      </c>
      <c r="M28" s="5">
        <v>3</v>
      </c>
      <c r="N28" s="5" t="s">
        <v>3</v>
      </c>
      <c r="O28" s="5">
        <v>2</v>
      </c>
      <c r="P28" s="5"/>
    </row>
    <row r="29" spans="1:19" x14ac:dyDescent="0.2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66</v>
      </c>
      <c r="H29" s="5" t="s">
        <v>67</v>
      </c>
      <c r="I29" s="5"/>
      <c r="J29" s="5"/>
      <c r="K29" s="5">
        <v>229</v>
      </c>
      <c r="L29" s="5">
        <v>10</v>
      </c>
      <c r="M29" s="5">
        <v>3</v>
      </c>
      <c r="N29" s="5" t="s">
        <v>3</v>
      </c>
      <c r="O29" s="5">
        <v>2</v>
      </c>
      <c r="P29" s="5"/>
    </row>
    <row r="30" spans="1:19" x14ac:dyDescent="0.2">
      <c r="A30" s="5">
        <v>50</v>
      </c>
      <c r="B30" s="5">
        <f>IF(SourceObSm!F30&lt;&gt;0,1,0)</f>
        <v>0</v>
      </c>
      <c r="C30" s="5">
        <v>0</v>
      </c>
      <c r="D30" s="5">
        <v>1</v>
      </c>
      <c r="E30" s="5">
        <v>203</v>
      </c>
      <c r="F30" s="5">
        <v>0</v>
      </c>
      <c r="G30" s="5" t="s">
        <v>68</v>
      </c>
      <c r="H30" s="5" t="s">
        <v>69</v>
      </c>
      <c r="I30" s="5"/>
      <c r="J30" s="5"/>
      <c r="K30" s="5">
        <v>203</v>
      </c>
      <c r="L30" s="5">
        <v>11</v>
      </c>
      <c r="M30" s="5">
        <v>1</v>
      </c>
      <c r="N30" s="5" t="s">
        <v>3</v>
      </c>
      <c r="O30" s="5">
        <v>2</v>
      </c>
      <c r="P30" s="5"/>
    </row>
    <row r="31" spans="1:19" x14ac:dyDescent="0.2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70</v>
      </c>
      <c r="H31" s="5" t="s">
        <v>71</v>
      </c>
      <c r="I31" s="5"/>
      <c r="J31" s="5"/>
      <c r="K31" s="5">
        <v>231</v>
      </c>
      <c r="L31" s="5">
        <v>12</v>
      </c>
      <c r="M31" s="5">
        <v>3</v>
      </c>
      <c r="N31" s="5" t="s">
        <v>3</v>
      </c>
      <c r="O31" s="5">
        <v>2</v>
      </c>
      <c r="P31" s="5"/>
    </row>
    <row r="32" spans="1:19" x14ac:dyDescent="0.2">
      <c r="A32" s="5">
        <v>50</v>
      </c>
      <c r="B32" s="5">
        <f>IF(SourceObSm!F32&lt;&gt;0,1,0)</f>
        <v>0</v>
      </c>
      <c r="C32" s="5">
        <v>0</v>
      </c>
      <c r="D32" s="5">
        <v>1</v>
      </c>
      <c r="E32" s="5">
        <v>204</v>
      </c>
      <c r="F32" s="5">
        <v>0</v>
      </c>
      <c r="G32" s="5" t="s">
        <v>72</v>
      </c>
      <c r="H32" s="5" t="s">
        <v>73</v>
      </c>
      <c r="I32" s="5"/>
      <c r="J32" s="5"/>
      <c r="K32" s="5">
        <v>204</v>
      </c>
      <c r="L32" s="5">
        <v>13</v>
      </c>
      <c r="M32" s="5">
        <v>1</v>
      </c>
      <c r="N32" s="5" t="s">
        <v>3</v>
      </c>
      <c r="O32" s="5">
        <v>2</v>
      </c>
      <c r="P32" s="5"/>
    </row>
    <row r="33" spans="1:16" x14ac:dyDescent="0.2">
      <c r="A33" s="5">
        <v>50</v>
      </c>
      <c r="B33" s="5">
        <f>IF(SourceObSm!F33&lt;&gt;0,1,0)</f>
        <v>1</v>
      </c>
      <c r="C33" s="5">
        <v>0</v>
      </c>
      <c r="D33" s="5">
        <v>1</v>
      </c>
      <c r="E33" s="5">
        <v>205</v>
      </c>
      <c r="F33" s="5">
        <v>166812.67000000001</v>
      </c>
      <c r="G33" s="5" t="s">
        <v>74</v>
      </c>
      <c r="H33" s="5" t="s">
        <v>75</v>
      </c>
      <c r="I33" s="5"/>
      <c r="J33" s="5"/>
      <c r="K33" s="5">
        <v>205</v>
      </c>
      <c r="L33" s="5">
        <v>14</v>
      </c>
      <c r="M33" s="5">
        <v>1</v>
      </c>
      <c r="N33" s="5" t="s">
        <v>3</v>
      </c>
      <c r="O33" s="5">
        <v>2</v>
      </c>
      <c r="P33" s="5"/>
    </row>
    <row r="34" spans="1:16" x14ac:dyDescent="0.2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76</v>
      </c>
      <c r="H34" s="5" t="s">
        <v>77</v>
      </c>
      <c r="I34" s="5"/>
      <c r="J34" s="5"/>
      <c r="K34" s="5">
        <v>232</v>
      </c>
      <c r="L34" s="5">
        <v>15</v>
      </c>
      <c r="M34" s="5">
        <v>3</v>
      </c>
      <c r="N34" s="5" t="s">
        <v>3</v>
      </c>
      <c r="O34" s="5">
        <v>2</v>
      </c>
      <c r="P34" s="5"/>
    </row>
    <row r="35" spans="1:16" x14ac:dyDescent="0.2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633888.13</v>
      </c>
      <c r="G35" s="5" t="s">
        <v>78</v>
      </c>
      <c r="H35" s="5" t="s">
        <v>79</v>
      </c>
      <c r="I35" s="5"/>
      <c r="J35" s="5"/>
      <c r="K35" s="5">
        <v>214</v>
      </c>
      <c r="L35" s="5">
        <v>16</v>
      </c>
      <c r="M35" s="5">
        <v>3</v>
      </c>
      <c r="N35" s="5" t="s">
        <v>3</v>
      </c>
      <c r="O35" s="5">
        <v>2</v>
      </c>
      <c r="P35" s="5"/>
    </row>
    <row r="36" spans="1:16" x14ac:dyDescent="0.2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80</v>
      </c>
      <c r="H36" s="5" t="s">
        <v>81</v>
      </c>
      <c r="I36" s="5"/>
      <c r="J36" s="5"/>
      <c r="K36" s="5">
        <v>215</v>
      </c>
      <c r="L36" s="5">
        <v>17</v>
      </c>
      <c r="M36" s="5">
        <v>3</v>
      </c>
      <c r="N36" s="5" t="s">
        <v>3</v>
      </c>
      <c r="O36" s="5">
        <v>2</v>
      </c>
      <c r="P36" s="5"/>
    </row>
    <row r="37" spans="1:16" x14ac:dyDescent="0.2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0</v>
      </c>
      <c r="G37" s="5" t="s">
        <v>82</v>
      </c>
      <c r="H37" s="5" t="s">
        <v>83</v>
      </c>
      <c r="I37" s="5"/>
      <c r="J37" s="5"/>
      <c r="K37" s="5">
        <v>217</v>
      </c>
      <c r="L37" s="5">
        <v>18</v>
      </c>
      <c r="M37" s="5">
        <v>3</v>
      </c>
      <c r="N37" s="5" t="s">
        <v>3</v>
      </c>
      <c r="O37" s="5">
        <v>2</v>
      </c>
      <c r="P37" s="5"/>
    </row>
    <row r="38" spans="1:16" x14ac:dyDescent="0.2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84</v>
      </c>
      <c r="H38" s="5" t="s">
        <v>85</v>
      </c>
      <c r="I38" s="5"/>
      <c r="J38" s="5"/>
      <c r="K38" s="5">
        <v>230</v>
      </c>
      <c r="L38" s="5">
        <v>19</v>
      </c>
      <c r="M38" s="5">
        <v>3</v>
      </c>
      <c r="N38" s="5" t="s">
        <v>3</v>
      </c>
      <c r="O38" s="5">
        <v>2</v>
      </c>
      <c r="P38" s="5"/>
    </row>
    <row r="39" spans="1:16" x14ac:dyDescent="0.2">
      <c r="A39" s="5">
        <v>50</v>
      </c>
      <c r="B39" s="5">
        <f>IF(SourceObSm!F39&lt;&gt;0,1,0)</f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86</v>
      </c>
      <c r="H39" s="5" t="s">
        <v>87</v>
      </c>
      <c r="I39" s="5"/>
      <c r="J39" s="5"/>
      <c r="K39" s="5">
        <v>206</v>
      </c>
      <c r="L39" s="5">
        <v>20</v>
      </c>
      <c r="M39" s="5">
        <v>1</v>
      </c>
      <c r="N39" s="5" t="s">
        <v>3</v>
      </c>
      <c r="O39" s="5">
        <v>2</v>
      </c>
      <c r="P39" s="5"/>
    </row>
    <row r="40" spans="1:16" x14ac:dyDescent="0.2">
      <c r="A40" s="5">
        <v>50</v>
      </c>
      <c r="B40" s="5">
        <f>IF(SourceObSm!F40&lt;&gt;0,1,0)</f>
        <v>1</v>
      </c>
      <c r="C40" s="5">
        <v>0</v>
      </c>
      <c r="D40" s="5">
        <v>1</v>
      </c>
      <c r="E40" s="5">
        <v>207</v>
      </c>
      <c r="F40" s="5">
        <v>653.12</v>
      </c>
      <c r="G40" s="5" t="s">
        <v>88</v>
      </c>
      <c r="H40" s="5" t="s">
        <v>89</v>
      </c>
      <c r="I40" s="5"/>
      <c r="J40" s="5"/>
      <c r="K40" s="5">
        <v>207</v>
      </c>
      <c r="L40" s="5">
        <v>21</v>
      </c>
      <c r="M40" s="5">
        <v>1</v>
      </c>
      <c r="N40" s="5" t="s">
        <v>3</v>
      </c>
      <c r="O40" s="5">
        <v>-1</v>
      </c>
      <c r="P40" s="5"/>
    </row>
    <row r="41" spans="1:16" x14ac:dyDescent="0.2">
      <c r="A41" s="5">
        <v>50</v>
      </c>
      <c r="B41" s="5">
        <f>IF(SourceObSm!F41&lt;&gt;0,1,0)</f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90</v>
      </c>
      <c r="H41" s="5" t="s">
        <v>91</v>
      </c>
      <c r="I41" s="5"/>
      <c r="J41" s="5"/>
      <c r="K41" s="5">
        <v>208</v>
      </c>
      <c r="L41" s="5">
        <v>22</v>
      </c>
      <c r="M41" s="5">
        <v>1</v>
      </c>
      <c r="N41" s="5" t="s">
        <v>3</v>
      </c>
      <c r="O41" s="5">
        <v>-1</v>
      </c>
      <c r="P41" s="5"/>
    </row>
    <row r="42" spans="1:16" x14ac:dyDescent="0.2">
      <c r="A42" s="5">
        <v>50</v>
      </c>
      <c r="B42" s="5">
        <f>IF(SourceObSm!F42&lt;&gt;0,1,0)</f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92</v>
      </c>
      <c r="H42" s="5" t="s">
        <v>93</v>
      </c>
      <c r="I42" s="5"/>
      <c r="J42" s="5"/>
      <c r="K42" s="5">
        <v>209</v>
      </c>
      <c r="L42" s="5">
        <v>23</v>
      </c>
      <c r="M42" s="5">
        <v>1</v>
      </c>
      <c r="N42" s="5" t="s">
        <v>3</v>
      </c>
      <c r="O42" s="5">
        <v>2</v>
      </c>
      <c r="P42" s="5"/>
    </row>
    <row r="43" spans="1:16" x14ac:dyDescent="0.2">
      <c r="A43" s="5">
        <v>50</v>
      </c>
      <c r="B43" s="5">
        <f>IF(SourceObSm!F43&lt;&gt;0,1,0)</f>
        <v>1</v>
      </c>
      <c r="C43" s="5">
        <v>0</v>
      </c>
      <c r="D43" s="5">
        <v>1</v>
      </c>
      <c r="E43" s="5">
        <v>210</v>
      </c>
      <c r="F43" s="5">
        <v>358647.23</v>
      </c>
      <c r="G43" s="5" t="s">
        <v>94</v>
      </c>
      <c r="H43" s="5" t="s">
        <v>95</v>
      </c>
      <c r="I43" s="5"/>
      <c r="J43" s="5"/>
      <c r="K43" s="5">
        <v>210</v>
      </c>
      <c r="L43" s="5">
        <v>24</v>
      </c>
      <c r="M43" s="5">
        <v>1</v>
      </c>
      <c r="N43" s="5" t="s">
        <v>3</v>
      </c>
      <c r="O43" s="5">
        <v>2</v>
      </c>
      <c r="P43" s="5"/>
    </row>
    <row r="44" spans="1:16" x14ac:dyDescent="0.2">
      <c r="A44" s="5">
        <v>50</v>
      </c>
      <c r="B44" s="5">
        <f>IF(SourceObSm!F44&lt;&gt;0,1,0)</f>
        <v>1</v>
      </c>
      <c r="C44" s="5">
        <v>0</v>
      </c>
      <c r="D44" s="5">
        <v>1</v>
      </c>
      <c r="E44" s="5">
        <v>211</v>
      </c>
      <c r="F44" s="5">
        <v>108428.23</v>
      </c>
      <c r="G44" s="5" t="s">
        <v>96</v>
      </c>
      <c r="H44" s="5" t="s">
        <v>97</v>
      </c>
      <c r="I44" s="5"/>
      <c r="J44" s="5"/>
      <c r="K44" s="5">
        <v>211</v>
      </c>
      <c r="L44" s="5">
        <v>25</v>
      </c>
      <c r="M44" s="5">
        <v>1</v>
      </c>
      <c r="N44" s="5" t="s">
        <v>3</v>
      </c>
      <c r="O44" s="5">
        <v>2</v>
      </c>
      <c r="P44" s="5"/>
    </row>
    <row r="45" spans="1:16" x14ac:dyDescent="0.2">
      <c r="A45" s="5">
        <v>50</v>
      </c>
      <c r="B45" s="5">
        <v>0</v>
      </c>
      <c r="C45" s="5">
        <v>0</v>
      </c>
      <c r="D45" s="5">
        <v>1</v>
      </c>
      <c r="E45" s="5">
        <v>224</v>
      </c>
      <c r="F45" s="5">
        <v>633888.13</v>
      </c>
      <c r="G45" s="5" t="s">
        <v>98</v>
      </c>
      <c r="H45" s="5" t="s">
        <v>99</v>
      </c>
      <c r="I45" s="5"/>
      <c r="J45" s="5"/>
      <c r="K45" s="5">
        <v>224</v>
      </c>
      <c r="L45" s="5">
        <v>26</v>
      </c>
      <c r="M45" s="5">
        <v>3</v>
      </c>
      <c r="N45" s="5" t="s">
        <v>3</v>
      </c>
      <c r="O45" s="5">
        <v>2</v>
      </c>
      <c r="P45" s="5"/>
    </row>
    <row r="46" spans="1:16" x14ac:dyDescent="0.2">
      <c r="A46" s="5">
        <v>50</v>
      </c>
      <c r="B46" s="5">
        <v>1</v>
      </c>
      <c r="C46" s="5">
        <v>0</v>
      </c>
      <c r="D46" s="5">
        <v>2</v>
      </c>
      <c r="E46" s="5">
        <v>0</v>
      </c>
      <c r="F46" s="5">
        <v>633888.13</v>
      </c>
      <c r="G46" s="5" t="s">
        <v>100</v>
      </c>
      <c r="H46" s="5" t="s">
        <v>101</v>
      </c>
      <c r="I46" s="5"/>
      <c r="J46" s="5"/>
      <c r="K46" s="5">
        <v>212</v>
      </c>
      <c r="L46" s="5">
        <v>27</v>
      </c>
      <c r="M46" s="5">
        <v>0</v>
      </c>
      <c r="N46" s="5" t="s">
        <v>3</v>
      </c>
      <c r="O46" s="5">
        <v>2</v>
      </c>
      <c r="P46" s="5"/>
    </row>
    <row r="47" spans="1:16" x14ac:dyDescent="0.2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114099.86</v>
      </c>
      <c r="G47" s="5" t="s">
        <v>102</v>
      </c>
      <c r="H47" s="5" t="s">
        <v>103</v>
      </c>
      <c r="I47" s="5"/>
      <c r="J47" s="5"/>
      <c r="K47" s="5">
        <v>212</v>
      </c>
      <c r="L47" s="5">
        <v>28</v>
      </c>
      <c r="M47" s="5">
        <v>0</v>
      </c>
      <c r="N47" s="5" t="s">
        <v>3</v>
      </c>
      <c r="O47" s="5">
        <v>2</v>
      </c>
      <c r="P47" s="5"/>
    </row>
    <row r="48" spans="1:16" x14ac:dyDescent="0.2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747987.99</v>
      </c>
      <c r="G48" s="5" t="s">
        <v>104</v>
      </c>
      <c r="H48" s="5" t="s">
        <v>98</v>
      </c>
      <c r="I48" s="5"/>
      <c r="J48" s="5"/>
      <c r="K48" s="5">
        <v>212</v>
      </c>
      <c r="L48" s="5">
        <v>29</v>
      </c>
      <c r="M48" s="5">
        <v>0</v>
      </c>
      <c r="N48" s="5" t="s">
        <v>3</v>
      </c>
      <c r="O48" s="5">
        <v>2</v>
      </c>
      <c r="P48" s="5"/>
    </row>
    <row r="50" spans="1:15" x14ac:dyDescent="0.2">
      <c r="A50">
        <v>-1</v>
      </c>
    </row>
    <row r="53" spans="1:15" x14ac:dyDescent="0.2">
      <c r="A53" s="4">
        <v>75</v>
      </c>
      <c r="B53" s="4" t="s">
        <v>105</v>
      </c>
      <c r="C53" s="4">
        <v>2000</v>
      </c>
      <c r="D53" s="4">
        <v>0</v>
      </c>
      <c r="E53" s="4">
        <v>1</v>
      </c>
      <c r="F53" s="4"/>
      <c r="G53" s="4">
        <v>0</v>
      </c>
      <c r="H53" s="4">
        <v>1</v>
      </c>
      <c r="I53" s="4">
        <v>0</v>
      </c>
      <c r="J53" s="4">
        <v>1</v>
      </c>
      <c r="K53" s="4">
        <v>0</v>
      </c>
      <c r="L53" s="4">
        <v>0</v>
      </c>
      <c r="M53" s="4">
        <v>0</v>
      </c>
      <c r="N53" s="4">
        <v>24979405</v>
      </c>
      <c r="O53" s="4">
        <v>1</v>
      </c>
    </row>
    <row r="54" spans="1:15" x14ac:dyDescent="0.2">
      <c r="A54" s="6">
        <v>2</v>
      </c>
      <c r="B54" s="6" t="s">
        <v>106</v>
      </c>
      <c r="C54" s="6" t="s">
        <v>107</v>
      </c>
      <c r="D54" s="6">
        <v>0</v>
      </c>
      <c r="E54" s="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ROW(Source!A28)</f>
        <v>28</v>
      </c>
      <c r="B1">
        <v>24979405</v>
      </c>
      <c r="C1">
        <v>24979527</v>
      </c>
      <c r="D1">
        <v>13339081</v>
      </c>
      <c r="E1">
        <v>1</v>
      </c>
      <c r="F1">
        <v>1</v>
      </c>
      <c r="G1">
        <v>1</v>
      </c>
      <c r="H1">
        <v>1</v>
      </c>
      <c r="I1" t="s">
        <v>109</v>
      </c>
      <c r="J1" t="s">
        <v>3</v>
      </c>
      <c r="K1" t="s">
        <v>110</v>
      </c>
      <c r="L1">
        <v>1369</v>
      </c>
      <c r="N1">
        <v>1013</v>
      </c>
      <c r="O1" t="s">
        <v>111</v>
      </c>
      <c r="P1" t="s">
        <v>111</v>
      </c>
      <c r="Q1">
        <v>1</v>
      </c>
      <c r="W1">
        <v>0</v>
      </c>
      <c r="X1">
        <v>-441195127</v>
      </c>
      <c r="Y1">
        <v>0.1</v>
      </c>
      <c r="AA1">
        <v>0</v>
      </c>
      <c r="AB1">
        <v>0</v>
      </c>
      <c r="AC1">
        <v>0</v>
      </c>
      <c r="AD1">
        <v>262.58</v>
      </c>
      <c r="AE1">
        <v>0</v>
      </c>
      <c r="AF1">
        <v>0</v>
      </c>
      <c r="AG1">
        <v>0</v>
      </c>
      <c r="AH1">
        <v>262.58</v>
      </c>
      <c r="AI1">
        <f>' 8-гр. ЛС 1 (2)'!G26</f>
        <v>286.95999999999998</v>
      </c>
      <c r="AJ1">
        <v>1</v>
      </c>
      <c r="AK1">
        <f t="shared" ref="AK1:AK7" si="0">ROUND(Y1*AI1,4)</f>
        <v>28.696000000000002</v>
      </c>
      <c r="AL1">
        <v>1</v>
      </c>
      <c r="AN1">
        <v>0</v>
      </c>
      <c r="AO1">
        <v>0</v>
      </c>
      <c r="AP1">
        <v>0</v>
      </c>
      <c r="AQ1">
        <v>1</v>
      </c>
      <c r="AR1">
        <v>0</v>
      </c>
      <c r="AS1" t="s">
        <v>3</v>
      </c>
      <c r="AT1">
        <v>0.1</v>
      </c>
      <c r="AU1" t="s">
        <v>3</v>
      </c>
      <c r="AV1">
        <v>1</v>
      </c>
      <c r="AW1">
        <v>2</v>
      </c>
      <c r="AX1">
        <v>24979529</v>
      </c>
      <c r="AY1">
        <v>2</v>
      </c>
      <c r="AZ1">
        <v>131072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26.257999999999999</v>
      </c>
      <c r="BN1">
        <v>0.1</v>
      </c>
      <c r="BO1">
        <v>0</v>
      </c>
      <c r="BP1">
        <v>1</v>
      </c>
      <c r="BQ1">
        <v>0</v>
      </c>
      <c r="BR1">
        <v>0</v>
      </c>
      <c r="BS1">
        <v>0</v>
      </c>
      <c r="BT1">
        <f>' 8-гр. ЛС 1 (2)'!G26*SmtRes!Y1</f>
        <v>28.695999999999998</v>
      </c>
      <c r="BU1">
        <v>0.1</v>
      </c>
      <c r="BV1">
        <v>0</v>
      </c>
      <c r="BW1">
        <v>1</v>
      </c>
      <c r="CX1">
        <f>Y1*Source!I28</f>
        <v>6.5</v>
      </c>
      <c r="CY1">
        <f t="shared" ref="CY1:CY7" si="1">AD1</f>
        <v>262.58</v>
      </c>
      <c r="CZ1">
        <f t="shared" ref="CZ1:CZ7" si="2">AH1</f>
        <v>262.58</v>
      </c>
      <c r="DA1">
        <f t="shared" ref="DA1:DA7" si="3">AL1</f>
        <v>1</v>
      </c>
      <c r="DB1">
        <v>0</v>
      </c>
    </row>
    <row r="2" spans="1:106" x14ac:dyDescent="0.2">
      <c r="A2">
        <f>ROW(Source!A29)</f>
        <v>29</v>
      </c>
      <c r="B2">
        <v>24979405</v>
      </c>
      <c r="C2">
        <v>24979711</v>
      </c>
      <c r="D2">
        <v>13339081</v>
      </c>
      <c r="E2">
        <v>1</v>
      </c>
      <c r="F2">
        <v>1</v>
      </c>
      <c r="G2">
        <v>1</v>
      </c>
      <c r="H2">
        <v>1</v>
      </c>
      <c r="I2" t="s">
        <v>109</v>
      </c>
      <c r="J2" t="s">
        <v>3</v>
      </c>
      <c r="K2" t="s">
        <v>110</v>
      </c>
      <c r="L2">
        <v>1369</v>
      </c>
      <c r="N2">
        <v>1013</v>
      </c>
      <c r="O2" t="s">
        <v>111</v>
      </c>
      <c r="P2" t="s">
        <v>111</v>
      </c>
      <c r="Q2">
        <v>1</v>
      </c>
      <c r="W2">
        <v>0</v>
      </c>
      <c r="X2">
        <v>-441195127</v>
      </c>
      <c r="Y2">
        <v>0.08</v>
      </c>
      <c r="AA2">
        <v>0</v>
      </c>
      <c r="AB2">
        <v>0</v>
      </c>
      <c r="AC2">
        <v>0</v>
      </c>
      <c r="AD2">
        <v>262.58</v>
      </c>
      <c r="AE2">
        <v>0</v>
      </c>
      <c r="AF2">
        <v>0</v>
      </c>
      <c r="AG2">
        <v>0</v>
      </c>
      <c r="AH2">
        <v>262.58</v>
      </c>
      <c r="AI2">
        <f>' 8-гр. ЛС 1 (2)'!G32</f>
        <v>286.95999999999998</v>
      </c>
      <c r="AJ2">
        <v>1</v>
      </c>
      <c r="AK2">
        <f t="shared" si="0"/>
        <v>22.956800000000001</v>
      </c>
      <c r="AL2">
        <v>1</v>
      </c>
      <c r="AN2">
        <v>0</v>
      </c>
      <c r="AO2">
        <v>0</v>
      </c>
      <c r="AP2">
        <v>0</v>
      </c>
      <c r="AQ2">
        <v>1</v>
      </c>
      <c r="AR2">
        <v>0</v>
      </c>
      <c r="AS2" t="s">
        <v>3</v>
      </c>
      <c r="AT2">
        <v>0.08</v>
      </c>
      <c r="AU2" t="s">
        <v>3</v>
      </c>
      <c r="AV2">
        <v>1</v>
      </c>
      <c r="AW2">
        <v>2</v>
      </c>
      <c r="AX2">
        <v>24979712</v>
      </c>
      <c r="AY2">
        <v>2</v>
      </c>
      <c r="AZ2">
        <v>131072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21.006399999999999</v>
      </c>
      <c r="BN2">
        <v>0.08</v>
      </c>
      <c r="BO2">
        <v>0</v>
      </c>
      <c r="BP2">
        <v>1</v>
      </c>
      <c r="BQ2">
        <v>0</v>
      </c>
      <c r="BR2">
        <v>0</v>
      </c>
      <c r="BS2">
        <v>0</v>
      </c>
      <c r="BT2">
        <f>' 8-гр. ЛС 1 (2)'!G32*SmtRes!Y2</f>
        <v>22.956799999999998</v>
      </c>
      <c r="BU2">
        <v>0.08</v>
      </c>
      <c r="BV2">
        <v>0</v>
      </c>
      <c r="BW2">
        <v>1</v>
      </c>
      <c r="CX2">
        <f>Y2*Source!I29</f>
        <v>5.44</v>
      </c>
      <c r="CY2">
        <f t="shared" si="1"/>
        <v>262.58</v>
      </c>
      <c r="CZ2">
        <f t="shared" si="2"/>
        <v>262.58</v>
      </c>
      <c r="DA2">
        <f t="shared" si="3"/>
        <v>1</v>
      </c>
      <c r="DB2">
        <v>0</v>
      </c>
    </row>
    <row r="3" spans="1:106" x14ac:dyDescent="0.2">
      <c r="A3">
        <f>ROW(Source!A30)</f>
        <v>30</v>
      </c>
      <c r="B3">
        <v>24979405</v>
      </c>
      <c r="C3">
        <v>24979530</v>
      </c>
      <c r="D3">
        <v>13339081</v>
      </c>
      <c r="E3">
        <v>1</v>
      </c>
      <c r="F3">
        <v>1</v>
      </c>
      <c r="G3">
        <v>1</v>
      </c>
      <c r="H3">
        <v>1</v>
      </c>
      <c r="I3" t="s">
        <v>109</v>
      </c>
      <c r="J3" t="s">
        <v>3</v>
      </c>
      <c r="K3" t="s">
        <v>110</v>
      </c>
      <c r="L3">
        <v>1369</v>
      </c>
      <c r="N3">
        <v>1013</v>
      </c>
      <c r="O3" t="s">
        <v>111</v>
      </c>
      <c r="P3" t="s">
        <v>111</v>
      </c>
      <c r="Q3">
        <v>1</v>
      </c>
      <c r="W3">
        <v>0</v>
      </c>
      <c r="X3">
        <v>-441195127</v>
      </c>
      <c r="Y3">
        <v>11.3</v>
      </c>
      <c r="AA3">
        <v>0</v>
      </c>
      <c r="AB3">
        <v>0</v>
      </c>
      <c r="AC3">
        <v>0</v>
      </c>
      <c r="AD3">
        <v>262.58</v>
      </c>
      <c r="AE3">
        <v>0</v>
      </c>
      <c r="AF3">
        <v>0</v>
      </c>
      <c r="AG3">
        <v>0</v>
      </c>
      <c r="AH3">
        <v>262.58</v>
      </c>
      <c r="AI3">
        <f>' 8-гр. ЛС 1 (2)'!G38</f>
        <v>286.95999999999998</v>
      </c>
      <c r="AJ3">
        <v>1</v>
      </c>
      <c r="AK3">
        <f t="shared" si="0"/>
        <v>3242.6480000000001</v>
      </c>
      <c r="AL3">
        <v>1</v>
      </c>
      <c r="AN3">
        <v>0</v>
      </c>
      <c r="AO3">
        <v>0</v>
      </c>
      <c r="AP3">
        <v>0</v>
      </c>
      <c r="AQ3">
        <v>1</v>
      </c>
      <c r="AR3">
        <v>0</v>
      </c>
      <c r="AS3" t="s">
        <v>3</v>
      </c>
      <c r="AT3">
        <v>11.3</v>
      </c>
      <c r="AU3" t="s">
        <v>3</v>
      </c>
      <c r="AV3">
        <v>1</v>
      </c>
      <c r="AW3">
        <v>2</v>
      </c>
      <c r="AX3">
        <v>24979532</v>
      </c>
      <c r="AY3">
        <v>2</v>
      </c>
      <c r="AZ3">
        <v>137216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2967.154</v>
      </c>
      <c r="BN3">
        <v>11.3</v>
      </c>
      <c r="BO3">
        <v>0</v>
      </c>
      <c r="BP3">
        <v>1</v>
      </c>
      <c r="BQ3">
        <v>0</v>
      </c>
      <c r="BR3">
        <v>0</v>
      </c>
      <c r="BS3">
        <v>0</v>
      </c>
      <c r="BT3">
        <f>' 8-гр. ЛС 1 (2)'!G38*SmtRes!Y3</f>
        <v>3242.6480000000001</v>
      </c>
      <c r="BU3">
        <v>11.3</v>
      </c>
      <c r="BV3">
        <v>0</v>
      </c>
      <c r="BW3">
        <v>1</v>
      </c>
      <c r="CX3">
        <f>Y3*Source!I30</f>
        <v>203.4</v>
      </c>
      <c r="CY3">
        <f t="shared" si="1"/>
        <v>262.58</v>
      </c>
      <c r="CZ3">
        <f t="shared" si="2"/>
        <v>262.58</v>
      </c>
      <c r="DA3">
        <f t="shared" si="3"/>
        <v>1</v>
      </c>
      <c r="DB3">
        <v>0</v>
      </c>
    </row>
    <row r="4" spans="1:106" x14ac:dyDescent="0.2">
      <c r="A4">
        <f>ROW(Source!A31)</f>
        <v>31</v>
      </c>
      <c r="B4">
        <v>24979405</v>
      </c>
      <c r="C4">
        <v>24979533</v>
      </c>
      <c r="D4">
        <v>13339081</v>
      </c>
      <c r="E4">
        <v>1</v>
      </c>
      <c r="F4">
        <v>1</v>
      </c>
      <c r="G4">
        <v>1</v>
      </c>
      <c r="H4">
        <v>1</v>
      </c>
      <c r="I4" t="s">
        <v>109</v>
      </c>
      <c r="J4" t="s">
        <v>3</v>
      </c>
      <c r="K4" t="s">
        <v>110</v>
      </c>
      <c r="L4">
        <v>1369</v>
      </c>
      <c r="N4">
        <v>1013</v>
      </c>
      <c r="O4" t="s">
        <v>111</v>
      </c>
      <c r="P4" t="s">
        <v>111</v>
      </c>
      <c r="Q4">
        <v>1</v>
      </c>
      <c r="W4">
        <v>0</v>
      </c>
      <c r="X4">
        <v>-441195127</v>
      </c>
      <c r="Y4">
        <v>6.2</v>
      </c>
      <c r="AA4">
        <v>0</v>
      </c>
      <c r="AB4">
        <v>0</v>
      </c>
      <c r="AC4">
        <v>0</v>
      </c>
      <c r="AD4">
        <v>262.58</v>
      </c>
      <c r="AE4">
        <v>0</v>
      </c>
      <c r="AF4">
        <v>0</v>
      </c>
      <c r="AG4">
        <v>0</v>
      </c>
      <c r="AH4">
        <v>262.58</v>
      </c>
      <c r="AI4">
        <f>' 8-гр. ЛС 1 (2)'!G44</f>
        <v>286.95999999999998</v>
      </c>
      <c r="AJ4">
        <v>1</v>
      </c>
      <c r="AK4">
        <f t="shared" si="0"/>
        <v>1779.152</v>
      </c>
      <c r="AL4">
        <v>1</v>
      </c>
      <c r="AN4">
        <v>0</v>
      </c>
      <c r="AO4">
        <v>0</v>
      </c>
      <c r="AP4">
        <v>0</v>
      </c>
      <c r="AQ4">
        <v>1</v>
      </c>
      <c r="AR4">
        <v>0</v>
      </c>
      <c r="AS4" t="s">
        <v>3</v>
      </c>
      <c r="AT4">
        <v>6.2</v>
      </c>
      <c r="AU4" t="s">
        <v>3</v>
      </c>
      <c r="AV4">
        <v>1</v>
      </c>
      <c r="AW4">
        <v>2</v>
      </c>
      <c r="AX4">
        <v>24979535</v>
      </c>
      <c r="AY4">
        <v>2</v>
      </c>
      <c r="AZ4">
        <v>137216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1627.9959999999999</v>
      </c>
      <c r="BN4">
        <v>6.2</v>
      </c>
      <c r="BO4">
        <v>0</v>
      </c>
      <c r="BP4">
        <v>1</v>
      </c>
      <c r="BQ4">
        <v>0</v>
      </c>
      <c r="BR4">
        <v>0</v>
      </c>
      <c r="BS4">
        <v>0</v>
      </c>
      <c r="BT4">
        <f>' 8-гр. ЛС 1 (2)'!G44*SmtRes!Y4</f>
        <v>1779.1519999999998</v>
      </c>
      <c r="BU4">
        <v>6.2</v>
      </c>
      <c r="BV4">
        <v>0</v>
      </c>
      <c r="BW4">
        <v>1</v>
      </c>
      <c r="CX4">
        <f>Y4*Source!I31</f>
        <v>74.400000000000006</v>
      </c>
      <c r="CY4">
        <f t="shared" si="1"/>
        <v>262.58</v>
      </c>
      <c r="CZ4">
        <f t="shared" si="2"/>
        <v>262.58</v>
      </c>
      <c r="DA4">
        <f t="shared" si="3"/>
        <v>1</v>
      </c>
      <c r="DB4">
        <v>0</v>
      </c>
    </row>
    <row r="5" spans="1:106" x14ac:dyDescent="0.2">
      <c r="A5">
        <f>ROW(Source!A32)</f>
        <v>32</v>
      </c>
      <c r="B5">
        <v>24979405</v>
      </c>
      <c r="C5">
        <v>24979536</v>
      </c>
      <c r="D5">
        <v>13343459</v>
      </c>
      <c r="E5">
        <v>1</v>
      </c>
      <c r="F5">
        <v>1</v>
      </c>
      <c r="G5">
        <v>1</v>
      </c>
      <c r="H5">
        <v>1</v>
      </c>
      <c r="I5" t="s">
        <v>112</v>
      </c>
      <c r="J5" t="s">
        <v>3</v>
      </c>
      <c r="K5" t="s">
        <v>113</v>
      </c>
      <c r="L5">
        <v>1369</v>
      </c>
      <c r="N5">
        <v>1013</v>
      </c>
      <c r="O5" t="s">
        <v>111</v>
      </c>
      <c r="P5" t="s">
        <v>111</v>
      </c>
      <c r="Q5">
        <v>1</v>
      </c>
      <c r="W5">
        <v>0</v>
      </c>
      <c r="X5">
        <v>-1341840279</v>
      </c>
      <c r="Y5">
        <v>0.3</v>
      </c>
      <c r="AA5">
        <v>0</v>
      </c>
      <c r="AB5">
        <v>0</v>
      </c>
      <c r="AC5">
        <v>0</v>
      </c>
      <c r="AD5">
        <v>225.32</v>
      </c>
      <c r="AE5">
        <v>0</v>
      </c>
      <c r="AF5">
        <v>0</v>
      </c>
      <c r="AG5">
        <v>0</v>
      </c>
      <c r="AH5">
        <v>225.32</v>
      </c>
      <c r="AI5">
        <f>' 8-гр. ЛС 1 (2)'!G50</f>
        <v>246.24</v>
      </c>
      <c r="AJ5">
        <v>1</v>
      </c>
      <c r="AK5">
        <f t="shared" si="0"/>
        <v>73.872</v>
      </c>
      <c r="AL5">
        <v>1</v>
      </c>
      <c r="AN5">
        <v>0</v>
      </c>
      <c r="AO5">
        <v>0</v>
      </c>
      <c r="AP5">
        <v>0</v>
      </c>
      <c r="AQ5">
        <v>1</v>
      </c>
      <c r="AR5">
        <v>0</v>
      </c>
      <c r="AS5" t="s">
        <v>3</v>
      </c>
      <c r="AT5">
        <v>0.3</v>
      </c>
      <c r="AU5" t="s">
        <v>3</v>
      </c>
      <c r="AV5">
        <v>1</v>
      </c>
      <c r="AW5">
        <v>2</v>
      </c>
      <c r="AX5">
        <v>24979715</v>
      </c>
      <c r="AY5">
        <v>2</v>
      </c>
      <c r="AZ5">
        <v>131072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67.595999999999989</v>
      </c>
      <c r="BN5">
        <v>0.3</v>
      </c>
      <c r="BO5">
        <v>0</v>
      </c>
      <c r="BP5">
        <v>1</v>
      </c>
      <c r="BQ5">
        <v>0</v>
      </c>
      <c r="BR5">
        <v>0</v>
      </c>
      <c r="BS5">
        <v>0</v>
      </c>
      <c r="BT5">
        <f>' 8-гр. ЛС 1 (2)'!G50*SmtRes!Y5</f>
        <v>73.872</v>
      </c>
      <c r="BU5">
        <v>0.3</v>
      </c>
      <c r="BV5">
        <v>0</v>
      </c>
      <c r="BW5">
        <v>1</v>
      </c>
      <c r="CX5">
        <f>Y5*Source!I32</f>
        <v>9.6</v>
      </c>
      <c r="CY5">
        <f t="shared" si="1"/>
        <v>225.32</v>
      </c>
      <c r="CZ5">
        <f t="shared" si="2"/>
        <v>225.32</v>
      </c>
      <c r="DA5">
        <f t="shared" si="3"/>
        <v>1</v>
      </c>
      <c r="DB5">
        <v>0</v>
      </c>
    </row>
    <row r="6" spans="1:106" x14ac:dyDescent="0.2">
      <c r="A6">
        <f>ROW(Source!A33)</f>
        <v>33</v>
      </c>
      <c r="B6">
        <v>24979405</v>
      </c>
      <c r="C6">
        <v>24979539</v>
      </c>
      <c r="D6">
        <v>13343459</v>
      </c>
      <c r="E6">
        <v>1</v>
      </c>
      <c r="F6">
        <v>1</v>
      </c>
      <c r="G6">
        <v>1</v>
      </c>
      <c r="H6">
        <v>1</v>
      </c>
      <c r="I6" t="s">
        <v>112</v>
      </c>
      <c r="J6" t="s">
        <v>3</v>
      </c>
      <c r="K6" t="s">
        <v>113</v>
      </c>
      <c r="L6">
        <v>1369</v>
      </c>
      <c r="N6">
        <v>1013</v>
      </c>
      <c r="O6" t="s">
        <v>111</v>
      </c>
      <c r="P6" t="s">
        <v>111</v>
      </c>
      <c r="Q6">
        <v>1</v>
      </c>
      <c r="W6">
        <v>0</v>
      </c>
      <c r="X6">
        <v>-1341840279</v>
      </c>
      <c r="Y6">
        <v>9.9</v>
      </c>
      <c r="AA6">
        <v>0</v>
      </c>
      <c r="AB6">
        <v>0</v>
      </c>
      <c r="AC6">
        <v>0</v>
      </c>
      <c r="AD6">
        <v>225.32</v>
      </c>
      <c r="AE6">
        <v>0</v>
      </c>
      <c r="AF6">
        <v>0</v>
      </c>
      <c r="AG6">
        <v>0</v>
      </c>
      <c r="AH6">
        <v>225.32</v>
      </c>
      <c r="AI6">
        <f>' 8-гр. ЛС 1 (2)'!G56</f>
        <v>246.24</v>
      </c>
      <c r="AJ6">
        <v>1</v>
      </c>
      <c r="AK6">
        <f t="shared" si="0"/>
        <v>2437.7759999999998</v>
      </c>
      <c r="AL6">
        <v>1</v>
      </c>
      <c r="AN6">
        <v>0</v>
      </c>
      <c r="AO6">
        <v>0</v>
      </c>
      <c r="AP6">
        <v>0</v>
      </c>
      <c r="AQ6">
        <v>1</v>
      </c>
      <c r="AR6">
        <v>0</v>
      </c>
      <c r="AS6" t="s">
        <v>3</v>
      </c>
      <c r="AT6">
        <v>9.9</v>
      </c>
      <c r="AU6" t="s">
        <v>3</v>
      </c>
      <c r="AV6">
        <v>1</v>
      </c>
      <c r="AW6">
        <v>2</v>
      </c>
      <c r="AX6">
        <v>24979541</v>
      </c>
      <c r="AY6">
        <v>2</v>
      </c>
      <c r="AZ6">
        <v>137216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2230.6680000000001</v>
      </c>
      <c r="BN6">
        <v>9.9</v>
      </c>
      <c r="BO6">
        <v>0</v>
      </c>
      <c r="BP6">
        <v>1</v>
      </c>
      <c r="BQ6">
        <v>0</v>
      </c>
      <c r="BR6">
        <v>0</v>
      </c>
      <c r="BS6">
        <v>0</v>
      </c>
      <c r="BT6">
        <f>' 8-гр. ЛС 1 (2)'!G56*SmtRes!Y6</f>
        <v>2437.7760000000003</v>
      </c>
      <c r="BU6">
        <v>9.9</v>
      </c>
      <c r="BV6">
        <v>0</v>
      </c>
      <c r="BW6">
        <v>1</v>
      </c>
      <c r="CX6">
        <f>Y6*Source!I33</f>
        <v>19.8</v>
      </c>
      <c r="CY6">
        <f t="shared" si="1"/>
        <v>225.32</v>
      </c>
      <c r="CZ6">
        <f t="shared" si="2"/>
        <v>225.32</v>
      </c>
      <c r="DA6">
        <f t="shared" si="3"/>
        <v>1</v>
      </c>
      <c r="DB6">
        <v>0</v>
      </c>
    </row>
    <row r="7" spans="1:106" x14ac:dyDescent="0.2">
      <c r="A7">
        <f>ROW(Source!A34)</f>
        <v>34</v>
      </c>
      <c r="B7">
        <v>24979405</v>
      </c>
      <c r="C7">
        <v>24979718</v>
      </c>
      <c r="D7">
        <v>13339081</v>
      </c>
      <c r="E7">
        <v>1</v>
      </c>
      <c r="F7">
        <v>1</v>
      </c>
      <c r="G7">
        <v>1</v>
      </c>
      <c r="H7">
        <v>1</v>
      </c>
      <c r="I7" t="s">
        <v>109</v>
      </c>
      <c r="J7" t="s">
        <v>3</v>
      </c>
      <c r="K7" t="s">
        <v>110</v>
      </c>
      <c r="L7">
        <v>1369</v>
      </c>
      <c r="N7">
        <v>1013</v>
      </c>
      <c r="O7" t="s">
        <v>111</v>
      </c>
      <c r="P7" t="s">
        <v>111</v>
      </c>
      <c r="Q7">
        <v>1</v>
      </c>
      <c r="W7">
        <v>0</v>
      </c>
      <c r="X7">
        <v>-441195127</v>
      </c>
      <c r="Y7">
        <v>4.2</v>
      </c>
      <c r="AA7">
        <v>0</v>
      </c>
      <c r="AB7">
        <v>0</v>
      </c>
      <c r="AC7">
        <v>0</v>
      </c>
      <c r="AD7">
        <v>262.58</v>
      </c>
      <c r="AE7">
        <v>0</v>
      </c>
      <c r="AF7">
        <v>0</v>
      </c>
      <c r="AG7">
        <v>0</v>
      </c>
      <c r="AH7">
        <v>262.58</v>
      </c>
      <c r="AI7">
        <f>' 8-гр. ЛС 1 (2)'!G62</f>
        <v>286.95999999999998</v>
      </c>
      <c r="AJ7">
        <v>1</v>
      </c>
      <c r="AK7">
        <f t="shared" si="0"/>
        <v>1205.232</v>
      </c>
      <c r="AL7">
        <v>1</v>
      </c>
      <c r="AN7">
        <v>0</v>
      </c>
      <c r="AO7">
        <v>0</v>
      </c>
      <c r="AP7">
        <v>0</v>
      </c>
      <c r="AQ7">
        <v>1</v>
      </c>
      <c r="AR7">
        <v>0</v>
      </c>
      <c r="AS7" t="s">
        <v>3</v>
      </c>
      <c r="AT7">
        <v>4.2</v>
      </c>
      <c r="AU7" t="s">
        <v>3</v>
      </c>
      <c r="AV7">
        <v>1</v>
      </c>
      <c r="AW7">
        <v>2</v>
      </c>
      <c r="AX7">
        <v>24979719</v>
      </c>
      <c r="AY7">
        <v>2</v>
      </c>
      <c r="AZ7">
        <v>131072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1102.836</v>
      </c>
      <c r="BN7">
        <v>4.2</v>
      </c>
      <c r="BO7">
        <v>0</v>
      </c>
      <c r="BP7">
        <v>1</v>
      </c>
      <c r="BQ7">
        <v>0</v>
      </c>
      <c r="BR7">
        <v>0</v>
      </c>
      <c r="BS7">
        <v>0</v>
      </c>
      <c r="BT7">
        <f>' 8-гр. ЛС 1 (2)'!G62*SmtRes!Y7</f>
        <v>1205.232</v>
      </c>
      <c r="BU7">
        <v>4.2</v>
      </c>
      <c r="BV7">
        <v>0</v>
      </c>
      <c r="BW7">
        <v>1</v>
      </c>
      <c r="CX7">
        <f>Y7*Source!I34</f>
        <v>134.4</v>
      </c>
      <c r="CY7">
        <f t="shared" si="1"/>
        <v>262.58</v>
      </c>
      <c r="CZ7">
        <f t="shared" si="2"/>
        <v>262.58</v>
      </c>
      <c r="DA7">
        <f t="shared" si="3"/>
        <v>1</v>
      </c>
      <c r="DB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24979529</v>
      </c>
      <c r="C1">
        <v>24979527</v>
      </c>
      <c r="D1">
        <v>13339081</v>
      </c>
      <c r="E1">
        <v>1</v>
      </c>
      <c r="F1">
        <v>1</v>
      </c>
      <c r="G1">
        <v>1</v>
      </c>
      <c r="H1">
        <v>1</v>
      </c>
      <c r="I1" t="s">
        <v>109</v>
      </c>
      <c r="J1" t="s">
        <v>3</v>
      </c>
      <c r="K1" t="s">
        <v>110</v>
      </c>
      <c r="L1">
        <v>1369</v>
      </c>
      <c r="N1">
        <v>1013</v>
      </c>
      <c r="O1" t="s">
        <v>111</v>
      </c>
      <c r="P1" t="s">
        <v>111</v>
      </c>
      <c r="Q1">
        <v>1</v>
      </c>
      <c r="X1">
        <v>0.1</v>
      </c>
      <c r="Y1">
        <v>0</v>
      </c>
      <c r="Z1">
        <v>0</v>
      </c>
      <c r="AA1">
        <v>0</v>
      </c>
      <c r="AB1">
        <v>14.36</v>
      </c>
      <c r="AC1">
        <v>0</v>
      </c>
      <c r="AD1">
        <v>1</v>
      </c>
      <c r="AE1">
        <v>1</v>
      </c>
      <c r="AF1" t="s">
        <v>3</v>
      </c>
      <c r="AG1">
        <v>0.1</v>
      </c>
      <c r="AH1">
        <v>2</v>
      </c>
      <c r="AI1">
        <v>24979528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24979712</v>
      </c>
      <c r="C2">
        <v>24979711</v>
      </c>
      <c r="D2">
        <v>13339081</v>
      </c>
      <c r="E2">
        <v>1</v>
      </c>
      <c r="F2">
        <v>1</v>
      </c>
      <c r="G2">
        <v>1</v>
      </c>
      <c r="H2">
        <v>1</v>
      </c>
      <c r="I2" t="s">
        <v>109</v>
      </c>
      <c r="J2" t="s">
        <v>3</v>
      </c>
      <c r="K2" t="s">
        <v>110</v>
      </c>
      <c r="L2">
        <v>1369</v>
      </c>
      <c r="N2">
        <v>1013</v>
      </c>
      <c r="O2" t="s">
        <v>111</v>
      </c>
      <c r="P2" t="s">
        <v>111</v>
      </c>
      <c r="Q2">
        <v>1</v>
      </c>
      <c r="X2">
        <v>0.08</v>
      </c>
      <c r="Y2">
        <v>0</v>
      </c>
      <c r="Z2">
        <v>0</v>
      </c>
      <c r="AA2">
        <v>0</v>
      </c>
      <c r="AB2">
        <v>14.36</v>
      </c>
      <c r="AC2">
        <v>0</v>
      </c>
      <c r="AD2">
        <v>1</v>
      </c>
      <c r="AE2">
        <v>1</v>
      </c>
      <c r="AF2" t="s">
        <v>3</v>
      </c>
      <c r="AG2">
        <v>0.08</v>
      </c>
      <c r="AH2">
        <v>2</v>
      </c>
      <c r="AI2">
        <v>24979712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24979532</v>
      </c>
      <c r="C3">
        <v>24979530</v>
      </c>
      <c r="D3">
        <v>13339081</v>
      </c>
      <c r="E3">
        <v>1</v>
      </c>
      <c r="F3">
        <v>1</v>
      </c>
      <c r="G3">
        <v>1</v>
      </c>
      <c r="H3">
        <v>1</v>
      </c>
      <c r="I3" t="s">
        <v>109</v>
      </c>
      <c r="J3" t="s">
        <v>3</v>
      </c>
      <c r="K3" t="s">
        <v>110</v>
      </c>
      <c r="L3">
        <v>1369</v>
      </c>
      <c r="N3">
        <v>1013</v>
      </c>
      <c r="O3" t="s">
        <v>111</v>
      </c>
      <c r="P3" t="s">
        <v>111</v>
      </c>
      <c r="Q3">
        <v>1</v>
      </c>
      <c r="X3">
        <v>0.6</v>
      </c>
      <c r="Y3">
        <v>0</v>
      </c>
      <c r="Z3">
        <v>0</v>
      </c>
      <c r="AA3">
        <v>0</v>
      </c>
      <c r="AB3">
        <v>14.36</v>
      </c>
      <c r="AC3">
        <v>0</v>
      </c>
      <c r="AD3">
        <v>1</v>
      </c>
      <c r="AE3">
        <v>1</v>
      </c>
      <c r="AF3" t="s">
        <v>3</v>
      </c>
      <c r="AG3">
        <v>0.6</v>
      </c>
      <c r="AH3">
        <v>2</v>
      </c>
      <c r="AI3">
        <v>24979531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ROW(Source!A31)</f>
        <v>31</v>
      </c>
      <c r="B4">
        <v>24979535</v>
      </c>
      <c r="C4">
        <v>24979533</v>
      </c>
      <c r="D4">
        <v>13339081</v>
      </c>
      <c r="E4">
        <v>1</v>
      </c>
      <c r="F4">
        <v>1</v>
      </c>
      <c r="G4">
        <v>1</v>
      </c>
      <c r="H4">
        <v>1</v>
      </c>
      <c r="I4" t="s">
        <v>109</v>
      </c>
      <c r="J4" t="s">
        <v>3</v>
      </c>
      <c r="K4" t="s">
        <v>110</v>
      </c>
      <c r="L4">
        <v>1369</v>
      </c>
      <c r="N4">
        <v>1013</v>
      </c>
      <c r="O4" t="s">
        <v>111</v>
      </c>
      <c r="P4" t="s">
        <v>111</v>
      </c>
      <c r="Q4">
        <v>1</v>
      </c>
      <c r="X4">
        <v>3.4</v>
      </c>
      <c r="Y4">
        <v>0</v>
      </c>
      <c r="Z4">
        <v>0</v>
      </c>
      <c r="AA4">
        <v>0</v>
      </c>
      <c r="AB4">
        <v>14.36</v>
      </c>
      <c r="AC4">
        <v>0</v>
      </c>
      <c r="AD4">
        <v>1</v>
      </c>
      <c r="AE4">
        <v>1</v>
      </c>
      <c r="AF4" t="s">
        <v>3</v>
      </c>
      <c r="AG4">
        <v>3.4</v>
      </c>
      <c r="AH4">
        <v>2</v>
      </c>
      <c r="AI4">
        <v>24979534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24979715</v>
      </c>
      <c r="C5">
        <v>24979536</v>
      </c>
      <c r="D5">
        <v>13343459</v>
      </c>
      <c r="E5">
        <v>1</v>
      </c>
      <c r="F5">
        <v>1</v>
      </c>
      <c r="G5">
        <v>1</v>
      </c>
      <c r="H5">
        <v>1</v>
      </c>
      <c r="I5" t="s">
        <v>112</v>
      </c>
      <c r="J5" t="s">
        <v>3</v>
      </c>
      <c r="K5" t="s">
        <v>113</v>
      </c>
      <c r="L5">
        <v>1369</v>
      </c>
      <c r="N5">
        <v>1013</v>
      </c>
      <c r="O5" t="s">
        <v>111</v>
      </c>
      <c r="P5" t="s">
        <v>111</v>
      </c>
      <c r="Q5">
        <v>1</v>
      </c>
      <c r="X5">
        <v>0.3</v>
      </c>
      <c r="Y5">
        <v>0</v>
      </c>
      <c r="Z5">
        <v>0</v>
      </c>
      <c r="AA5">
        <v>0</v>
      </c>
      <c r="AB5">
        <v>12.32</v>
      </c>
      <c r="AC5">
        <v>0</v>
      </c>
      <c r="AD5">
        <v>1</v>
      </c>
      <c r="AE5">
        <v>1</v>
      </c>
      <c r="AF5" t="s">
        <v>3</v>
      </c>
      <c r="AG5">
        <v>0.3</v>
      </c>
      <c r="AH5">
        <v>2</v>
      </c>
      <c r="AI5">
        <v>24979715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ROW(Source!A33)</f>
        <v>33</v>
      </c>
      <c r="B6">
        <v>24979541</v>
      </c>
      <c r="C6">
        <v>24979539</v>
      </c>
      <c r="D6">
        <v>13343459</v>
      </c>
      <c r="E6">
        <v>1</v>
      </c>
      <c r="F6">
        <v>1</v>
      </c>
      <c r="G6">
        <v>1</v>
      </c>
      <c r="H6">
        <v>1</v>
      </c>
      <c r="I6" t="s">
        <v>112</v>
      </c>
      <c r="J6" t="s">
        <v>3</v>
      </c>
      <c r="K6" t="s">
        <v>113</v>
      </c>
      <c r="L6">
        <v>1369</v>
      </c>
      <c r="N6">
        <v>1013</v>
      </c>
      <c r="O6" t="s">
        <v>111</v>
      </c>
      <c r="P6" t="s">
        <v>111</v>
      </c>
      <c r="Q6">
        <v>1</v>
      </c>
      <c r="X6">
        <v>0.7</v>
      </c>
      <c r="Y6">
        <v>0</v>
      </c>
      <c r="Z6">
        <v>0</v>
      </c>
      <c r="AA6">
        <v>0</v>
      </c>
      <c r="AB6">
        <v>12.32</v>
      </c>
      <c r="AC6">
        <v>0</v>
      </c>
      <c r="AD6">
        <v>1</v>
      </c>
      <c r="AE6">
        <v>1</v>
      </c>
      <c r="AF6" t="s">
        <v>3</v>
      </c>
      <c r="AG6">
        <v>0.7</v>
      </c>
      <c r="AH6">
        <v>2</v>
      </c>
      <c r="AI6">
        <v>24979540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ROW(Source!A34)</f>
        <v>34</v>
      </c>
      <c r="B7">
        <v>24979719</v>
      </c>
      <c r="C7">
        <v>24979718</v>
      </c>
      <c r="D7">
        <v>13339081</v>
      </c>
      <c r="E7">
        <v>1</v>
      </c>
      <c r="F7">
        <v>1</v>
      </c>
      <c r="G7">
        <v>1</v>
      </c>
      <c r="H7">
        <v>1</v>
      </c>
      <c r="I7" t="s">
        <v>109</v>
      </c>
      <c r="J7" t="s">
        <v>3</v>
      </c>
      <c r="K7" t="s">
        <v>110</v>
      </c>
      <c r="L7">
        <v>1369</v>
      </c>
      <c r="N7">
        <v>1013</v>
      </c>
      <c r="O7" t="s">
        <v>111</v>
      </c>
      <c r="P7" t="s">
        <v>111</v>
      </c>
      <c r="Q7">
        <v>1</v>
      </c>
      <c r="X7">
        <v>4.2</v>
      </c>
      <c r="Y7">
        <v>0</v>
      </c>
      <c r="Z7">
        <v>0</v>
      </c>
      <c r="AA7">
        <v>0</v>
      </c>
      <c r="AB7">
        <v>14.36</v>
      </c>
      <c r="AC7">
        <v>0</v>
      </c>
      <c r="AD7">
        <v>1</v>
      </c>
      <c r="AE7">
        <v>1</v>
      </c>
      <c r="AF7" t="s">
        <v>3</v>
      </c>
      <c r="AG7">
        <v>4.2</v>
      </c>
      <c r="AH7">
        <v>2</v>
      </c>
      <c r="AI7">
        <v>24979719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 8-гр. ЛС 1 (2)</vt:lpstr>
      <vt:lpstr>Лист1</vt:lpstr>
      <vt:lpstr>Source</vt:lpstr>
      <vt:lpstr>SourceObSm</vt:lpstr>
      <vt:lpstr>SmtRes</vt:lpstr>
      <vt:lpstr>EtalonRes</vt:lpstr>
      <vt:lpstr>' 8-гр. ЛС 1 (2)'!Заголовки_для_печати</vt:lpstr>
      <vt:lpstr>' 8-гр. ЛС 1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Перова Анна Алексеевна</dc:creator>
  <cp:lastModifiedBy>Юрков Николай Юрьевич</cp:lastModifiedBy>
  <cp:lastPrinted>2021-07-07T08:26:16Z</cp:lastPrinted>
  <dcterms:created xsi:type="dcterms:W3CDTF">2020-06-10T08:23:39Z</dcterms:created>
  <dcterms:modified xsi:type="dcterms:W3CDTF">2021-07-07T08:46:25Z</dcterms:modified>
</cp:coreProperties>
</file>