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2" activeTab="2"/>
  </bookViews>
  <sheets>
    <sheet name="65_лот_(всего)" sheetId="2" state="hidden" r:id="rId1"/>
    <sheet name="65_лот_(Льготники)" sheetId="3" state="hidden" r:id="rId2"/>
    <sheet name="65-66-67_(Юго-Запад-1)" sheetId="6" r:id="rId3"/>
  </sheets>
  <definedNames>
    <definedName name="_xlnm._FilterDatabase" localSheetId="0" hidden="1">'65_лот_(всего)'!$A$2:$BM$118</definedName>
    <definedName name="_xlnm._FilterDatabase" localSheetId="1" hidden="1">'65_лот_(Льготники)'!$A$2:$BM$114</definedName>
    <definedName name="_xlnm._FilterDatabase" localSheetId="2" hidden="1">'65-66-67_(Юго-Запад-1)'!$A$2:$BM$76</definedName>
    <definedName name="_xlnm.Print_Titles" localSheetId="0">'65_лот_(всего)'!$2:$2</definedName>
    <definedName name="_xlnm.Print_Titles" localSheetId="1">'65_лот_(Льготники)'!$2:$2</definedName>
    <definedName name="_xlnm.Print_Titles" localSheetId="2">'65-66-67_(Юго-Запад-1)'!$2:$2</definedName>
    <definedName name="_xlnm.Print_Area" localSheetId="0">'65_лот_(всего)'!$A$1:$BM$72</definedName>
    <definedName name="_xlnm.Print_Area" localSheetId="1">'65_лот_(Льготники)'!$A$1:$BM$68</definedName>
    <definedName name="_xlnm.Print_Area" localSheetId="2">'65-66-67_(Юго-Запад-1)'!$A$1:$BN$35</definedName>
  </definedNames>
  <calcPr calcId="145621"/>
</workbook>
</file>

<file path=xl/calcChain.xml><?xml version="1.0" encoding="utf-8"?>
<calcChain xmlns="http://schemas.openxmlformats.org/spreadsheetml/2006/main">
  <c r="U30" i="6" l="1"/>
  <c r="V30" i="6"/>
  <c r="W30" i="6"/>
  <c r="X30" i="6"/>
  <c r="Y30" i="6"/>
  <c r="Z30" i="6"/>
  <c r="AA30" i="6"/>
  <c r="AB30" i="6"/>
  <c r="AG30" i="6"/>
  <c r="AH30" i="6"/>
  <c r="AK30" i="6"/>
  <c r="AL30" i="6"/>
  <c r="AM30" i="6"/>
  <c r="AN30" i="6"/>
  <c r="AO30" i="6"/>
  <c r="AP30" i="6"/>
  <c r="AU30" i="6"/>
  <c r="AV30" i="6"/>
  <c r="AW30" i="6"/>
  <c r="AX30" i="6"/>
  <c r="AZ30" i="6"/>
  <c r="BC30" i="6"/>
  <c r="BD30" i="6"/>
  <c r="BE30" i="6"/>
  <c r="BF30" i="6"/>
  <c r="BG30" i="6"/>
  <c r="BH30" i="6"/>
  <c r="BI30" i="6"/>
  <c r="BJ30" i="6"/>
  <c r="N29" i="6" l="1"/>
  <c r="Q29" i="6" s="1"/>
  <c r="T28" i="6"/>
  <c r="AT24" i="6" s="1"/>
  <c r="R27" i="6"/>
  <c r="T27" i="6" s="1"/>
  <c r="N27" i="6" s="1"/>
  <c r="S26" i="6"/>
  <c r="R26" i="6"/>
  <c r="R24" i="6" s="1"/>
  <c r="Q26" i="6"/>
  <c r="P26" i="6"/>
  <c r="N26" i="6"/>
  <c r="N25" i="6"/>
  <c r="S25" i="6" s="1"/>
  <c r="R23" i="6"/>
  <c r="T23" i="6" s="1"/>
  <c r="M23" i="6"/>
  <c r="S22" i="6"/>
  <c r="Q22" i="6"/>
  <c r="P22" i="6"/>
  <c r="O22" i="6"/>
  <c r="AR22" i="6" l="1"/>
  <c r="BK22" i="6" s="1"/>
  <c r="N23" i="6"/>
  <c r="N22" i="6" s="1"/>
  <c r="T22" i="6"/>
  <c r="R22" i="6"/>
  <c r="P29" i="6"/>
  <c r="AR24" i="6"/>
  <c r="T26" i="6"/>
  <c r="AJ24" i="6" s="1"/>
  <c r="N24" i="6"/>
  <c r="S29" i="6"/>
  <c r="S24" i="6" s="1"/>
  <c r="T29" i="6"/>
  <c r="BB24" i="6" s="1"/>
  <c r="Q25" i="6"/>
  <c r="Q24" i="6" s="1"/>
  <c r="P25" i="6"/>
  <c r="P24" i="6" l="1"/>
  <c r="T25" i="6"/>
  <c r="T24" i="6" l="1"/>
  <c r="AD24" i="6"/>
  <c r="AD30" i="6" s="1"/>
  <c r="BK24" i="6" l="1"/>
  <c r="M20" i="6" l="1"/>
  <c r="N20" i="6" s="1"/>
  <c r="T19" i="6"/>
  <c r="M19" i="6"/>
  <c r="R18" i="6"/>
  <c r="T18" i="6" s="1"/>
  <c r="AR15" i="6" s="1"/>
  <c r="M18" i="6"/>
  <c r="M16" i="6"/>
  <c r="N16" i="6" s="1"/>
  <c r="Q16" i="6" s="1"/>
  <c r="AT15" i="6"/>
  <c r="AJ15" i="6"/>
  <c r="R15" i="6"/>
  <c r="O15" i="6"/>
  <c r="M14" i="6"/>
  <c r="N14" i="6" s="1"/>
  <c r="Q14" i="6" s="1"/>
  <c r="T13" i="6"/>
  <c r="M13" i="6"/>
  <c r="R12" i="6"/>
  <c r="R9" i="6" s="1"/>
  <c r="M12" i="6"/>
  <c r="M11" i="6"/>
  <c r="M10" i="6"/>
  <c r="N10" i="6" s="1"/>
  <c r="Q10" i="6" s="1"/>
  <c r="Q9" i="6" s="1"/>
  <c r="AT9" i="6"/>
  <c r="AJ9" i="6"/>
  <c r="O9" i="6"/>
  <c r="O30" i="6" s="1"/>
  <c r="N8" i="6"/>
  <c r="Q8" i="6" s="1"/>
  <c r="T7" i="6"/>
  <c r="AT3" i="6" s="1"/>
  <c r="AT30" i="6" s="1"/>
  <c r="R6" i="6"/>
  <c r="T6" i="6" s="1"/>
  <c r="R5" i="6"/>
  <c r="T5" i="6" s="1"/>
  <c r="AJ3" i="6" s="1"/>
  <c r="AJ30" i="6" s="1"/>
  <c r="N4" i="6"/>
  <c r="Q4" i="6" s="1"/>
  <c r="M67" i="3"/>
  <c r="N67" i="3" s="1"/>
  <c r="S67" i="3" s="1"/>
  <c r="S66" i="3" s="1"/>
  <c r="O66" i="3"/>
  <c r="M64" i="3"/>
  <c r="N64" i="3" s="1"/>
  <c r="S64" i="3" s="1"/>
  <c r="T63" i="3"/>
  <c r="AT59" i="3" s="1"/>
  <c r="M63" i="3"/>
  <c r="R62" i="3"/>
  <c r="T62" i="3" s="1"/>
  <c r="AR59" i="3" s="1"/>
  <c r="M62" i="3"/>
  <c r="M60" i="3"/>
  <c r="N60" i="3" s="1"/>
  <c r="AJ59" i="3"/>
  <c r="R59" i="3"/>
  <c r="O59" i="3"/>
  <c r="N58" i="3"/>
  <c r="S58" i="3" s="1"/>
  <c r="S57" i="3"/>
  <c r="R57" i="3"/>
  <c r="R56" i="3" s="1"/>
  <c r="Q57" i="3"/>
  <c r="P57" i="3"/>
  <c r="T57" i="3" s="1"/>
  <c r="M55" i="3"/>
  <c r="N55" i="3" s="1"/>
  <c r="S55" i="3" s="1"/>
  <c r="S54" i="3" s="1"/>
  <c r="O54" i="3"/>
  <c r="M53" i="3"/>
  <c r="N53" i="3" s="1"/>
  <c r="S53" i="3" s="1"/>
  <c r="S52" i="3" s="1"/>
  <c r="O52" i="3"/>
  <c r="M51" i="3"/>
  <c r="N51" i="3" s="1"/>
  <c r="S51" i="3" s="1"/>
  <c r="S50" i="3" s="1"/>
  <c r="O50" i="3"/>
  <c r="M49" i="3"/>
  <c r="N49" i="3" s="1"/>
  <c r="S49" i="3" s="1"/>
  <c r="T48" i="3"/>
  <c r="AT44" i="3" s="1"/>
  <c r="M48" i="3"/>
  <c r="R47" i="3"/>
  <c r="T47" i="3" s="1"/>
  <c r="R46" i="3"/>
  <c r="T46" i="3" s="1"/>
  <c r="AJ44" i="3" s="1"/>
  <c r="M45" i="3"/>
  <c r="N45" i="3" s="1"/>
  <c r="P45" i="3" s="1"/>
  <c r="O44" i="3"/>
  <c r="M43" i="3"/>
  <c r="N43" i="3" s="1"/>
  <c r="Q43" i="3" s="1"/>
  <c r="T42" i="3"/>
  <c r="AT38" i="3" s="1"/>
  <c r="M42" i="3"/>
  <c r="R41" i="3"/>
  <c r="T41" i="3" s="1"/>
  <c r="AR38" i="3" s="1"/>
  <c r="M41" i="3"/>
  <c r="M40" i="3"/>
  <c r="M39" i="3"/>
  <c r="N39" i="3" s="1"/>
  <c r="P39" i="3" s="1"/>
  <c r="AJ38" i="3"/>
  <c r="O38" i="3"/>
  <c r="R37" i="3"/>
  <c r="T37" i="3" s="1"/>
  <c r="AJ35" i="3" s="1"/>
  <c r="M36" i="3"/>
  <c r="N36" i="3" s="1"/>
  <c r="Q36" i="3" s="1"/>
  <c r="Q35" i="3" s="1"/>
  <c r="R35" i="3"/>
  <c r="O35" i="3"/>
  <c r="N34" i="3"/>
  <c r="Q34" i="3" s="1"/>
  <c r="T33" i="3"/>
  <c r="AT29" i="3" s="1"/>
  <c r="R32" i="3"/>
  <c r="T32" i="3" s="1"/>
  <c r="R31" i="3"/>
  <c r="T31" i="3" s="1"/>
  <c r="AJ29" i="3" s="1"/>
  <c r="N30" i="3"/>
  <c r="Q30" i="3" s="1"/>
  <c r="R29" i="3"/>
  <c r="N28" i="3"/>
  <c r="T27" i="3"/>
  <c r="R26" i="3"/>
  <c r="T26" i="3" s="1"/>
  <c r="R25" i="3"/>
  <c r="T25" i="3" s="1"/>
  <c r="AJ23" i="3" s="1"/>
  <c r="N24" i="3"/>
  <c r="Q24" i="3" s="1"/>
  <c r="AT23" i="3"/>
  <c r="M22" i="3"/>
  <c r="N22" i="3" s="1"/>
  <c r="Q22" i="3" s="1"/>
  <c r="T21" i="3"/>
  <c r="AT17" i="3" s="1"/>
  <c r="AT68" i="3" s="1"/>
  <c r="M21" i="3"/>
  <c r="R20" i="3"/>
  <c r="T20" i="3" s="1"/>
  <c r="AR17" i="3" s="1"/>
  <c r="M20" i="3"/>
  <c r="R19" i="3"/>
  <c r="T19" i="3" s="1"/>
  <c r="AJ17" i="3" s="1"/>
  <c r="AJ68" i="3" s="1"/>
  <c r="M19" i="3"/>
  <c r="M18" i="3"/>
  <c r="N18" i="3" s="1"/>
  <c r="O17" i="3"/>
  <c r="M16" i="3"/>
  <c r="N16" i="3" s="1"/>
  <c r="Q16" i="3" s="1"/>
  <c r="Q15" i="3" s="1"/>
  <c r="O15" i="3"/>
  <c r="N14" i="3"/>
  <c r="Q14" i="3" s="1"/>
  <c r="Q13" i="3" s="1"/>
  <c r="R13" i="3"/>
  <c r="N13" i="3"/>
  <c r="N12" i="3"/>
  <c r="Q12" i="3" s="1"/>
  <c r="Q11" i="3" s="1"/>
  <c r="R11" i="3"/>
  <c r="N11" i="3"/>
  <c r="M9" i="3"/>
  <c r="N9" i="3" s="1"/>
  <c r="Q9" i="3" s="1"/>
  <c r="Q7" i="3" s="1"/>
  <c r="T8" i="3"/>
  <c r="AZ7" i="3" s="1"/>
  <c r="R7" i="3"/>
  <c r="O7" i="3"/>
  <c r="M6" i="3"/>
  <c r="N6" i="3" s="1"/>
  <c r="P6" i="3" s="1"/>
  <c r="R5" i="3"/>
  <c r="O5" i="3"/>
  <c r="M4" i="3"/>
  <c r="N4" i="3" s="1"/>
  <c r="O3" i="3"/>
  <c r="O68" i="3" l="1"/>
  <c r="P12" i="3"/>
  <c r="R23" i="3"/>
  <c r="S8" i="6"/>
  <c r="Q3" i="6"/>
  <c r="P8" i="6"/>
  <c r="P14" i="6"/>
  <c r="AR3" i="6"/>
  <c r="N6" i="6"/>
  <c r="N3" i="6" s="1"/>
  <c r="R3" i="6"/>
  <c r="R30" i="6" s="1"/>
  <c r="P4" i="6"/>
  <c r="S4" i="6"/>
  <c r="S10" i="6"/>
  <c r="P10" i="6"/>
  <c r="S14" i="6"/>
  <c r="T12" i="6"/>
  <c r="AR9" i="6" s="1"/>
  <c r="N12" i="6"/>
  <c r="N9" i="6" s="1"/>
  <c r="S20" i="6"/>
  <c r="P20" i="6"/>
  <c r="N15" i="6"/>
  <c r="Q20" i="6"/>
  <c r="Q15" i="6" s="1"/>
  <c r="P16" i="6"/>
  <c r="S16" i="6"/>
  <c r="AR23" i="3"/>
  <c r="N26" i="3"/>
  <c r="R17" i="3"/>
  <c r="AR29" i="3"/>
  <c r="N32" i="3"/>
  <c r="AR44" i="3"/>
  <c r="N47" i="3"/>
  <c r="P24" i="3"/>
  <c r="N29" i="3"/>
  <c r="P30" i="3"/>
  <c r="R38" i="3"/>
  <c r="N41" i="3"/>
  <c r="S56" i="3"/>
  <c r="N7" i="3"/>
  <c r="P11" i="3"/>
  <c r="S12" i="3"/>
  <c r="S11" i="3" s="1"/>
  <c r="S24" i="3"/>
  <c r="N23" i="3"/>
  <c r="Q29" i="3"/>
  <c r="S4" i="3"/>
  <c r="S3" i="3" s="1"/>
  <c r="P4" i="3"/>
  <c r="Q4" i="3"/>
  <c r="Q3" i="3" s="1"/>
  <c r="N3" i="3"/>
  <c r="P5" i="3"/>
  <c r="S16" i="3"/>
  <c r="S15" i="3" s="1"/>
  <c r="S18" i="3"/>
  <c r="P18" i="3"/>
  <c r="S28" i="3"/>
  <c r="S23" i="3" s="1"/>
  <c r="P28" i="3"/>
  <c r="Q6" i="3"/>
  <c r="Q5" i="3" s="1"/>
  <c r="N5" i="3"/>
  <c r="S6" i="3"/>
  <c r="S5" i="3" s="1"/>
  <c r="S9" i="3"/>
  <c r="S7" i="3" s="1"/>
  <c r="P9" i="3"/>
  <c r="S14" i="3"/>
  <c r="S13" i="3" s="1"/>
  <c r="P14" i="3"/>
  <c r="N15" i="3"/>
  <c r="P16" i="3"/>
  <c r="N17" i="3"/>
  <c r="Q18" i="3"/>
  <c r="Q17" i="3" s="1"/>
  <c r="S22" i="3"/>
  <c r="P22" i="3"/>
  <c r="T24" i="3"/>
  <c r="Q28" i="3"/>
  <c r="Q23" i="3" s="1"/>
  <c r="S30" i="3"/>
  <c r="S34" i="3"/>
  <c r="P34" i="3"/>
  <c r="S36" i="3"/>
  <c r="S35" i="3" s="1"/>
  <c r="P36" i="3"/>
  <c r="N35" i="3"/>
  <c r="S43" i="3"/>
  <c r="P43" i="3"/>
  <c r="AZ56" i="3"/>
  <c r="AZ68" i="3" s="1"/>
  <c r="N57" i="3"/>
  <c r="N56" i="3" s="1"/>
  <c r="T30" i="3"/>
  <c r="Q39" i="3"/>
  <c r="Q38" i="3" s="1"/>
  <c r="N38" i="3"/>
  <c r="S39" i="3"/>
  <c r="Q45" i="3"/>
  <c r="N44" i="3"/>
  <c r="S45" i="3"/>
  <c r="S44" i="3" s="1"/>
  <c r="Q60" i="3"/>
  <c r="S60" i="3"/>
  <c r="S59" i="3" s="1"/>
  <c r="P60" i="3"/>
  <c r="Q49" i="3"/>
  <c r="Q51" i="3"/>
  <c r="Q50" i="3" s="1"/>
  <c r="Q53" i="3"/>
  <c r="Q52" i="3" s="1"/>
  <c r="Q55" i="3"/>
  <c r="Q54" i="3" s="1"/>
  <c r="Q58" i="3"/>
  <c r="Q56" i="3" s="1"/>
  <c r="Q64" i="3"/>
  <c r="Q59" i="3" s="1"/>
  <c r="Q67" i="3"/>
  <c r="Q66" i="3" s="1"/>
  <c r="R44" i="3"/>
  <c r="P49" i="3"/>
  <c r="T49" i="3" s="1"/>
  <c r="BB44" i="3" s="1"/>
  <c r="N50" i="3"/>
  <c r="P51" i="3"/>
  <c r="N52" i="3"/>
  <c r="P53" i="3"/>
  <c r="N54" i="3"/>
  <c r="P55" i="3"/>
  <c r="P58" i="3"/>
  <c r="N59" i="3"/>
  <c r="P64" i="3"/>
  <c r="N66" i="3"/>
  <c r="P67" i="3"/>
  <c r="N30" i="6" l="1"/>
  <c r="Q30" i="6"/>
  <c r="R68" i="3"/>
  <c r="AR68" i="3"/>
  <c r="AR30" i="6"/>
  <c r="T14" i="6"/>
  <c r="BB9" i="6" s="1"/>
  <c r="S3" i="6"/>
  <c r="N68" i="3"/>
  <c r="T8" i="6"/>
  <c r="BB3" i="6" s="1"/>
  <c r="T16" i="6"/>
  <c r="AF15" i="6" s="1"/>
  <c r="P15" i="6"/>
  <c r="T20" i="6"/>
  <c r="P9" i="6"/>
  <c r="T10" i="6"/>
  <c r="T4" i="6"/>
  <c r="P3" i="6"/>
  <c r="P30" i="6" s="1"/>
  <c r="S15" i="6"/>
  <c r="S9" i="6"/>
  <c r="S29" i="3"/>
  <c r="Q44" i="3"/>
  <c r="Q68" i="3" s="1"/>
  <c r="T39" i="3"/>
  <c r="T60" i="3"/>
  <c r="AF59" i="3" s="1"/>
  <c r="P44" i="3"/>
  <c r="T12" i="3"/>
  <c r="P66" i="3"/>
  <c r="T67" i="3"/>
  <c r="T58" i="3"/>
  <c r="P56" i="3"/>
  <c r="AF29" i="3"/>
  <c r="P35" i="3"/>
  <c r="T36" i="3"/>
  <c r="AF38" i="3"/>
  <c r="AF23" i="3"/>
  <c r="T28" i="3"/>
  <c r="BB23" i="3" s="1"/>
  <c r="P23" i="3"/>
  <c r="P17" i="3"/>
  <c r="T18" i="3"/>
  <c r="T6" i="3"/>
  <c r="P54" i="3"/>
  <c r="T55" i="3"/>
  <c r="P52" i="3"/>
  <c r="T53" i="3"/>
  <c r="P50" i="3"/>
  <c r="T51" i="3"/>
  <c r="S38" i="3"/>
  <c r="T43" i="3"/>
  <c r="BB38" i="3" s="1"/>
  <c r="P38" i="3"/>
  <c r="T22" i="3"/>
  <c r="BB17" i="3" s="1"/>
  <c r="T16" i="3"/>
  <c r="P15" i="3"/>
  <c r="P13" i="3"/>
  <c r="T14" i="3"/>
  <c r="T9" i="3"/>
  <c r="P7" i="3"/>
  <c r="T45" i="3"/>
  <c r="S17" i="3"/>
  <c r="S68" i="3" s="1"/>
  <c r="T4" i="3"/>
  <c r="P3" i="3"/>
  <c r="P59" i="3"/>
  <c r="T64" i="3"/>
  <c r="T34" i="3"/>
  <c r="BB29" i="3" s="1"/>
  <c r="P29" i="3"/>
  <c r="O63" i="2"/>
  <c r="AJ63" i="2"/>
  <c r="T67" i="2"/>
  <c r="AT63" i="2" s="1"/>
  <c r="R66" i="2"/>
  <c r="R63" i="2" s="1"/>
  <c r="M68" i="2"/>
  <c r="N68" i="2" s="1"/>
  <c r="M67" i="2"/>
  <c r="M66" i="2"/>
  <c r="M64" i="2"/>
  <c r="N64" i="2" s="1"/>
  <c r="R45" i="2"/>
  <c r="T45" i="2" s="1"/>
  <c r="AR42" i="2" s="1"/>
  <c r="N28" i="2"/>
  <c r="R18" i="2"/>
  <c r="R17" i="2" s="1"/>
  <c r="O17" i="2"/>
  <c r="Q17" i="2"/>
  <c r="AF68" i="3" l="1"/>
  <c r="S30" i="6"/>
  <c r="P68" i="3"/>
  <c r="AF9" i="6"/>
  <c r="BK9" i="6" s="1"/>
  <c r="T9" i="6"/>
  <c r="AF3" i="6"/>
  <c r="AF30" i="6" s="1"/>
  <c r="T3" i="6"/>
  <c r="T15" i="6"/>
  <c r="BB15" i="6"/>
  <c r="BK15" i="6" s="1"/>
  <c r="BK38" i="3"/>
  <c r="T29" i="3"/>
  <c r="BB10" i="3"/>
  <c r="BK10" i="3" s="1"/>
  <c r="T11" i="3"/>
  <c r="T44" i="3"/>
  <c r="AD44" i="3"/>
  <c r="BK44" i="3" s="1"/>
  <c r="BB7" i="3"/>
  <c r="BK7" i="3" s="1"/>
  <c r="T7" i="3"/>
  <c r="T15" i="3"/>
  <c r="BB15" i="3"/>
  <c r="BK15" i="3" s="1"/>
  <c r="T23" i="3"/>
  <c r="T35" i="3"/>
  <c r="AD35" i="3"/>
  <c r="BK35" i="3" s="1"/>
  <c r="BB56" i="3"/>
  <c r="BK56" i="3" s="1"/>
  <c r="T56" i="3"/>
  <c r="T3" i="3"/>
  <c r="BB3" i="3"/>
  <c r="T13" i="3"/>
  <c r="BB13" i="3"/>
  <c r="BK13" i="3" s="1"/>
  <c r="BB50" i="3"/>
  <c r="BK50" i="3" s="1"/>
  <c r="T50" i="3"/>
  <c r="BB52" i="3"/>
  <c r="BK52" i="3" s="1"/>
  <c r="T52" i="3"/>
  <c r="BB54" i="3"/>
  <c r="BK54" i="3" s="1"/>
  <c r="T54" i="3"/>
  <c r="T5" i="3"/>
  <c r="BB5" i="3"/>
  <c r="BK5" i="3" s="1"/>
  <c r="AD17" i="3"/>
  <c r="T17" i="3"/>
  <c r="BK23" i="3"/>
  <c r="T38" i="3"/>
  <c r="BK29" i="3"/>
  <c r="BB66" i="3"/>
  <c r="BK66" i="3" s="1"/>
  <c r="T66" i="3"/>
  <c r="T59" i="3"/>
  <c r="BB59" i="3"/>
  <c r="BK59" i="3" s="1"/>
  <c r="P18" i="2"/>
  <c r="P17" i="2" s="1"/>
  <c r="S64" i="2"/>
  <c r="Q64" i="2"/>
  <c r="P64" i="2"/>
  <c r="S68" i="2"/>
  <c r="N63" i="2"/>
  <c r="N45" i="2"/>
  <c r="T66" i="2"/>
  <c r="AR63" i="2" s="1"/>
  <c r="P68" i="2"/>
  <c r="Q68" i="2"/>
  <c r="O48" i="2"/>
  <c r="T52" i="2"/>
  <c r="AT48" i="2" s="1"/>
  <c r="R51" i="2"/>
  <c r="T51" i="2" s="1"/>
  <c r="N51" i="2" s="1"/>
  <c r="M53" i="2"/>
  <c r="N53" i="2" s="1"/>
  <c r="M52" i="2"/>
  <c r="R50" i="2"/>
  <c r="T50" i="2" s="1"/>
  <c r="AJ48" i="2" s="1"/>
  <c r="M49" i="2"/>
  <c r="N49" i="2" s="1"/>
  <c r="O39" i="2"/>
  <c r="R41" i="2"/>
  <c r="T41" i="2" s="1"/>
  <c r="AJ39" i="2" s="1"/>
  <c r="M40" i="2"/>
  <c r="N40" i="2" s="1"/>
  <c r="O19" i="2"/>
  <c r="M20" i="2"/>
  <c r="N20" i="2" s="1"/>
  <c r="M18" i="2"/>
  <c r="O9" i="2"/>
  <c r="R9" i="2"/>
  <c r="T10" i="2"/>
  <c r="AZ9" i="2" s="1"/>
  <c r="M11" i="2"/>
  <c r="N11" i="2" s="1"/>
  <c r="O7" i="2"/>
  <c r="N8" i="2"/>
  <c r="M8" i="2"/>
  <c r="M71" i="2"/>
  <c r="N71" i="2" s="1"/>
  <c r="O70" i="2"/>
  <c r="M59" i="2"/>
  <c r="N59" i="2" s="1"/>
  <c r="O58" i="2"/>
  <c r="M57" i="2"/>
  <c r="N57" i="2" s="1"/>
  <c r="S57" i="2" s="1"/>
  <c r="S56" i="2" s="1"/>
  <c r="O56" i="2"/>
  <c r="M55" i="2"/>
  <c r="N55" i="2" s="1"/>
  <c r="O54" i="2"/>
  <c r="M47" i="2"/>
  <c r="M46" i="2"/>
  <c r="M45" i="2"/>
  <c r="M44" i="2"/>
  <c r="AJ42" i="2"/>
  <c r="M43" i="2"/>
  <c r="N43" i="2" s="1"/>
  <c r="N47" i="2"/>
  <c r="S47" i="2" s="1"/>
  <c r="T46" i="2"/>
  <c r="AT42" i="2" s="1"/>
  <c r="O42" i="2"/>
  <c r="M26" i="2"/>
  <c r="N26" i="2" s="1"/>
  <c r="S26" i="2" s="1"/>
  <c r="M25" i="2"/>
  <c r="M24" i="2"/>
  <c r="M23" i="2"/>
  <c r="M22" i="2"/>
  <c r="N22" i="2" s="1"/>
  <c r="T25" i="2"/>
  <c r="AT21" i="2" s="1"/>
  <c r="R24" i="2"/>
  <c r="T24" i="2" s="1"/>
  <c r="AR21" i="2" s="1"/>
  <c r="R23" i="2"/>
  <c r="T23" i="2" s="1"/>
  <c r="AJ21" i="2" s="1"/>
  <c r="O21" i="2"/>
  <c r="M6" i="2"/>
  <c r="N6" i="2" s="1"/>
  <c r="S6" i="2" s="1"/>
  <c r="S5" i="2" s="1"/>
  <c r="R5" i="2"/>
  <c r="O5" i="2"/>
  <c r="M4" i="2"/>
  <c r="N4" i="2" s="1"/>
  <c r="O3" i="2"/>
  <c r="O72" i="2" s="1"/>
  <c r="T30" i="6" l="1"/>
  <c r="BB30" i="6"/>
  <c r="AD68" i="3"/>
  <c r="T68" i="3"/>
  <c r="BB68" i="3"/>
  <c r="BK3" i="6"/>
  <c r="BK30" i="6" s="1"/>
  <c r="BK17" i="3"/>
  <c r="BK3" i="3"/>
  <c r="BK68" i="3" s="1"/>
  <c r="T18" i="2"/>
  <c r="X17" i="2" s="1"/>
  <c r="N18" i="2"/>
  <c r="N17" i="2" s="1"/>
  <c r="Q63" i="2"/>
  <c r="T64" i="2"/>
  <c r="AF63" i="2" s="1"/>
  <c r="N48" i="2"/>
  <c r="P63" i="2"/>
  <c r="S63" i="2"/>
  <c r="T68" i="2"/>
  <c r="N39" i="2"/>
  <c r="S40" i="2"/>
  <c r="S39" i="2" s="1"/>
  <c r="Q40" i="2"/>
  <c r="Q39" i="2" s="1"/>
  <c r="P40" i="2"/>
  <c r="Q53" i="2"/>
  <c r="P53" i="2"/>
  <c r="S53" i="2"/>
  <c r="R39" i="2"/>
  <c r="AR48" i="2"/>
  <c r="R48" i="2"/>
  <c r="S49" i="2"/>
  <c r="S48" i="2" s="1"/>
  <c r="Q49" i="2"/>
  <c r="P49" i="2"/>
  <c r="N7" i="2"/>
  <c r="S8" i="2"/>
  <c r="S7" i="2" s="1"/>
  <c r="Q8" i="2"/>
  <c r="Q7" i="2" s="1"/>
  <c r="P8" i="2"/>
  <c r="N9" i="2"/>
  <c r="S11" i="2"/>
  <c r="S9" i="2" s="1"/>
  <c r="Q11" i="2"/>
  <c r="Q9" i="2" s="1"/>
  <c r="P11" i="2"/>
  <c r="N19" i="2"/>
  <c r="S20" i="2"/>
  <c r="S19" i="2" s="1"/>
  <c r="Q20" i="2"/>
  <c r="Q19" i="2" s="1"/>
  <c r="P20" i="2"/>
  <c r="R42" i="2"/>
  <c r="R21" i="2"/>
  <c r="Q71" i="2"/>
  <c r="Q70" i="2" s="1"/>
  <c r="S71" i="2"/>
  <c r="S70" i="2" s="1"/>
  <c r="P71" i="2"/>
  <c r="N70" i="2"/>
  <c r="Q59" i="2"/>
  <c r="Q58" i="2" s="1"/>
  <c r="S59" i="2"/>
  <c r="S58" i="2" s="1"/>
  <c r="P59" i="2"/>
  <c r="N58" i="2"/>
  <c r="Q57" i="2"/>
  <c r="Q56" i="2" s="1"/>
  <c r="N56" i="2"/>
  <c r="P57" i="2"/>
  <c r="Q55" i="2"/>
  <c r="Q54" i="2" s="1"/>
  <c r="S55" i="2"/>
  <c r="S54" i="2" s="1"/>
  <c r="P55" i="2"/>
  <c r="N54" i="2"/>
  <c r="Q47" i="2"/>
  <c r="P43" i="2"/>
  <c r="Q43" i="2"/>
  <c r="Q42" i="2" s="1"/>
  <c r="N42" i="2"/>
  <c r="S43" i="2"/>
  <c r="S42" i="2" s="1"/>
  <c r="P47" i="2"/>
  <c r="S22" i="2"/>
  <c r="S21" i="2" s="1"/>
  <c r="N21" i="2"/>
  <c r="Q22" i="2"/>
  <c r="Q26" i="2"/>
  <c r="P22" i="2"/>
  <c r="P26" i="2"/>
  <c r="T26" i="2" s="1"/>
  <c r="BB21" i="2" s="1"/>
  <c r="N5" i="2"/>
  <c r="Q6" i="2"/>
  <c r="Q5" i="2" s="1"/>
  <c r="P6" i="2"/>
  <c r="Q4" i="2"/>
  <c r="Q3" i="2" s="1"/>
  <c r="S4" i="2"/>
  <c r="S3" i="2" s="1"/>
  <c r="P4" i="2"/>
  <c r="N3" i="2"/>
  <c r="BK17" i="2" l="1"/>
  <c r="X72" i="2"/>
  <c r="T63" i="2"/>
  <c r="T17" i="2"/>
  <c r="P48" i="2"/>
  <c r="Q48" i="2"/>
  <c r="P39" i="2"/>
  <c r="T40" i="2"/>
  <c r="T53" i="2"/>
  <c r="BB48" i="2" s="1"/>
  <c r="T49" i="2"/>
  <c r="P19" i="2"/>
  <c r="T20" i="2"/>
  <c r="P9" i="2"/>
  <c r="T11" i="2"/>
  <c r="P7" i="2"/>
  <c r="T8" i="2"/>
  <c r="T7" i="2" s="1"/>
  <c r="AP7" i="2" s="1"/>
  <c r="T71" i="2"/>
  <c r="P70" i="2"/>
  <c r="T59" i="2"/>
  <c r="P58" i="2"/>
  <c r="P56" i="2"/>
  <c r="T57" i="2"/>
  <c r="T55" i="2"/>
  <c r="P54" i="2"/>
  <c r="T47" i="2"/>
  <c r="BB42" i="2" s="1"/>
  <c r="T43" i="2"/>
  <c r="P42" i="2"/>
  <c r="T22" i="2"/>
  <c r="P21" i="2"/>
  <c r="Q21" i="2"/>
  <c r="T6" i="2"/>
  <c r="P5" i="2"/>
  <c r="T4" i="2"/>
  <c r="P3" i="2"/>
  <c r="BK7" i="2" l="1"/>
  <c r="AP72" i="2"/>
  <c r="T48" i="2"/>
  <c r="AD48" i="2"/>
  <c r="BK48" i="2" s="1"/>
  <c r="AD39" i="2"/>
  <c r="BK39" i="2" s="1"/>
  <c r="T39" i="2"/>
  <c r="BB9" i="2"/>
  <c r="BK9" i="2" s="1"/>
  <c r="T9" i="2"/>
  <c r="BB19" i="2"/>
  <c r="BK19" i="2" s="1"/>
  <c r="T19" i="2"/>
  <c r="T70" i="2"/>
  <c r="BB70" i="2"/>
  <c r="BK70" i="2" s="1"/>
  <c r="BB63" i="2"/>
  <c r="BK63" i="2" s="1"/>
  <c r="T58" i="2"/>
  <c r="BB58" i="2"/>
  <c r="BK58" i="2" s="1"/>
  <c r="T56" i="2"/>
  <c r="BB56" i="2"/>
  <c r="BK56" i="2" s="1"/>
  <c r="T54" i="2"/>
  <c r="BB54" i="2"/>
  <c r="BK54" i="2" s="1"/>
  <c r="T42" i="2"/>
  <c r="AF42" i="2"/>
  <c r="BK42" i="2" s="1"/>
  <c r="T21" i="2"/>
  <c r="AD21" i="2"/>
  <c r="T5" i="2"/>
  <c r="BB5" i="2"/>
  <c r="BK5" i="2" s="1"/>
  <c r="T3" i="2"/>
  <c r="BB3" i="2"/>
  <c r="BK3" i="2" l="1"/>
  <c r="BK21" i="2"/>
  <c r="AD72" i="2"/>
  <c r="N62" i="2"/>
  <c r="Q62" i="2" s="1"/>
  <c r="S61" i="2"/>
  <c r="R61" i="2"/>
  <c r="R60" i="2" s="1"/>
  <c r="Q61" i="2"/>
  <c r="P61" i="2"/>
  <c r="N38" i="2"/>
  <c r="Q38" i="2" s="1"/>
  <c r="T37" i="2"/>
  <c r="AT33" i="2" s="1"/>
  <c r="R36" i="2"/>
  <c r="T36" i="2" s="1"/>
  <c r="N36" i="2" s="1"/>
  <c r="R35" i="2"/>
  <c r="T35" i="2" s="1"/>
  <c r="AJ33" i="2" s="1"/>
  <c r="N34" i="2"/>
  <c r="S34" i="2" s="1"/>
  <c r="N32" i="2"/>
  <c r="Q32" i="2" s="1"/>
  <c r="T31" i="2"/>
  <c r="AT27" i="2" s="1"/>
  <c r="AT72" i="2" s="1"/>
  <c r="R30" i="2"/>
  <c r="T30" i="2" s="1"/>
  <c r="R29" i="2"/>
  <c r="T29" i="2" s="1"/>
  <c r="AJ27" i="2" s="1"/>
  <c r="AJ72" i="2" s="1"/>
  <c r="Q28" i="2"/>
  <c r="Q27" i="2" s="1"/>
  <c r="N16" i="2"/>
  <c r="Q16" i="2" s="1"/>
  <c r="Q15" i="2" s="1"/>
  <c r="R15" i="2"/>
  <c r="N15" i="2"/>
  <c r="N14" i="2"/>
  <c r="S14" i="2" s="1"/>
  <c r="S13" i="2" s="1"/>
  <c r="R13" i="2"/>
  <c r="N13" i="2"/>
  <c r="R27" i="2" l="1"/>
  <c r="AR27" i="2"/>
  <c r="N30" i="2"/>
  <c r="N27" i="2" s="1"/>
  <c r="N33" i="2"/>
  <c r="S28" i="2"/>
  <c r="S38" i="2"/>
  <c r="P28" i="2"/>
  <c r="S33" i="2"/>
  <c r="P38" i="2"/>
  <c r="AR33" i="2"/>
  <c r="T61" i="2"/>
  <c r="AZ60" i="2" s="1"/>
  <c r="Q60" i="2"/>
  <c r="P62" i="2"/>
  <c r="S62" i="2"/>
  <c r="S60" i="2" s="1"/>
  <c r="Q34" i="2"/>
  <c r="Q33" i="2" s="1"/>
  <c r="R33" i="2"/>
  <c r="P34" i="2"/>
  <c r="P32" i="2"/>
  <c r="S32" i="2"/>
  <c r="P16" i="2"/>
  <c r="S16" i="2"/>
  <c r="S15" i="2" s="1"/>
  <c r="Q14" i="2"/>
  <c r="Q13" i="2" s="1"/>
  <c r="Q72" i="2" s="1"/>
  <c r="P14" i="2"/>
  <c r="R72" i="2" l="1"/>
  <c r="AR72" i="2"/>
  <c r="AZ72" i="2"/>
  <c r="T28" i="2"/>
  <c r="AF27" i="2" s="1"/>
  <c r="N61" i="2"/>
  <c r="N60" i="2" s="1"/>
  <c r="N72" i="2" s="1"/>
  <c r="T38" i="2"/>
  <c r="BB33" i="2" s="1"/>
  <c r="S27" i="2"/>
  <c r="S72" i="2" s="1"/>
  <c r="T62" i="2"/>
  <c r="P60" i="2"/>
  <c r="P33" i="2"/>
  <c r="T34" i="2"/>
  <c r="T32" i="2"/>
  <c r="BB27" i="2" s="1"/>
  <c r="P27" i="2"/>
  <c r="T16" i="2"/>
  <c r="P15" i="2"/>
  <c r="P13" i="2"/>
  <c r="T14" i="2"/>
  <c r="P72" i="2" l="1"/>
  <c r="BK27" i="2"/>
  <c r="T13" i="2"/>
  <c r="BB12" i="2"/>
  <c r="BK12" i="2" s="1"/>
  <c r="T33" i="2"/>
  <c r="AF33" i="2"/>
  <c r="BK33" i="2" s="1"/>
  <c r="T15" i="2"/>
  <c r="BB15" i="2"/>
  <c r="T60" i="2"/>
  <c r="BB60" i="2"/>
  <c r="BK60" i="2" s="1"/>
  <c r="T27" i="2"/>
  <c r="T72" i="2" l="1"/>
  <c r="BK15" i="2"/>
  <c r="BB72" i="2"/>
  <c r="BK72" i="2"/>
  <c r="AF72" i="2"/>
</calcChain>
</file>

<file path=xl/sharedStrings.xml><?xml version="1.0" encoding="utf-8"?>
<sst xmlns="http://schemas.openxmlformats.org/spreadsheetml/2006/main" count="700" uniqueCount="248">
  <si>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</si>
  <si>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</si>
  <si>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</si>
  <si>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</si>
  <si>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</si>
  <si>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</si>
  <si>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</si>
  <si>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</si>
  <si>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</si>
  <si>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</si>
  <si>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</si>
  <si>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</si>
  <si>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</si>
  <si>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</si>
  <si>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</si>
  <si>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</si>
  <si>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</si>
  <si>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</si>
  <si>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</si>
  <si>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</si>
  <si>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</si>
  <si>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</si>
  <si>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</si>
  <si>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</si>
  <si>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</si>
  <si>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</si>
  <si>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</si>
  <si>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</si>
  <si>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</si>
  <si>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</si>
  <si>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</si>
  <si>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</si>
  <si>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</si>
  <si>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</si>
  <si>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</si>
  <si>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</si>
  <si>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</si>
  <si>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</si>
  <si>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</si>
  <si>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</si>
  <si>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</si>
  <si>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41166413 (ВЭС-3115/2015)</t>
  </si>
  <si>
    <t>41170180 (ВЭС-3116/2015)</t>
  </si>
  <si>
    <t>41139009 (ЗЭС-2700/2015)</t>
  </si>
  <si>
    <t>41142214 (ЗЭС-2704/2015)</t>
  </si>
  <si>
    <t>41160793 (СЭС-2731/2015)</t>
  </si>
  <si>
    <t>41160798 (СЭС-2732/2015)</t>
  </si>
  <si>
    <t>41164747 (СЭС-2734/2015)</t>
  </si>
  <si>
    <t>41104499 (ЦЭС-10812/2015)</t>
  </si>
  <si>
    <t>41172579 (ЦЭС-11485/2015)</t>
  </si>
  <si>
    <t>41168177 (ЦЭС-11636/2015)</t>
  </si>
  <si>
    <t>41162288 (ЦЭС-11733/2015)</t>
  </si>
  <si>
    <t>41161423 (ЦЭС-11753/2015)</t>
  </si>
  <si>
    <t>41168337 (ЦЭС-11809/2015)</t>
  </si>
  <si>
    <t>41170103 (ЦЭС-11816/2015)</t>
  </si>
  <si>
    <t>41170171 (ЦЭС-11817/2015)</t>
  </si>
  <si>
    <t>41170185 (ЦЭС-11819/2015)</t>
  </si>
  <si>
    <t>41170197 (ЦЭС-11820/2015)</t>
  </si>
  <si>
    <t>41171052 (ЦЭС-11824/2015)</t>
  </si>
  <si>
    <t>41159519 (ЮЭС-2977/2015)</t>
  </si>
  <si>
    <t>41166162 (ЮЭС-2989/2015)</t>
  </si>
  <si>
    <t>41166146 (ЮЭС-2990/2015)</t>
  </si>
  <si>
    <t>41166230 (ЮЭС-2992/2015)</t>
  </si>
  <si>
    <t>41166413</t>
  </si>
  <si>
    <t>41170180</t>
  </si>
  <si>
    <t>41139009</t>
  </si>
  <si>
    <t>41142214</t>
  </si>
  <si>
    <t>41160793</t>
  </si>
  <si>
    <t>41160798</t>
  </si>
  <si>
    <t>41164747</t>
  </si>
  <si>
    <t>41104499</t>
  </si>
  <si>
    <t>41172579</t>
  </si>
  <si>
    <t>41168177</t>
  </si>
  <si>
    <t>41162288</t>
  </si>
  <si>
    <t>41161423</t>
  </si>
  <si>
    <t>41168337</t>
  </si>
  <si>
    <t>41170103</t>
  </si>
  <si>
    <t>41170171</t>
  </si>
  <si>
    <t>41170185</t>
  </si>
  <si>
    <t>41170197</t>
  </si>
  <si>
    <t>41171052</t>
  </si>
  <si>
    <t>41159519</t>
  </si>
  <si>
    <t>41166162</t>
  </si>
  <si>
    <t>41166146</t>
  </si>
  <si>
    <t>41166230</t>
  </si>
  <si>
    <t>ОАО "Мантуровский строитель"</t>
  </si>
  <si>
    <t>ООО "Агропромстрой"</t>
  </si>
  <si>
    <t>ООО "Адрем"</t>
  </si>
  <si>
    <t>Индивидуальный предприниматель Ножкина Лидия Викторовна</t>
  </si>
  <si>
    <t>Лиморенко  Роман Сергеевич</t>
  </si>
  <si>
    <t>Фурсов Нвгений Викторович</t>
  </si>
  <si>
    <t>Голубев Борис Михайлович</t>
  </si>
  <si>
    <t>Акционерное общество «Курский завод медстекла»</t>
  </si>
  <si>
    <t>Гудырев Сергей Фридрихович</t>
  </si>
  <si>
    <t>Бородкина Людмила Викторовна</t>
  </si>
  <si>
    <t>Дроздова Елена Николаевна</t>
  </si>
  <si>
    <t>Сырова Валентина Викторовна</t>
  </si>
  <si>
    <t>Костромин Михаил Юрьевич</t>
  </si>
  <si>
    <t>Реутов Евгений Иванович</t>
  </si>
  <si>
    <t>Бобкова Татьяна Владимировна</t>
  </si>
  <si>
    <t>Швецова Людмила Васильевна</t>
  </si>
  <si>
    <t>Щедрина Валентина Дмитриевна</t>
  </si>
  <si>
    <t>Литнарович Сергей Николаевич</t>
  </si>
  <si>
    <t>Гончаров Петр Юрьевич</t>
  </si>
  <si>
    <t>Андросов Александр Михайлович</t>
  </si>
  <si>
    <t>Шатохин Александр Викторович</t>
  </si>
  <si>
    <t>Ерохин Александр Владимирович</t>
  </si>
  <si>
    <t>ТРЭС</t>
  </si>
  <si>
    <t>МаРЭС</t>
  </si>
  <si>
    <t>РРЭС</t>
  </si>
  <si>
    <t>КуРЭС</t>
  </si>
  <si>
    <t>ЖРЭС</t>
  </si>
  <si>
    <t>ЦРЭС</t>
  </si>
  <si>
    <t>КРЭС</t>
  </si>
  <si>
    <t>ЗРЭС</t>
  </si>
  <si>
    <t>ОРЭС</t>
  </si>
  <si>
    <t>БРЭС</t>
  </si>
  <si>
    <t>Б.РЭС</t>
  </si>
  <si>
    <t>Б.С.РЭС</t>
  </si>
  <si>
    <t>Курская область, Тимский район, Тимский сельсовет, с. 1-е Выгорное, ул. Молодежная, д. 19, кв. 3</t>
  </si>
  <si>
    <t>Курская область, Мантуровский район, 2-й Засеймский сельсовет, с. 2-е Засеймье, ул. Центральная, 66 «а», кв. 2</t>
  </si>
  <si>
    <t>Курская обл ,г.Рыльск.ул.Р.Люксембург напротив дома 76</t>
  </si>
  <si>
    <t>Курская обл., Курчатовский р-он, Дичнянский с/с, с. Дичня</t>
  </si>
  <si>
    <t>Курская область, Железногорский район, Разветьевский сельсовет, кад. № 46:06:081803:197</t>
  </si>
  <si>
    <t>Курская область, Железногорский район, Разветьевский сельсовет, кад. № 46:06:081702:242</t>
  </si>
  <si>
    <t>305040, г.Курск, ул.50лет Октября, д.126а/1</t>
  </si>
  <si>
    <t>Щетинский с/с, снт "Приморское", уч. 1075</t>
  </si>
  <si>
    <t>305512 п. Камыши, уч. 906-575-77-08</t>
  </si>
  <si>
    <t>307214 Курская обл. Октябрьский р-он, с.Дьяконово, ул.Магистральная,д.15</t>
  </si>
  <si>
    <t>Курский р-н, Клюквинский с/с, уч.46:11:071301:2584</t>
  </si>
  <si>
    <t>Курский р-н, д.Верхняя Медведица, уч. 46:11:110501:561</t>
  </si>
  <si>
    <t>Курский р-н, д.Кукуевка, уч.46:11:121203:1750</t>
  </si>
  <si>
    <t>Курская обл., Золотухинский р-н, д. Будановка, д. 94</t>
  </si>
  <si>
    <t>Курский р-н, Рышковский с/с, х.Кислино, уч. 46:11:170607:1576</t>
  </si>
  <si>
    <t>Курский р-н, Рышковский с/с, х.Кислино, уч.46:11:170607:1648</t>
  </si>
  <si>
    <t>Курский р-н, Полянский с/с, д.Жеребцово</t>
  </si>
  <si>
    <t>Курская обл., Беловский р-он., сл.Белая, ул.Журавского.</t>
  </si>
  <si>
    <t>Курская обл.,  Б.Солдатский р-н, С. Б.Солдатское, ул. 70 лет Победы, д.24</t>
  </si>
  <si>
    <t>Курская обл.,  Б.Солдатский р-н, С. Б.Солдатское, ул. 70 лет Победы, д.40</t>
  </si>
  <si>
    <t>Курская обл., Б.Солдатский р-н, с. Б. Солдатское,  ул. Молодежная, д.35</t>
  </si>
  <si>
    <t>- строительство ответвления протяженностью 0,3 км от опоры № 2-4 существующей ВЛ-0,4 кВ № 1 (инв. № 3103488)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</t>
  </si>
  <si>
    <t>реконструкция существующей ВЛ-0,4 кВ № 1 (инв. № 3103488)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</si>
  <si>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0,12 км от опоры № 15 существующей ВЛ-0,4 кВ № 2 (инв. № 1465) до границы земельного участка заявителя, с увеличением протяженности существующей ВЛ-0,4 кВ; (точку врезки, марку и сечение провода, протяженность уточнить при проектировании)</t>
  </si>
  <si>
    <t>реконструкция существующей ВЛ-0,4 кВ № 2 (инв. № 1465)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</si>
  <si>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кабельного ответвления протяженностью 0,15 км от опоры существующей ВЛ-10 кВ № 210 до ТП-10/0,4 кВ заявителя (марку и сечение кабеля, протяженность уточнить при проектировании).</t>
  </si>
  <si>
    <t>реконструкция существующей ВЛ-10 кВ № 210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</si>
  <si>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ВЛ-0,4 кВ протяженностью 0,165 км от ТП-10/0,4 кВ № 9/160 до границы земельного участка заявителя (марку и сечение провода, протяженность уточнить при проектировании).</t>
  </si>
  <si>
    <t>монтаж дополнительного коммутационного аппарата отходящей ВЛ-0,4 кВ в РУ-0,4 кВ ТП-10/0,4 кВ № 9/160 (тип и технические характеристики уточнить при проектировании) – за счет средств тарифа на передачу электроэнергии.</t>
  </si>
  <si>
    <t>-</t>
  </si>
  <si>
    <t>- строительство ответвления протяженностью 0,16 км от опоры существующей ВЛ-0,4 кВ № 1 (инв. № 31112300)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- по техническим условиям С-2732</t>
  </si>
  <si>
    <t>реконструкция существующей ВЛ-0,4 кВ № 1 (инв. № 31112300)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С-2732</t>
  </si>
  <si>
    <t>- строительство ответвления протяженностью 0,16 км от опоры существующей ВЛ-0,4 кВ № 1 (инв. № 31112300)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</si>
  <si>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31112300)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</si>
  <si>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0,4 км от опоры существующей ВЛ-0,4 кВ № 1 (инв. № 31112301)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</si>
  <si>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31112301)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</si>
  <si>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3.1.1.	Существующая ПС 110/10 кВ «Котельная»: монтаж трансформатора тока нулевой последовательности в ячейке 10 кВ  № 3 (1-я секция шин 10 кВ) (объем работ уточнить при проектировании).</t>
  </si>
  <si>
    <t>- строительство ответвления протяженностью 0,14 км от опоры существующей ВЛ-0,4 кВ №1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</si>
  <si>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проектировании)-за счет средств тарифа на передачу э/э.</t>
  </si>
  <si>
    <t>- строительство ответвления протяженностью 0,025 км от опоры  существующей  ВЛ-10 кВ № 420.16 (инв. № 15257)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</si>
  <si>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420.16 (инв. № 15257)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</si>
  <si>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0,02 км от опоры существующей  ВЛ-10 кВ № 556.12  (инв. № 3101884)  до проектируемой ТП-10/0,4 кВ с установкой разъединителя на концевой опоре и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0,05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</si>
  <si>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556.12  (инв. № 3101884)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</si>
  <si>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0,22 км от опоры № 6-16 ВЛ-10 кВ № 176.118 (инв. № 4642) 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0,08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</si>
  <si>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176.118 (инв. № 4642)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</si>
  <si>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0,01 км от опоры №2  ВЛ-10 кВ № 438.02 (инв. № 8723) до границы земельного участка заявителя,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 уточнить при проектировании).</t>
  </si>
  <si>
    <t>реконструкция существующей ВЛ-10 кВ № 438.02 (инв. № 8723) в части монтажа ответвительной арматуры к опоре в точке врезки 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</si>
  <si>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0,38 км от опоры  существующей  ВЛ-10 кВ № 412.16 (инв. №4009) до проектируемой ТП-10/0,4 кВ с увеличением протяженности существующей ВЛ-10 кВ (марку и сечение провода, протяженность уточнить при проектировании). 
 строительство ВЛ-0,4 кВ протяженностью  0,38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установки трансформатора большей мощности (до 400 кВА)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</si>
  <si>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(инв. №4009)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</si>
  <si>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23272) в части переключения участка оп. №№ 14…24 на питание от проектируемой ТП-10/0,4 кВ  (объем реконструкции уточнить при проектировании) - за счет средств тарифа на передачу э/э.</t>
  </si>
  <si>
    <t>- строительство ответвления протяженностью 0,28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Ц-11688.
 строительство ВЛ-0,4 кВ протяженностью  0,11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увеличения мощности трансформатора до 400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Ц-11688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</si>
  <si>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Ц-11688.</t>
  </si>
  <si>
    <t>- строительство ответвления протяженностью 0,28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Ц-11688, Ц-11819
 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 - в т.ч. 0,05 км по техническим условиям Ц-11688.
строительство ТП-10/0,4 кВ с силовым трансформатором мощностью 100 кВА и возможностью увеличения мощности трансформатора до 400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Ц-11688, Ц-11819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</si>
  <si>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Ц-11688, Ц-11819.</t>
  </si>
  <si>
    <t>- строительство ответвления протяженностью 0,1 км от опоры существующей ВЛ-0,4 кВ № 1 (инв. № 3340)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</si>
  <si>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3340)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</si>
  <si>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протяженностью 0,05 км от ТП-10/0,4 кВ № 328 (инв. № 13011525-00) до границы земельного участка заявителя (марку и сечение провода, протяженность уточнить при проектировании).</t>
  </si>
  <si>
    <t>реконструкция ТП-10/0,4 кВ № 328 (инв. № 13011525-00)  с заменой силового трансформатора на трансформатор мощностью 63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</si>
  <si>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реконструкция существующей ВЛ-0,4 кВ № 3 (инв. № 12012961-00)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Ю-2897.</t>
  </si>
  <si>
    <t>- строительство ответвления протяженностью 0,36 км от опоры № 13 существующей ВЛ-0,4 кВ № 3 (инв. № 12012961-00)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Ю-2897.</t>
  </si>
  <si>
    <t xml:space="preserve">ВЛ-0,4 кВ № 1 (инв. № 31112300) </t>
  </si>
  <si>
    <t>ВЛ-0,4 кВ № 1 (инв. № 31112301)</t>
  </si>
  <si>
    <t xml:space="preserve"> ВЛ-10 кВ № 556.12  (инв. № 3101884)</t>
  </si>
  <si>
    <t>СТП 63 кВА</t>
  </si>
  <si>
    <t>ВЛ-10 кВ № 176.118 (инв. № 4642)</t>
  </si>
  <si>
    <t>Реконструкция ВЛ-0,4 кВ с монтажом 2-х дополнительных проводов</t>
  </si>
  <si>
    <t xml:space="preserve">ТП-10/0,4 кВ № 328 (инв. № 13011525-00) </t>
  </si>
  <si>
    <t>Замена силового трансформатора 25 кВА на трансформатор 63 кВА (с заменой автоматических выключателей, предохранителей, ТТ)</t>
  </si>
  <si>
    <t>ВЛ-0,4 кВ № 1 (инв. № 3103488)</t>
  </si>
  <si>
    <t xml:space="preserve">ВЛ-0,4 кВ № 2 (инв. № 1465) </t>
  </si>
  <si>
    <t>Реконструкция ВЛ-0,4 кВ с монтажом дополнительного провода</t>
  </si>
  <si>
    <t>ВЛ-10 кВ № 420.16 (инв. № 15257)</t>
  </si>
  <si>
    <t>ВЛ-10 кВ № 412.16 (инв. №4009)</t>
  </si>
  <si>
    <t>ВЛ-10 кВ № 412.16 (инв. № 4009)</t>
  </si>
  <si>
    <t>Остальной объем строительства включен в Ц-11688 (Лот № 64)</t>
  </si>
  <si>
    <t>ВЛ-0,4 кВ № 1 (инв. № 3340)</t>
  </si>
  <si>
    <t xml:space="preserve"> ВЛ-0,4 кВ № 3 (инв. № 12012961-00) </t>
  </si>
  <si>
    <t>Остальной объем строительства включен в Ю-2897 (Лот № 57)</t>
  </si>
  <si>
    <t>0,15 (сеч. до 120 мм2)</t>
  </si>
  <si>
    <t>Монтаж автоматического выключателя 0,4 кВ (100 А)</t>
  </si>
  <si>
    <t xml:space="preserve"> ТП-10/0,4 кВ № 9/160 (Курская обл., Курчатовский р-он, Дичнянский с/с, с. Дичня)</t>
  </si>
  <si>
    <t>ВЛ-10 кВ № 210</t>
  </si>
  <si>
    <t xml:space="preserve">ВЛ-0,4 кВ № 1 (инв. № нет) </t>
  </si>
  <si>
    <t>Монтаж трансформатора тока нулевой последовательности в ячейке 10 кВ</t>
  </si>
  <si>
    <t>ВЛ-10 кВ № 438.02 (инв. № 8723)</t>
  </si>
  <si>
    <t>строительство ответвления протяженностью 0,3 км от опоры  существующей  ВЛ-10 кВ № 332.21 (инв. № 5808)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проектировании).
 строительство ВЛ-0,4 кВ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</si>
  <si>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ВЛ-10 кВ № 332.21 (инв. № 5808)</t>
  </si>
  <si>
    <t>ИТОГО:</t>
  </si>
  <si>
    <t xml:space="preserve">строительство ответвления протяженностью 0,25 км от опоры  существующей  ВЛ-10 кВ № 2512 (инв. № 00001459)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проектировании).Строительство ВЛ-0,4 кВ протяженностью  0,49 км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
</t>
  </si>
  <si>
    <t xml:space="preserve">реконструкция существующей ВЛ-10 кВ № 2512 (инв. № 00001459) в части монтажа ответвительной арматуры к опоре ВЛ-10 кВ в точке врезки  (объем реконструкции уточнить при проектировании) - за счет средств тарифа на передачу э/э. </t>
  </si>
  <si>
    <t>ВЛ-10 кВ № 2512 (инв. № 00001459)</t>
  </si>
  <si>
    <t xml:space="preserve">строительство ответвления протяженностью 0,25 км от опоры  существующей  ВЛ-10 кВ № 2512 (инв. № 00001459)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 - по техническим условиям Ю-2989.Строительство ВЛ-0,4 кВ протяженностью  0,21 км от проектируемой ТП-10/0,4 кВ  до границы земельного участка заявителя (марку и сечение провода, протяженность уточнить при проектировании) - в т.ч. 0,21 км по техническим условиям Ю-2989.Строительство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Ю-2989.
</t>
  </si>
  <si>
    <t>реконструкция существующей ВЛ-10 кВ № 2512 (инв. № 00001459) в части монтажа ответвительной арматуры к опоре ВЛ-10 кВ в точке врезки  (объем реконструкции уточнить при проектировании) - за счет средств тарифа на передачу э/э, по техническим условиям Ю-2989.</t>
  </si>
  <si>
    <t>КТП 160 кВА</t>
  </si>
  <si>
    <t>Объем строительства включен в Ю-2989 (Лот № 65)</t>
  </si>
  <si>
    <t>КТП 250 кВА (с трансформатором 160 кВА)</t>
  </si>
  <si>
    <t>Строительство ВЛЗ-10 (6) Кв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</si>
  <si>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</si>
  <si>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</si>
  <si>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</si>
  <si>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</si>
  <si>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</si>
  <si>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</si>
  <si>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</si>
  <si>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</si>
  <si>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</si>
  <si>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строительство ответвления протяженностью 0,02 км от опоры существующей  ВЛ-10 кВ № 556.12  (инв. № 3101884)  до проектируемой ТП-10/0,4 кВ с установкой разъединителя на концевой опоре и увеличением протяженности существующей ВЛ-10 кВ (марку и сечение провода, протяженность уточнить при проектировании).строительство ВЛ-0,4 кВ протяженностью  0,05 км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</si>
  <si>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ответвления протяженностью 0,38 км от опоры  существующей  ВЛ-10 кВ № 412.16 (инв. №4009) до проектируемой ТП-10/0,4 кВ с увеличением протяженности существующей ВЛ-10 кВ (марку и сечение провода, протяженность уточнить при проектировании). строительство ВЛ-0,4 кВ протяженностью  0,38 км от проектируемой ТП-10/0,4 кВ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100 кВА и возможностью установки трансформатора большей мощности (до 400 кВА)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</si>
  <si>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41136450 (ЦЭС-11522/2015)</t>
  </si>
  <si>
    <t>41136450</t>
  </si>
  <si>
    <t>Кузьмин Роман Сергеевич</t>
  </si>
  <si>
    <t>Курская обл.,  д. Кукуевка, уч. 46:11:121203:1433</t>
  </si>
  <si>
    <r>
      <t xml:space="preserve"> - строительство ответвления протяженностью 0,67 км от опоры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в т.ч. 0,67 км по техническим условиям Ц-9560.
 строительство ВЛ-0,4 кВ протяженностью  0,19 км от проектируемой ТП-10/0,4 кВ до границы земельного участка заявителя (марку и сечение провода, протяженность уточнить при проектировании) - в т.ч. 0,19 км по техническим условиям Ц -10744.
</t>
    </r>
    <r>
      <rPr>
        <b/>
        <sz val="28"/>
        <rFont val="Arial"/>
        <family val="2"/>
        <charset val="204"/>
      </rPr>
      <t>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  </r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</si>
  <si>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Ц-9560.</t>
  </si>
  <si>
    <t xml:space="preserve">ВЛ-10 кВ № 412.16 (инв. № 4009) </t>
  </si>
  <si>
    <t>КТП 250 кВА (с тр-ром 160 кВА)</t>
  </si>
  <si>
    <t>Остальной объем строительства включен в Ц-8118 (Лот № 31 льготники ЦЭС-Южный)-/Договор ТП №Ц-8118/1031-ОРЗТП/2014 (Ладейщикова С.Н.) включен в корректировку ИПР 2014г./; Ц-10163 (Лот № 44 льготники ЦЭС Юго-Запад); Ц-10341 (Лот № 45 льготники Юго-Запад); Ц-10744 (Лот № 47 льготники Юго-Запад)</t>
  </si>
  <si>
    <t>41177103 (ЦЭС-11872/2015)</t>
  </si>
  <si>
    <t>41177103</t>
  </si>
  <si>
    <t>Катунин Павел Михайлович</t>
  </si>
  <si>
    <t>МРЭС</t>
  </si>
  <si>
    <t>Курская обл., Медвенский р-н, д.2-е Никольское</t>
  </si>
  <si>
    <t>- строительство ответвления протяженностью 0,3 км от опоры № 135 существующей ВЛ-10 кВ № 244.07 (инв. № 12013272-00) до проектируемой ТП-10/0,4 кВ, с увеличением протяженности существующей ВЛ-10 кВ (марку и сечение провода, протяженность уточнить при проектировании);
строительство ВЛ-0,4 кВ протяженностью 0,025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</si>
  <si>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244.07 (инв. № 12013272-00)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</si>
  <si>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 xml:space="preserve"> ВЛ-10 кВ № 244.07 (инв. № 12013272-00)</t>
  </si>
  <si>
    <t>1) СТП 63 кВА - 2 шт.
2) КТП 250 кВА (с трансформатором 160 кВА) - 2 шт.
3) КТП 160 кВА - 1 шт.</t>
  </si>
  <si>
    <t>Приложение к лоту 65-66-67 Юго-Запад-1 (8500005006)</t>
  </si>
  <si>
    <t>До 15 кВт льготники</t>
  </si>
  <si>
    <t>Примечание-2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</si>
</sst>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36"/>
      <name val="Arial"/>
      <family val="2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48"/>
      <color theme="1"/>
      <name val="Arial"/>
      <family val="2"/>
      <charset val="204"/>
    </font>
    <font>
      <sz val="48"/>
      <color theme="1"/>
      <name val="Arial"/>
      <family val="2"/>
      <charset val="204"/>
    </font>
    <font>
      <sz val="90"/>
      <name val="Arial"/>
      <family val="2"/>
      <charset val="204"/>
    </font>
    <font>
      <sz val="24"/>
      <name val="Arial"/>
      <family val="2"/>
      <charset val="204"/>
    </font>
    <font>
      <sz val="23"/>
      <name val="Arial"/>
      <family val="2"/>
      <charset val="204"/>
    </font>
    <font>
      <sz val="23.5"/>
      <name val="Arial"/>
      <family val="2"/>
      <charset val="204"/>
    </font>
    <font>
      <sz val="32"/>
      <name val="Arial"/>
      <family val="2"/>
      <charset val="204"/>
    </font>
    <font>
      <sz val="32"/>
      <color theme="1"/>
      <name val="Arial"/>
      <family val="2"/>
      <charset val="204"/>
    </font>
    <font>
      <b/>
      <sz val="32"/>
      <name val="Arial"/>
      <family val="2"/>
      <charset val="204"/>
    </font>
    <font>
      <b/>
      <sz val="32"/>
      <color theme="1"/>
      <name val="Arial"/>
      <family val="2"/>
      <charset val="204"/>
    </font>
    <font>
      <b/>
      <sz val="2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4" fontId="2" fillId="7" borderId="1" xfId="0" applyNumberFormat="1" applyFont="1" applyFill="1" applyBorder="1" applyAlignment="1">
      <alignment vertical="center" wrapText="1"/>
    </xf>
    <xf numFmtId="164" fontId="2" fillId="7" borderId="1" xfId="0" applyNumberFormat="1" applyFont="1" applyFill="1" applyBorder="1" applyAlignment="1">
      <alignment vertical="center" wrapText="1"/>
    </xf>
    <xf numFmtId="0" fontId="7" fillId="0" borderId="0" xfId="0" applyFont="1" applyFill="1"/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/>
    </xf>
    <xf numFmtId="2" fontId="2" fillId="0" borderId="4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14" fontId="14" fillId="0" borderId="4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167" fontId="16" fillId="0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46"/>
  <sheetViews>
    <sheetView view="pageBreakPreview" zoomScale="30" zoomScaleNormal="70" zoomScaleSheetLayoutView="30" workbookViewId="0">
      <pane ySplit="2" topLeftCell="A3" activePane="bottomLeft" state="frozen"/>
      <selection pane="bottomLeft" activeCell="I74" sqref="I74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35.42578125" style="28" customWidth="1"/>
    <col min="4" max="4" width="36.85546875" style="28" customWidth="1"/>
    <col min="5" max="5" width="16.42578125" style="28" customWidth="1"/>
    <col min="6" max="6" width="50.85546875" style="28" customWidth="1"/>
    <col min="7" max="7" width="23.5703125" style="28" customWidth="1"/>
    <col min="8" max="8" width="59.7109375" style="28" customWidth="1"/>
    <col min="9" max="10" width="255.57031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customWidth="1"/>
    <col min="22" max="22" width="9.140625" style="28" customWidth="1"/>
    <col min="23" max="23" width="33.85546875" style="28" customWidth="1"/>
    <col min="24" max="24" width="25" style="28" customWidth="1"/>
    <col min="25" max="27" width="17" style="28" customWidth="1"/>
    <col min="28" max="28" width="24.85546875" style="28" customWidth="1"/>
    <col min="29" max="29" width="25.710937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37.7109375" style="28" customWidth="1"/>
    <col min="34" max="34" width="21" style="28" customWidth="1"/>
    <col min="35" max="35" width="18.7109375" style="28" customWidth="1"/>
    <col min="36" max="36" width="23" style="28" customWidth="1"/>
    <col min="37" max="37" width="26" style="28" customWidth="1"/>
    <col min="38" max="38" width="19.7109375" style="28" customWidth="1"/>
    <col min="39" max="39" width="12.7109375" style="28" customWidth="1"/>
    <col min="40" max="40" width="9.140625" style="28" customWidth="1"/>
    <col min="41" max="41" width="17.140625" style="28" customWidth="1"/>
    <col min="42" max="42" width="22.85546875" style="28" customWidth="1"/>
    <col min="43" max="43" width="27.140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customWidth="1"/>
    <col min="51" max="51" width="47.28515625" style="28" customWidth="1"/>
    <col min="52" max="52" width="24.28515625" style="28" customWidth="1"/>
    <col min="53" max="53" width="47.5703125" style="28" customWidth="1"/>
    <col min="54" max="54" width="30" style="28" customWidth="1"/>
    <col min="55" max="55" width="23.140625" style="28" customWidth="1"/>
    <col min="56" max="56" width="18.140625" style="28" customWidth="1"/>
    <col min="57" max="57" width="27.85546875" style="28" customWidth="1"/>
    <col min="58" max="58" width="24.140625" style="28" customWidth="1"/>
    <col min="59" max="59" width="33.85546875" style="28" customWidth="1"/>
    <col min="60" max="60" width="18.5703125" style="28" customWidth="1"/>
    <col min="61" max="61" width="32.5703125" style="28" customWidth="1"/>
    <col min="62" max="62" width="33" style="28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35.25" x14ac:dyDescent="0.5"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3" t="s">
        <v>32</v>
      </c>
      <c r="M2" s="33" t="s">
        <v>33</v>
      </c>
      <c r="N2" s="33" t="s">
        <v>34</v>
      </c>
      <c r="O2" s="33"/>
      <c r="P2" s="33" t="s">
        <v>35</v>
      </c>
      <c r="Q2" s="33" t="s">
        <v>36</v>
      </c>
      <c r="R2" s="33" t="s">
        <v>37</v>
      </c>
      <c r="S2" s="33" t="s">
        <v>38</v>
      </c>
      <c r="T2" s="3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49" customFormat="1" ht="259.5" customHeight="1" x14ac:dyDescent="0.25">
      <c r="A3" s="38" t="s">
        <v>41</v>
      </c>
      <c r="B3" s="39" t="s">
        <v>63</v>
      </c>
      <c r="C3" s="40">
        <v>466.1</v>
      </c>
      <c r="D3" s="40"/>
      <c r="E3" s="41">
        <v>3</v>
      </c>
      <c r="F3" s="39" t="s">
        <v>85</v>
      </c>
      <c r="G3" s="39" t="s">
        <v>107</v>
      </c>
      <c r="H3" s="39" t="s">
        <v>119</v>
      </c>
      <c r="I3" s="39" t="s">
        <v>140</v>
      </c>
      <c r="J3" s="39" t="s">
        <v>141</v>
      </c>
      <c r="K3" s="41" t="s">
        <v>187</v>
      </c>
      <c r="L3" s="41"/>
      <c r="M3" s="41"/>
      <c r="N3" s="42">
        <f>N4</f>
        <v>337.5</v>
      </c>
      <c r="O3" s="42">
        <f t="shared" ref="O3:T3" si="0">O4</f>
        <v>0</v>
      </c>
      <c r="P3" s="42">
        <f t="shared" si="0"/>
        <v>27</v>
      </c>
      <c r="Q3" s="42">
        <f t="shared" si="0"/>
        <v>290.25</v>
      </c>
      <c r="R3" s="42"/>
      <c r="S3" s="42">
        <f t="shared" si="0"/>
        <v>20.25</v>
      </c>
      <c r="T3" s="42">
        <f t="shared" si="0"/>
        <v>337.5</v>
      </c>
      <c r="U3" s="43"/>
      <c r="V3" s="43"/>
      <c r="W3" s="43"/>
      <c r="X3" s="43"/>
      <c r="Y3" s="43"/>
      <c r="Z3" s="43"/>
      <c r="AA3" s="43"/>
      <c r="AB3" s="43"/>
      <c r="AC3" s="44"/>
      <c r="AD3" s="45"/>
      <c r="AE3" s="45"/>
      <c r="AF3" s="43"/>
      <c r="AG3" s="43"/>
      <c r="AH3" s="43"/>
      <c r="AI3" s="44"/>
      <c r="AJ3" s="46"/>
      <c r="AK3" s="41"/>
      <c r="AL3" s="46"/>
      <c r="AM3" s="46"/>
      <c r="AN3" s="46"/>
      <c r="AO3" s="43"/>
      <c r="AP3" s="43"/>
      <c r="AQ3" s="44"/>
      <c r="AR3" s="45"/>
      <c r="AS3" s="44"/>
      <c r="AT3" s="45"/>
      <c r="AU3" s="43"/>
      <c r="AV3" s="43"/>
      <c r="AW3" s="43"/>
      <c r="AX3" s="43"/>
      <c r="AY3" s="41"/>
      <c r="AZ3" s="46"/>
      <c r="BA3" s="44">
        <v>0.3</v>
      </c>
      <c r="BB3" s="42">
        <f>T4</f>
        <v>337.5</v>
      </c>
      <c r="BC3" s="45"/>
      <c r="BD3" s="46"/>
      <c r="BE3" s="43"/>
      <c r="BF3" s="43"/>
      <c r="BG3" s="43"/>
      <c r="BH3" s="43"/>
      <c r="BI3" s="43"/>
      <c r="BJ3" s="43"/>
      <c r="BK3" s="43">
        <f>BB3</f>
        <v>337.5</v>
      </c>
      <c r="BL3" s="47">
        <v>42480</v>
      </c>
      <c r="BM3" s="43"/>
      <c r="BN3" s="43"/>
      <c r="BO3" s="46"/>
      <c r="BP3" s="46"/>
      <c r="BQ3" s="47"/>
      <c r="BR3" s="48"/>
    </row>
    <row r="4" spans="1:70" s="6" customFormat="1" ht="259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0.3</v>
      </c>
      <c r="N4" s="18">
        <f>1125*M4</f>
        <v>337.5</v>
      </c>
      <c r="O4" s="18"/>
      <c r="P4" s="18">
        <f>0.08*N4</f>
        <v>27</v>
      </c>
      <c r="Q4" s="18">
        <f>0.86*N4</f>
        <v>290.25</v>
      </c>
      <c r="R4" s="18"/>
      <c r="S4" s="18">
        <f>0.06*N4</f>
        <v>20.25</v>
      </c>
      <c r="T4" s="18">
        <f>P4+Q4+R4+S4</f>
        <v>337.5</v>
      </c>
      <c r="U4" s="5"/>
      <c r="V4" s="5"/>
      <c r="W4" s="5"/>
      <c r="X4" s="5"/>
      <c r="Y4" s="5"/>
      <c r="Z4" s="5"/>
      <c r="AA4" s="5"/>
      <c r="AB4" s="5"/>
      <c r="AC4" s="17"/>
      <c r="AD4" s="13"/>
      <c r="AE4" s="13"/>
      <c r="AF4" s="5"/>
      <c r="AG4" s="5"/>
      <c r="AH4" s="5"/>
      <c r="AI4" s="17"/>
      <c r="AJ4" s="7"/>
      <c r="AK4" s="4"/>
      <c r="AL4" s="7"/>
      <c r="AM4" s="7"/>
      <c r="AN4" s="7"/>
      <c r="AO4" s="5"/>
      <c r="AP4" s="5"/>
      <c r="AQ4" s="17"/>
      <c r="AR4" s="13"/>
      <c r="AS4" s="17"/>
      <c r="AT4" s="13"/>
      <c r="AU4" s="5"/>
      <c r="AV4" s="5"/>
      <c r="AW4" s="5"/>
      <c r="AX4" s="5"/>
      <c r="AY4" s="4"/>
      <c r="AZ4" s="7"/>
      <c r="BA4" s="17"/>
      <c r="BB4" s="19"/>
      <c r="BC4" s="13"/>
      <c r="BD4" s="7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49" customFormat="1" ht="244.5" customHeight="1" x14ac:dyDescent="0.25">
      <c r="A5" s="38" t="s">
        <v>42</v>
      </c>
      <c r="B5" s="39" t="s">
        <v>64</v>
      </c>
      <c r="C5" s="40">
        <v>466.1</v>
      </c>
      <c r="D5" s="40"/>
      <c r="E5" s="41">
        <v>3</v>
      </c>
      <c r="F5" s="39" t="s">
        <v>86</v>
      </c>
      <c r="G5" s="39" t="s">
        <v>108</v>
      </c>
      <c r="H5" s="39" t="s">
        <v>120</v>
      </c>
      <c r="I5" s="39" t="s">
        <v>142</v>
      </c>
      <c r="J5" s="39" t="s">
        <v>143</v>
      </c>
      <c r="K5" s="41" t="s">
        <v>188</v>
      </c>
      <c r="L5" s="41"/>
      <c r="M5" s="41"/>
      <c r="N5" s="42">
        <f>N6</f>
        <v>135</v>
      </c>
      <c r="O5" s="42">
        <f t="shared" ref="O5:T5" si="1">O6</f>
        <v>0</v>
      </c>
      <c r="P5" s="42">
        <f t="shared" si="1"/>
        <v>10.8</v>
      </c>
      <c r="Q5" s="42">
        <f t="shared" si="1"/>
        <v>116.1</v>
      </c>
      <c r="R5" s="42">
        <f t="shared" si="1"/>
        <v>0</v>
      </c>
      <c r="S5" s="42">
        <f t="shared" si="1"/>
        <v>8.1</v>
      </c>
      <c r="T5" s="42">
        <f t="shared" si="1"/>
        <v>135</v>
      </c>
      <c r="U5" s="43"/>
      <c r="V5" s="43"/>
      <c r="W5" s="43"/>
      <c r="X5" s="43"/>
      <c r="Y5" s="43"/>
      <c r="Z5" s="43"/>
      <c r="AA5" s="43"/>
      <c r="AB5" s="43"/>
      <c r="AC5" s="44"/>
      <c r="AD5" s="45"/>
      <c r="AE5" s="45"/>
      <c r="AF5" s="43"/>
      <c r="AG5" s="43"/>
      <c r="AH5" s="43"/>
      <c r="AI5" s="44"/>
      <c r="AJ5" s="45"/>
      <c r="AK5" s="45"/>
      <c r="AL5" s="43"/>
      <c r="AM5" s="43"/>
      <c r="AN5" s="43"/>
      <c r="AO5" s="43"/>
      <c r="AP5" s="43"/>
      <c r="AQ5" s="44"/>
      <c r="AR5" s="45"/>
      <c r="AS5" s="44"/>
      <c r="AT5" s="45"/>
      <c r="AU5" s="43"/>
      <c r="AV5" s="43"/>
      <c r="AW5" s="43"/>
      <c r="AX5" s="43"/>
      <c r="AY5" s="41"/>
      <c r="AZ5" s="46"/>
      <c r="BA5" s="44">
        <v>0.12</v>
      </c>
      <c r="BB5" s="42">
        <f>T6</f>
        <v>135</v>
      </c>
      <c r="BC5" s="42"/>
      <c r="BD5" s="46"/>
      <c r="BE5" s="43"/>
      <c r="BF5" s="43"/>
      <c r="BG5" s="43"/>
      <c r="BH5" s="43"/>
      <c r="BI5" s="43"/>
      <c r="BJ5" s="43"/>
      <c r="BK5" s="43">
        <f>BB5</f>
        <v>135</v>
      </c>
      <c r="BL5" s="47">
        <v>42492</v>
      </c>
      <c r="BM5" s="43"/>
      <c r="BN5" s="43"/>
      <c r="BO5" s="46"/>
      <c r="BP5" s="46"/>
      <c r="BQ5" s="47"/>
      <c r="BR5" s="48"/>
    </row>
    <row r="6" spans="1:70" s="6" customFormat="1" ht="244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0.12</v>
      </c>
      <c r="N6" s="18">
        <f>1125*M6</f>
        <v>135</v>
      </c>
      <c r="O6" s="18"/>
      <c r="P6" s="18">
        <f>0.08*N6</f>
        <v>10.8</v>
      </c>
      <c r="Q6" s="18">
        <f>0.86*N6</f>
        <v>116.1</v>
      </c>
      <c r="R6" s="18"/>
      <c r="S6" s="18">
        <f>0.06*N6</f>
        <v>8.1</v>
      </c>
      <c r="T6" s="18">
        <f>P6+Q6+R6+S6</f>
        <v>135</v>
      </c>
      <c r="U6" s="5"/>
      <c r="V6" s="5"/>
      <c r="W6" s="5"/>
      <c r="X6" s="5"/>
      <c r="Y6" s="5"/>
      <c r="Z6" s="5"/>
      <c r="AA6" s="5"/>
      <c r="AB6" s="5"/>
      <c r="AC6" s="17"/>
      <c r="AD6" s="13"/>
      <c r="AE6" s="13"/>
      <c r="AF6" s="5"/>
      <c r="AG6" s="5"/>
      <c r="AH6" s="5"/>
      <c r="AI6" s="17"/>
      <c r="AJ6" s="13"/>
      <c r="AK6" s="13"/>
      <c r="AL6" s="5"/>
      <c r="AM6" s="5"/>
      <c r="AN6" s="5"/>
      <c r="AO6" s="5"/>
      <c r="AP6" s="5"/>
      <c r="AQ6" s="17"/>
      <c r="AR6" s="13"/>
      <c r="AS6" s="17"/>
      <c r="AT6" s="13"/>
      <c r="AU6" s="5"/>
      <c r="AV6" s="5"/>
      <c r="AW6" s="5"/>
      <c r="AX6" s="5"/>
      <c r="AY6" s="4"/>
      <c r="AZ6" s="7"/>
      <c r="BA6" s="17"/>
      <c r="BB6" s="19"/>
      <c r="BC6" s="13"/>
      <c r="BD6" s="7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70" customFormat="1" ht="256.5" customHeight="1" x14ac:dyDescent="0.25">
      <c r="A7" s="59" t="s">
        <v>43</v>
      </c>
      <c r="B7" s="60" t="s">
        <v>65</v>
      </c>
      <c r="C7" s="61">
        <v>655213.01</v>
      </c>
      <c r="D7" s="61"/>
      <c r="E7" s="62">
        <v>202</v>
      </c>
      <c r="F7" s="60" t="s">
        <v>87</v>
      </c>
      <c r="G7" s="60" t="s">
        <v>109</v>
      </c>
      <c r="H7" s="60" t="s">
        <v>121</v>
      </c>
      <c r="I7" s="60" t="s">
        <v>144</v>
      </c>
      <c r="J7" s="60" t="s">
        <v>145</v>
      </c>
      <c r="K7" s="62" t="s">
        <v>200</v>
      </c>
      <c r="L7" s="62"/>
      <c r="M7" s="62"/>
      <c r="N7" s="63">
        <f>N8</f>
        <v>354.75</v>
      </c>
      <c r="O7" s="63">
        <f t="shared" ref="O7:T7" si="2">O8</f>
        <v>0</v>
      </c>
      <c r="P7" s="63">
        <f t="shared" si="2"/>
        <v>28.38</v>
      </c>
      <c r="Q7" s="63">
        <f t="shared" si="2"/>
        <v>315.72750000000002</v>
      </c>
      <c r="R7" s="63"/>
      <c r="S7" s="63">
        <f t="shared" si="2"/>
        <v>10.6425</v>
      </c>
      <c r="T7" s="63">
        <f t="shared" si="2"/>
        <v>354.75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 t="s">
        <v>197</v>
      </c>
      <c r="AP7" s="64">
        <f>T7</f>
        <v>354.75</v>
      </c>
      <c r="AQ7" s="64"/>
      <c r="AR7" s="64"/>
      <c r="AS7" s="64"/>
      <c r="AT7" s="64"/>
      <c r="AU7" s="64"/>
      <c r="AV7" s="64"/>
      <c r="AW7" s="64"/>
      <c r="AX7" s="64"/>
      <c r="AY7" s="62"/>
      <c r="AZ7" s="65"/>
      <c r="BA7" s="66"/>
      <c r="BB7" s="67"/>
      <c r="BC7" s="65"/>
      <c r="BD7" s="65"/>
      <c r="BE7" s="64"/>
      <c r="BF7" s="64"/>
      <c r="BG7" s="64"/>
      <c r="BH7" s="64"/>
      <c r="BI7" s="64"/>
      <c r="BJ7" s="64"/>
      <c r="BK7" s="64">
        <f>AP7</f>
        <v>354.75</v>
      </c>
      <c r="BL7" s="68">
        <v>42672</v>
      </c>
      <c r="BM7" s="64"/>
      <c r="BN7" s="64"/>
      <c r="BO7" s="65"/>
      <c r="BP7" s="65"/>
      <c r="BQ7" s="68"/>
      <c r="BR7" s="69"/>
    </row>
    <row r="8" spans="1:70" s="6" customFormat="1" ht="189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10</v>
      </c>
      <c r="M8" s="36" t="str">
        <f>AO7</f>
        <v>0,15 (сеч. до 120 мм2)</v>
      </c>
      <c r="N8" s="13">
        <f>2365*0.15</f>
        <v>354.75</v>
      </c>
      <c r="O8" s="13"/>
      <c r="P8" s="13">
        <f>0.08*N8</f>
        <v>28.38</v>
      </c>
      <c r="Q8" s="13">
        <f>0.89*N8</f>
        <v>315.72750000000002</v>
      </c>
      <c r="R8" s="13"/>
      <c r="S8" s="13">
        <f>0.03*N8</f>
        <v>10.6425</v>
      </c>
      <c r="T8" s="13">
        <f>P8+Q8+R8+S8</f>
        <v>354.75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4"/>
      <c r="AZ8" s="7"/>
      <c r="BA8" s="17"/>
      <c r="BB8" s="20"/>
      <c r="BC8" s="7"/>
      <c r="BD8" s="7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49" customFormat="1" ht="294" customHeight="1" x14ac:dyDescent="0.25">
      <c r="A9" s="38" t="s">
        <v>44</v>
      </c>
      <c r="B9" s="39" t="s">
        <v>66</v>
      </c>
      <c r="C9" s="40">
        <v>112437.41</v>
      </c>
      <c r="D9" s="40"/>
      <c r="E9" s="41">
        <v>35</v>
      </c>
      <c r="F9" s="39" t="s">
        <v>88</v>
      </c>
      <c r="G9" s="39" t="s">
        <v>110</v>
      </c>
      <c r="H9" s="39" t="s">
        <v>122</v>
      </c>
      <c r="I9" s="39" t="s">
        <v>146</v>
      </c>
      <c r="J9" s="39" t="s">
        <v>147</v>
      </c>
      <c r="K9" s="41" t="s">
        <v>199</v>
      </c>
      <c r="L9" s="41"/>
      <c r="M9" s="44"/>
      <c r="N9" s="71">
        <f>N10+N11</f>
        <v>193.82499999999999</v>
      </c>
      <c r="O9" s="71">
        <f t="shared" ref="O9:T9" si="3">O10+O11</f>
        <v>0</v>
      </c>
      <c r="P9" s="71">
        <f t="shared" si="3"/>
        <v>15.11</v>
      </c>
      <c r="Q9" s="71">
        <f t="shared" si="3"/>
        <v>160.79749999999999</v>
      </c>
      <c r="R9" s="71">
        <f t="shared" si="3"/>
        <v>6.7</v>
      </c>
      <c r="S9" s="71">
        <f t="shared" si="3"/>
        <v>11.217499999999999</v>
      </c>
      <c r="T9" s="71">
        <f t="shared" si="3"/>
        <v>193.82499999999996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 t="s">
        <v>198</v>
      </c>
      <c r="AZ9" s="43">
        <f>T10</f>
        <v>8.2000000000000011</v>
      </c>
      <c r="BA9" s="72">
        <v>0.16500000000000001</v>
      </c>
      <c r="BB9" s="43">
        <f>T11</f>
        <v>185.62499999999997</v>
      </c>
      <c r="BC9" s="43"/>
      <c r="BD9" s="43"/>
      <c r="BE9" s="43"/>
      <c r="BF9" s="43"/>
      <c r="BG9" s="43"/>
      <c r="BH9" s="43"/>
      <c r="BI9" s="43"/>
      <c r="BJ9" s="43"/>
      <c r="BK9" s="43">
        <f>AZ9+BB9</f>
        <v>193.82499999999996</v>
      </c>
      <c r="BL9" s="47">
        <v>42483</v>
      </c>
      <c r="BM9" s="43"/>
      <c r="BN9" s="43"/>
      <c r="BO9" s="46"/>
      <c r="BP9" s="46"/>
      <c r="BQ9" s="47"/>
      <c r="BR9" s="48"/>
    </row>
    <row r="10" spans="1:70" s="6" customFormat="1" ht="206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15</v>
      </c>
      <c r="M10" s="17" t="s">
        <v>198</v>
      </c>
      <c r="N10" s="12">
        <v>8.2000000000000011</v>
      </c>
      <c r="O10" s="2"/>
      <c r="P10" s="12">
        <v>0.26</v>
      </c>
      <c r="Q10" s="12">
        <v>1.1599999999999999</v>
      </c>
      <c r="R10" s="12">
        <v>6.7</v>
      </c>
      <c r="S10" s="12">
        <v>0.08</v>
      </c>
      <c r="T10" s="12">
        <f>P10+Q10+R10+S10</f>
        <v>8.2000000000000011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36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211.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36">
        <f>BA9</f>
        <v>0.16500000000000001</v>
      </c>
      <c r="N11" s="12">
        <f>M11*1125</f>
        <v>185.625</v>
      </c>
      <c r="O11" s="2"/>
      <c r="P11" s="12">
        <f>0.08*N11</f>
        <v>14.85</v>
      </c>
      <c r="Q11" s="12">
        <f>0.86*N11</f>
        <v>159.63749999999999</v>
      </c>
      <c r="R11" s="12"/>
      <c r="S11" s="12">
        <f>0.06*N11</f>
        <v>11.137499999999999</v>
      </c>
      <c r="T11" s="12">
        <f>P11+Q11+R11+S11</f>
        <v>185.62499999999997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36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49" customFormat="1" ht="351.75" customHeight="1" x14ac:dyDescent="0.25">
      <c r="A12" s="38" t="s">
        <v>45</v>
      </c>
      <c r="B12" s="39" t="s">
        <v>67</v>
      </c>
      <c r="C12" s="40">
        <v>466.1</v>
      </c>
      <c r="D12" s="40"/>
      <c r="E12" s="41">
        <v>15</v>
      </c>
      <c r="F12" s="39" t="s">
        <v>89</v>
      </c>
      <c r="G12" s="39" t="s">
        <v>111</v>
      </c>
      <c r="H12" s="39" t="s">
        <v>123</v>
      </c>
      <c r="I12" s="39" t="s">
        <v>149</v>
      </c>
      <c r="J12" s="39" t="s">
        <v>150</v>
      </c>
      <c r="K12" s="41" t="s">
        <v>179</v>
      </c>
      <c r="L12" s="41"/>
      <c r="M12" s="41"/>
      <c r="N12" s="41"/>
      <c r="O12" s="41"/>
      <c r="P12" s="41"/>
      <c r="Q12" s="41"/>
      <c r="R12" s="41"/>
      <c r="S12" s="41"/>
      <c r="T12" s="41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1"/>
      <c r="AF12" s="46"/>
      <c r="AG12" s="46"/>
      <c r="AH12" s="43"/>
      <c r="AI12" s="44"/>
      <c r="AJ12" s="46"/>
      <c r="AK12" s="46"/>
      <c r="AL12" s="43"/>
      <c r="AM12" s="43"/>
      <c r="AN12" s="43"/>
      <c r="AO12" s="43"/>
      <c r="AP12" s="43"/>
      <c r="AQ12" s="44"/>
      <c r="AR12" s="46"/>
      <c r="AS12" s="44"/>
      <c r="AT12" s="46"/>
      <c r="AU12" s="43"/>
      <c r="AV12" s="43"/>
      <c r="AW12" s="43"/>
      <c r="AX12" s="43"/>
      <c r="AY12" s="43"/>
      <c r="AZ12" s="43"/>
      <c r="BA12" s="144">
        <v>0.16</v>
      </c>
      <c r="BB12" s="146">
        <f>T14</f>
        <v>180.00000000000003</v>
      </c>
      <c r="BC12" s="46"/>
      <c r="BD12" s="41"/>
      <c r="BE12" s="41"/>
      <c r="BF12" s="46"/>
      <c r="BG12" s="41"/>
      <c r="BH12" s="41"/>
      <c r="BI12" s="46"/>
      <c r="BJ12" s="43"/>
      <c r="BK12" s="148">
        <f>BB12</f>
        <v>180.00000000000003</v>
      </c>
      <c r="BL12" s="47">
        <v>42487</v>
      </c>
      <c r="BM12" s="43"/>
      <c r="BN12" s="43"/>
      <c r="BO12" s="46"/>
      <c r="BP12" s="46"/>
      <c r="BQ12" s="47"/>
      <c r="BR12" s="48"/>
    </row>
    <row r="13" spans="1:70" s="49" customFormat="1" ht="212.25" customHeight="1" x14ac:dyDescent="0.25">
      <c r="A13" s="38" t="s">
        <v>46</v>
      </c>
      <c r="B13" s="39" t="s">
        <v>68</v>
      </c>
      <c r="C13" s="40">
        <v>466.1</v>
      </c>
      <c r="D13" s="40"/>
      <c r="E13" s="41">
        <v>15</v>
      </c>
      <c r="F13" s="39" t="s">
        <v>90</v>
      </c>
      <c r="G13" s="39" t="s">
        <v>111</v>
      </c>
      <c r="H13" s="39" t="s">
        <v>123</v>
      </c>
      <c r="I13" s="39" t="s">
        <v>151</v>
      </c>
      <c r="J13" s="39" t="s">
        <v>152</v>
      </c>
      <c r="K13" s="41" t="s">
        <v>179</v>
      </c>
      <c r="L13" s="41"/>
      <c r="M13" s="41"/>
      <c r="N13" s="46">
        <f>N14</f>
        <v>180</v>
      </c>
      <c r="O13" s="41"/>
      <c r="P13" s="46">
        <f t="shared" ref="P13:T13" si="4">P14</f>
        <v>14.4</v>
      </c>
      <c r="Q13" s="46">
        <f t="shared" si="4"/>
        <v>154.80000000000001</v>
      </c>
      <c r="R13" s="46">
        <f t="shared" si="4"/>
        <v>0</v>
      </c>
      <c r="S13" s="46">
        <f t="shared" si="4"/>
        <v>10.799999999999999</v>
      </c>
      <c r="T13" s="46">
        <f t="shared" si="4"/>
        <v>180.00000000000003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145"/>
      <c r="BB13" s="147"/>
      <c r="BC13" s="46"/>
      <c r="BD13" s="41"/>
      <c r="BE13" s="41"/>
      <c r="BF13" s="46"/>
      <c r="BG13" s="41"/>
      <c r="BH13" s="41"/>
      <c r="BI13" s="46"/>
      <c r="BJ13" s="43"/>
      <c r="BK13" s="149"/>
      <c r="BL13" s="47">
        <v>42487</v>
      </c>
      <c r="BM13" s="43"/>
      <c r="BN13" s="43"/>
      <c r="BO13" s="46"/>
      <c r="BP13" s="46"/>
      <c r="BQ13" s="47"/>
      <c r="BR13" s="48"/>
    </row>
    <row r="14" spans="1:70" s="6" customFormat="1" ht="212.2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v>0.16</v>
      </c>
      <c r="N14" s="12">
        <f>1125*M14</f>
        <v>180</v>
      </c>
      <c r="O14" s="2"/>
      <c r="P14" s="12">
        <f>0.08*N14</f>
        <v>14.4</v>
      </c>
      <c r="Q14" s="12">
        <f>0.86*N14</f>
        <v>154.80000000000001</v>
      </c>
      <c r="R14" s="12"/>
      <c r="S14" s="12">
        <f>0.06*N14</f>
        <v>10.799999999999999</v>
      </c>
      <c r="T14" s="12">
        <f t="shared" ref="T14" si="5">P14+Q14+R14+S14</f>
        <v>180.00000000000003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7"/>
      <c r="BB14" s="20"/>
      <c r="BC14" s="7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49" customFormat="1" ht="282" customHeight="1" x14ac:dyDescent="0.25">
      <c r="A15" s="38" t="s">
        <v>47</v>
      </c>
      <c r="B15" s="39" t="s">
        <v>69</v>
      </c>
      <c r="C15" s="40">
        <v>466.1</v>
      </c>
      <c r="D15" s="40"/>
      <c r="E15" s="41">
        <v>14</v>
      </c>
      <c r="F15" s="39" t="s">
        <v>91</v>
      </c>
      <c r="G15" s="39" t="s">
        <v>111</v>
      </c>
      <c r="H15" s="39" t="s">
        <v>124</v>
      </c>
      <c r="I15" s="39" t="s">
        <v>153</v>
      </c>
      <c r="J15" s="39" t="s">
        <v>154</v>
      </c>
      <c r="K15" s="41" t="s">
        <v>180</v>
      </c>
      <c r="L15" s="41"/>
      <c r="M15" s="44"/>
      <c r="N15" s="46">
        <f>N16</f>
        <v>450</v>
      </c>
      <c r="O15" s="41"/>
      <c r="P15" s="46">
        <f t="shared" ref="P15:T15" si="6">P16</f>
        <v>36</v>
      </c>
      <c r="Q15" s="46">
        <f t="shared" si="6"/>
        <v>387</v>
      </c>
      <c r="R15" s="46">
        <f t="shared" si="6"/>
        <v>0</v>
      </c>
      <c r="S15" s="46">
        <f t="shared" si="6"/>
        <v>27</v>
      </c>
      <c r="T15" s="46">
        <f t="shared" si="6"/>
        <v>450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4">
        <v>0.4</v>
      </c>
      <c r="BB15" s="46">
        <f>T16</f>
        <v>450</v>
      </c>
      <c r="BC15" s="46"/>
      <c r="BD15" s="41"/>
      <c r="BE15" s="41"/>
      <c r="BF15" s="46"/>
      <c r="BG15" s="41"/>
      <c r="BH15" s="41"/>
      <c r="BI15" s="46"/>
      <c r="BJ15" s="43"/>
      <c r="BK15" s="43">
        <f>BB15</f>
        <v>450</v>
      </c>
      <c r="BL15" s="47">
        <v>42480</v>
      </c>
      <c r="BM15" s="43"/>
      <c r="BN15" s="43"/>
      <c r="BO15" s="46"/>
      <c r="BP15" s="46"/>
      <c r="BQ15" s="47"/>
      <c r="BR15" s="48"/>
    </row>
    <row r="16" spans="1:70" s="6" customFormat="1" ht="171.7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17">
        <v>0.4</v>
      </c>
      <c r="N16" s="12">
        <f>1125*M16</f>
        <v>450</v>
      </c>
      <c r="O16" s="2"/>
      <c r="P16" s="12">
        <f>0.08*N16</f>
        <v>36</v>
      </c>
      <c r="Q16" s="12">
        <f>0.86*N16</f>
        <v>387</v>
      </c>
      <c r="R16" s="12"/>
      <c r="S16" s="12">
        <f>0.06*N16</f>
        <v>27</v>
      </c>
      <c r="T16" s="12">
        <f t="shared" ref="T16" si="7">P16+Q16+R16+S16</f>
        <v>450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7"/>
      <c r="BB16" s="19"/>
      <c r="BC16" s="4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70" customFormat="1" ht="304.5" customHeight="1" x14ac:dyDescent="0.25">
      <c r="A17" s="59" t="s">
        <v>48</v>
      </c>
      <c r="B17" s="60" t="s">
        <v>70</v>
      </c>
      <c r="C17" s="61">
        <v>666612</v>
      </c>
      <c r="D17" s="61"/>
      <c r="E17" s="62">
        <v>1200</v>
      </c>
      <c r="F17" s="60" t="s">
        <v>92</v>
      </c>
      <c r="G17" s="60" t="s">
        <v>112</v>
      </c>
      <c r="H17" s="60" t="s">
        <v>125</v>
      </c>
      <c r="I17" s="60" t="s">
        <v>148</v>
      </c>
      <c r="J17" s="60" t="s">
        <v>155</v>
      </c>
      <c r="K17" s="62"/>
      <c r="L17" s="62"/>
      <c r="M17" s="62"/>
      <c r="N17" s="63">
        <f>N18</f>
        <v>20.245858624</v>
      </c>
      <c r="O17" s="63">
        <f t="shared" ref="O17:T17" si="8">O18</f>
        <v>0</v>
      </c>
      <c r="P17" s="63">
        <f t="shared" si="8"/>
        <v>1.3244954240000002</v>
      </c>
      <c r="Q17" s="63">
        <f t="shared" si="8"/>
        <v>3.5</v>
      </c>
      <c r="R17" s="63">
        <f t="shared" si="8"/>
        <v>15.421363200000002</v>
      </c>
      <c r="S17" s="63"/>
      <c r="T17" s="63">
        <f t="shared" si="8"/>
        <v>20.245858624</v>
      </c>
      <c r="U17" s="64"/>
      <c r="V17" s="64"/>
      <c r="W17" s="64" t="s">
        <v>202</v>
      </c>
      <c r="X17" s="64">
        <f>T18</f>
        <v>20.245858624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73"/>
      <c r="AJ17" s="64"/>
      <c r="AK17" s="64"/>
      <c r="AL17" s="64"/>
      <c r="AM17" s="64"/>
      <c r="AN17" s="64"/>
      <c r="AO17" s="64"/>
      <c r="AP17" s="64"/>
      <c r="AQ17" s="73"/>
      <c r="AR17" s="64"/>
      <c r="AS17" s="73"/>
      <c r="AT17" s="64"/>
      <c r="AU17" s="64"/>
      <c r="AV17" s="64"/>
      <c r="AW17" s="64"/>
      <c r="AX17" s="64"/>
      <c r="AY17" s="62"/>
      <c r="AZ17" s="63"/>
      <c r="BA17" s="63"/>
      <c r="BB17" s="63"/>
      <c r="BC17" s="63"/>
      <c r="BD17" s="64"/>
      <c r="BE17" s="64"/>
      <c r="BF17" s="64"/>
      <c r="BG17" s="64"/>
      <c r="BH17" s="64"/>
      <c r="BI17" s="64"/>
      <c r="BJ17" s="64"/>
      <c r="BK17" s="64">
        <f>X17</f>
        <v>20.245858624</v>
      </c>
      <c r="BL17" s="68">
        <v>43035</v>
      </c>
      <c r="BM17" s="64"/>
      <c r="BN17" s="64"/>
      <c r="BO17" s="65"/>
      <c r="BP17" s="65"/>
      <c r="BQ17" s="68"/>
      <c r="BR17" s="69"/>
    </row>
    <row r="18" spans="1:70" s="6" customFormat="1" ht="219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22</v>
      </c>
      <c r="M18" s="5" t="str">
        <f>W17</f>
        <v>Монтаж трансформатора тока нулевой последовательности в ячейке 10 кВ</v>
      </c>
      <c r="N18" s="13">
        <f>P18+Q18+R18+S18</f>
        <v>20.245858624</v>
      </c>
      <c r="O18" s="13"/>
      <c r="P18" s="13">
        <f>0.07*(Q18+R18)</f>
        <v>1.3244954240000002</v>
      </c>
      <c r="Q18" s="13">
        <v>3.5</v>
      </c>
      <c r="R18" s="13">
        <f>14.3856*1.072</f>
        <v>15.421363200000002</v>
      </c>
      <c r="S18" s="13"/>
      <c r="T18" s="13">
        <f>P18+Q18+R18+S18</f>
        <v>20.245858624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13"/>
      <c r="BA18" s="19"/>
      <c r="BB18" s="13"/>
      <c r="BC18" s="13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49" customFormat="1" ht="207" customHeight="1" x14ac:dyDescent="0.25">
      <c r="A19" s="38" t="s">
        <v>49</v>
      </c>
      <c r="B19" s="39" t="s">
        <v>71</v>
      </c>
      <c r="C19" s="40">
        <v>466.1</v>
      </c>
      <c r="D19" s="40"/>
      <c r="E19" s="41">
        <v>7</v>
      </c>
      <c r="F19" s="39" t="s">
        <v>93</v>
      </c>
      <c r="G19" s="39" t="s">
        <v>113</v>
      </c>
      <c r="H19" s="39" t="s">
        <v>126</v>
      </c>
      <c r="I19" s="39" t="s">
        <v>156</v>
      </c>
      <c r="J19" s="39" t="s">
        <v>157</v>
      </c>
      <c r="K19" s="41" t="s">
        <v>201</v>
      </c>
      <c r="L19" s="41"/>
      <c r="M19" s="41"/>
      <c r="N19" s="45">
        <f>N20</f>
        <v>157.50000000000003</v>
      </c>
      <c r="O19" s="45">
        <f t="shared" ref="O19:T19" si="9">O20</f>
        <v>0</v>
      </c>
      <c r="P19" s="45">
        <f t="shared" si="9"/>
        <v>12.600000000000003</v>
      </c>
      <c r="Q19" s="45">
        <f t="shared" si="9"/>
        <v>135.45000000000002</v>
      </c>
      <c r="R19" s="45"/>
      <c r="S19" s="45">
        <f t="shared" si="9"/>
        <v>9.4500000000000011</v>
      </c>
      <c r="T19" s="45">
        <f t="shared" si="9"/>
        <v>157.5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72"/>
      <c r="AJ19" s="43"/>
      <c r="AK19" s="43"/>
      <c r="AL19" s="43"/>
      <c r="AM19" s="43"/>
      <c r="AN19" s="43"/>
      <c r="AO19" s="43"/>
      <c r="AP19" s="43"/>
      <c r="AQ19" s="72"/>
      <c r="AR19" s="43"/>
      <c r="AS19" s="72"/>
      <c r="AT19" s="43"/>
      <c r="AU19" s="43"/>
      <c r="AV19" s="43"/>
      <c r="AW19" s="43"/>
      <c r="AX19" s="43"/>
      <c r="AY19" s="41"/>
      <c r="AZ19" s="46"/>
      <c r="BA19" s="44">
        <v>0.14000000000000001</v>
      </c>
      <c r="BB19" s="45">
        <f>T20</f>
        <v>157.5</v>
      </c>
      <c r="BC19" s="45"/>
      <c r="BD19" s="43"/>
      <c r="BE19" s="43"/>
      <c r="BF19" s="43"/>
      <c r="BG19" s="43"/>
      <c r="BH19" s="43"/>
      <c r="BI19" s="43"/>
      <c r="BJ19" s="43"/>
      <c r="BK19" s="43">
        <f>BB19</f>
        <v>157.5</v>
      </c>
      <c r="BL19" s="47">
        <v>42489</v>
      </c>
      <c r="BM19" s="43"/>
      <c r="BN19" s="43"/>
      <c r="BO19" s="46"/>
      <c r="BP19" s="46"/>
      <c r="BQ19" s="47"/>
      <c r="BR19" s="48"/>
    </row>
    <row r="20" spans="1:70" s="6" customFormat="1" ht="207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16</v>
      </c>
      <c r="M20" s="4">
        <f>BA19</f>
        <v>0.14000000000000001</v>
      </c>
      <c r="N20" s="13">
        <f>M20*1125</f>
        <v>157.50000000000003</v>
      </c>
      <c r="O20" s="13"/>
      <c r="P20" s="13">
        <f>0.08*N20</f>
        <v>12.600000000000003</v>
      </c>
      <c r="Q20" s="13">
        <f>0.86*N20</f>
        <v>135.45000000000002</v>
      </c>
      <c r="R20" s="13"/>
      <c r="S20" s="13">
        <f>0.06*N20</f>
        <v>9.4500000000000011</v>
      </c>
      <c r="T20" s="13">
        <f>P20+Q20+R20+S20</f>
        <v>157.5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7"/>
      <c r="BB20" s="13"/>
      <c r="BC20" s="13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49" customFormat="1" ht="376.5" customHeight="1" x14ac:dyDescent="0.25">
      <c r="A21" s="38" t="s">
        <v>50</v>
      </c>
      <c r="B21" s="39" t="s">
        <v>72</v>
      </c>
      <c r="C21" s="40">
        <v>466.1</v>
      </c>
      <c r="D21" s="40"/>
      <c r="E21" s="41">
        <v>7</v>
      </c>
      <c r="F21" s="39" t="s">
        <v>94</v>
      </c>
      <c r="G21" s="39" t="s">
        <v>113</v>
      </c>
      <c r="H21" s="39" t="s">
        <v>127</v>
      </c>
      <c r="I21" s="39" t="s">
        <v>158</v>
      </c>
      <c r="J21" s="39" t="s">
        <v>159</v>
      </c>
      <c r="K21" s="41" t="s">
        <v>190</v>
      </c>
      <c r="L21" s="41"/>
      <c r="M21" s="41"/>
      <c r="N21" s="45">
        <f>N22+N23+N24+N25+N26</f>
        <v>771.67291999999998</v>
      </c>
      <c r="O21" s="45">
        <f t="shared" ref="O21:T21" si="10">O22+O23+O24+O25+O26</f>
        <v>0</v>
      </c>
      <c r="P21" s="45">
        <f t="shared" si="10"/>
        <v>41.096000000000004</v>
      </c>
      <c r="Q21" s="45">
        <f t="shared" si="10"/>
        <v>387.22275000000002</v>
      </c>
      <c r="R21" s="45">
        <f t="shared" si="10"/>
        <v>315.75792000000001</v>
      </c>
      <c r="S21" s="45">
        <f t="shared" si="10"/>
        <v>27.596249999999998</v>
      </c>
      <c r="T21" s="45">
        <f t="shared" si="10"/>
        <v>771.67291999999998</v>
      </c>
      <c r="U21" s="43"/>
      <c r="V21" s="43"/>
      <c r="W21" s="43"/>
      <c r="X21" s="43"/>
      <c r="Y21" s="43"/>
      <c r="Z21" s="43"/>
      <c r="AA21" s="43"/>
      <c r="AB21" s="43"/>
      <c r="AC21" s="44">
        <v>2.5000000000000001E-2</v>
      </c>
      <c r="AD21" s="45">
        <f>T22</f>
        <v>36.325000000000003</v>
      </c>
      <c r="AE21" s="45"/>
      <c r="AF21" s="43"/>
      <c r="AG21" s="43"/>
      <c r="AH21" s="43"/>
      <c r="AI21" s="44">
        <v>1</v>
      </c>
      <c r="AJ21" s="45">
        <f>T23</f>
        <v>60.476240000000004</v>
      </c>
      <c r="AK21" s="45"/>
      <c r="AL21" s="43"/>
      <c r="AM21" s="43"/>
      <c r="AN21" s="43"/>
      <c r="AO21" s="43"/>
      <c r="AP21" s="43"/>
      <c r="AQ21" s="44" t="s">
        <v>182</v>
      </c>
      <c r="AR21" s="45">
        <f>T24</f>
        <v>324.87168000000003</v>
      </c>
      <c r="AS21" s="44">
        <v>1</v>
      </c>
      <c r="AT21" s="45">
        <f>T25</f>
        <v>12.499999999999998</v>
      </c>
      <c r="AU21" s="43"/>
      <c r="AV21" s="43"/>
      <c r="AW21" s="43"/>
      <c r="AX21" s="43"/>
      <c r="AY21" s="41"/>
      <c r="AZ21" s="46"/>
      <c r="BA21" s="44">
        <v>0.3</v>
      </c>
      <c r="BB21" s="45">
        <f>T26</f>
        <v>337.5</v>
      </c>
      <c r="BC21" s="45"/>
      <c r="BD21" s="43"/>
      <c r="BE21" s="43"/>
      <c r="BF21" s="43"/>
      <c r="BG21" s="43"/>
      <c r="BH21" s="43"/>
      <c r="BI21" s="43"/>
      <c r="BJ21" s="43"/>
      <c r="BK21" s="43">
        <f>AD21+AJ21+AR21+AT21+BB21</f>
        <v>771.67291999999998</v>
      </c>
      <c r="BL21" s="47">
        <v>42486</v>
      </c>
      <c r="BM21" s="43"/>
      <c r="BN21" s="43"/>
      <c r="BO21" s="46"/>
      <c r="BP21" s="46"/>
      <c r="BQ21" s="47"/>
      <c r="BR21" s="48"/>
    </row>
    <row r="22" spans="1:70" s="6" customFormat="1" ht="138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6</v>
      </c>
      <c r="M22" s="4">
        <f>AC21</f>
        <v>2.5000000000000001E-2</v>
      </c>
      <c r="N22" s="13">
        <f>1453*M22</f>
        <v>36.325000000000003</v>
      </c>
      <c r="O22" s="13"/>
      <c r="P22" s="13">
        <f>0.08*N22</f>
        <v>2.9060000000000001</v>
      </c>
      <c r="Q22" s="13">
        <f>N22*0.87</f>
        <v>31.602750000000004</v>
      </c>
      <c r="R22" s="13"/>
      <c r="S22" s="13">
        <f>0.05*N22</f>
        <v>1.8162500000000001</v>
      </c>
      <c r="T22" s="13">
        <f>P22+Q22+R22+S22</f>
        <v>36.325000000000003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7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38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9</v>
      </c>
      <c r="M23" s="4">
        <f>AI21</f>
        <v>1</v>
      </c>
      <c r="N23" s="13">
        <v>60.476240000000004</v>
      </c>
      <c r="O23" s="13"/>
      <c r="P23" s="13">
        <v>3.91</v>
      </c>
      <c r="Q23" s="13">
        <v>12.09</v>
      </c>
      <c r="R23" s="13">
        <f>40.92*1.072</f>
        <v>43.866240000000005</v>
      </c>
      <c r="S23" s="13">
        <v>0.61</v>
      </c>
      <c r="T23" s="13">
        <f t="shared" ref="T23:T26" si="11">P23+Q23+R23+S23</f>
        <v>60.476240000000004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36"/>
      <c r="AJ23" s="5"/>
      <c r="AK23" s="5"/>
      <c r="AL23" s="5"/>
      <c r="AM23" s="5"/>
      <c r="AN23" s="5"/>
      <c r="AO23" s="5"/>
      <c r="AP23" s="5"/>
      <c r="AQ23" s="36"/>
      <c r="AR23" s="5"/>
      <c r="AS23" s="36"/>
      <c r="AT23" s="5"/>
      <c r="AU23" s="5"/>
      <c r="AV23" s="5"/>
      <c r="AW23" s="5"/>
      <c r="AX23" s="5"/>
      <c r="AY23" s="4"/>
      <c r="AZ23" s="7"/>
      <c r="BA23" s="17"/>
      <c r="BB23" s="7"/>
      <c r="BC23" s="4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38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12</v>
      </c>
      <c r="M24" s="4" t="str">
        <f>AQ21</f>
        <v>СТП 63 кВА</v>
      </c>
      <c r="N24" s="13">
        <v>324.87168000000003</v>
      </c>
      <c r="O24" s="13"/>
      <c r="P24" s="13">
        <v>6.53</v>
      </c>
      <c r="Q24" s="13">
        <v>51.75</v>
      </c>
      <c r="R24" s="13">
        <f>244.19*1.072</f>
        <v>261.77168</v>
      </c>
      <c r="S24" s="13">
        <v>4.82</v>
      </c>
      <c r="T24" s="13">
        <f t="shared" si="11"/>
        <v>324.87168000000003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1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38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26</v>
      </c>
      <c r="M25" s="4">
        <f>AS21</f>
        <v>1</v>
      </c>
      <c r="N25" s="13">
        <v>12.5</v>
      </c>
      <c r="O25" s="13"/>
      <c r="P25" s="13">
        <v>0.75</v>
      </c>
      <c r="Q25" s="13">
        <v>1.53</v>
      </c>
      <c r="R25" s="13">
        <v>10.119999999999999</v>
      </c>
      <c r="S25" s="13">
        <v>0.1</v>
      </c>
      <c r="T25" s="13">
        <f t="shared" si="11"/>
        <v>12.499999999999998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38.7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16</v>
      </c>
      <c r="M26" s="4">
        <f>BA21</f>
        <v>0.3</v>
      </c>
      <c r="N26" s="13">
        <f>1125*M26</f>
        <v>337.5</v>
      </c>
      <c r="O26" s="13"/>
      <c r="P26" s="13">
        <f>0.08*N26</f>
        <v>27</v>
      </c>
      <c r="Q26" s="13">
        <f>0.86*N26</f>
        <v>290.25</v>
      </c>
      <c r="R26" s="13"/>
      <c r="S26" s="13">
        <f>0.06*N26</f>
        <v>20.25</v>
      </c>
      <c r="T26" s="13">
        <f t="shared" si="11"/>
        <v>337.5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49" customFormat="1" ht="408.75" customHeight="1" x14ac:dyDescent="0.25">
      <c r="A27" s="38" t="s">
        <v>51</v>
      </c>
      <c r="B27" s="39" t="s">
        <v>73</v>
      </c>
      <c r="C27" s="40">
        <v>466.1</v>
      </c>
      <c r="D27" s="40"/>
      <c r="E27" s="41">
        <v>10</v>
      </c>
      <c r="F27" s="39" t="s">
        <v>95</v>
      </c>
      <c r="G27" s="39" t="s">
        <v>115</v>
      </c>
      <c r="H27" s="39" t="s">
        <v>128</v>
      </c>
      <c r="I27" s="39" t="s">
        <v>160</v>
      </c>
      <c r="J27" s="39" t="s">
        <v>161</v>
      </c>
      <c r="K27" s="41" t="s">
        <v>181</v>
      </c>
      <c r="L27" s="41"/>
      <c r="M27" s="41"/>
      <c r="N27" s="46">
        <f>N28+N29+N30+N31+N32</f>
        <v>483.16168000000005</v>
      </c>
      <c r="O27" s="41"/>
      <c r="P27" s="46">
        <f t="shared" ref="P27:T27" si="12">P28+P29+P30+P31+P32</f>
        <v>18.014800000000001</v>
      </c>
      <c r="Q27" s="46">
        <f t="shared" si="12"/>
        <v>139.02719999999999</v>
      </c>
      <c r="R27" s="46">
        <f t="shared" si="12"/>
        <v>315.75792000000001</v>
      </c>
      <c r="S27" s="46">
        <f t="shared" si="12"/>
        <v>10.358000000000001</v>
      </c>
      <c r="T27" s="46">
        <f t="shared" si="12"/>
        <v>483.15792000000005</v>
      </c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1">
        <v>0.02</v>
      </c>
      <c r="AF27" s="46">
        <f>T28</f>
        <v>29.060000000000002</v>
      </c>
      <c r="AG27" s="46"/>
      <c r="AH27" s="43"/>
      <c r="AI27" s="44">
        <v>1</v>
      </c>
      <c r="AJ27" s="46">
        <f>T29</f>
        <v>60.476240000000004</v>
      </c>
      <c r="AK27" s="46"/>
      <c r="AL27" s="43"/>
      <c r="AM27" s="43"/>
      <c r="AN27" s="43"/>
      <c r="AO27" s="43"/>
      <c r="AP27" s="43"/>
      <c r="AQ27" s="44" t="s">
        <v>182</v>
      </c>
      <c r="AR27" s="46">
        <f>T30</f>
        <v>324.87168000000003</v>
      </c>
      <c r="AS27" s="44">
        <v>1</v>
      </c>
      <c r="AT27" s="46">
        <f>T31</f>
        <v>12.499999999999998</v>
      </c>
      <c r="AU27" s="43"/>
      <c r="AV27" s="43"/>
      <c r="AW27" s="43"/>
      <c r="AX27" s="43"/>
      <c r="AY27" s="41"/>
      <c r="AZ27" s="46"/>
      <c r="BA27" s="44">
        <v>0.05</v>
      </c>
      <c r="BB27" s="46">
        <f>T32</f>
        <v>56.25</v>
      </c>
      <c r="BC27" s="46"/>
      <c r="BD27" s="43"/>
      <c r="BE27" s="43"/>
      <c r="BF27" s="43"/>
      <c r="BG27" s="43"/>
      <c r="BH27" s="43"/>
      <c r="BI27" s="43"/>
      <c r="BJ27" s="43"/>
      <c r="BK27" s="43">
        <f>AF27+AJ27+AR27+AT27+BB27</f>
        <v>483.15792000000005</v>
      </c>
      <c r="BL27" s="47">
        <v>42465</v>
      </c>
      <c r="BM27" s="43"/>
      <c r="BN27" s="43"/>
      <c r="BO27" s="46"/>
      <c r="BP27" s="46"/>
      <c r="BQ27" s="47"/>
      <c r="BR27" s="48"/>
    </row>
    <row r="28" spans="1:70" s="6" customFormat="1" ht="14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7</v>
      </c>
      <c r="M28" s="4">
        <v>0.02</v>
      </c>
      <c r="N28" s="12">
        <f>1453*M28</f>
        <v>29.060000000000002</v>
      </c>
      <c r="O28" s="2"/>
      <c r="P28" s="12">
        <f>0.08*N28</f>
        <v>2.3248000000000002</v>
      </c>
      <c r="Q28" s="12">
        <f>0.87*N28</f>
        <v>25.282200000000003</v>
      </c>
      <c r="R28" s="12"/>
      <c r="S28" s="12">
        <f>0.05*N28</f>
        <v>1.4530000000000003</v>
      </c>
      <c r="T28" s="12">
        <f>P28+Q28+R28+S28</f>
        <v>29.060000000000002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1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44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9</v>
      </c>
      <c r="M29" s="17">
        <v>1</v>
      </c>
      <c r="N29" s="12">
        <v>60.48</v>
      </c>
      <c r="O29" s="2"/>
      <c r="P29" s="12">
        <v>3.91</v>
      </c>
      <c r="Q29" s="12">
        <v>12.09</v>
      </c>
      <c r="R29" s="12">
        <f>40.92*1.072</f>
        <v>43.866240000000005</v>
      </c>
      <c r="S29" s="12">
        <v>0.61</v>
      </c>
      <c r="T29" s="12">
        <f t="shared" ref="T29" si="13">P29+Q29+R29+S29</f>
        <v>60.476240000000004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36"/>
      <c r="AJ29" s="5"/>
      <c r="AK29" s="5"/>
      <c r="AL29" s="5"/>
      <c r="AM29" s="5"/>
      <c r="AN29" s="5"/>
      <c r="AO29" s="5"/>
      <c r="AP29" s="5"/>
      <c r="AQ29" s="36"/>
      <c r="AR29" s="5"/>
      <c r="AS29" s="36"/>
      <c r="AT29" s="5"/>
      <c r="AU29" s="5"/>
      <c r="AV29" s="5"/>
      <c r="AW29" s="5"/>
      <c r="AX29" s="5"/>
      <c r="AY29" s="4"/>
      <c r="AZ29" s="7"/>
      <c r="BA29" s="17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144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12</v>
      </c>
      <c r="M30" s="17" t="s">
        <v>182</v>
      </c>
      <c r="N30" s="7">
        <f>T30</f>
        <v>324.87168000000003</v>
      </c>
      <c r="O30" s="7"/>
      <c r="P30" s="7">
        <v>6.53</v>
      </c>
      <c r="Q30" s="7">
        <v>51.75</v>
      </c>
      <c r="R30" s="7">
        <f>244.19*1.072</f>
        <v>261.77168</v>
      </c>
      <c r="S30" s="7">
        <v>4.82</v>
      </c>
      <c r="T30" s="12">
        <f t="shared" ref="T30" si="14">SUM(P30:S30)</f>
        <v>324.87168000000003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44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26</v>
      </c>
      <c r="M31" s="17">
        <v>1</v>
      </c>
      <c r="N31" s="12">
        <v>12.5</v>
      </c>
      <c r="O31" s="2"/>
      <c r="P31" s="12">
        <v>0.75</v>
      </c>
      <c r="Q31" s="12">
        <v>1.53</v>
      </c>
      <c r="R31" s="12">
        <v>10.119999999999999</v>
      </c>
      <c r="S31" s="12">
        <v>0.1</v>
      </c>
      <c r="T31" s="12">
        <f t="shared" ref="T31:T32" si="15">P31+Q31+R31+S31</f>
        <v>12.499999999999998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44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17">
        <v>0.05</v>
      </c>
      <c r="N32" s="12">
        <f>1125*M32</f>
        <v>56.25</v>
      </c>
      <c r="O32" s="2"/>
      <c r="P32" s="12">
        <f>0.08*N32</f>
        <v>4.5</v>
      </c>
      <c r="Q32" s="12">
        <f>0.86*N32</f>
        <v>48.375</v>
      </c>
      <c r="R32" s="12"/>
      <c r="S32" s="12">
        <f>0.06*N32</f>
        <v>3.375</v>
      </c>
      <c r="T32" s="12">
        <f t="shared" si="15"/>
        <v>56.25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49" customFormat="1" ht="409.5" customHeight="1" x14ac:dyDescent="0.25">
      <c r="A33" s="38" t="s">
        <v>52</v>
      </c>
      <c r="B33" s="39" t="s">
        <v>74</v>
      </c>
      <c r="C33" s="40">
        <v>466.1</v>
      </c>
      <c r="D33" s="40"/>
      <c r="E33" s="41">
        <v>15</v>
      </c>
      <c r="F33" s="39" t="s">
        <v>96</v>
      </c>
      <c r="G33" s="39" t="s">
        <v>116</v>
      </c>
      <c r="H33" s="39" t="s">
        <v>129</v>
      </c>
      <c r="I33" s="39" t="s">
        <v>162</v>
      </c>
      <c r="J33" s="39" t="s">
        <v>163</v>
      </c>
      <c r="K33" s="41" t="s">
        <v>183</v>
      </c>
      <c r="L33" s="41"/>
      <c r="M33" s="41"/>
      <c r="N33" s="46">
        <f>N34+N35+N36+N37+N38</f>
        <v>807.51168000000007</v>
      </c>
      <c r="O33" s="41"/>
      <c r="P33" s="46">
        <f t="shared" ref="P33:T33" si="16">P34+P35+P36+P37+P38</f>
        <v>43.962800000000001</v>
      </c>
      <c r="Q33" s="46">
        <f t="shared" si="16"/>
        <v>420.87419999999997</v>
      </c>
      <c r="R33" s="46">
        <f t="shared" si="16"/>
        <v>315.75792000000001</v>
      </c>
      <c r="S33" s="46">
        <f t="shared" si="16"/>
        <v>26.913000000000004</v>
      </c>
      <c r="T33" s="46">
        <f t="shared" si="16"/>
        <v>807.50792000000001</v>
      </c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1">
        <v>0.22</v>
      </c>
      <c r="AF33" s="46">
        <f>T34</f>
        <v>319.66000000000003</v>
      </c>
      <c r="AG33" s="46"/>
      <c r="AH33" s="43"/>
      <c r="AI33" s="44">
        <v>1</v>
      </c>
      <c r="AJ33" s="46">
        <f>T35</f>
        <v>60.476240000000004</v>
      </c>
      <c r="AK33" s="46"/>
      <c r="AL33" s="43"/>
      <c r="AM33" s="43"/>
      <c r="AN33" s="43"/>
      <c r="AO33" s="43"/>
      <c r="AP33" s="43"/>
      <c r="AQ33" s="44" t="s">
        <v>182</v>
      </c>
      <c r="AR33" s="46">
        <f>T36</f>
        <v>324.87168000000003</v>
      </c>
      <c r="AS33" s="44">
        <v>1</v>
      </c>
      <c r="AT33" s="46">
        <f>T37</f>
        <v>12.499999999999998</v>
      </c>
      <c r="AU33" s="43"/>
      <c r="AV33" s="43"/>
      <c r="AW33" s="43"/>
      <c r="AX33" s="43"/>
      <c r="AY33" s="41"/>
      <c r="AZ33" s="46"/>
      <c r="BA33" s="44">
        <v>0.08</v>
      </c>
      <c r="BB33" s="46">
        <f>T38</f>
        <v>90.000000000000014</v>
      </c>
      <c r="BC33" s="46"/>
      <c r="BD33" s="43"/>
      <c r="BE33" s="43"/>
      <c r="BF33" s="43"/>
      <c r="BG33" s="43"/>
      <c r="BH33" s="43"/>
      <c r="BI33" s="43"/>
      <c r="BJ33" s="43"/>
      <c r="BK33" s="43">
        <f>AF33+AJ33+AR33+AT33+BB33</f>
        <v>807.50792000000001</v>
      </c>
      <c r="BL33" s="47">
        <v>42481</v>
      </c>
      <c r="BM33" s="43"/>
      <c r="BN33" s="43"/>
      <c r="BO33" s="46"/>
      <c r="BP33" s="46"/>
      <c r="BQ33" s="47"/>
      <c r="BR33" s="48"/>
    </row>
    <row r="34" spans="1:70" s="6" customFormat="1" ht="149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7</v>
      </c>
      <c r="M34" s="4">
        <v>0.22</v>
      </c>
      <c r="N34" s="12">
        <f>1453*M34</f>
        <v>319.66000000000003</v>
      </c>
      <c r="O34" s="2"/>
      <c r="P34" s="12">
        <f>0.08*N34</f>
        <v>25.572800000000001</v>
      </c>
      <c r="Q34" s="12">
        <f>0.87*N34</f>
        <v>278.10420000000005</v>
      </c>
      <c r="R34" s="12"/>
      <c r="S34" s="12">
        <f>0.05*N34</f>
        <v>15.983000000000002</v>
      </c>
      <c r="T34" s="12">
        <f>P34+Q34+R34+S34</f>
        <v>319.66000000000003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49.2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9</v>
      </c>
      <c r="M35" s="17">
        <v>1</v>
      </c>
      <c r="N35" s="12">
        <v>60.48</v>
      </c>
      <c r="O35" s="2"/>
      <c r="P35" s="12">
        <v>3.91</v>
      </c>
      <c r="Q35" s="12">
        <v>12.09</v>
      </c>
      <c r="R35" s="12">
        <f>40.92*1.072</f>
        <v>43.866240000000005</v>
      </c>
      <c r="S35" s="12">
        <v>0.61</v>
      </c>
      <c r="T35" s="12">
        <f t="shared" ref="T35" si="17">P35+Q35+R35+S35</f>
        <v>60.476240000000004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6"/>
      <c r="AJ35" s="5"/>
      <c r="AK35" s="5"/>
      <c r="AL35" s="5"/>
      <c r="AM35" s="5"/>
      <c r="AN35" s="5"/>
      <c r="AO35" s="5"/>
      <c r="AP35" s="5"/>
      <c r="AQ35" s="36"/>
      <c r="AR35" s="5"/>
      <c r="AS35" s="36"/>
      <c r="AT35" s="5"/>
      <c r="AU35" s="5"/>
      <c r="AV35" s="5"/>
      <c r="AW35" s="5"/>
      <c r="AX35" s="5"/>
      <c r="AY35" s="4"/>
      <c r="AZ35" s="7"/>
      <c r="BA35" s="17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49.2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12</v>
      </c>
      <c r="M36" s="17" t="s">
        <v>182</v>
      </c>
      <c r="N36" s="7">
        <f>T36</f>
        <v>324.87168000000003</v>
      </c>
      <c r="O36" s="7"/>
      <c r="P36" s="7">
        <v>6.53</v>
      </c>
      <c r="Q36" s="7">
        <v>51.75</v>
      </c>
      <c r="R36" s="7">
        <f>244.19*1.072</f>
        <v>261.77168</v>
      </c>
      <c r="S36" s="7">
        <v>4.82</v>
      </c>
      <c r="T36" s="12">
        <f t="shared" ref="T36" si="18">SUM(P36:S36)</f>
        <v>324.87168000000003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7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49.2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26</v>
      </c>
      <c r="M37" s="17">
        <v>1</v>
      </c>
      <c r="N37" s="12">
        <v>12.5</v>
      </c>
      <c r="O37" s="2"/>
      <c r="P37" s="12">
        <v>0.75</v>
      </c>
      <c r="Q37" s="12">
        <v>1.53</v>
      </c>
      <c r="R37" s="12">
        <v>10.119999999999999</v>
      </c>
      <c r="S37" s="12">
        <v>0.1</v>
      </c>
      <c r="T37" s="12">
        <f t="shared" ref="T37:T38" si="19">P37+Q37+R37+S37</f>
        <v>12.499999999999998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7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149.2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16</v>
      </c>
      <c r="M38" s="17">
        <v>0.08</v>
      </c>
      <c r="N38" s="12">
        <f>1125*M38</f>
        <v>90</v>
      </c>
      <c r="O38" s="2"/>
      <c r="P38" s="12">
        <f>0.08*N38</f>
        <v>7.2</v>
      </c>
      <c r="Q38" s="12">
        <f>0.86*N38</f>
        <v>77.400000000000006</v>
      </c>
      <c r="R38" s="12"/>
      <c r="S38" s="12">
        <f>0.06*N38</f>
        <v>5.3999999999999995</v>
      </c>
      <c r="T38" s="12">
        <f t="shared" si="19"/>
        <v>90.000000000000014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7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49" customFormat="1" ht="220.5" customHeight="1" x14ac:dyDescent="0.25">
      <c r="A39" s="38" t="s">
        <v>53</v>
      </c>
      <c r="B39" s="39" t="s">
        <v>75</v>
      </c>
      <c r="C39" s="40">
        <v>466.1</v>
      </c>
      <c r="D39" s="40"/>
      <c r="E39" s="41">
        <v>149</v>
      </c>
      <c r="F39" s="39" t="s">
        <v>97</v>
      </c>
      <c r="G39" s="39" t="s">
        <v>113</v>
      </c>
      <c r="H39" s="39" t="s">
        <v>130</v>
      </c>
      <c r="I39" s="39" t="s">
        <v>164</v>
      </c>
      <c r="J39" s="39" t="s">
        <v>165</v>
      </c>
      <c r="K39" s="41" t="s">
        <v>203</v>
      </c>
      <c r="L39" s="41"/>
      <c r="M39" s="41"/>
      <c r="N39" s="45">
        <f>N40+N41</f>
        <v>75.009999999999991</v>
      </c>
      <c r="O39" s="45">
        <f t="shared" ref="O39:T39" si="20">O40+O41</f>
        <v>0</v>
      </c>
      <c r="P39" s="45">
        <f t="shared" si="20"/>
        <v>5.0724</v>
      </c>
      <c r="Q39" s="45">
        <f t="shared" si="20"/>
        <v>24.731100000000001</v>
      </c>
      <c r="R39" s="45">
        <f t="shared" si="20"/>
        <v>43.866240000000005</v>
      </c>
      <c r="S39" s="45">
        <f t="shared" si="20"/>
        <v>1.3365</v>
      </c>
      <c r="T39" s="45">
        <f t="shared" si="20"/>
        <v>75.006240000000005</v>
      </c>
      <c r="U39" s="43"/>
      <c r="V39" s="43"/>
      <c r="W39" s="43"/>
      <c r="X39" s="43"/>
      <c r="Y39" s="43"/>
      <c r="Z39" s="43"/>
      <c r="AA39" s="43"/>
      <c r="AB39" s="43"/>
      <c r="AC39" s="43">
        <v>0.01</v>
      </c>
      <c r="AD39" s="43">
        <f>T40</f>
        <v>14.530000000000001</v>
      </c>
      <c r="AE39" s="43"/>
      <c r="AF39" s="43"/>
      <c r="AG39" s="43"/>
      <c r="AH39" s="43"/>
      <c r="AI39" s="72">
        <v>1</v>
      </c>
      <c r="AJ39" s="43">
        <f>T41</f>
        <v>60.476240000000004</v>
      </c>
      <c r="AK39" s="43"/>
      <c r="AL39" s="43"/>
      <c r="AM39" s="43"/>
      <c r="AN39" s="43"/>
      <c r="AO39" s="43"/>
      <c r="AP39" s="43"/>
      <c r="AQ39" s="72"/>
      <c r="AR39" s="43"/>
      <c r="AS39" s="72"/>
      <c r="AT39" s="43"/>
      <c r="AU39" s="43"/>
      <c r="AV39" s="43"/>
      <c r="AW39" s="43"/>
      <c r="AX39" s="43"/>
      <c r="AY39" s="41"/>
      <c r="AZ39" s="46"/>
      <c r="BA39" s="44"/>
      <c r="BB39" s="45"/>
      <c r="BC39" s="45"/>
      <c r="BD39" s="43"/>
      <c r="BE39" s="43"/>
      <c r="BF39" s="43"/>
      <c r="BG39" s="43"/>
      <c r="BH39" s="43"/>
      <c r="BI39" s="43"/>
      <c r="BJ39" s="43"/>
      <c r="BK39" s="43">
        <f>AD39+AJ39</f>
        <v>75.006240000000005</v>
      </c>
      <c r="BL39" s="47">
        <v>42666</v>
      </c>
      <c r="BM39" s="43"/>
      <c r="BN39" s="43"/>
      <c r="BO39" s="46"/>
      <c r="BP39" s="46"/>
      <c r="BQ39" s="47"/>
      <c r="BR39" s="48"/>
    </row>
    <row r="40" spans="1:70" s="6" customFormat="1" ht="175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6</v>
      </c>
      <c r="M40" s="5">
        <f>AC39</f>
        <v>0.01</v>
      </c>
      <c r="N40" s="13">
        <f>1453*M40</f>
        <v>14.530000000000001</v>
      </c>
      <c r="O40" s="13"/>
      <c r="P40" s="13">
        <f>0.08*N40</f>
        <v>1.1624000000000001</v>
      </c>
      <c r="Q40" s="13">
        <f>0.87*N40</f>
        <v>12.641100000000002</v>
      </c>
      <c r="R40" s="13"/>
      <c r="S40" s="13">
        <f>0.05*N40</f>
        <v>0.72650000000000015</v>
      </c>
      <c r="T40" s="13">
        <f>P40+Q40+R40+S40</f>
        <v>14.530000000000001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6"/>
      <c r="AJ40" s="5"/>
      <c r="AK40" s="5"/>
      <c r="AL40" s="5"/>
      <c r="AM40" s="5"/>
      <c r="AN40" s="5"/>
      <c r="AO40" s="5"/>
      <c r="AP40" s="5"/>
      <c r="AQ40" s="36"/>
      <c r="AR40" s="5"/>
      <c r="AS40" s="36"/>
      <c r="AT40" s="5"/>
      <c r="AU40" s="5"/>
      <c r="AV40" s="5"/>
      <c r="AW40" s="5"/>
      <c r="AX40" s="5"/>
      <c r="AY40" s="4"/>
      <c r="AZ40" s="7"/>
      <c r="BA40" s="17"/>
      <c r="BB40" s="13"/>
      <c r="BC40" s="13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90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9</v>
      </c>
      <c r="M41" s="5">
        <v>1</v>
      </c>
      <c r="N41" s="13">
        <v>60.48</v>
      </c>
      <c r="O41" s="13"/>
      <c r="P41" s="13">
        <v>3.91</v>
      </c>
      <c r="Q41" s="13">
        <v>12.09</v>
      </c>
      <c r="R41" s="13">
        <f>40.92*1.072</f>
        <v>43.866240000000005</v>
      </c>
      <c r="S41" s="13">
        <v>0.61</v>
      </c>
      <c r="T41" s="13">
        <f t="shared" ref="T41" si="21">P41+Q41+R41+S41</f>
        <v>60.476240000000004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6"/>
      <c r="AJ41" s="5"/>
      <c r="AK41" s="5"/>
      <c r="AL41" s="5"/>
      <c r="AM41" s="5"/>
      <c r="AN41" s="5"/>
      <c r="AO41" s="5"/>
      <c r="AP41" s="5"/>
      <c r="AQ41" s="36"/>
      <c r="AR41" s="5"/>
      <c r="AS41" s="36"/>
      <c r="AT41" s="5"/>
      <c r="AU41" s="5"/>
      <c r="AV41" s="5"/>
      <c r="AW41" s="5"/>
      <c r="AX41" s="5"/>
      <c r="AY41" s="4"/>
      <c r="AZ41" s="7"/>
      <c r="BA41" s="1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49" customFormat="1" ht="409.5" customHeight="1" x14ac:dyDescent="0.25">
      <c r="A42" s="38" t="s">
        <v>54</v>
      </c>
      <c r="B42" s="39" t="s">
        <v>76</v>
      </c>
      <c r="C42" s="40">
        <v>466.1</v>
      </c>
      <c r="D42" s="40"/>
      <c r="E42" s="41">
        <v>14.5</v>
      </c>
      <c r="F42" s="39" t="s">
        <v>98</v>
      </c>
      <c r="G42" s="39" t="s">
        <v>113</v>
      </c>
      <c r="H42" s="39" t="s">
        <v>131</v>
      </c>
      <c r="I42" s="39" t="s">
        <v>166</v>
      </c>
      <c r="J42" s="39" t="s">
        <v>167</v>
      </c>
      <c r="K42" s="41" t="s">
        <v>191</v>
      </c>
      <c r="L42" s="41"/>
      <c r="M42" s="41"/>
      <c r="N42" s="45">
        <f>N43+N44+N45+N46+N47</f>
        <v>1592.799696</v>
      </c>
      <c r="O42" s="45">
        <f t="shared" ref="O42:T42" si="22">O43+O44+O45+O46+O47</f>
        <v>0</v>
      </c>
      <c r="P42" s="45">
        <f t="shared" si="22"/>
        <v>94.891199999999998</v>
      </c>
      <c r="Q42" s="45">
        <f t="shared" si="22"/>
        <v>923.43179999999984</v>
      </c>
      <c r="R42" s="45">
        <f t="shared" si="22"/>
        <v>515.39969600000006</v>
      </c>
      <c r="S42" s="45">
        <f t="shared" si="22"/>
        <v>59.076999999999998</v>
      </c>
      <c r="T42" s="45">
        <f t="shared" si="22"/>
        <v>1592.799696</v>
      </c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1">
        <v>0.38</v>
      </c>
      <c r="AF42" s="45">
        <f>T43</f>
        <v>552.13999999999987</v>
      </c>
      <c r="AG42" s="45"/>
      <c r="AH42" s="43"/>
      <c r="AI42" s="86">
        <v>1</v>
      </c>
      <c r="AJ42" s="45">
        <f>T44</f>
        <v>60.476240000000004</v>
      </c>
      <c r="AK42" s="45"/>
      <c r="AL42" s="43"/>
      <c r="AM42" s="43"/>
      <c r="AN42" s="43"/>
      <c r="AO42" s="43"/>
      <c r="AP42" s="43"/>
      <c r="AQ42" s="86" t="s">
        <v>214</v>
      </c>
      <c r="AR42" s="45">
        <f>T45</f>
        <v>540.18345600000009</v>
      </c>
      <c r="AS42" s="86">
        <v>1</v>
      </c>
      <c r="AT42" s="45">
        <f>T46</f>
        <v>12.499999999999998</v>
      </c>
      <c r="AU42" s="43"/>
      <c r="AV42" s="43"/>
      <c r="AW42" s="43"/>
      <c r="AX42" s="43"/>
      <c r="AY42" s="41"/>
      <c r="AZ42" s="46"/>
      <c r="BA42" s="86">
        <v>0.38</v>
      </c>
      <c r="BB42" s="45">
        <f>T47</f>
        <v>427.49999999999994</v>
      </c>
      <c r="BC42" s="45"/>
      <c r="BD42" s="43"/>
      <c r="BE42" s="43"/>
      <c r="BF42" s="43"/>
      <c r="BG42" s="43"/>
      <c r="BH42" s="43"/>
      <c r="BI42" s="43"/>
      <c r="BJ42" s="43"/>
      <c r="BK42" s="43">
        <f>AF42+AJ42+AR42+AT42+BB42</f>
        <v>1592.799696</v>
      </c>
      <c r="BL42" s="47">
        <v>42487</v>
      </c>
      <c r="BM42" s="43"/>
      <c r="BN42" s="43"/>
      <c r="BO42" s="46"/>
      <c r="BP42" s="46"/>
      <c r="BQ42" s="47"/>
      <c r="BR42" s="48"/>
    </row>
    <row r="43" spans="1:70" s="6" customFormat="1" ht="14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7</v>
      </c>
      <c r="M43" s="4">
        <f>AE42</f>
        <v>0.38</v>
      </c>
      <c r="N43" s="13">
        <f>1453*M43</f>
        <v>552.14</v>
      </c>
      <c r="O43" s="13"/>
      <c r="P43" s="13">
        <f>0.08*N43</f>
        <v>44.171199999999999</v>
      </c>
      <c r="Q43" s="13">
        <f>0.87*N43</f>
        <v>480.36179999999996</v>
      </c>
      <c r="R43" s="13"/>
      <c r="S43" s="13">
        <f>0.05*N43</f>
        <v>27.606999999999999</v>
      </c>
      <c r="T43" s="13">
        <f>P43+Q43+R43+S43</f>
        <v>552.13999999999987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13"/>
      <c r="AG43" s="13"/>
      <c r="AH43" s="5"/>
      <c r="AI43" s="17"/>
      <c r="AJ43" s="13"/>
      <c r="AK43" s="13"/>
      <c r="AL43" s="5"/>
      <c r="AM43" s="5"/>
      <c r="AN43" s="5"/>
      <c r="AO43" s="5"/>
      <c r="AP43" s="5"/>
      <c r="AQ43" s="17"/>
      <c r="AR43" s="13"/>
      <c r="AS43" s="17"/>
      <c r="AT43" s="13"/>
      <c r="AU43" s="5"/>
      <c r="AV43" s="5"/>
      <c r="AW43" s="5"/>
      <c r="AX43" s="5"/>
      <c r="AY43" s="4"/>
      <c r="AZ43" s="7"/>
      <c r="BA43" s="1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4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9</v>
      </c>
      <c r="M44" s="4">
        <f>AI42</f>
        <v>1</v>
      </c>
      <c r="N44" s="13">
        <v>60.476240000000004</v>
      </c>
      <c r="O44" s="13"/>
      <c r="P44" s="13">
        <v>3.91</v>
      </c>
      <c r="Q44" s="13">
        <v>12.09</v>
      </c>
      <c r="R44" s="13">
        <v>43.866240000000005</v>
      </c>
      <c r="S44" s="13">
        <v>0.61</v>
      </c>
      <c r="T44" s="13">
        <v>60.476240000000004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4"/>
      <c r="AF44" s="13"/>
      <c r="AG44" s="13"/>
      <c r="AH44" s="5"/>
      <c r="AI44" s="17"/>
      <c r="AJ44" s="13"/>
      <c r="AK44" s="13"/>
      <c r="AL44" s="5"/>
      <c r="AM44" s="5"/>
      <c r="AN44" s="5"/>
      <c r="AO44" s="5"/>
      <c r="AP44" s="5"/>
      <c r="AQ44" s="17"/>
      <c r="AR44" s="13"/>
      <c r="AS44" s="17"/>
      <c r="AT44" s="13"/>
      <c r="AU44" s="5"/>
      <c r="AV44" s="5"/>
      <c r="AW44" s="5"/>
      <c r="AX44" s="5"/>
      <c r="AY44" s="4"/>
      <c r="AZ44" s="7"/>
      <c r="BA44" s="17"/>
      <c r="BB44" s="13"/>
      <c r="BC44" s="13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4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12</v>
      </c>
      <c r="M45" s="4" t="str">
        <f>AQ42</f>
        <v>КТП 250 кВА (с трансформатором 160 кВА)</v>
      </c>
      <c r="N45" s="13">
        <f>P45+Q45+R45+S45</f>
        <v>540.18345600000009</v>
      </c>
      <c r="O45" s="13"/>
      <c r="P45" s="13">
        <v>11.86</v>
      </c>
      <c r="Q45" s="13">
        <v>61.8</v>
      </c>
      <c r="R45" s="13">
        <f>(449.237-162.346+143.532)*1.072</f>
        <v>461.41345600000005</v>
      </c>
      <c r="S45" s="13">
        <v>5.1100000000000003</v>
      </c>
      <c r="T45" s="13">
        <f t="shared" ref="T45:T47" si="23">P45+Q45+R45+S45</f>
        <v>540.18345600000009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4"/>
      <c r="AF45" s="13"/>
      <c r="AG45" s="13"/>
      <c r="AH45" s="5"/>
      <c r="AI45" s="17"/>
      <c r="AJ45" s="13"/>
      <c r="AK45" s="13"/>
      <c r="AL45" s="5"/>
      <c r="AM45" s="5"/>
      <c r="AN45" s="5"/>
      <c r="AO45" s="5"/>
      <c r="AP45" s="5"/>
      <c r="AQ45" s="17"/>
      <c r="AR45" s="13"/>
      <c r="AS45" s="17"/>
      <c r="AT45" s="13"/>
      <c r="AU45" s="5"/>
      <c r="AV45" s="5"/>
      <c r="AW45" s="5"/>
      <c r="AX45" s="5"/>
      <c r="AY45" s="4"/>
      <c r="AZ45" s="7"/>
      <c r="BA45" s="17"/>
      <c r="BB45" s="13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44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26</v>
      </c>
      <c r="M46" s="4">
        <f>AS42</f>
        <v>1</v>
      </c>
      <c r="N46" s="13">
        <v>12.5</v>
      </c>
      <c r="O46" s="13"/>
      <c r="P46" s="13">
        <v>0.75</v>
      </c>
      <c r="Q46" s="13">
        <v>1.53</v>
      </c>
      <c r="R46" s="13">
        <v>10.119999999999999</v>
      </c>
      <c r="S46" s="13">
        <v>0.1</v>
      </c>
      <c r="T46" s="13">
        <f t="shared" si="23"/>
        <v>12.499999999999998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13"/>
      <c r="AG46" s="13"/>
      <c r="AH46" s="5"/>
      <c r="AI46" s="17"/>
      <c r="AJ46" s="13"/>
      <c r="AK46" s="13"/>
      <c r="AL46" s="5"/>
      <c r="AM46" s="5"/>
      <c r="AN46" s="5"/>
      <c r="AO46" s="5"/>
      <c r="AP46" s="5"/>
      <c r="AQ46" s="17"/>
      <c r="AR46" s="13"/>
      <c r="AS46" s="17"/>
      <c r="AT46" s="13"/>
      <c r="AU46" s="5"/>
      <c r="AV46" s="5"/>
      <c r="AW46" s="5"/>
      <c r="AX46" s="5"/>
      <c r="AY46" s="4"/>
      <c r="AZ46" s="7"/>
      <c r="BA46" s="17"/>
      <c r="BB46" s="13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44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16</v>
      </c>
      <c r="M47" s="4">
        <f>BA42</f>
        <v>0.38</v>
      </c>
      <c r="N47" s="13">
        <f>1125*M47</f>
        <v>427.5</v>
      </c>
      <c r="O47" s="13"/>
      <c r="P47" s="13">
        <f>0.08*N47</f>
        <v>34.200000000000003</v>
      </c>
      <c r="Q47" s="13">
        <f>0.86*N47</f>
        <v>367.65</v>
      </c>
      <c r="R47" s="13"/>
      <c r="S47" s="13">
        <f>0.06*N47</f>
        <v>25.65</v>
      </c>
      <c r="T47" s="13">
        <f t="shared" si="23"/>
        <v>427.49999999999994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13"/>
      <c r="AG47" s="13"/>
      <c r="AH47" s="5"/>
      <c r="AI47" s="17"/>
      <c r="AJ47" s="13"/>
      <c r="AK47" s="13"/>
      <c r="AL47" s="5"/>
      <c r="AM47" s="5"/>
      <c r="AN47" s="5"/>
      <c r="AO47" s="5"/>
      <c r="AP47" s="5"/>
      <c r="AQ47" s="17"/>
      <c r="AR47" s="13"/>
      <c r="AS47" s="17"/>
      <c r="AT47" s="13"/>
      <c r="AU47" s="5"/>
      <c r="AV47" s="5"/>
      <c r="AW47" s="5"/>
      <c r="AX47" s="5"/>
      <c r="AY47" s="4"/>
      <c r="AZ47" s="7"/>
      <c r="BA47" s="17"/>
      <c r="BB47" s="13"/>
      <c r="BC47" s="13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49" customFormat="1" ht="409.5" customHeight="1" x14ac:dyDescent="0.25">
      <c r="A48" s="38" t="s">
        <v>55</v>
      </c>
      <c r="B48" s="39" t="s">
        <v>77</v>
      </c>
      <c r="C48" s="40">
        <v>466.1</v>
      </c>
      <c r="D48" s="40"/>
      <c r="E48" s="41">
        <v>15</v>
      </c>
      <c r="F48" s="39" t="s">
        <v>99</v>
      </c>
      <c r="G48" s="39" t="s">
        <v>114</v>
      </c>
      <c r="H48" s="39" t="s">
        <v>132</v>
      </c>
      <c r="I48" s="39" t="s">
        <v>204</v>
      </c>
      <c r="J48" s="39" t="s">
        <v>168</v>
      </c>
      <c r="K48" s="41" t="s">
        <v>205</v>
      </c>
      <c r="L48" s="41"/>
      <c r="M48" s="41"/>
      <c r="N48" s="45">
        <f>N49+N50+N51+N52+N53</f>
        <v>845.00168000000008</v>
      </c>
      <c r="O48" s="45">
        <f t="shared" ref="O48:T48" si="24">O49+O50+O51+O52+O53</f>
        <v>0</v>
      </c>
      <c r="P48" s="45">
        <f t="shared" si="24"/>
        <v>46.961999999999996</v>
      </c>
      <c r="Q48" s="45">
        <f t="shared" si="24"/>
        <v>454.27799999999996</v>
      </c>
      <c r="R48" s="45">
        <f t="shared" si="24"/>
        <v>315.75792000000001</v>
      </c>
      <c r="S48" s="45">
        <f t="shared" si="24"/>
        <v>28.000000000000004</v>
      </c>
      <c r="T48" s="45">
        <f t="shared" si="24"/>
        <v>844.99792000000002</v>
      </c>
      <c r="U48" s="43"/>
      <c r="V48" s="43"/>
      <c r="W48" s="43"/>
      <c r="X48" s="43"/>
      <c r="Y48" s="43"/>
      <c r="Z48" s="43"/>
      <c r="AA48" s="43"/>
      <c r="AB48" s="43"/>
      <c r="AC48" s="43">
        <v>0.3</v>
      </c>
      <c r="AD48" s="43">
        <f>T49</f>
        <v>435.90000000000003</v>
      </c>
      <c r="AE48" s="43"/>
      <c r="AF48" s="43"/>
      <c r="AG48" s="43"/>
      <c r="AH48" s="43"/>
      <c r="AI48" s="72">
        <v>1</v>
      </c>
      <c r="AJ48" s="43">
        <f>T50</f>
        <v>60.476240000000004</v>
      </c>
      <c r="AK48" s="43"/>
      <c r="AL48" s="43"/>
      <c r="AM48" s="43"/>
      <c r="AN48" s="43"/>
      <c r="AO48" s="43"/>
      <c r="AP48" s="43"/>
      <c r="AQ48" s="72" t="s">
        <v>182</v>
      </c>
      <c r="AR48" s="43">
        <f>T51</f>
        <v>324.87168000000003</v>
      </c>
      <c r="AS48" s="72">
        <v>1</v>
      </c>
      <c r="AT48" s="43">
        <f>T52</f>
        <v>12.499999999999998</v>
      </c>
      <c r="AU48" s="43"/>
      <c r="AV48" s="43"/>
      <c r="AW48" s="43"/>
      <c r="AX48" s="43"/>
      <c r="AY48" s="41"/>
      <c r="AZ48" s="46"/>
      <c r="BA48" s="44">
        <v>0.01</v>
      </c>
      <c r="BB48" s="42">
        <f>T53</f>
        <v>11.250000000000002</v>
      </c>
      <c r="BC48" s="45"/>
      <c r="BD48" s="43"/>
      <c r="BE48" s="43"/>
      <c r="BF48" s="43"/>
      <c r="BG48" s="43"/>
      <c r="BH48" s="43"/>
      <c r="BI48" s="43"/>
      <c r="BJ48" s="43"/>
      <c r="BK48" s="43">
        <f>AD48+AJ48+AR48+AT48+BB48</f>
        <v>844.99792000000002</v>
      </c>
      <c r="BL48" s="47">
        <v>42479</v>
      </c>
      <c r="BM48" s="43"/>
      <c r="BN48" s="43"/>
      <c r="BO48" s="46"/>
      <c r="BP48" s="46"/>
      <c r="BQ48" s="47"/>
      <c r="BR48" s="48"/>
    </row>
    <row r="49" spans="1:70" s="6" customFormat="1" ht="222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6</v>
      </c>
      <c r="M49" s="4">
        <f>AC48</f>
        <v>0.3</v>
      </c>
      <c r="N49" s="13">
        <f>1453*M49</f>
        <v>435.9</v>
      </c>
      <c r="O49" s="13"/>
      <c r="P49" s="13">
        <f>0.08*N49</f>
        <v>34.872</v>
      </c>
      <c r="Q49" s="13">
        <f>0.87*N49</f>
        <v>379.233</v>
      </c>
      <c r="R49" s="13"/>
      <c r="S49" s="13">
        <f>0.05*N49</f>
        <v>21.795000000000002</v>
      </c>
      <c r="T49" s="13">
        <f>P49+Q49+R49+S49</f>
        <v>435.90000000000003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7"/>
      <c r="BB49" s="18"/>
      <c r="BC49" s="13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31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9</v>
      </c>
      <c r="M50" s="4">
        <v>1</v>
      </c>
      <c r="N50" s="13">
        <v>60.48</v>
      </c>
      <c r="O50" s="13"/>
      <c r="P50" s="13">
        <v>3.91</v>
      </c>
      <c r="Q50" s="13">
        <v>12.09</v>
      </c>
      <c r="R50" s="13">
        <f>40.92*1.072</f>
        <v>43.866240000000005</v>
      </c>
      <c r="S50" s="13">
        <v>0.61</v>
      </c>
      <c r="T50" s="13">
        <f t="shared" ref="T50" si="25">P50+Q50+R50+S50</f>
        <v>60.476240000000004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36"/>
      <c r="AJ50" s="5"/>
      <c r="AK50" s="5"/>
      <c r="AL50" s="5"/>
      <c r="AM50" s="5"/>
      <c r="AN50" s="5"/>
      <c r="AO50" s="5"/>
      <c r="AP50" s="5"/>
      <c r="AQ50" s="36"/>
      <c r="AR50" s="5"/>
      <c r="AS50" s="36"/>
      <c r="AT50" s="5"/>
      <c r="AU50" s="5"/>
      <c r="AV50" s="5"/>
      <c r="AW50" s="5"/>
      <c r="AX50" s="5"/>
      <c r="AY50" s="4"/>
      <c r="AZ50" s="7"/>
      <c r="BA50" s="17"/>
      <c r="BB50" s="18"/>
      <c r="BC50" s="13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71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12</v>
      </c>
      <c r="M51" s="5" t="s">
        <v>182</v>
      </c>
      <c r="N51" s="13">
        <f>T51</f>
        <v>324.87168000000003</v>
      </c>
      <c r="O51" s="13"/>
      <c r="P51" s="13">
        <v>6.53</v>
      </c>
      <c r="Q51" s="13">
        <v>51.75</v>
      </c>
      <c r="R51" s="13">
        <f>244.19*1.072</f>
        <v>261.77168</v>
      </c>
      <c r="S51" s="13">
        <v>4.82</v>
      </c>
      <c r="T51" s="13">
        <f t="shared" ref="T51" si="26">SUM(P51:S51)</f>
        <v>324.87168000000003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7"/>
      <c r="BB51" s="18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66.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26</v>
      </c>
      <c r="M52" s="5">
        <f>AS48</f>
        <v>1</v>
      </c>
      <c r="N52" s="13">
        <v>12.5</v>
      </c>
      <c r="O52" s="13"/>
      <c r="P52" s="13">
        <v>0.75</v>
      </c>
      <c r="Q52" s="13">
        <v>1.53</v>
      </c>
      <c r="R52" s="13">
        <v>10.119999999999999</v>
      </c>
      <c r="S52" s="13">
        <v>0.1</v>
      </c>
      <c r="T52" s="13">
        <f t="shared" ref="T52:T53" si="27">P52+Q52+R52+S52</f>
        <v>12.499999999999998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36"/>
      <c r="AJ52" s="5"/>
      <c r="AK52" s="5"/>
      <c r="AL52" s="5"/>
      <c r="AM52" s="5"/>
      <c r="AN52" s="5"/>
      <c r="AO52" s="5"/>
      <c r="AP52" s="5"/>
      <c r="AQ52" s="36"/>
      <c r="AR52" s="5"/>
      <c r="AS52" s="36"/>
      <c r="AT52" s="5"/>
      <c r="AU52" s="5"/>
      <c r="AV52" s="5"/>
      <c r="AW52" s="5"/>
      <c r="AX52" s="5"/>
      <c r="AY52" s="4"/>
      <c r="AZ52" s="7"/>
      <c r="BA52" s="17"/>
      <c r="BB52" s="18"/>
      <c r="BC52" s="13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74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BA48</f>
        <v>0.01</v>
      </c>
      <c r="N53" s="13">
        <f>1125*M53</f>
        <v>11.25</v>
      </c>
      <c r="O53" s="13"/>
      <c r="P53" s="13">
        <f>0.08*N53</f>
        <v>0.9</v>
      </c>
      <c r="Q53" s="13">
        <f>0.86*N53</f>
        <v>9.6750000000000007</v>
      </c>
      <c r="R53" s="13"/>
      <c r="S53" s="13">
        <f>0.06*N53</f>
        <v>0.67499999999999993</v>
      </c>
      <c r="T53" s="13">
        <f t="shared" si="27"/>
        <v>11.250000000000002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7"/>
      <c r="BB53" s="18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49" customFormat="1" ht="408.75" customHeight="1" x14ac:dyDescent="0.25">
      <c r="A54" s="38" t="s">
        <v>56</v>
      </c>
      <c r="B54" s="39" t="s">
        <v>78</v>
      </c>
      <c r="C54" s="40">
        <v>466.1</v>
      </c>
      <c r="D54" s="40"/>
      <c r="E54" s="41">
        <v>12</v>
      </c>
      <c r="F54" s="39" t="s">
        <v>100</v>
      </c>
      <c r="G54" s="39" t="s">
        <v>113</v>
      </c>
      <c r="H54" s="39" t="s">
        <v>133</v>
      </c>
      <c r="I54" s="39" t="s">
        <v>169</v>
      </c>
      <c r="J54" s="39" t="s">
        <v>170</v>
      </c>
      <c r="K54" s="41" t="s">
        <v>192</v>
      </c>
      <c r="L54" s="41"/>
      <c r="M54" s="41"/>
      <c r="N54" s="41">
        <f>N55</f>
        <v>123.75</v>
      </c>
      <c r="O54" s="41">
        <f t="shared" ref="O54:T54" si="28">O55</f>
        <v>0</v>
      </c>
      <c r="P54" s="41">
        <f t="shared" si="28"/>
        <v>9.9</v>
      </c>
      <c r="Q54" s="41">
        <f t="shared" si="28"/>
        <v>106.425</v>
      </c>
      <c r="R54" s="41"/>
      <c r="S54" s="41">
        <f t="shared" si="28"/>
        <v>7.4249999999999998</v>
      </c>
      <c r="T54" s="41">
        <f t="shared" si="28"/>
        <v>123.75</v>
      </c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72"/>
      <c r="AJ54" s="43"/>
      <c r="AK54" s="43"/>
      <c r="AL54" s="43"/>
      <c r="AM54" s="43"/>
      <c r="AN54" s="43"/>
      <c r="AO54" s="43"/>
      <c r="AP54" s="43"/>
      <c r="AQ54" s="72"/>
      <c r="AR54" s="43"/>
      <c r="AS54" s="72"/>
      <c r="AT54" s="43"/>
      <c r="AU54" s="43"/>
      <c r="AV54" s="43"/>
      <c r="AW54" s="43"/>
      <c r="AX54" s="43"/>
      <c r="AY54" s="41"/>
      <c r="AZ54" s="46"/>
      <c r="BA54" s="44">
        <v>0.11</v>
      </c>
      <c r="BB54" s="41">
        <f>T55</f>
        <v>123.75</v>
      </c>
      <c r="BC54" s="41"/>
      <c r="BD54" s="43"/>
      <c r="BE54" s="43"/>
      <c r="BF54" s="43"/>
      <c r="BG54" s="43"/>
      <c r="BH54" s="43"/>
      <c r="BI54" s="43"/>
      <c r="BJ54" s="43"/>
      <c r="BK54" s="43">
        <f>BB54</f>
        <v>123.75</v>
      </c>
      <c r="BL54" s="47">
        <v>42488</v>
      </c>
      <c r="BM54" s="43" t="s">
        <v>193</v>
      </c>
      <c r="BN54" s="43"/>
      <c r="BO54" s="46"/>
      <c r="BP54" s="46"/>
      <c r="BQ54" s="47"/>
      <c r="BR54" s="48"/>
    </row>
    <row r="55" spans="1:70" s="6" customFormat="1" ht="146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0.11</v>
      </c>
      <c r="N55" s="4">
        <f>1125*M55</f>
        <v>123.75</v>
      </c>
      <c r="O55" s="4"/>
      <c r="P55" s="4">
        <f>0.08*N55</f>
        <v>9.9</v>
      </c>
      <c r="Q55" s="4">
        <f>0.86*N55</f>
        <v>106.425</v>
      </c>
      <c r="R55" s="4"/>
      <c r="S55" s="4">
        <f>0.06*N55</f>
        <v>7.4249999999999998</v>
      </c>
      <c r="T55" s="4">
        <f>P55+Q55+R55+S55</f>
        <v>123.75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7"/>
      <c r="BB55" s="18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49" customFormat="1" ht="408.75" customHeight="1" x14ac:dyDescent="0.25">
      <c r="A56" s="38" t="s">
        <v>57</v>
      </c>
      <c r="B56" s="39" t="s">
        <v>79</v>
      </c>
      <c r="C56" s="40">
        <v>466.1</v>
      </c>
      <c r="D56" s="40"/>
      <c r="E56" s="41">
        <v>12</v>
      </c>
      <c r="F56" s="39" t="s">
        <v>101</v>
      </c>
      <c r="G56" s="39" t="s">
        <v>113</v>
      </c>
      <c r="H56" s="39" t="s">
        <v>134</v>
      </c>
      <c r="I56" s="39" t="s">
        <v>171</v>
      </c>
      <c r="J56" s="39" t="s">
        <v>172</v>
      </c>
      <c r="K56" s="41" t="s">
        <v>192</v>
      </c>
      <c r="L56" s="41"/>
      <c r="M56" s="41"/>
      <c r="N56" s="41">
        <f>N57</f>
        <v>281.25</v>
      </c>
      <c r="O56" s="41">
        <f t="shared" ref="O56:Q56" si="29">O57</f>
        <v>0</v>
      </c>
      <c r="P56" s="41">
        <f t="shared" si="29"/>
        <v>22.5</v>
      </c>
      <c r="Q56" s="41">
        <f t="shared" si="29"/>
        <v>241.875</v>
      </c>
      <c r="R56" s="41"/>
      <c r="S56" s="41">
        <f t="shared" ref="S56:T56" si="30">S57</f>
        <v>16.875</v>
      </c>
      <c r="T56" s="41">
        <f t="shared" si="30"/>
        <v>281.25</v>
      </c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72"/>
      <c r="AJ56" s="43"/>
      <c r="AK56" s="43"/>
      <c r="AL56" s="43"/>
      <c r="AM56" s="43"/>
      <c r="AN56" s="43"/>
      <c r="AO56" s="43"/>
      <c r="AP56" s="43"/>
      <c r="AQ56" s="72"/>
      <c r="AR56" s="43"/>
      <c r="AS56" s="72"/>
      <c r="AT56" s="43"/>
      <c r="AU56" s="43"/>
      <c r="AV56" s="43"/>
      <c r="AW56" s="43"/>
      <c r="AX56" s="43"/>
      <c r="AY56" s="41"/>
      <c r="AZ56" s="46"/>
      <c r="BA56" s="44">
        <v>0.25</v>
      </c>
      <c r="BB56" s="41">
        <f>T57</f>
        <v>281.25</v>
      </c>
      <c r="BC56" s="41"/>
      <c r="BD56" s="43"/>
      <c r="BE56" s="43"/>
      <c r="BF56" s="43"/>
      <c r="BG56" s="43"/>
      <c r="BH56" s="43"/>
      <c r="BI56" s="43"/>
      <c r="BJ56" s="43"/>
      <c r="BK56" s="43">
        <f>BB56</f>
        <v>281.25</v>
      </c>
      <c r="BL56" s="47">
        <v>42488</v>
      </c>
      <c r="BM56" s="43" t="s">
        <v>193</v>
      </c>
      <c r="BN56" s="43"/>
      <c r="BO56" s="46"/>
      <c r="BP56" s="46"/>
      <c r="BQ56" s="47"/>
      <c r="BR56" s="48"/>
    </row>
    <row r="57" spans="1:70" s="6" customFormat="1" ht="156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16</v>
      </c>
      <c r="M57" s="4">
        <f>BA56</f>
        <v>0.25</v>
      </c>
      <c r="N57" s="4">
        <f>1125*M57</f>
        <v>281.25</v>
      </c>
      <c r="O57" s="4"/>
      <c r="P57" s="4">
        <f>0.08*N57</f>
        <v>22.5</v>
      </c>
      <c r="Q57" s="4">
        <f>0.86*N57</f>
        <v>241.875</v>
      </c>
      <c r="R57" s="4"/>
      <c r="S57" s="4">
        <f>0.06*N57</f>
        <v>16.875</v>
      </c>
      <c r="T57" s="4">
        <f>P57+Q57+R57+S57</f>
        <v>281.25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17"/>
      <c r="BB57" s="18"/>
      <c r="BC57" s="13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49" customFormat="1" ht="132" customHeight="1" x14ac:dyDescent="0.25">
      <c r="A58" s="38" t="s">
        <v>58</v>
      </c>
      <c r="B58" s="39" t="s">
        <v>80</v>
      </c>
      <c r="C58" s="40">
        <v>466.1</v>
      </c>
      <c r="D58" s="40"/>
      <c r="E58" s="41">
        <v>15</v>
      </c>
      <c r="F58" s="39" t="s">
        <v>102</v>
      </c>
      <c r="G58" s="39" t="s">
        <v>113</v>
      </c>
      <c r="H58" s="39" t="s">
        <v>135</v>
      </c>
      <c r="I58" s="39" t="s">
        <v>173</v>
      </c>
      <c r="J58" s="39" t="s">
        <v>174</v>
      </c>
      <c r="K58" s="41" t="s">
        <v>194</v>
      </c>
      <c r="L58" s="41"/>
      <c r="M58" s="41"/>
      <c r="N58" s="45">
        <f>N59</f>
        <v>112.5</v>
      </c>
      <c r="O58" s="45">
        <f t="shared" ref="O58:Q58" si="31">O59</f>
        <v>0</v>
      </c>
      <c r="P58" s="45">
        <f t="shared" si="31"/>
        <v>9</v>
      </c>
      <c r="Q58" s="45">
        <f t="shared" si="31"/>
        <v>96.75</v>
      </c>
      <c r="R58" s="45"/>
      <c r="S58" s="45">
        <f t="shared" ref="S58:T58" si="32">S59</f>
        <v>6.75</v>
      </c>
      <c r="T58" s="45">
        <f t="shared" si="32"/>
        <v>112.5</v>
      </c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72"/>
      <c r="AJ58" s="43"/>
      <c r="AK58" s="43"/>
      <c r="AL58" s="43"/>
      <c r="AM58" s="43"/>
      <c r="AN58" s="43"/>
      <c r="AO58" s="43"/>
      <c r="AP58" s="43"/>
      <c r="AQ58" s="72"/>
      <c r="AR58" s="43"/>
      <c r="AS58" s="72"/>
      <c r="AT58" s="43"/>
      <c r="AU58" s="43"/>
      <c r="AV58" s="43"/>
      <c r="AW58" s="43"/>
      <c r="AX58" s="43"/>
      <c r="AY58" s="41"/>
      <c r="AZ58" s="46"/>
      <c r="BA58" s="44">
        <v>0.1</v>
      </c>
      <c r="BB58" s="45">
        <f>T59</f>
        <v>112.5</v>
      </c>
      <c r="BC58" s="45"/>
      <c r="BD58" s="43"/>
      <c r="BE58" s="43"/>
      <c r="BF58" s="43"/>
      <c r="BG58" s="43"/>
      <c r="BH58" s="43"/>
      <c r="BI58" s="43"/>
      <c r="BJ58" s="43"/>
      <c r="BK58" s="43">
        <f>BB58</f>
        <v>112.5</v>
      </c>
      <c r="BL58" s="47">
        <v>42487</v>
      </c>
      <c r="BM58" s="43"/>
      <c r="BN58" s="43"/>
      <c r="BO58" s="46"/>
      <c r="BP58" s="46"/>
      <c r="BQ58" s="47"/>
      <c r="BR58" s="48"/>
    </row>
    <row r="59" spans="1:70" s="6" customFormat="1" ht="132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 t="s">
        <v>16</v>
      </c>
      <c r="M59" s="4">
        <f>BA58</f>
        <v>0.1</v>
      </c>
      <c r="N59" s="13">
        <f>1125*M59</f>
        <v>112.5</v>
      </c>
      <c r="O59" s="13"/>
      <c r="P59" s="13">
        <f>0.08*N59</f>
        <v>9</v>
      </c>
      <c r="Q59" s="13">
        <f>0.86*N59</f>
        <v>96.75</v>
      </c>
      <c r="R59" s="13"/>
      <c r="S59" s="13">
        <f>0.06*N59</f>
        <v>6.75</v>
      </c>
      <c r="T59" s="13">
        <f>P59+Q59+R59+S59</f>
        <v>112.5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36"/>
      <c r="AJ59" s="5"/>
      <c r="AK59" s="5"/>
      <c r="AL59" s="5"/>
      <c r="AM59" s="5"/>
      <c r="AN59" s="5"/>
      <c r="AO59" s="5"/>
      <c r="AP59" s="5"/>
      <c r="AQ59" s="36"/>
      <c r="AR59" s="5"/>
      <c r="AS59" s="36"/>
      <c r="AT59" s="5"/>
      <c r="AU59" s="5"/>
      <c r="AV59" s="5"/>
      <c r="AW59" s="5"/>
      <c r="AX59" s="5"/>
      <c r="AY59" s="4"/>
      <c r="AZ59" s="7"/>
      <c r="BA59" s="17"/>
      <c r="BB59" s="18"/>
      <c r="BC59" s="13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49" customFormat="1" ht="246.75" customHeight="1" x14ac:dyDescent="0.25">
      <c r="A60" s="38" t="s">
        <v>59</v>
      </c>
      <c r="B60" s="39" t="s">
        <v>81</v>
      </c>
      <c r="C60" s="40">
        <v>466.1</v>
      </c>
      <c r="D60" s="40"/>
      <c r="E60" s="41">
        <v>15</v>
      </c>
      <c r="F60" s="39" t="s">
        <v>103</v>
      </c>
      <c r="G60" s="39" t="s">
        <v>117</v>
      </c>
      <c r="H60" s="39" t="s">
        <v>136</v>
      </c>
      <c r="I60" s="39" t="s">
        <v>175</v>
      </c>
      <c r="J60" s="39" t="s">
        <v>176</v>
      </c>
      <c r="K60" s="41" t="s">
        <v>185</v>
      </c>
      <c r="L60" s="41"/>
      <c r="M60" s="41"/>
      <c r="N60" s="46">
        <f>N61+N62</f>
        <v>219.0496</v>
      </c>
      <c r="O60" s="41"/>
      <c r="P60" s="46">
        <f t="shared" ref="P60:T60" si="33">P61+P62</f>
        <v>10.39</v>
      </c>
      <c r="Q60" s="46">
        <f t="shared" si="33"/>
        <v>84.454999999999998</v>
      </c>
      <c r="R60" s="46">
        <f t="shared" si="33"/>
        <v>118.50959999999999</v>
      </c>
      <c r="S60" s="46">
        <f t="shared" si="33"/>
        <v>5.6950000000000003</v>
      </c>
      <c r="T60" s="46">
        <f t="shared" si="33"/>
        <v>219.0496</v>
      </c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72"/>
      <c r="AJ60" s="43"/>
      <c r="AK60" s="43"/>
      <c r="AL60" s="43"/>
      <c r="AM60" s="43"/>
      <c r="AN60" s="43"/>
      <c r="AO60" s="43"/>
      <c r="AP60" s="43"/>
      <c r="AQ60" s="72"/>
      <c r="AR60" s="43"/>
      <c r="AS60" s="72"/>
      <c r="AT60" s="43"/>
      <c r="AU60" s="43"/>
      <c r="AV60" s="43"/>
      <c r="AW60" s="43"/>
      <c r="AX60" s="43"/>
      <c r="AY60" s="41" t="s">
        <v>186</v>
      </c>
      <c r="AZ60" s="46">
        <f>T61</f>
        <v>162.7996</v>
      </c>
      <c r="BA60" s="44">
        <v>0.05</v>
      </c>
      <c r="BB60" s="46">
        <f>T62</f>
        <v>56.25</v>
      </c>
      <c r="BC60" s="46"/>
      <c r="BD60" s="43"/>
      <c r="BE60" s="43"/>
      <c r="BF60" s="43"/>
      <c r="BG60" s="43"/>
      <c r="BH60" s="43"/>
      <c r="BI60" s="43"/>
      <c r="BJ60" s="43"/>
      <c r="BK60" s="43">
        <f>AZ60+BB60</f>
        <v>219.0496</v>
      </c>
      <c r="BL60" s="47">
        <v>42458</v>
      </c>
      <c r="BM60" s="43"/>
      <c r="BN60" s="43"/>
      <c r="BO60" s="46"/>
      <c r="BP60" s="46"/>
      <c r="BQ60" s="47"/>
      <c r="BR60" s="48"/>
    </row>
    <row r="61" spans="1:70" s="6" customFormat="1" ht="327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 t="s">
        <v>15</v>
      </c>
      <c r="M61" s="4" t="s">
        <v>186</v>
      </c>
      <c r="N61" s="7">
        <f>T61</f>
        <v>162.7996</v>
      </c>
      <c r="O61" s="7"/>
      <c r="P61" s="7">
        <f>5.89</f>
        <v>5.89</v>
      </c>
      <c r="Q61" s="7">
        <f>36.08</f>
        <v>36.08</v>
      </c>
      <c r="R61" s="7">
        <f>(84.58*1.072)+(25.97*1.072)</f>
        <v>118.50959999999999</v>
      </c>
      <c r="S61" s="7">
        <f>1.52+0.8</f>
        <v>2.3200000000000003</v>
      </c>
      <c r="T61" s="7">
        <f>SUM(P61:S61)</f>
        <v>162.7996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36"/>
      <c r="AJ61" s="5"/>
      <c r="AK61" s="5"/>
      <c r="AL61" s="5"/>
      <c r="AM61" s="5"/>
      <c r="AN61" s="5"/>
      <c r="AO61" s="5"/>
      <c r="AP61" s="5"/>
      <c r="AQ61" s="36"/>
      <c r="AR61" s="5"/>
      <c r="AS61" s="36"/>
      <c r="AT61" s="5"/>
      <c r="AU61" s="5"/>
      <c r="AV61" s="5"/>
      <c r="AW61" s="5"/>
      <c r="AX61" s="5"/>
      <c r="AY61" s="4"/>
      <c r="AZ61" s="7"/>
      <c r="BA61" s="21"/>
      <c r="BB61" s="22"/>
      <c r="BC61" s="13"/>
      <c r="BD61" s="5"/>
      <c r="BE61" s="5"/>
      <c r="BF61" s="5"/>
      <c r="BG61" s="5"/>
      <c r="BH61" s="5"/>
      <c r="BI61" s="5"/>
      <c r="BJ61" s="5"/>
      <c r="BK61" s="37"/>
      <c r="BL61" s="8"/>
      <c r="BM61" s="5"/>
      <c r="BN61" s="5"/>
      <c r="BO61" s="7"/>
      <c r="BP61" s="7"/>
      <c r="BQ61" s="8"/>
      <c r="BR61" s="9"/>
    </row>
    <row r="62" spans="1:70" s="6" customFormat="1" ht="184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16</v>
      </c>
      <c r="M62" s="17">
        <v>0.05</v>
      </c>
      <c r="N62" s="12">
        <f>1125*M62</f>
        <v>56.25</v>
      </c>
      <c r="O62" s="2"/>
      <c r="P62" s="12">
        <f>0.08*N62</f>
        <v>4.5</v>
      </c>
      <c r="Q62" s="12">
        <f>0.86*N62</f>
        <v>48.375</v>
      </c>
      <c r="R62" s="12"/>
      <c r="S62" s="12">
        <f>0.06*N62</f>
        <v>3.375</v>
      </c>
      <c r="T62" s="12">
        <f t="shared" ref="T62" si="34">P62+Q62+R62+S62</f>
        <v>56.25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36"/>
      <c r="AJ62" s="5"/>
      <c r="AK62" s="5"/>
      <c r="AL62" s="5"/>
      <c r="AM62" s="5"/>
      <c r="AN62" s="5"/>
      <c r="AO62" s="5"/>
      <c r="AP62" s="5"/>
      <c r="AQ62" s="36"/>
      <c r="AR62" s="5"/>
      <c r="AS62" s="36"/>
      <c r="AT62" s="5"/>
      <c r="AU62" s="5"/>
      <c r="AV62" s="5"/>
      <c r="AW62" s="5"/>
      <c r="AX62" s="5"/>
      <c r="AY62" s="4"/>
      <c r="AZ62" s="7"/>
      <c r="BA62" s="21"/>
      <c r="BB62" s="22"/>
      <c r="BC62" s="13"/>
      <c r="BD62" s="5"/>
      <c r="BE62" s="5"/>
      <c r="BF62" s="5"/>
      <c r="BG62" s="5"/>
      <c r="BH62" s="5"/>
      <c r="BI62" s="5"/>
      <c r="BJ62" s="5"/>
      <c r="BK62" s="37"/>
      <c r="BL62" s="8"/>
      <c r="BM62" s="5"/>
      <c r="BN62" s="5"/>
      <c r="BO62" s="7"/>
      <c r="BP62" s="7"/>
      <c r="BQ62" s="8"/>
      <c r="BR62" s="9"/>
    </row>
    <row r="63" spans="1:70" s="49" customFormat="1" ht="345" x14ac:dyDescent="0.25">
      <c r="A63" s="38" t="s">
        <v>60</v>
      </c>
      <c r="B63" s="39" t="s">
        <v>82</v>
      </c>
      <c r="C63" s="40">
        <v>466.1</v>
      </c>
      <c r="D63" s="40"/>
      <c r="E63" s="41">
        <v>6</v>
      </c>
      <c r="F63" s="39" t="s">
        <v>104</v>
      </c>
      <c r="G63" s="39" t="s">
        <v>118</v>
      </c>
      <c r="H63" s="39" t="s">
        <v>137</v>
      </c>
      <c r="I63" s="39" t="s">
        <v>207</v>
      </c>
      <c r="J63" s="39" t="s">
        <v>208</v>
      </c>
      <c r="K63" s="41" t="s">
        <v>209</v>
      </c>
      <c r="L63" s="41"/>
      <c r="M63" s="41"/>
      <c r="N63" s="45">
        <f t="shared" ref="N63:S63" si="35">N68+N67+N66+N65+N64</f>
        <v>1501.93</v>
      </c>
      <c r="O63" s="45">
        <f t="shared" si="35"/>
        <v>0</v>
      </c>
      <c r="P63" s="45">
        <f t="shared" si="35"/>
        <v>89.070000000000007</v>
      </c>
      <c r="Q63" s="45">
        <f t="shared" si="35"/>
        <v>865.52250000000004</v>
      </c>
      <c r="R63" s="45">
        <f t="shared" si="35"/>
        <v>490.27952000000005</v>
      </c>
      <c r="S63" s="45">
        <f t="shared" si="35"/>
        <v>57.057499999999997</v>
      </c>
      <c r="T63" s="45">
        <f>T68+T67+T66+T65+T64</f>
        <v>1501.9295200000001</v>
      </c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>
        <v>0.25</v>
      </c>
      <c r="AF63" s="43">
        <f>T64</f>
        <v>363.25</v>
      </c>
      <c r="AG63" s="43"/>
      <c r="AH63" s="43"/>
      <c r="AI63" s="87">
        <v>1</v>
      </c>
      <c r="AJ63" s="43">
        <f>T65</f>
        <v>60.476240000000004</v>
      </c>
      <c r="AK63" s="43"/>
      <c r="AL63" s="43"/>
      <c r="AM63" s="43"/>
      <c r="AN63" s="43"/>
      <c r="AO63" s="43"/>
      <c r="AP63" s="43"/>
      <c r="AQ63" s="87" t="s">
        <v>212</v>
      </c>
      <c r="AR63" s="43">
        <f>T66</f>
        <v>514.45328000000006</v>
      </c>
      <c r="AS63" s="87">
        <v>1</v>
      </c>
      <c r="AT63" s="43">
        <f>T67</f>
        <v>12.499999999999998</v>
      </c>
      <c r="AU63" s="43"/>
      <c r="AV63" s="43"/>
      <c r="AW63" s="43"/>
      <c r="AX63" s="43"/>
      <c r="AY63" s="41"/>
      <c r="AZ63" s="46"/>
      <c r="BA63" s="86">
        <v>0.49</v>
      </c>
      <c r="BB63" s="41">
        <f>T68</f>
        <v>551.25</v>
      </c>
      <c r="BC63" s="41"/>
      <c r="BD63" s="43"/>
      <c r="BE63" s="43"/>
      <c r="BF63" s="43"/>
      <c r="BG63" s="43"/>
      <c r="BH63" s="43"/>
      <c r="BI63" s="43"/>
      <c r="BJ63" s="43"/>
      <c r="BK63" s="43">
        <f>BB63+AT63+AR63+AJ63+AF63</f>
        <v>1501.9295200000001</v>
      </c>
      <c r="BL63" s="47">
        <v>42487</v>
      </c>
      <c r="BM63" s="43"/>
      <c r="BN63" s="43"/>
      <c r="BO63" s="46"/>
      <c r="BP63" s="46"/>
      <c r="BQ63" s="47"/>
      <c r="BR63" s="48"/>
    </row>
    <row r="64" spans="1:70" s="84" customFormat="1" ht="147" customHeight="1" x14ac:dyDescent="0.25">
      <c r="A64" s="74"/>
      <c r="B64" s="75"/>
      <c r="C64" s="76"/>
      <c r="D64" s="76"/>
      <c r="E64" s="77"/>
      <c r="F64" s="75"/>
      <c r="G64" s="75"/>
      <c r="H64" s="75"/>
      <c r="I64" s="75"/>
      <c r="J64" s="75"/>
      <c r="K64" s="77"/>
      <c r="L64" s="77" t="s">
        <v>215</v>
      </c>
      <c r="M64" s="78">
        <f>AE63</f>
        <v>0.25</v>
      </c>
      <c r="N64" s="85">
        <f>1453*M64</f>
        <v>363.25</v>
      </c>
      <c r="O64" s="85"/>
      <c r="P64" s="85">
        <f>0.08*N64</f>
        <v>29.060000000000002</v>
      </c>
      <c r="Q64" s="85">
        <f>0.87*N64</f>
        <v>316.02749999999997</v>
      </c>
      <c r="R64" s="85"/>
      <c r="S64" s="85">
        <f>0.05*N64</f>
        <v>18.162500000000001</v>
      </c>
      <c r="T64" s="85">
        <f>P64+Q64+R64+S64</f>
        <v>363.25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9"/>
      <c r="AJ64" s="78"/>
      <c r="AK64" s="78"/>
      <c r="AL64" s="78"/>
      <c r="AM64" s="78"/>
      <c r="AN64" s="78"/>
      <c r="AO64" s="78"/>
      <c r="AP64" s="78"/>
      <c r="AQ64" s="79"/>
      <c r="AR64" s="78"/>
      <c r="AS64" s="79"/>
      <c r="AT64" s="78"/>
      <c r="AU64" s="78"/>
      <c r="AV64" s="78"/>
      <c r="AW64" s="78"/>
      <c r="AX64" s="78"/>
      <c r="AY64" s="77"/>
      <c r="AZ64" s="80"/>
      <c r="BA64" s="81"/>
      <c r="BB64" s="77"/>
      <c r="BC64" s="77"/>
      <c r="BD64" s="78"/>
      <c r="BE64" s="78"/>
      <c r="BF64" s="78"/>
      <c r="BG64" s="78"/>
      <c r="BH64" s="78"/>
      <c r="BI64" s="78"/>
      <c r="BJ64" s="78"/>
      <c r="BK64" s="78"/>
      <c r="BL64" s="82"/>
      <c r="BM64" s="78"/>
      <c r="BN64" s="78"/>
      <c r="BO64" s="80"/>
      <c r="BP64" s="80"/>
      <c r="BQ64" s="82"/>
      <c r="BR64" s="83"/>
    </row>
    <row r="65" spans="1:70" s="84" customFormat="1" ht="147" customHeight="1" x14ac:dyDescent="0.25">
      <c r="A65" s="74"/>
      <c r="B65" s="75"/>
      <c r="C65" s="76"/>
      <c r="D65" s="76"/>
      <c r="E65" s="77"/>
      <c r="F65" s="75"/>
      <c r="G65" s="75"/>
      <c r="H65" s="75"/>
      <c r="I65" s="75"/>
      <c r="J65" s="75"/>
      <c r="K65" s="77"/>
      <c r="L65" s="77" t="s">
        <v>9</v>
      </c>
      <c r="M65" s="78">
        <v>1</v>
      </c>
      <c r="N65" s="85">
        <v>60.48</v>
      </c>
      <c r="O65" s="85"/>
      <c r="P65" s="85">
        <v>3.91</v>
      </c>
      <c r="Q65" s="85">
        <v>12.09</v>
      </c>
      <c r="R65" s="85">
        <v>43.866240000000005</v>
      </c>
      <c r="S65" s="85">
        <v>0.61</v>
      </c>
      <c r="T65" s="85">
        <v>60.476240000000004</v>
      </c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9"/>
      <c r="AJ65" s="78"/>
      <c r="AK65" s="78"/>
      <c r="AL65" s="78"/>
      <c r="AM65" s="78"/>
      <c r="AN65" s="78"/>
      <c r="AO65" s="78"/>
      <c r="AP65" s="78"/>
      <c r="AQ65" s="79"/>
      <c r="AR65" s="78"/>
      <c r="AS65" s="79"/>
      <c r="AT65" s="78"/>
      <c r="AU65" s="78"/>
      <c r="AV65" s="78"/>
      <c r="AW65" s="78"/>
      <c r="AX65" s="78"/>
      <c r="AY65" s="77"/>
      <c r="AZ65" s="80"/>
      <c r="BA65" s="81"/>
      <c r="BB65" s="77"/>
      <c r="BC65" s="77"/>
      <c r="BD65" s="78"/>
      <c r="BE65" s="78"/>
      <c r="BF65" s="78"/>
      <c r="BG65" s="78"/>
      <c r="BH65" s="78"/>
      <c r="BI65" s="78"/>
      <c r="BJ65" s="78"/>
      <c r="BK65" s="78"/>
      <c r="BL65" s="82"/>
      <c r="BM65" s="78"/>
      <c r="BN65" s="78"/>
      <c r="BO65" s="80"/>
      <c r="BP65" s="80"/>
      <c r="BQ65" s="82"/>
      <c r="BR65" s="83"/>
    </row>
    <row r="66" spans="1:70" s="84" customFormat="1" ht="147" customHeight="1" x14ac:dyDescent="0.25">
      <c r="A66" s="74"/>
      <c r="B66" s="75"/>
      <c r="C66" s="76"/>
      <c r="D66" s="76"/>
      <c r="E66" s="77"/>
      <c r="F66" s="75"/>
      <c r="G66" s="75"/>
      <c r="H66" s="75"/>
      <c r="I66" s="75"/>
      <c r="J66" s="75"/>
      <c r="K66" s="77"/>
      <c r="L66" s="77" t="s">
        <v>12</v>
      </c>
      <c r="M66" s="78" t="str">
        <f>AQ63</f>
        <v>КТП 160 кВА</v>
      </c>
      <c r="N66" s="85">
        <v>514.45000000000005</v>
      </c>
      <c r="O66" s="85"/>
      <c r="P66" s="85">
        <v>11.25</v>
      </c>
      <c r="Q66" s="85">
        <v>61.8</v>
      </c>
      <c r="R66" s="85">
        <f>406.99*1.072</f>
        <v>436.29328000000004</v>
      </c>
      <c r="S66" s="85">
        <v>5.1100000000000003</v>
      </c>
      <c r="T66" s="85">
        <f>P66+Q66+R66+S66</f>
        <v>514.45328000000006</v>
      </c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9"/>
      <c r="AJ66" s="78"/>
      <c r="AK66" s="78"/>
      <c r="AL66" s="78"/>
      <c r="AM66" s="78"/>
      <c r="AN66" s="78"/>
      <c r="AO66" s="78"/>
      <c r="AP66" s="78"/>
      <c r="AQ66" s="79"/>
      <c r="AR66" s="78"/>
      <c r="AS66" s="79"/>
      <c r="AT66" s="78"/>
      <c r="AU66" s="78"/>
      <c r="AV66" s="78"/>
      <c r="AW66" s="78"/>
      <c r="AX66" s="78"/>
      <c r="AY66" s="77"/>
      <c r="AZ66" s="80"/>
      <c r="BA66" s="81"/>
      <c r="BB66" s="77"/>
      <c r="BC66" s="77"/>
      <c r="BD66" s="78"/>
      <c r="BE66" s="78"/>
      <c r="BF66" s="78"/>
      <c r="BG66" s="78"/>
      <c r="BH66" s="78"/>
      <c r="BI66" s="78"/>
      <c r="BJ66" s="78"/>
      <c r="BK66" s="78"/>
      <c r="BL66" s="82"/>
      <c r="BM66" s="78"/>
      <c r="BN66" s="78"/>
      <c r="BO66" s="80"/>
      <c r="BP66" s="80"/>
      <c r="BQ66" s="82"/>
      <c r="BR66" s="83"/>
    </row>
    <row r="67" spans="1:70" s="84" customFormat="1" ht="137.25" customHeight="1" x14ac:dyDescent="0.25">
      <c r="A67" s="74"/>
      <c r="B67" s="75"/>
      <c r="C67" s="76"/>
      <c r="D67" s="76"/>
      <c r="E67" s="77"/>
      <c r="F67" s="75"/>
      <c r="G67" s="75"/>
      <c r="H67" s="75"/>
      <c r="I67" s="75"/>
      <c r="J67" s="75"/>
      <c r="K67" s="77"/>
      <c r="L67" s="77" t="s">
        <v>26</v>
      </c>
      <c r="M67" s="78">
        <f>AS63</f>
        <v>1</v>
      </c>
      <c r="N67" s="85">
        <v>12.5</v>
      </c>
      <c r="O67" s="85"/>
      <c r="P67" s="85">
        <v>0.75</v>
      </c>
      <c r="Q67" s="85">
        <v>1.53</v>
      </c>
      <c r="R67" s="85">
        <v>10.119999999999999</v>
      </c>
      <c r="S67" s="85">
        <v>0.1</v>
      </c>
      <c r="T67" s="85">
        <f t="shared" ref="T67:T68" si="36">P67+Q67+R67+S67</f>
        <v>12.499999999999998</v>
      </c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9"/>
      <c r="AJ67" s="78"/>
      <c r="AK67" s="78"/>
      <c r="AL67" s="78"/>
      <c r="AM67" s="78"/>
      <c r="AN67" s="78"/>
      <c r="AO67" s="78"/>
      <c r="AP67" s="78"/>
      <c r="AQ67" s="79"/>
      <c r="AR67" s="78"/>
      <c r="AS67" s="79"/>
      <c r="AT67" s="78"/>
      <c r="AU67" s="78"/>
      <c r="AV67" s="78"/>
      <c r="AW67" s="78"/>
      <c r="AX67" s="78"/>
      <c r="AY67" s="77"/>
      <c r="AZ67" s="80"/>
      <c r="BA67" s="81"/>
      <c r="BB67" s="77"/>
      <c r="BC67" s="77"/>
      <c r="BD67" s="78"/>
      <c r="BE67" s="78"/>
      <c r="BF67" s="78"/>
      <c r="BG67" s="78"/>
      <c r="BH67" s="78"/>
      <c r="BI67" s="78"/>
      <c r="BJ67" s="78"/>
      <c r="BK67" s="78"/>
      <c r="BL67" s="82"/>
      <c r="BM67" s="78"/>
      <c r="BN67" s="78"/>
      <c r="BO67" s="80"/>
      <c r="BP67" s="80"/>
      <c r="BQ67" s="82"/>
      <c r="BR67" s="83"/>
    </row>
    <row r="68" spans="1:70" s="6" customFormat="1" ht="137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 t="s">
        <v>16</v>
      </c>
      <c r="M68" s="4">
        <f>BA63</f>
        <v>0.49</v>
      </c>
      <c r="N68" s="13">
        <f>1125*M68</f>
        <v>551.25</v>
      </c>
      <c r="O68" s="13"/>
      <c r="P68" s="13">
        <f>0.08*N68</f>
        <v>44.1</v>
      </c>
      <c r="Q68" s="13">
        <f>0.86*N68</f>
        <v>474.07499999999999</v>
      </c>
      <c r="R68" s="13"/>
      <c r="S68" s="13">
        <f>0.06*N68</f>
        <v>33.074999999999996</v>
      </c>
      <c r="T68" s="85">
        <f t="shared" si="36"/>
        <v>551.25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6"/>
      <c r="AJ68" s="5"/>
      <c r="AK68" s="5"/>
      <c r="AL68" s="5"/>
      <c r="AM68" s="5"/>
      <c r="AN68" s="5"/>
      <c r="AO68" s="5"/>
      <c r="AP68" s="5"/>
      <c r="AQ68" s="36"/>
      <c r="AR68" s="5"/>
      <c r="AS68" s="36"/>
      <c r="AT68" s="5"/>
      <c r="AU68" s="5"/>
      <c r="AV68" s="5"/>
      <c r="AW68" s="5"/>
      <c r="AX68" s="5"/>
      <c r="AY68" s="4"/>
      <c r="AZ68" s="7"/>
      <c r="BA68" s="21"/>
      <c r="BB68" s="22"/>
      <c r="BC68" s="4"/>
      <c r="BD68" s="5"/>
      <c r="BE68" s="5"/>
      <c r="BF68" s="5"/>
      <c r="BG68" s="5"/>
      <c r="BH68" s="5"/>
      <c r="BI68" s="5"/>
      <c r="BJ68" s="5"/>
      <c r="BK68" s="37"/>
      <c r="BL68" s="8"/>
      <c r="BM68" s="5"/>
      <c r="BN68" s="5"/>
      <c r="BO68" s="7"/>
      <c r="BP68" s="7"/>
      <c r="BQ68" s="8"/>
      <c r="BR68" s="9"/>
    </row>
    <row r="69" spans="1:70" s="49" customFormat="1" ht="379.5" x14ac:dyDescent="0.25">
      <c r="A69" s="38" t="s">
        <v>61</v>
      </c>
      <c r="B69" s="39" t="s">
        <v>83</v>
      </c>
      <c r="C69" s="40">
        <v>466.1</v>
      </c>
      <c r="D69" s="40"/>
      <c r="E69" s="41">
        <v>6</v>
      </c>
      <c r="F69" s="39" t="s">
        <v>105</v>
      </c>
      <c r="G69" s="39" t="s">
        <v>118</v>
      </c>
      <c r="H69" s="39" t="s">
        <v>138</v>
      </c>
      <c r="I69" s="39" t="s">
        <v>210</v>
      </c>
      <c r="J69" s="39" t="s">
        <v>211</v>
      </c>
      <c r="K69" s="41" t="s">
        <v>209</v>
      </c>
      <c r="L69" s="41"/>
      <c r="M69" s="41"/>
      <c r="N69" s="42"/>
      <c r="O69" s="42"/>
      <c r="P69" s="42"/>
      <c r="Q69" s="42"/>
      <c r="R69" s="42"/>
      <c r="S69" s="42"/>
      <c r="T69" s="42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87"/>
      <c r="AJ69" s="43"/>
      <c r="AK69" s="43"/>
      <c r="AL69" s="43"/>
      <c r="AM69" s="43"/>
      <c r="AN69" s="43"/>
      <c r="AO69" s="43"/>
      <c r="AP69" s="43"/>
      <c r="AQ69" s="87"/>
      <c r="AR69" s="43"/>
      <c r="AS69" s="87"/>
      <c r="AT69" s="43"/>
      <c r="AU69" s="43"/>
      <c r="AV69" s="43"/>
      <c r="AW69" s="43"/>
      <c r="AX69" s="43"/>
      <c r="AY69" s="41"/>
      <c r="AZ69" s="46"/>
      <c r="BA69" s="88"/>
      <c r="BB69" s="89"/>
      <c r="BC69" s="41"/>
      <c r="BD69" s="43"/>
      <c r="BE69" s="43"/>
      <c r="BF69" s="43"/>
      <c r="BG69" s="43"/>
      <c r="BH69" s="43"/>
      <c r="BI69" s="43"/>
      <c r="BJ69" s="43"/>
      <c r="BK69" s="90"/>
      <c r="BL69" s="47">
        <v>42487</v>
      </c>
      <c r="BM69" s="43" t="s">
        <v>213</v>
      </c>
      <c r="BN69" s="43"/>
      <c r="BO69" s="46"/>
      <c r="BP69" s="46"/>
      <c r="BQ69" s="47"/>
      <c r="BR69" s="48"/>
    </row>
    <row r="70" spans="1:70" s="49" customFormat="1" ht="184.5" customHeight="1" x14ac:dyDescent="0.25">
      <c r="A70" s="38" t="s">
        <v>62</v>
      </c>
      <c r="B70" s="39" t="s">
        <v>84</v>
      </c>
      <c r="C70" s="40">
        <v>466.1</v>
      </c>
      <c r="D70" s="40"/>
      <c r="E70" s="41">
        <v>6</v>
      </c>
      <c r="F70" s="39" t="s">
        <v>106</v>
      </c>
      <c r="G70" s="39" t="s">
        <v>118</v>
      </c>
      <c r="H70" s="39" t="s">
        <v>139</v>
      </c>
      <c r="I70" s="39" t="s">
        <v>178</v>
      </c>
      <c r="J70" s="39" t="s">
        <v>177</v>
      </c>
      <c r="K70" s="41" t="s">
        <v>195</v>
      </c>
      <c r="L70" s="41"/>
      <c r="M70" s="41"/>
      <c r="N70" s="41">
        <f>N71</f>
        <v>360</v>
      </c>
      <c r="O70" s="41">
        <f t="shared" ref="O70:Q70" si="37">O71</f>
        <v>0</v>
      </c>
      <c r="P70" s="41">
        <f t="shared" si="37"/>
        <v>28.8</v>
      </c>
      <c r="Q70" s="41">
        <f t="shared" si="37"/>
        <v>309.60000000000002</v>
      </c>
      <c r="R70" s="41"/>
      <c r="S70" s="41">
        <f t="shared" ref="S70:T70" si="38">S71</f>
        <v>21.599999999999998</v>
      </c>
      <c r="T70" s="41">
        <f t="shared" si="38"/>
        <v>360.00000000000006</v>
      </c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72"/>
      <c r="AJ70" s="43"/>
      <c r="AK70" s="43"/>
      <c r="AL70" s="43"/>
      <c r="AM70" s="43"/>
      <c r="AN70" s="43"/>
      <c r="AO70" s="43"/>
      <c r="AP70" s="43"/>
      <c r="AQ70" s="72"/>
      <c r="AR70" s="43"/>
      <c r="AS70" s="72"/>
      <c r="AT70" s="43"/>
      <c r="AU70" s="43"/>
      <c r="AV70" s="43"/>
      <c r="AW70" s="43"/>
      <c r="AX70" s="43"/>
      <c r="AY70" s="41"/>
      <c r="AZ70" s="46"/>
      <c r="BA70" s="44">
        <v>0.32</v>
      </c>
      <c r="BB70" s="41">
        <f>T71</f>
        <v>360.00000000000006</v>
      </c>
      <c r="BC70" s="41"/>
      <c r="BD70" s="43"/>
      <c r="BE70" s="43"/>
      <c r="BF70" s="43"/>
      <c r="BG70" s="41"/>
      <c r="BH70" s="46"/>
      <c r="BI70" s="46"/>
      <c r="BJ70" s="43"/>
      <c r="BK70" s="43">
        <f>BB70</f>
        <v>360.00000000000006</v>
      </c>
      <c r="BL70" s="47">
        <v>42487</v>
      </c>
      <c r="BM70" s="43" t="s">
        <v>196</v>
      </c>
      <c r="BN70" s="43"/>
      <c r="BO70" s="46"/>
      <c r="BP70" s="46"/>
      <c r="BQ70" s="47"/>
      <c r="BR70" s="48"/>
    </row>
    <row r="71" spans="1:70" s="6" customFormat="1" ht="184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 t="s">
        <v>16</v>
      </c>
      <c r="M71" s="4">
        <f>BA70</f>
        <v>0.32</v>
      </c>
      <c r="N71" s="4">
        <f>1125*M71</f>
        <v>360</v>
      </c>
      <c r="O71" s="4"/>
      <c r="P71" s="4">
        <f>0.08*N71</f>
        <v>28.8</v>
      </c>
      <c r="Q71" s="4">
        <f>0.86*N71</f>
        <v>309.60000000000002</v>
      </c>
      <c r="R71" s="4"/>
      <c r="S71" s="4">
        <f>0.06*N71</f>
        <v>21.599999999999998</v>
      </c>
      <c r="T71" s="4">
        <f>P71+Q71+R71+S71</f>
        <v>360.00000000000006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23"/>
      <c r="BB71" s="22"/>
      <c r="BC71" s="4"/>
      <c r="BD71" s="5"/>
      <c r="BE71" s="5"/>
      <c r="BF71" s="5"/>
      <c r="BG71" s="4"/>
      <c r="BH71" s="7"/>
      <c r="BI71" s="7"/>
      <c r="BJ71" s="5"/>
      <c r="BK71" s="37"/>
      <c r="BL71" s="8"/>
      <c r="BM71" s="5"/>
      <c r="BN71" s="5"/>
      <c r="BO71" s="7"/>
      <c r="BP71" s="7"/>
      <c r="BQ71" s="8"/>
      <c r="BR71" s="9"/>
    </row>
    <row r="72" spans="1:70" s="58" customFormat="1" ht="184.5" customHeight="1" x14ac:dyDescent="0.25">
      <c r="A72" s="50"/>
      <c r="B72" s="51"/>
      <c r="C72" s="52"/>
      <c r="D72" s="52"/>
      <c r="E72" s="53"/>
      <c r="F72" s="51"/>
      <c r="G72" s="51"/>
      <c r="H72" s="51"/>
      <c r="I72" s="51"/>
      <c r="J72" s="91" t="s">
        <v>206</v>
      </c>
      <c r="K72" s="92"/>
      <c r="L72" s="92"/>
      <c r="M72" s="92"/>
      <c r="N72" s="93">
        <f>N3+N5+N7+N9+N13+N15+N17+N19+N21+N27+N33+N39+N42+N48+N54+N56+N58+N60+N63+N70</f>
        <v>9002.4581146239998</v>
      </c>
      <c r="O72" s="93">
        <f t="shared" ref="O72:BB72" si="39">O3+O5+O7+O9+O13+O15+O17+O19+O21+O27+O33+O39+O42+O48+O54+O56+O58+O60+O63+O70</f>
        <v>0</v>
      </c>
      <c r="P72" s="93">
        <f t="shared" si="39"/>
        <v>565.27369542399992</v>
      </c>
      <c r="Q72" s="93">
        <f t="shared" si="39"/>
        <v>5617.8175500000007</v>
      </c>
      <c r="R72" s="93">
        <f t="shared" si="39"/>
        <v>2453.2080992000001</v>
      </c>
      <c r="S72" s="93">
        <f t="shared" si="39"/>
        <v>366.14325000000002</v>
      </c>
      <c r="T72" s="93">
        <f t="shared" si="39"/>
        <v>9002.4425946240008</v>
      </c>
      <c r="U72" s="93"/>
      <c r="V72" s="93"/>
      <c r="W72" s="93"/>
      <c r="X72" s="93">
        <f t="shared" si="39"/>
        <v>20.245858624</v>
      </c>
      <c r="Y72" s="93"/>
      <c r="Z72" s="93"/>
      <c r="AA72" s="93"/>
      <c r="AB72" s="93"/>
      <c r="AC72" s="93"/>
      <c r="AD72" s="93">
        <f t="shared" si="39"/>
        <v>486.75500000000005</v>
      </c>
      <c r="AE72" s="93"/>
      <c r="AF72" s="93">
        <f t="shared" si="39"/>
        <v>1264.1099999999999</v>
      </c>
      <c r="AG72" s="93"/>
      <c r="AH72" s="93"/>
      <c r="AI72" s="93"/>
      <c r="AJ72" s="93">
        <f t="shared" si="39"/>
        <v>423.33368000000007</v>
      </c>
      <c r="AK72" s="93"/>
      <c r="AL72" s="93"/>
      <c r="AM72" s="93"/>
      <c r="AN72" s="93"/>
      <c r="AO72" s="93"/>
      <c r="AP72" s="93">
        <f t="shared" si="39"/>
        <v>354.75</v>
      </c>
      <c r="AQ72" s="93"/>
      <c r="AR72" s="93">
        <f t="shared" si="39"/>
        <v>2354.1234560000003</v>
      </c>
      <c r="AS72" s="93"/>
      <c r="AT72" s="93">
        <f t="shared" si="39"/>
        <v>74.999999999999986</v>
      </c>
      <c r="AU72" s="93"/>
      <c r="AV72" s="93"/>
      <c r="AW72" s="93"/>
      <c r="AX72" s="93"/>
      <c r="AY72" s="93"/>
      <c r="AZ72" s="93">
        <f t="shared" si="39"/>
        <v>170.99959999999999</v>
      </c>
      <c r="BA72" s="93"/>
      <c r="BB72" s="93">
        <f t="shared" si="39"/>
        <v>3673.125</v>
      </c>
      <c r="BC72" s="93"/>
      <c r="BD72" s="93"/>
      <c r="BE72" s="93"/>
      <c r="BF72" s="93"/>
      <c r="BG72" s="93"/>
      <c r="BH72" s="93"/>
      <c r="BI72" s="93"/>
      <c r="BJ72" s="93"/>
      <c r="BK72" s="93">
        <f>BK3+BK5+BK7+BK9+BK12+BK15+BK17+BK19+BK21+BK27+BK33+BK39+BK42+BK48+BK54+BK56+BK58+BK60+BK63+BK70</f>
        <v>9002.4425946240008</v>
      </c>
      <c r="BL72" s="56"/>
      <c r="BM72" s="54"/>
      <c r="BN72" s="54"/>
      <c r="BO72" s="55"/>
      <c r="BP72" s="55"/>
      <c r="BQ72" s="56"/>
      <c r="BR72" s="57"/>
    </row>
    <row r="73" spans="1:70" s="6" customFormat="1" ht="184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12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7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17"/>
      <c r="BB74" s="7"/>
      <c r="BC74" s="7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409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7"/>
      <c r="O75" s="4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17"/>
      <c r="BB75" s="7"/>
      <c r="BC75" s="7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86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36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22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4"/>
      <c r="Q77" s="4"/>
      <c r="R77" s="4"/>
      <c r="S77" s="4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17"/>
      <c r="BB77" s="7"/>
      <c r="BC77" s="7"/>
      <c r="BD77" s="5"/>
      <c r="BE77" s="5"/>
      <c r="BF77" s="5"/>
      <c r="BG77" s="5"/>
      <c r="BH77" s="5"/>
      <c r="BI77" s="4"/>
      <c r="BJ77" s="7"/>
      <c r="BK77" s="7"/>
      <c r="BL77" s="8"/>
      <c r="BM77" s="5"/>
      <c r="BN77" s="5"/>
      <c r="BO77" s="7"/>
      <c r="BP77" s="7"/>
      <c r="BQ77" s="8"/>
      <c r="BR77" s="9"/>
    </row>
    <row r="78" spans="1:70" s="6" customFormat="1" ht="222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36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22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36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57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7"/>
      <c r="O80" s="4"/>
      <c r="P80" s="7"/>
      <c r="Q80" s="7"/>
      <c r="R80" s="7"/>
      <c r="S80" s="7"/>
      <c r="T80" s="7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1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82.2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7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36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29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36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9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7"/>
      <c r="O83" s="4"/>
      <c r="P83" s="7"/>
      <c r="Q83" s="7"/>
      <c r="R83" s="7"/>
      <c r="S83" s="7"/>
      <c r="T83" s="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7"/>
      <c r="AG83" s="7"/>
      <c r="AH83" s="7"/>
      <c r="AI83" s="17"/>
      <c r="AJ83" s="7"/>
      <c r="AK83" s="7"/>
      <c r="AL83" s="5"/>
      <c r="AM83" s="5"/>
      <c r="AN83" s="5"/>
      <c r="AO83" s="5"/>
      <c r="AP83" s="5"/>
      <c r="AQ83" s="17"/>
      <c r="AR83" s="7"/>
      <c r="AS83" s="17"/>
      <c r="AT83" s="7"/>
      <c r="AU83" s="5"/>
      <c r="AV83" s="5"/>
      <c r="AW83" s="5"/>
      <c r="AX83" s="5"/>
      <c r="AY83" s="4"/>
      <c r="AZ83" s="7"/>
      <c r="BA83" s="1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4"/>
      <c r="AH84" s="7"/>
      <c r="AI84" s="7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7"/>
      <c r="BA84" s="1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4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17"/>
      <c r="N85" s="12"/>
      <c r="O85" s="2"/>
      <c r="P85" s="12"/>
      <c r="Q85" s="12"/>
      <c r="R85" s="12"/>
      <c r="S85" s="12"/>
      <c r="T85" s="12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4"/>
      <c r="AH85" s="7"/>
      <c r="AI85" s="7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4"/>
      <c r="AZ85" s="7"/>
      <c r="BA85" s="1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4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7"/>
      <c r="N86" s="7"/>
      <c r="O86" s="7"/>
      <c r="P86" s="7"/>
      <c r="Q86" s="7"/>
      <c r="R86" s="7"/>
      <c r="S86" s="7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4"/>
      <c r="AH86" s="7"/>
      <c r="AI86" s="7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4"/>
      <c r="AZ86" s="7"/>
      <c r="BA86" s="17"/>
      <c r="BB86" s="7"/>
      <c r="BC86" s="7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1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17"/>
      <c r="N87" s="12"/>
      <c r="O87" s="2"/>
      <c r="P87" s="12"/>
      <c r="Q87" s="12"/>
      <c r="R87" s="12"/>
      <c r="S87" s="12"/>
      <c r="T87" s="12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4"/>
      <c r="AH87" s="7"/>
      <c r="AI87" s="7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4"/>
      <c r="AZ87" s="7"/>
      <c r="BA87" s="1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1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4"/>
      <c r="AH88" s="7"/>
      <c r="AI88" s="7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4"/>
      <c r="AZ88" s="7"/>
      <c r="BA88" s="17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201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7"/>
      <c r="Q89" s="7"/>
      <c r="R89" s="7"/>
      <c r="S89" s="7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1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0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17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36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01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1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0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17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36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6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4"/>
      <c r="Q93" s="4"/>
      <c r="R93" s="4"/>
      <c r="S93" s="4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1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7"/>
      <c r="O94" s="4"/>
      <c r="P94" s="4"/>
      <c r="Q94" s="4"/>
      <c r="R94" s="4"/>
      <c r="S94" s="4"/>
      <c r="T94" s="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36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01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7"/>
      <c r="O95" s="4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4"/>
      <c r="AH95" s="7"/>
      <c r="AI95" s="7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4"/>
      <c r="AZ95" s="7"/>
      <c r="BA95" s="17"/>
      <c r="BB95" s="7"/>
      <c r="BC95" s="7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01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7"/>
      <c r="O96" s="4"/>
      <c r="P96" s="12"/>
      <c r="Q96" s="12"/>
      <c r="R96" s="12"/>
      <c r="S96" s="12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36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201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7"/>
      <c r="O97" s="4"/>
      <c r="P97" s="4"/>
      <c r="Q97" s="4"/>
      <c r="R97" s="4"/>
      <c r="S97" s="4"/>
      <c r="T97" s="7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36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201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17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36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59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17"/>
      <c r="BB99" s="13"/>
      <c r="BC99" s="13"/>
      <c r="BD99" s="5"/>
      <c r="BE99" s="5"/>
      <c r="BF99" s="5"/>
      <c r="BG99" s="4"/>
      <c r="BH99" s="18"/>
      <c r="BI99" s="13"/>
      <c r="BJ99" s="5"/>
      <c r="BK99" s="37"/>
      <c r="BL99" s="8"/>
      <c r="BM99" s="5"/>
      <c r="BN99" s="5"/>
      <c r="BO99" s="7"/>
      <c r="BP99" s="7"/>
      <c r="BQ99" s="8"/>
      <c r="BR99" s="9"/>
    </row>
    <row r="100" spans="1:70" s="6" customFormat="1" ht="24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4"/>
      <c r="O100" s="4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17"/>
      <c r="BB100" s="24"/>
      <c r="BC100" s="13"/>
      <c r="BD100" s="5"/>
      <c r="BE100" s="5"/>
      <c r="BF100" s="5"/>
      <c r="BG100" s="4"/>
      <c r="BH100" s="18"/>
      <c r="BI100" s="13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219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8"/>
      <c r="O101" s="18"/>
      <c r="P101" s="18"/>
      <c r="Q101" s="18"/>
      <c r="R101" s="18"/>
      <c r="S101" s="18"/>
      <c r="T101" s="18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23"/>
      <c r="BB101" s="25"/>
      <c r="BC101" s="26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219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17"/>
      <c r="BB102" s="13"/>
      <c r="BC102" s="13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219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3"/>
      <c r="BB103" s="25"/>
      <c r="BC103" s="26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409.6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17"/>
      <c r="BB104" s="13"/>
      <c r="BC104" s="4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409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13"/>
      <c r="AG105" s="13"/>
      <c r="AH105" s="5"/>
      <c r="AI105" s="17"/>
      <c r="AJ105" s="13"/>
      <c r="AK105" s="13"/>
      <c r="AL105" s="5"/>
      <c r="AM105" s="5"/>
      <c r="AN105" s="5"/>
      <c r="AO105" s="5"/>
      <c r="AP105" s="5"/>
      <c r="AQ105" s="17"/>
      <c r="AR105" s="13"/>
      <c r="AS105" s="17"/>
      <c r="AT105" s="13"/>
      <c r="AU105" s="5"/>
      <c r="AV105" s="5"/>
      <c r="AW105" s="5"/>
      <c r="AX105" s="5"/>
      <c r="AY105" s="5"/>
      <c r="AZ105" s="5"/>
      <c r="BA105" s="17"/>
      <c r="BB105" s="13"/>
      <c r="BC105" s="13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37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23"/>
      <c r="BB106" s="25"/>
      <c r="BC106" s="26"/>
      <c r="BD106" s="5"/>
      <c r="BE106" s="5"/>
      <c r="BF106" s="5"/>
      <c r="BG106" s="5"/>
      <c r="BH106" s="5"/>
      <c r="BI106" s="5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137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23"/>
      <c r="BB107" s="25"/>
      <c r="BC107" s="26"/>
      <c r="BD107" s="5"/>
      <c r="BE107" s="5"/>
      <c r="BF107" s="5"/>
      <c r="BG107" s="5"/>
      <c r="BH107" s="5"/>
      <c r="BI107" s="5"/>
      <c r="BJ107" s="5"/>
      <c r="BK107" s="37"/>
      <c r="BL107" s="8"/>
      <c r="BM107" s="5"/>
      <c r="BN107" s="5"/>
      <c r="BO107" s="7"/>
      <c r="BP107" s="7"/>
      <c r="BQ107" s="8"/>
      <c r="BR107" s="9"/>
    </row>
    <row r="108" spans="1:70" s="6" customFormat="1" ht="137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23"/>
      <c r="BB108" s="25"/>
      <c r="BC108" s="26"/>
      <c r="BD108" s="5"/>
      <c r="BE108" s="5"/>
      <c r="BF108" s="5"/>
      <c r="BG108" s="5"/>
      <c r="BH108" s="5"/>
      <c r="BI108" s="5"/>
      <c r="BJ108" s="5"/>
      <c r="BK108" s="37"/>
      <c r="BL108" s="8"/>
      <c r="BM108" s="5"/>
      <c r="BN108" s="5"/>
      <c r="BO108" s="7"/>
      <c r="BP108" s="7"/>
      <c r="BQ108" s="8"/>
      <c r="BR108" s="9"/>
    </row>
    <row r="109" spans="1:70" s="6" customFormat="1" ht="137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23"/>
      <c r="BB109" s="25"/>
      <c r="BC109" s="26"/>
      <c r="BD109" s="5"/>
      <c r="BE109" s="5"/>
      <c r="BF109" s="5"/>
      <c r="BG109" s="5"/>
      <c r="BH109" s="5"/>
      <c r="BI109" s="5"/>
      <c r="BJ109" s="5"/>
      <c r="BK109" s="37"/>
      <c r="BL109" s="8"/>
      <c r="BM109" s="5"/>
      <c r="BN109" s="5"/>
      <c r="BO109" s="7"/>
      <c r="BP109" s="7"/>
      <c r="BQ109" s="8"/>
      <c r="BR109" s="9"/>
    </row>
    <row r="110" spans="1:70" s="6" customFormat="1" ht="13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23"/>
      <c r="BB110" s="25"/>
      <c r="BC110" s="26"/>
      <c r="BD110" s="5"/>
      <c r="BE110" s="5"/>
      <c r="BF110" s="5"/>
      <c r="BG110" s="5"/>
      <c r="BH110" s="5"/>
      <c r="BI110" s="5"/>
      <c r="BJ110" s="5"/>
      <c r="BK110" s="37"/>
      <c r="BL110" s="8"/>
      <c r="BM110" s="5"/>
      <c r="BN110" s="5"/>
      <c r="BO110" s="7"/>
      <c r="BP110" s="7"/>
      <c r="BQ110" s="8"/>
      <c r="BR110" s="9"/>
    </row>
    <row r="111" spans="1:70" s="6" customFormat="1" ht="291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4"/>
      <c r="AZ111" s="5"/>
      <c r="BA111" s="17"/>
      <c r="BB111" s="13"/>
      <c r="BC111" s="4"/>
      <c r="BD111" s="7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29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13"/>
      <c r="O112" s="13"/>
      <c r="P112" s="13"/>
      <c r="Q112" s="13"/>
      <c r="R112" s="13"/>
      <c r="S112" s="13"/>
      <c r="T112" s="13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4"/>
      <c r="AZ112" s="5"/>
      <c r="BA112" s="17"/>
      <c r="BB112" s="20"/>
      <c r="BC112" s="4"/>
      <c r="BD112" s="7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2" s="6" customFormat="1" ht="197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7"/>
      <c r="BB113" s="4"/>
      <c r="BC113" s="4"/>
      <c r="BD113" s="5"/>
      <c r="BE113" s="5"/>
      <c r="BF113" s="5"/>
      <c r="BG113" s="5"/>
      <c r="BH113" s="5"/>
      <c r="BI113" s="5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2" s="6" customFormat="1" ht="197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7"/>
      <c r="O114" s="7"/>
      <c r="P114" s="7"/>
      <c r="Q114" s="7"/>
      <c r="R114" s="7"/>
      <c r="S114" s="7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21"/>
      <c r="BB114" s="26"/>
      <c r="BC114" s="26"/>
      <c r="BD114" s="5"/>
      <c r="BE114" s="5"/>
      <c r="BF114" s="5"/>
      <c r="BG114" s="5"/>
      <c r="BH114" s="5"/>
      <c r="BI114" s="5"/>
      <c r="BJ114" s="5"/>
      <c r="BK114" s="37"/>
      <c r="BL114" s="8"/>
      <c r="BM114" s="5"/>
      <c r="BN114" s="5"/>
      <c r="BO114" s="7"/>
      <c r="BP114" s="7"/>
      <c r="BQ114" s="8"/>
      <c r="BR114" s="9"/>
    </row>
    <row r="115" spans="1:72" s="6" customFormat="1" ht="279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27"/>
      <c r="O115" s="27"/>
      <c r="P115" s="27"/>
      <c r="Q115" s="27"/>
      <c r="R115" s="27"/>
      <c r="S115" s="27"/>
      <c r="T115" s="27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17"/>
      <c r="BB115" s="18"/>
      <c r="BC115" s="18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2" s="6" customFormat="1" ht="171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7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17"/>
      <c r="BB116" s="7"/>
      <c r="BC116" s="7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2" s="6" customFormat="1" ht="129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19"/>
      <c r="BB117" s="13"/>
      <c r="BC117" s="13"/>
      <c r="BD117" s="5"/>
      <c r="BE117" s="5"/>
      <c r="BF117" s="5"/>
      <c r="BG117" s="5"/>
      <c r="BH117" s="5"/>
      <c r="BI117" s="5"/>
      <c r="BJ117" s="5"/>
      <c r="BK117" s="37"/>
      <c r="BL117" s="8"/>
      <c r="BM117" s="5"/>
      <c r="BN117" s="5"/>
      <c r="BO117" s="7"/>
      <c r="BP117" s="7"/>
      <c r="BQ117" s="8"/>
      <c r="BR117" s="9"/>
    </row>
    <row r="118" spans="1:72" s="6" customFormat="1" ht="187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3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17"/>
      <c r="BB118" s="7"/>
      <c r="BC118" s="7"/>
      <c r="BD118" s="5"/>
      <c r="BE118" s="5"/>
      <c r="BF118" s="5"/>
      <c r="BG118" s="5"/>
      <c r="BH118" s="5"/>
      <c r="BI118" s="5"/>
      <c r="BJ118" s="7"/>
      <c r="BK118" s="7"/>
      <c r="BL118" s="8"/>
      <c r="BM118" s="5"/>
      <c r="BN118" s="5"/>
      <c r="BO118" s="5"/>
      <c r="BP118" s="5"/>
      <c r="BQ118" s="7"/>
      <c r="BR118" s="8"/>
      <c r="BS118" s="9"/>
      <c r="BT118" s="14"/>
    </row>
    <row r="119" spans="1:72" s="6" customFormat="1" ht="187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17"/>
      <c r="N119" s="12"/>
      <c r="O119" s="2"/>
      <c r="P119" s="12"/>
      <c r="Q119" s="12"/>
      <c r="R119" s="12"/>
      <c r="S119" s="12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7"/>
      <c r="BK119" s="7"/>
      <c r="BL119" s="8"/>
      <c r="BM119" s="9"/>
      <c r="BN119" s="5"/>
      <c r="BO119" s="5"/>
      <c r="BP119" s="5"/>
      <c r="BQ119" s="7"/>
      <c r="BR119" s="8"/>
      <c r="BS119" s="9"/>
      <c r="BT119" s="14"/>
    </row>
    <row r="120" spans="1:72" s="6" customFormat="1" ht="409.6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7"/>
      <c r="P120" s="7"/>
      <c r="Q120" s="7"/>
      <c r="R120" s="7"/>
      <c r="S120" s="7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7"/>
      <c r="AS120" s="5"/>
      <c r="AT120" s="7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7"/>
      <c r="BK120" s="7"/>
      <c r="BL120" s="8"/>
      <c r="BM120" s="9"/>
      <c r="BN120" s="5"/>
      <c r="BO120" s="5"/>
      <c r="BP120" s="5"/>
      <c r="BQ120" s="7"/>
      <c r="BR120" s="8"/>
      <c r="BS120" s="9"/>
      <c r="BT120" s="14"/>
    </row>
    <row r="121" spans="1:72" s="6" customFormat="1" ht="409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17"/>
      <c r="BB121" s="7"/>
      <c r="BC121" s="7"/>
      <c r="BD121" s="5"/>
      <c r="BE121" s="5"/>
      <c r="BF121" s="5"/>
      <c r="BG121" s="5"/>
      <c r="BH121" s="5"/>
      <c r="BI121" s="5"/>
      <c r="BJ121" s="7"/>
      <c r="BK121" s="7"/>
      <c r="BL121" s="8"/>
      <c r="BM121" s="9"/>
      <c r="BN121" s="5"/>
      <c r="BO121" s="5"/>
      <c r="BP121" s="5"/>
      <c r="BQ121" s="7"/>
      <c r="BR121" s="8"/>
      <c r="BS121" s="9"/>
      <c r="BT121" s="14"/>
    </row>
    <row r="122" spans="1:72" s="6" customFormat="1" ht="194.2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17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7"/>
      <c r="BK122" s="7"/>
      <c r="BL122" s="8"/>
      <c r="BM122" s="9"/>
      <c r="BN122" s="15"/>
      <c r="BO122" s="15"/>
      <c r="BP122" s="15"/>
      <c r="BQ122" s="16"/>
      <c r="BR122" s="10"/>
      <c r="BS122" s="15"/>
      <c r="BT122" s="14"/>
    </row>
    <row r="123" spans="1:72" s="6" customFormat="1" ht="219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7"/>
      <c r="BL123" s="8"/>
      <c r="BM123" s="9"/>
      <c r="BN123" s="15"/>
      <c r="BO123" s="15"/>
      <c r="BP123" s="15"/>
      <c r="BQ123" s="16"/>
      <c r="BR123" s="10"/>
      <c r="BS123" s="15"/>
      <c r="BT123" s="14"/>
    </row>
    <row r="124" spans="1:72" s="6" customFormat="1" ht="198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2"/>
      <c r="L124" s="4"/>
      <c r="M124" s="5"/>
      <c r="N124" s="20"/>
      <c r="O124" s="20"/>
      <c r="P124" s="20"/>
      <c r="Q124" s="20"/>
      <c r="R124" s="20"/>
      <c r="S124" s="20"/>
      <c r="T124" s="20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7"/>
      <c r="BK124" s="13"/>
      <c r="BL124" s="8"/>
      <c r="BM124" s="9"/>
      <c r="BN124" s="5"/>
      <c r="BO124" s="5"/>
      <c r="BP124" s="5"/>
      <c r="BQ124" s="7"/>
      <c r="BR124" s="8"/>
      <c r="BS124" s="9"/>
      <c r="BT124" s="14"/>
    </row>
    <row r="125" spans="1:72" s="6" customFormat="1" ht="198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2"/>
      <c r="L125" s="4"/>
      <c r="M125" s="5"/>
      <c r="N125" s="7"/>
      <c r="O125" s="7"/>
      <c r="P125" s="7"/>
      <c r="Q125" s="7"/>
      <c r="R125" s="7"/>
      <c r="S125" s="7"/>
      <c r="T125" s="7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7"/>
      <c r="BK125" s="13"/>
      <c r="BL125" s="8"/>
      <c r="BM125" s="9"/>
      <c r="BN125" s="5"/>
      <c r="BO125" s="5"/>
      <c r="BP125" s="5"/>
      <c r="BQ125" s="7"/>
      <c r="BR125" s="8"/>
      <c r="BS125" s="9"/>
      <c r="BT125" s="14"/>
    </row>
    <row r="126" spans="1:72" s="6" customFormat="1" ht="198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2"/>
      <c r="L126" s="4"/>
      <c r="M126" s="5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7"/>
      <c r="BK126" s="13"/>
      <c r="BL126" s="8"/>
      <c r="BM126" s="9"/>
      <c r="BN126" s="5"/>
      <c r="BO126" s="5"/>
      <c r="BP126" s="5"/>
      <c r="BQ126" s="7"/>
      <c r="BR126" s="8"/>
      <c r="BS126" s="9"/>
      <c r="BT126" s="14"/>
    </row>
    <row r="127" spans="1:72" s="6" customFormat="1" ht="146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2"/>
      <c r="L127" s="4"/>
      <c r="M127" s="5"/>
      <c r="N127" s="12"/>
      <c r="O127" s="2"/>
      <c r="P127" s="12"/>
      <c r="Q127" s="12"/>
      <c r="R127" s="12"/>
      <c r="S127" s="12"/>
      <c r="T127" s="12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7"/>
      <c r="BK127" s="13"/>
      <c r="BL127" s="8"/>
      <c r="BM127" s="9"/>
      <c r="BN127" s="5"/>
      <c r="BO127" s="5"/>
      <c r="BP127" s="5"/>
      <c r="BQ127" s="7"/>
      <c r="BR127" s="8"/>
      <c r="BS127" s="9"/>
      <c r="BT127" s="14"/>
    </row>
    <row r="128" spans="1:72" s="6" customFormat="1" ht="227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2"/>
      <c r="L128" s="4"/>
      <c r="M128" s="5"/>
      <c r="N128" s="12"/>
      <c r="O128" s="2"/>
      <c r="P128" s="12"/>
      <c r="Q128" s="12"/>
      <c r="R128" s="12"/>
      <c r="S128" s="12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7"/>
      <c r="BK128" s="13"/>
      <c r="BL128" s="8"/>
      <c r="BM128" s="9"/>
      <c r="BN128" s="5"/>
      <c r="BO128" s="5"/>
      <c r="BP128" s="5"/>
      <c r="BQ128" s="7"/>
      <c r="BR128" s="8"/>
      <c r="BS128" s="9"/>
      <c r="BT128" s="14"/>
    </row>
    <row r="129" spans="1:72" s="6" customFormat="1" ht="154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2"/>
      <c r="L129" s="4"/>
      <c r="M129" s="5"/>
      <c r="N129" s="12"/>
      <c r="O129" s="1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7"/>
      <c r="BK129" s="13"/>
      <c r="BL129" s="8"/>
      <c r="BM129" s="9"/>
      <c r="BN129" s="5"/>
      <c r="BO129" s="5"/>
      <c r="BP129" s="5"/>
      <c r="BQ129" s="7"/>
      <c r="BR129" s="8"/>
      <c r="BS129" s="9"/>
      <c r="BT129" s="14"/>
    </row>
    <row r="130" spans="1:72" s="6" customFormat="1" ht="154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2"/>
      <c r="L130" s="4"/>
      <c r="M130" s="5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7"/>
      <c r="BK130" s="13"/>
      <c r="BL130" s="8"/>
      <c r="BM130" s="9"/>
      <c r="BN130" s="15"/>
      <c r="BO130" s="15"/>
      <c r="BP130" s="15"/>
      <c r="BQ130" s="16"/>
      <c r="BR130" s="10"/>
      <c r="BS130" s="15"/>
      <c r="BT130" s="14"/>
    </row>
    <row r="131" spans="1:72" s="6" customFormat="1" ht="182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2"/>
      <c r="L131" s="4"/>
      <c r="M131" s="5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7"/>
      <c r="BJ131" s="5"/>
      <c r="BK131" s="7"/>
      <c r="BL131" s="8"/>
      <c r="BM131" s="9"/>
      <c r="BN131" s="15"/>
      <c r="BO131" s="15"/>
      <c r="BP131" s="15"/>
      <c r="BQ131" s="16"/>
      <c r="BR131" s="10"/>
      <c r="BS131" s="15"/>
      <c r="BT131" s="14"/>
    </row>
    <row r="132" spans="1:72" s="6" customFormat="1" ht="182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2"/>
      <c r="L132" s="4"/>
      <c r="M132" s="5"/>
      <c r="N132" s="7"/>
      <c r="O132" s="7"/>
      <c r="P132" s="7"/>
      <c r="Q132" s="7"/>
      <c r="R132" s="7"/>
      <c r="S132" s="7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7"/>
      <c r="BL132" s="8"/>
      <c r="BM132" s="9"/>
      <c r="BN132" s="15"/>
      <c r="BO132" s="15"/>
      <c r="BP132" s="15"/>
      <c r="BQ132" s="16"/>
      <c r="BR132" s="10"/>
      <c r="BS132" s="15"/>
      <c r="BT132" s="14"/>
    </row>
    <row r="133" spans="1:72" s="6" customFormat="1" ht="312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2"/>
      <c r="L133" s="4"/>
      <c r="M133" s="5"/>
      <c r="N133" s="12"/>
      <c r="O133" s="12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36"/>
      <c r="BB133" s="5"/>
      <c r="BC133" s="5"/>
      <c r="BD133" s="7"/>
      <c r="BE133" s="5"/>
      <c r="BF133" s="5"/>
      <c r="BG133" s="5"/>
      <c r="BH133" s="5"/>
      <c r="BI133" s="7"/>
      <c r="BJ133" s="5"/>
      <c r="BK133" s="13"/>
      <c r="BL133" s="8"/>
      <c r="BM133" s="9"/>
      <c r="BN133" s="10"/>
    </row>
    <row r="134" spans="1:72" s="6" customFormat="1" ht="174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2"/>
      <c r="L134" s="4"/>
      <c r="M134" s="5"/>
      <c r="N134" s="12"/>
      <c r="O134" s="2"/>
      <c r="P134" s="12"/>
      <c r="Q134" s="12"/>
      <c r="R134" s="12"/>
      <c r="S134" s="12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7"/>
      <c r="BE134" s="5"/>
      <c r="BF134" s="5"/>
      <c r="BG134" s="5"/>
      <c r="BH134" s="5"/>
      <c r="BI134" s="7"/>
      <c r="BJ134" s="5"/>
      <c r="BK134" s="13"/>
      <c r="BL134" s="8"/>
      <c r="BM134" s="9"/>
      <c r="BN134" s="10"/>
    </row>
    <row r="135" spans="1:72" s="6" customFormat="1" ht="16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2"/>
      <c r="L135" s="4"/>
      <c r="M135" s="5"/>
      <c r="N135" s="7"/>
      <c r="O135" s="7"/>
      <c r="P135" s="7"/>
      <c r="Q135" s="7"/>
      <c r="R135" s="7"/>
      <c r="S135" s="7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6"/>
      <c r="BB135" s="5"/>
      <c r="BC135" s="5"/>
      <c r="BD135" s="7"/>
      <c r="BE135" s="5"/>
      <c r="BF135" s="5"/>
      <c r="BG135" s="5"/>
      <c r="BH135" s="5"/>
      <c r="BI135" s="7"/>
      <c r="BJ135" s="5"/>
      <c r="BK135" s="13"/>
      <c r="BL135" s="8"/>
      <c r="BM135" s="9"/>
      <c r="BN135" s="10"/>
    </row>
    <row r="136" spans="1:72" s="6" customFormat="1" ht="167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2"/>
      <c r="L136" s="4"/>
      <c r="M136" s="5"/>
      <c r="N136" s="7"/>
      <c r="O136" s="7"/>
      <c r="P136" s="7"/>
      <c r="Q136" s="7"/>
      <c r="R136" s="7"/>
      <c r="S136" s="7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7"/>
      <c r="BE136" s="5"/>
      <c r="BF136" s="5"/>
      <c r="BG136" s="5"/>
      <c r="BH136" s="5"/>
      <c r="BI136" s="7"/>
      <c r="BJ136" s="5"/>
      <c r="BK136" s="13"/>
      <c r="BL136" s="8"/>
      <c r="BM136" s="9"/>
      <c r="BN136" s="10"/>
    </row>
    <row r="137" spans="1:72" s="6" customFormat="1" ht="167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2"/>
      <c r="L137" s="4"/>
      <c r="M137" s="5"/>
      <c r="N137" s="7"/>
      <c r="O137" s="7"/>
      <c r="P137" s="12"/>
      <c r="Q137" s="12"/>
      <c r="R137" s="12"/>
      <c r="S137" s="12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7"/>
      <c r="BE137" s="5"/>
      <c r="BF137" s="5"/>
      <c r="BG137" s="5"/>
      <c r="BH137" s="5"/>
      <c r="BI137" s="7"/>
      <c r="BJ137" s="5"/>
      <c r="BK137" s="13"/>
      <c r="BL137" s="8"/>
      <c r="BM137" s="9"/>
      <c r="BN137" s="10"/>
    </row>
    <row r="138" spans="1:72" s="6" customFormat="1" ht="372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2"/>
      <c r="L138" s="4"/>
      <c r="M138" s="5"/>
      <c r="N138" s="2"/>
      <c r="O138" s="2"/>
      <c r="P138" s="2"/>
      <c r="Q138" s="2"/>
      <c r="R138" s="2"/>
      <c r="S138" s="2"/>
      <c r="T138" s="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5"/>
      <c r="BP138" s="5"/>
    </row>
    <row r="139" spans="1:72" s="6" customFormat="1" ht="257.2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2"/>
      <c r="L139" s="4"/>
      <c r="M139" s="5"/>
      <c r="N139" s="2"/>
      <c r="O139" s="2"/>
      <c r="P139" s="11"/>
      <c r="Q139" s="11"/>
      <c r="R139" s="11"/>
      <c r="S139" s="11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5"/>
      <c r="BP139" s="5"/>
    </row>
    <row r="140" spans="1:72" s="6" customFormat="1" ht="254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2"/>
      <c r="L140" s="4"/>
      <c r="M140" s="5"/>
      <c r="N140" s="2"/>
      <c r="O140" s="2"/>
      <c r="P140" s="11"/>
      <c r="Q140" s="11"/>
      <c r="R140" s="11"/>
      <c r="S140" s="11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5"/>
      <c r="BP140" s="5"/>
    </row>
    <row r="141" spans="1:72" s="6" customFormat="1" ht="319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2"/>
      <c r="L141" s="4"/>
      <c r="M141" s="5"/>
      <c r="N141" s="7"/>
      <c r="O141" s="7"/>
      <c r="P141" s="7"/>
      <c r="Q141" s="7"/>
      <c r="R141" s="7"/>
      <c r="S141" s="7"/>
      <c r="T141" s="12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5"/>
      <c r="BP141" s="5"/>
    </row>
    <row r="142" spans="1:72" s="6" customFormat="1" ht="409.6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2"/>
      <c r="L142" s="2"/>
      <c r="M142" s="2"/>
      <c r="N142" s="12"/>
      <c r="O142" s="2"/>
      <c r="P142" s="12"/>
      <c r="Q142" s="12"/>
      <c r="R142" s="12"/>
      <c r="S142" s="12"/>
      <c r="T142" s="12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5"/>
      <c r="BP142" s="5"/>
    </row>
    <row r="143" spans="1:72" s="6" customFormat="1" ht="141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2"/>
      <c r="L143" s="4"/>
      <c r="M143" s="5"/>
      <c r="N143" s="7"/>
      <c r="O143" s="7"/>
      <c r="P143" s="7"/>
      <c r="Q143" s="7"/>
      <c r="R143" s="7"/>
      <c r="S143" s="7"/>
      <c r="T143" s="12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5"/>
      <c r="BP143" s="5"/>
    </row>
    <row r="144" spans="1:72" s="6" customFormat="1" ht="141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2"/>
      <c r="L144" s="4"/>
      <c r="M144" s="2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5"/>
      <c r="BP144" s="5"/>
    </row>
    <row r="145" spans="1:70" s="6" customFormat="1" ht="292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2"/>
      <c r="L145" s="4"/>
      <c r="M145" s="5"/>
      <c r="N145" s="11"/>
      <c r="O145" s="2"/>
      <c r="P145" s="11"/>
      <c r="Q145" s="11"/>
      <c r="R145" s="11"/>
      <c r="S145" s="11"/>
      <c r="T145" s="11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5"/>
      <c r="BP145" s="8"/>
      <c r="BQ145" s="9"/>
      <c r="BR145" s="10"/>
    </row>
    <row r="146" spans="1:70" s="6" customFormat="1" ht="177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2"/>
      <c r="L146" s="4"/>
      <c r="M146" s="5"/>
      <c r="N146" s="2"/>
      <c r="O146" s="2"/>
      <c r="P146" s="11"/>
      <c r="Q146" s="11"/>
      <c r="R146" s="11"/>
      <c r="S146" s="11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8"/>
      <c r="BQ146" s="9"/>
      <c r="BR146" s="10"/>
    </row>
  </sheetData>
  <autoFilter ref="A2:BM118"/>
  <mergeCells count="3">
    <mergeCell ref="BA12:BA13"/>
    <mergeCell ref="BB12:BB13"/>
    <mergeCell ref="BK12:BK13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42"/>
  <sheetViews>
    <sheetView view="pageBreakPreview" zoomScale="30" zoomScaleNormal="70" zoomScaleSheetLayoutView="30" workbookViewId="0">
      <pane ySplit="2" topLeftCell="A3" activePane="bottomLeft" state="frozen"/>
      <selection pane="bottomLeft" activeCell="I4" sqref="I4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35.42578125" style="28" customWidth="1"/>
    <col min="4" max="4" width="36.85546875" style="28" customWidth="1"/>
    <col min="5" max="5" width="16.42578125" style="28" customWidth="1"/>
    <col min="6" max="6" width="50.85546875" style="28" customWidth="1"/>
    <col min="7" max="7" width="23.5703125" style="28" customWidth="1"/>
    <col min="8" max="8" width="59.7109375" style="28" customWidth="1"/>
    <col min="9" max="10" width="255.57031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customWidth="1"/>
    <col min="22" max="22" width="9.140625" style="28" customWidth="1"/>
    <col min="23" max="23" width="33.85546875" style="28" customWidth="1"/>
    <col min="24" max="24" width="25" style="28" customWidth="1"/>
    <col min="25" max="27" width="17" style="28" customWidth="1"/>
    <col min="28" max="28" width="24.85546875" style="28" customWidth="1"/>
    <col min="29" max="29" width="25.710937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37.7109375" style="28" customWidth="1"/>
    <col min="34" max="34" width="21" style="28" customWidth="1"/>
    <col min="35" max="35" width="18.7109375" style="28" customWidth="1"/>
    <col min="36" max="36" width="23" style="28" customWidth="1"/>
    <col min="37" max="37" width="26" style="28" customWidth="1"/>
    <col min="38" max="38" width="19.7109375" style="28" customWidth="1"/>
    <col min="39" max="39" width="12.7109375" style="28" customWidth="1"/>
    <col min="40" max="40" width="9.140625" style="28" customWidth="1"/>
    <col min="41" max="41" width="17.140625" style="28" customWidth="1"/>
    <col min="42" max="42" width="22.85546875" style="28" customWidth="1"/>
    <col min="43" max="43" width="27.140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customWidth="1"/>
    <col min="51" max="51" width="47.28515625" style="28" customWidth="1"/>
    <col min="52" max="52" width="24.28515625" style="28" customWidth="1"/>
    <col min="53" max="53" width="47.5703125" style="28" customWidth="1"/>
    <col min="54" max="54" width="30" style="28" customWidth="1"/>
    <col min="55" max="55" width="23.140625" style="28" customWidth="1"/>
    <col min="56" max="56" width="18.140625" style="28" customWidth="1"/>
    <col min="57" max="57" width="27.85546875" style="28" customWidth="1"/>
    <col min="58" max="58" width="24.140625" style="28" customWidth="1"/>
    <col min="59" max="59" width="33.85546875" style="28" customWidth="1"/>
    <col min="60" max="60" width="18.5703125" style="28" customWidth="1"/>
    <col min="61" max="61" width="32.5703125" style="28" customWidth="1"/>
    <col min="62" max="62" width="33" style="28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35.25" x14ac:dyDescent="0.5"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3" t="s">
        <v>32</v>
      </c>
      <c r="M2" s="33" t="s">
        <v>33</v>
      </c>
      <c r="N2" s="33" t="s">
        <v>34</v>
      </c>
      <c r="O2" s="33"/>
      <c r="P2" s="33" t="s">
        <v>35</v>
      </c>
      <c r="Q2" s="33" t="s">
        <v>36</v>
      </c>
      <c r="R2" s="33" t="s">
        <v>37</v>
      </c>
      <c r="S2" s="33" t="s">
        <v>38</v>
      </c>
      <c r="T2" s="3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49" customFormat="1" ht="259.5" customHeight="1" x14ac:dyDescent="0.25">
      <c r="A3" s="38" t="s">
        <v>41</v>
      </c>
      <c r="B3" s="39" t="s">
        <v>63</v>
      </c>
      <c r="C3" s="40">
        <v>466.1</v>
      </c>
      <c r="D3" s="40"/>
      <c r="E3" s="41">
        <v>3</v>
      </c>
      <c r="F3" s="39" t="s">
        <v>85</v>
      </c>
      <c r="G3" s="39" t="s">
        <v>107</v>
      </c>
      <c r="H3" s="39" t="s">
        <v>119</v>
      </c>
      <c r="I3" s="39" t="s">
        <v>140</v>
      </c>
      <c r="J3" s="39" t="s">
        <v>141</v>
      </c>
      <c r="K3" s="41" t="s">
        <v>187</v>
      </c>
      <c r="L3" s="41"/>
      <c r="M3" s="41"/>
      <c r="N3" s="42">
        <f>N4</f>
        <v>337.5</v>
      </c>
      <c r="O3" s="42">
        <f t="shared" ref="O3:T3" si="0">O4</f>
        <v>0</v>
      </c>
      <c r="P3" s="42">
        <f t="shared" si="0"/>
        <v>27</v>
      </c>
      <c r="Q3" s="42">
        <f t="shared" si="0"/>
        <v>290.25</v>
      </c>
      <c r="R3" s="42"/>
      <c r="S3" s="42">
        <f t="shared" si="0"/>
        <v>20.25</v>
      </c>
      <c r="T3" s="42">
        <f t="shared" si="0"/>
        <v>337.5</v>
      </c>
      <c r="U3" s="43"/>
      <c r="V3" s="43"/>
      <c r="W3" s="43"/>
      <c r="X3" s="43"/>
      <c r="Y3" s="43"/>
      <c r="Z3" s="43"/>
      <c r="AA3" s="43"/>
      <c r="AB3" s="43"/>
      <c r="AC3" s="86"/>
      <c r="AD3" s="45"/>
      <c r="AE3" s="45"/>
      <c r="AF3" s="43"/>
      <c r="AG3" s="43"/>
      <c r="AH3" s="43"/>
      <c r="AI3" s="86"/>
      <c r="AJ3" s="46"/>
      <c r="AK3" s="41"/>
      <c r="AL3" s="46"/>
      <c r="AM3" s="46"/>
      <c r="AN3" s="46"/>
      <c r="AO3" s="43"/>
      <c r="AP3" s="43"/>
      <c r="AQ3" s="86"/>
      <c r="AR3" s="45"/>
      <c r="AS3" s="86"/>
      <c r="AT3" s="45"/>
      <c r="AU3" s="43"/>
      <c r="AV3" s="43"/>
      <c r="AW3" s="43"/>
      <c r="AX3" s="43"/>
      <c r="AY3" s="41"/>
      <c r="AZ3" s="46"/>
      <c r="BA3" s="86">
        <v>0.3</v>
      </c>
      <c r="BB3" s="42">
        <f>T4</f>
        <v>337.5</v>
      </c>
      <c r="BC3" s="45"/>
      <c r="BD3" s="46"/>
      <c r="BE3" s="43"/>
      <c r="BF3" s="43"/>
      <c r="BG3" s="43"/>
      <c r="BH3" s="43"/>
      <c r="BI3" s="43"/>
      <c r="BJ3" s="43"/>
      <c r="BK3" s="43">
        <f>BB3</f>
        <v>337.5</v>
      </c>
      <c r="BL3" s="47">
        <v>42480</v>
      </c>
      <c r="BM3" s="43"/>
      <c r="BN3" s="43"/>
      <c r="BO3" s="46"/>
      <c r="BP3" s="46"/>
      <c r="BQ3" s="47"/>
      <c r="BR3" s="48"/>
    </row>
    <row r="4" spans="1:70" s="6" customFormat="1" ht="259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0.3</v>
      </c>
      <c r="N4" s="18">
        <f>1125*M4</f>
        <v>337.5</v>
      </c>
      <c r="O4" s="18"/>
      <c r="P4" s="18">
        <f>0.08*N4</f>
        <v>27</v>
      </c>
      <c r="Q4" s="18">
        <f>0.86*N4</f>
        <v>290.25</v>
      </c>
      <c r="R4" s="18"/>
      <c r="S4" s="18">
        <f>0.06*N4</f>
        <v>20.25</v>
      </c>
      <c r="T4" s="18">
        <f>P4+Q4+R4+S4</f>
        <v>337.5</v>
      </c>
      <c r="U4" s="5"/>
      <c r="V4" s="5"/>
      <c r="W4" s="5"/>
      <c r="X4" s="5"/>
      <c r="Y4" s="5"/>
      <c r="Z4" s="5"/>
      <c r="AA4" s="5"/>
      <c r="AB4" s="5"/>
      <c r="AC4" s="17"/>
      <c r="AD4" s="13"/>
      <c r="AE4" s="13"/>
      <c r="AF4" s="5"/>
      <c r="AG4" s="5"/>
      <c r="AH4" s="5"/>
      <c r="AI4" s="17"/>
      <c r="AJ4" s="7"/>
      <c r="AK4" s="4"/>
      <c r="AL4" s="7"/>
      <c r="AM4" s="7"/>
      <c r="AN4" s="7"/>
      <c r="AO4" s="5"/>
      <c r="AP4" s="5"/>
      <c r="AQ4" s="17"/>
      <c r="AR4" s="13"/>
      <c r="AS4" s="17"/>
      <c r="AT4" s="13"/>
      <c r="AU4" s="5"/>
      <c r="AV4" s="5"/>
      <c r="AW4" s="5"/>
      <c r="AX4" s="5"/>
      <c r="AY4" s="4"/>
      <c r="AZ4" s="7"/>
      <c r="BA4" s="17"/>
      <c r="BB4" s="19"/>
      <c r="BC4" s="13"/>
      <c r="BD4" s="7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49" customFormat="1" ht="244.5" customHeight="1" x14ac:dyDescent="0.25">
      <c r="A5" s="38" t="s">
        <v>42</v>
      </c>
      <c r="B5" s="39" t="s">
        <v>64</v>
      </c>
      <c r="C5" s="40">
        <v>466.1</v>
      </c>
      <c r="D5" s="40"/>
      <c r="E5" s="41">
        <v>3</v>
      </c>
      <c r="F5" s="39" t="s">
        <v>86</v>
      </c>
      <c r="G5" s="39" t="s">
        <v>108</v>
      </c>
      <c r="H5" s="39" t="s">
        <v>120</v>
      </c>
      <c r="I5" s="39" t="s">
        <v>142</v>
      </c>
      <c r="J5" s="39" t="s">
        <v>143</v>
      </c>
      <c r="K5" s="41" t="s">
        <v>188</v>
      </c>
      <c r="L5" s="41"/>
      <c r="M5" s="41"/>
      <c r="N5" s="42">
        <f>N6</f>
        <v>135</v>
      </c>
      <c r="O5" s="42">
        <f t="shared" ref="O5:T5" si="1">O6</f>
        <v>0</v>
      </c>
      <c r="P5" s="42">
        <f t="shared" si="1"/>
        <v>10.8</v>
      </c>
      <c r="Q5" s="42">
        <f t="shared" si="1"/>
        <v>116.1</v>
      </c>
      <c r="R5" s="42">
        <f t="shared" si="1"/>
        <v>0</v>
      </c>
      <c r="S5" s="42">
        <f t="shared" si="1"/>
        <v>8.1</v>
      </c>
      <c r="T5" s="42">
        <f t="shared" si="1"/>
        <v>135</v>
      </c>
      <c r="U5" s="43"/>
      <c r="V5" s="43"/>
      <c r="W5" s="43"/>
      <c r="X5" s="43"/>
      <c r="Y5" s="43"/>
      <c r="Z5" s="43"/>
      <c r="AA5" s="43"/>
      <c r="AB5" s="43"/>
      <c r="AC5" s="86"/>
      <c r="AD5" s="45"/>
      <c r="AE5" s="45"/>
      <c r="AF5" s="43"/>
      <c r="AG5" s="43"/>
      <c r="AH5" s="43"/>
      <c r="AI5" s="86"/>
      <c r="AJ5" s="45"/>
      <c r="AK5" s="45"/>
      <c r="AL5" s="43"/>
      <c r="AM5" s="43"/>
      <c r="AN5" s="43"/>
      <c r="AO5" s="43"/>
      <c r="AP5" s="43"/>
      <c r="AQ5" s="86"/>
      <c r="AR5" s="45"/>
      <c r="AS5" s="86"/>
      <c r="AT5" s="45"/>
      <c r="AU5" s="43"/>
      <c r="AV5" s="43"/>
      <c r="AW5" s="43"/>
      <c r="AX5" s="43"/>
      <c r="AY5" s="41"/>
      <c r="AZ5" s="46"/>
      <c r="BA5" s="86">
        <v>0.12</v>
      </c>
      <c r="BB5" s="42">
        <f>T6</f>
        <v>135</v>
      </c>
      <c r="BC5" s="42"/>
      <c r="BD5" s="46"/>
      <c r="BE5" s="43"/>
      <c r="BF5" s="43"/>
      <c r="BG5" s="43"/>
      <c r="BH5" s="43"/>
      <c r="BI5" s="43"/>
      <c r="BJ5" s="43"/>
      <c r="BK5" s="43">
        <f>BB5</f>
        <v>135</v>
      </c>
      <c r="BL5" s="47">
        <v>42492</v>
      </c>
      <c r="BM5" s="43"/>
      <c r="BN5" s="43"/>
      <c r="BO5" s="46"/>
      <c r="BP5" s="46"/>
      <c r="BQ5" s="47"/>
      <c r="BR5" s="48"/>
    </row>
    <row r="6" spans="1:70" s="6" customFormat="1" ht="244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0.12</v>
      </c>
      <c r="N6" s="18">
        <f>1125*M6</f>
        <v>135</v>
      </c>
      <c r="O6" s="18"/>
      <c r="P6" s="18">
        <f>0.08*N6</f>
        <v>10.8</v>
      </c>
      <c r="Q6" s="18">
        <f>0.86*N6</f>
        <v>116.1</v>
      </c>
      <c r="R6" s="18"/>
      <c r="S6" s="18">
        <f>0.06*N6</f>
        <v>8.1</v>
      </c>
      <c r="T6" s="18">
        <f>P6+Q6+R6+S6</f>
        <v>135</v>
      </c>
      <c r="U6" s="5"/>
      <c r="V6" s="5"/>
      <c r="W6" s="5"/>
      <c r="X6" s="5"/>
      <c r="Y6" s="5"/>
      <c r="Z6" s="5"/>
      <c r="AA6" s="5"/>
      <c r="AB6" s="5"/>
      <c r="AC6" s="17"/>
      <c r="AD6" s="13"/>
      <c r="AE6" s="13"/>
      <c r="AF6" s="5"/>
      <c r="AG6" s="5"/>
      <c r="AH6" s="5"/>
      <c r="AI6" s="17"/>
      <c r="AJ6" s="13"/>
      <c r="AK6" s="13"/>
      <c r="AL6" s="5"/>
      <c r="AM6" s="5"/>
      <c r="AN6" s="5"/>
      <c r="AO6" s="5"/>
      <c r="AP6" s="5"/>
      <c r="AQ6" s="17"/>
      <c r="AR6" s="13"/>
      <c r="AS6" s="17"/>
      <c r="AT6" s="13"/>
      <c r="AU6" s="5"/>
      <c r="AV6" s="5"/>
      <c r="AW6" s="5"/>
      <c r="AX6" s="5"/>
      <c r="AY6" s="4"/>
      <c r="AZ6" s="7"/>
      <c r="BA6" s="17"/>
      <c r="BB6" s="19"/>
      <c r="BC6" s="13"/>
      <c r="BD6" s="7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105" customFormat="1" ht="294" customHeight="1" x14ac:dyDescent="0.25">
      <c r="A7" s="94" t="s">
        <v>44</v>
      </c>
      <c r="B7" s="95" t="s">
        <v>66</v>
      </c>
      <c r="C7" s="96">
        <v>112437.41</v>
      </c>
      <c r="D7" s="96"/>
      <c r="E7" s="97">
        <v>35</v>
      </c>
      <c r="F7" s="95" t="s">
        <v>88</v>
      </c>
      <c r="G7" s="95" t="s">
        <v>110</v>
      </c>
      <c r="H7" s="95" t="s">
        <v>122</v>
      </c>
      <c r="I7" s="95" t="s">
        <v>146</v>
      </c>
      <c r="J7" s="95" t="s">
        <v>147</v>
      </c>
      <c r="K7" s="97" t="s">
        <v>199</v>
      </c>
      <c r="L7" s="97"/>
      <c r="M7" s="98"/>
      <c r="N7" s="99">
        <f>N8+N9</f>
        <v>193.82499999999999</v>
      </c>
      <c r="O7" s="99">
        <f t="shared" ref="O7:T7" si="2">O8+O9</f>
        <v>0</v>
      </c>
      <c r="P7" s="99">
        <f t="shared" si="2"/>
        <v>15.11</v>
      </c>
      <c r="Q7" s="99">
        <f t="shared" si="2"/>
        <v>160.79749999999999</v>
      </c>
      <c r="R7" s="99">
        <f t="shared" si="2"/>
        <v>6.7</v>
      </c>
      <c r="S7" s="99">
        <f t="shared" si="2"/>
        <v>11.217499999999999</v>
      </c>
      <c r="T7" s="99">
        <f t="shared" si="2"/>
        <v>193.82499999999996</v>
      </c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 t="s">
        <v>198</v>
      </c>
      <c r="AZ7" s="100">
        <f>T8</f>
        <v>8.2000000000000011</v>
      </c>
      <c r="BA7" s="101">
        <v>0.16500000000000001</v>
      </c>
      <c r="BB7" s="100">
        <f>T9</f>
        <v>185.62499999999997</v>
      </c>
      <c r="BC7" s="100"/>
      <c r="BD7" s="100"/>
      <c r="BE7" s="100"/>
      <c r="BF7" s="100"/>
      <c r="BG7" s="100"/>
      <c r="BH7" s="100"/>
      <c r="BI7" s="100"/>
      <c r="BJ7" s="100"/>
      <c r="BK7" s="100">
        <f>AZ7+BB7</f>
        <v>193.82499999999996</v>
      </c>
      <c r="BL7" s="102">
        <v>42483</v>
      </c>
      <c r="BM7" s="100"/>
      <c r="BN7" s="100"/>
      <c r="BO7" s="103"/>
      <c r="BP7" s="103"/>
      <c r="BQ7" s="102"/>
      <c r="BR7" s="104"/>
    </row>
    <row r="8" spans="1:70" s="6" customFormat="1" ht="206.2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15</v>
      </c>
      <c r="M8" s="17" t="s">
        <v>198</v>
      </c>
      <c r="N8" s="12">
        <v>8.2000000000000011</v>
      </c>
      <c r="O8" s="2"/>
      <c r="P8" s="12">
        <v>0.26</v>
      </c>
      <c r="Q8" s="12">
        <v>1.1599999999999999</v>
      </c>
      <c r="R8" s="12">
        <v>6.7</v>
      </c>
      <c r="S8" s="12">
        <v>0.08</v>
      </c>
      <c r="T8" s="12">
        <f>P8+Q8+R8+S8</f>
        <v>8.2000000000000011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36"/>
      <c r="BB8" s="5"/>
      <c r="BC8" s="5"/>
      <c r="BD8" s="5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211.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16</v>
      </c>
      <c r="M9" s="36">
        <f>BA7</f>
        <v>0.16500000000000001</v>
      </c>
      <c r="N9" s="12">
        <f>M9*1125</f>
        <v>185.625</v>
      </c>
      <c r="O9" s="2"/>
      <c r="P9" s="12">
        <f>0.08*N9</f>
        <v>14.85</v>
      </c>
      <c r="Q9" s="12">
        <f>0.86*N9</f>
        <v>159.63749999999999</v>
      </c>
      <c r="R9" s="12"/>
      <c r="S9" s="12">
        <f>0.06*N9</f>
        <v>11.137499999999999</v>
      </c>
      <c r="T9" s="12">
        <f>P9+Q9+R9+S9</f>
        <v>185.62499999999997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36"/>
      <c r="BB9" s="5"/>
      <c r="BC9" s="5"/>
      <c r="BD9" s="5"/>
      <c r="BE9" s="5"/>
      <c r="BF9" s="5"/>
      <c r="BG9" s="5"/>
      <c r="BH9" s="5"/>
      <c r="BI9" s="5"/>
      <c r="BJ9" s="5"/>
      <c r="BK9" s="5"/>
      <c r="BL9" s="8"/>
      <c r="BM9" s="5"/>
      <c r="BN9" s="5"/>
      <c r="BO9" s="7"/>
      <c r="BP9" s="7"/>
      <c r="BQ9" s="8"/>
      <c r="BR9" s="9"/>
    </row>
    <row r="10" spans="1:70" s="49" customFormat="1" ht="351.75" customHeight="1" x14ac:dyDescent="0.25">
      <c r="A10" s="38" t="s">
        <v>45</v>
      </c>
      <c r="B10" s="39" t="s">
        <v>67</v>
      </c>
      <c r="C10" s="40">
        <v>466.1</v>
      </c>
      <c r="D10" s="40"/>
      <c r="E10" s="41">
        <v>15</v>
      </c>
      <c r="F10" s="39" t="s">
        <v>89</v>
      </c>
      <c r="G10" s="39" t="s">
        <v>111</v>
      </c>
      <c r="H10" s="39" t="s">
        <v>123</v>
      </c>
      <c r="I10" s="39" t="s">
        <v>149</v>
      </c>
      <c r="J10" s="39" t="s">
        <v>150</v>
      </c>
      <c r="K10" s="41" t="s">
        <v>179</v>
      </c>
      <c r="L10" s="41"/>
      <c r="M10" s="41"/>
      <c r="N10" s="41"/>
      <c r="O10" s="41"/>
      <c r="P10" s="41"/>
      <c r="Q10" s="41"/>
      <c r="R10" s="41"/>
      <c r="S10" s="41"/>
      <c r="T10" s="41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1"/>
      <c r="AF10" s="46"/>
      <c r="AG10" s="46"/>
      <c r="AH10" s="43"/>
      <c r="AI10" s="86"/>
      <c r="AJ10" s="46"/>
      <c r="AK10" s="46"/>
      <c r="AL10" s="43"/>
      <c r="AM10" s="43"/>
      <c r="AN10" s="43"/>
      <c r="AO10" s="43"/>
      <c r="AP10" s="43"/>
      <c r="AQ10" s="86"/>
      <c r="AR10" s="46"/>
      <c r="AS10" s="86"/>
      <c r="AT10" s="46"/>
      <c r="AU10" s="43"/>
      <c r="AV10" s="43"/>
      <c r="AW10" s="43"/>
      <c r="AX10" s="43"/>
      <c r="AY10" s="43"/>
      <c r="AZ10" s="43"/>
      <c r="BA10" s="144">
        <v>0.16</v>
      </c>
      <c r="BB10" s="146">
        <f>T12</f>
        <v>180.00000000000003</v>
      </c>
      <c r="BC10" s="46"/>
      <c r="BD10" s="41"/>
      <c r="BE10" s="41"/>
      <c r="BF10" s="46"/>
      <c r="BG10" s="41"/>
      <c r="BH10" s="41"/>
      <c r="BI10" s="46"/>
      <c r="BJ10" s="43"/>
      <c r="BK10" s="148">
        <f>BB10</f>
        <v>180.00000000000003</v>
      </c>
      <c r="BL10" s="47">
        <v>42487</v>
      </c>
      <c r="BM10" s="43"/>
      <c r="BN10" s="43"/>
      <c r="BO10" s="46"/>
      <c r="BP10" s="46"/>
      <c r="BQ10" s="47"/>
      <c r="BR10" s="48"/>
    </row>
    <row r="11" spans="1:70" s="49" customFormat="1" ht="212.25" customHeight="1" x14ac:dyDescent="0.25">
      <c r="A11" s="38" t="s">
        <v>46</v>
      </c>
      <c r="B11" s="39" t="s">
        <v>68</v>
      </c>
      <c r="C11" s="40">
        <v>466.1</v>
      </c>
      <c r="D11" s="40"/>
      <c r="E11" s="41">
        <v>15</v>
      </c>
      <c r="F11" s="39" t="s">
        <v>90</v>
      </c>
      <c r="G11" s="39" t="s">
        <v>111</v>
      </c>
      <c r="H11" s="39" t="s">
        <v>123</v>
      </c>
      <c r="I11" s="39" t="s">
        <v>151</v>
      </c>
      <c r="J11" s="39" t="s">
        <v>152</v>
      </c>
      <c r="K11" s="41" t="s">
        <v>179</v>
      </c>
      <c r="L11" s="41"/>
      <c r="M11" s="41"/>
      <c r="N11" s="46">
        <f>N12</f>
        <v>180</v>
      </c>
      <c r="O11" s="41"/>
      <c r="P11" s="46">
        <f t="shared" ref="P11:T11" si="3">P12</f>
        <v>14.4</v>
      </c>
      <c r="Q11" s="46">
        <f t="shared" si="3"/>
        <v>154.80000000000001</v>
      </c>
      <c r="R11" s="46">
        <f t="shared" si="3"/>
        <v>0</v>
      </c>
      <c r="S11" s="46">
        <f t="shared" si="3"/>
        <v>10.799999999999999</v>
      </c>
      <c r="T11" s="46">
        <f t="shared" si="3"/>
        <v>180.00000000000003</v>
      </c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145"/>
      <c r="BB11" s="147"/>
      <c r="BC11" s="46"/>
      <c r="BD11" s="41"/>
      <c r="BE11" s="41"/>
      <c r="BF11" s="46"/>
      <c r="BG11" s="41"/>
      <c r="BH11" s="41"/>
      <c r="BI11" s="46"/>
      <c r="BJ11" s="43"/>
      <c r="BK11" s="149"/>
      <c r="BL11" s="47">
        <v>42487</v>
      </c>
      <c r="BM11" s="43"/>
      <c r="BN11" s="43"/>
      <c r="BO11" s="46"/>
      <c r="BP11" s="46"/>
      <c r="BQ11" s="47"/>
      <c r="BR11" s="48"/>
    </row>
    <row r="12" spans="1:70" s="6" customFormat="1" ht="212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v>0.16</v>
      </c>
      <c r="N12" s="12">
        <f>1125*M12</f>
        <v>180</v>
      </c>
      <c r="O12" s="2"/>
      <c r="P12" s="12">
        <f>0.08*N12</f>
        <v>14.4</v>
      </c>
      <c r="Q12" s="12">
        <f>0.86*N12</f>
        <v>154.80000000000001</v>
      </c>
      <c r="R12" s="12"/>
      <c r="S12" s="12">
        <f>0.06*N12</f>
        <v>10.799999999999999</v>
      </c>
      <c r="T12" s="12">
        <f t="shared" ref="T12" si="4">P12+Q12+R12+S12</f>
        <v>180.00000000000003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17"/>
      <c r="BB12" s="20"/>
      <c r="BC12" s="7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49" customFormat="1" ht="282" customHeight="1" x14ac:dyDescent="0.25">
      <c r="A13" s="38" t="s">
        <v>47</v>
      </c>
      <c r="B13" s="39" t="s">
        <v>69</v>
      </c>
      <c r="C13" s="40">
        <v>466.1</v>
      </c>
      <c r="D13" s="40"/>
      <c r="E13" s="41">
        <v>14</v>
      </c>
      <c r="F13" s="39" t="s">
        <v>91</v>
      </c>
      <c r="G13" s="39" t="s">
        <v>111</v>
      </c>
      <c r="H13" s="39" t="s">
        <v>124</v>
      </c>
      <c r="I13" s="39" t="s">
        <v>153</v>
      </c>
      <c r="J13" s="39" t="s">
        <v>154</v>
      </c>
      <c r="K13" s="41" t="s">
        <v>180</v>
      </c>
      <c r="L13" s="41"/>
      <c r="M13" s="86"/>
      <c r="N13" s="46">
        <f>N14</f>
        <v>450</v>
      </c>
      <c r="O13" s="41"/>
      <c r="P13" s="46">
        <f t="shared" ref="P13:T13" si="5">P14</f>
        <v>36</v>
      </c>
      <c r="Q13" s="46">
        <f t="shared" si="5"/>
        <v>387</v>
      </c>
      <c r="R13" s="46">
        <f t="shared" si="5"/>
        <v>0</v>
      </c>
      <c r="S13" s="46">
        <f t="shared" si="5"/>
        <v>27</v>
      </c>
      <c r="T13" s="46">
        <f t="shared" si="5"/>
        <v>450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86">
        <v>0.4</v>
      </c>
      <c r="BB13" s="46">
        <f>T14</f>
        <v>450</v>
      </c>
      <c r="BC13" s="46"/>
      <c r="BD13" s="41"/>
      <c r="BE13" s="41"/>
      <c r="BF13" s="46"/>
      <c r="BG13" s="41"/>
      <c r="BH13" s="41"/>
      <c r="BI13" s="46"/>
      <c r="BJ13" s="43"/>
      <c r="BK13" s="43">
        <f>BB13</f>
        <v>450</v>
      </c>
      <c r="BL13" s="47">
        <v>42480</v>
      </c>
      <c r="BM13" s="43"/>
      <c r="BN13" s="43"/>
      <c r="BO13" s="46"/>
      <c r="BP13" s="46"/>
      <c r="BQ13" s="47"/>
      <c r="BR13" s="48"/>
    </row>
    <row r="14" spans="1:70" s="6" customFormat="1" ht="171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17">
        <v>0.4</v>
      </c>
      <c r="N14" s="12">
        <f>1125*M14</f>
        <v>450</v>
      </c>
      <c r="O14" s="2"/>
      <c r="P14" s="12">
        <f>0.08*N14</f>
        <v>36</v>
      </c>
      <c r="Q14" s="12">
        <f>0.86*N14</f>
        <v>387</v>
      </c>
      <c r="R14" s="12"/>
      <c r="S14" s="12">
        <f>0.06*N14</f>
        <v>27</v>
      </c>
      <c r="T14" s="12">
        <f t="shared" ref="T14" si="6">P14+Q14+R14+S14</f>
        <v>450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7"/>
      <c r="BB14" s="19"/>
      <c r="BC14" s="4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49" customFormat="1" ht="207" customHeight="1" x14ac:dyDescent="0.25">
      <c r="A15" s="38" t="s">
        <v>49</v>
      </c>
      <c r="B15" s="39" t="s">
        <v>71</v>
      </c>
      <c r="C15" s="40">
        <v>466.1</v>
      </c>
      <c r="D15" s="40"/>
      <c r="E15" s="41">
        <v>7</v>
      </c>
      <c r="F15" s="39" t="s">
        <v>93</v>
      </c>
      <c r="G15" s="39" t="s">
        <v>113</v>
      </c>
      <c r="H15" s="39" t="s">
        <v>126</v>
      </c>
      <c r="I15" s="39" t="s">
        <v>156</v>
      </c>
      <c r="J15" s="39" t="s">
        <v>157</v>
      </c>
      <c r="K15" s="41" t="s">
        <v>201</v>
      </c>
      <c r="L15" s="41"/>
      <c r="M15" s="41"/>
      <c r="N15" s="45">
        <f>N16</f>
        <v>157.50000000000003</v>
      </c>
      <c r="O15" s="45">
        <f t="shared" ref="O15:T15" si="7">O16</f>
        <v>0</v>
      </c>
      <c r="P15" s="45">
        <f t="shared" si="7"/>
        <v>12.600000000000003</v>
      </c>
      <c r="Q15" s="45">
        <f t="shared" si="7"/>
        <v>135.45000000000002</v>
      </c>
      <c r="R15" s="45"/>
      <c r="S15" s="45">
        <f t="shared" si="7"/>
        <v>9.4500000000000011</v>
      </c>
      <c r="T15" s="45">
        <f t="shared" si="7"/>
        <v>157.5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87"/>
      <c r="AJ15" s="43"/>
      <c r="AK15" s="43"/>
      <c r="AL15" s="43"/>
      <c r="AM15" s="43"/>
      <c r="AN15" s="43"/>
      <c r="AO15" s="43"/>
      <c r="AP15" s="43"/>
      <c r="AQ15" s="87"/>
      <c r="AR15" s="43"/>
      <c r="AS15" s="87"/>
      <c r="AT15" s="43"/>
      <c r="AU15" s="43"/>
      <c r="AV15" s="43"/>
      <c r="AW15" s="43"/>
      <c r="AX15" s="43"/>
      <c r="AY15" s="41"/>
      <c r="AZ15" s="46"/>
      <c r="BA15" s="86">
        <v>0.14000000000000001</v>
      </c>
      <c r="BB15" s="45">
        <f>T16</f>
        <v>157.5</v>
      </c>
      <c r="BC15" s="45"/>
      <c r="BD15" s="43"/>
      <c r="BE15" s="43"/>
      <c r="BF15" s="43"/>
      <c r="BG15" s="43"/>
      <c r="BH15" s="43"/>
      <c r="BI15" s="43"/>
      <c r="BJ15" s="43"/>
      <c r="BK15" s="43">
        <f>BB15</f>
        <v>157.5</v>
      </c>
      <c r="BL15" s="47">
        <v>42489</v>
      </c>
      <c r="BM15" s="43"/>
      <c r="BN15" s="43"/>
      <c r="BO15" s="46"/>
      <c r="BP15" s="46"/>
      <c r="BQ15" s="47"/>
      <c r="BR15" s="48"/>
    </row>
    <row r="16" spans="1:70" s="6" customFormat="1" ht="207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BA15</f>
        <v>0.14000000000000001</v>
      </c>
      <c r="N16" s="13">
        <f>M16*1125</f>
        <v>157.50000000000003</v>
      </c>
      <c r="O16" s="13"/>
      <c r="P16" s="13">
        <f>0.08*N16</f>
        <v>12.600000000000003</v>
      </c>
      <c r="Q16" s="13">
        <f>0.86*N16</f>
        <v>135.45000000000002</v>
      </c>
      <c r="R16" s="13"/>
      <c r="S16" s="13">
        <f>0.06*N16</f>
        <v>9.4500000000000011</v>
      </c>
      <c r="T16" s="13">
        <f>P16+Q16+R16+S16</f>
        <v>157.5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36"/>
      <c r="AJ16" s="5"/>
      <c r="AK16" s="5"/>
      <c r="AL16" s="5"/>
      <c r="AM16" s="5"/>
      <c r="AN16" s="5"/>
      <c r="AO16" s="5"/>
      <c r="AP16" s="5"/>
      <c r="AQ16" s="36"/>
      <c r="AR16" s="5"/>
      <c r="AS16" s="36"/>
      <c r="AT16" s="5"/>
      <c r="AU16" s="5"/>
      <c r="AV16" s="5"/>
      <c r="AW16" s="5"/>
      <c r="AX16" s="5"/>
      <c r="AY16" s="4"/>
      <c r="AZ16" s="7"/>
      <c r="BA16" s="17"/>
      <c r="BB16" s="13"/>
      <c r="BC16" s="13"/>
      <c r="BD16" s="5"/>
      <c r="BE16" s="5"/>
      <c r="BF16" s="5"/>
      <c r="BG16" s="5"/>
      <c r="BH16" s="5"/>
      <c r="BI16" s="5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49" customFormat="1" ht="376.5" customHeight="1" x14ac:dyDescent="0.25">
      <c r="A17" s="38" t="s">
        <v>50</v>
      </c>
      <c r="B17" s="39" t="s">
        <v>72</v>
      </c>
      <c r="C17" s="40">
        <v>466.1</v>
      </c>
      <c r="D17" s="40"/>
      <c r="E17" s="41">
        <v>7</v>
      </c>
      <c r="F17" s="39" t="s">
        <v>94</v>
      </c>
      <c r="G17" s="39" t="s">
        <v>113</v>
      </c>
      <c r="H17" s="39" t="s">
        <v>127</v>
      </c>
      <c r="I17" s="39" t="s">
        <v>158</v>
      </c>
      <c r="J17" s="39" t="s">
        <v>159</v>
      </c>
      <c r="K17" s="41" t="s">
        <v>190</v>
      </c>
      <c r="L17" s="41"/>
      <c r="M17" s="41"/>
      <c r="N17" s="45">
        <f>N18+N19+N20+N21+N22</f>
        <v>771.67291999999998</v>
      </c>
      <c r="O17" s="45">
        <f t="shared" ref="O17:T17" si="8">O18+O19+O20+O21+O22</f>
        <v>0</v>
      </c>
      <c r="P17" s="45">
        <f t="shared" si="8"/>
        <v>41.096000000000004</v>
      </c>
      <c r="Q17" s="45">
        <f t="shared" si="8"/>
        <v>387.22275000000002</v>
      </c>
      <c r="R17" s="45">
        <f t="shared" si="8"/>
        <v>315.75792000000001</v>
      </c>
      <c r="S17" s="45">
        <f t="shared" si="8"/>
        <v>27.596249999999998</v>
      </c>
      <c r="T17" s="45">
        <f t="shared" si="8"/>
        <v>771.67291999999998</v>
      </c>
      <c r="U17" s="43"/>
      <c r="V17" s="43"/>
      <c r="W17" s="43"/>
      <c r="X17" s="43"/>
      <c r="Y17" s="43"/>
      <c r="Z17" s="43"/>
      <c r="AA17" s="43"/>
      <c r="AB17" s="43"/>
      <c r="AC17" s="86">
        <v>2.5000000000000001E-2</v>
      </c>
      <c r="AD17" s="45">
        <f>T18</f>
        <v>36.325000000000003</v>
      </c>
      <c r="AE17" s="45"/>
      <c r="AF17" s="43"/>
      <c r="AG17" s="43"/>
      <c r="AH17" s="43"/>
      <c r="AI17" s="86">
        <v>1</v>
      </c>
      <c r="AJ17" s="45">
        <f>T19</f>
        <v>60.476240000000004</v>
      </c>
      <c r="AK17" s="45"/>
      <c r="AL17" s="43"/>
      <c r="AM17" s="43"/>
      <c r="AN17" s="43"/>
      <c r="AO17" s="43"/>
      <c r="AP17" s="43"/>
      <c r="AQ17" s="86" t="s">
        <v>182</v>
      </c>
      <c r="AR17" s="45">
        <f>T20</f>
        <v>324.87168000000003</v>
      </c>
      <c r="AS17" s="86">
        <v>1</v>
      </c>
      <c r="AT17" s="45">
        <f>T21</f>
        <v>12.499999999999998</v>
      </c>
      <c r="AU17" s="43"/>
      <c r="AV17" s="43"/>
      <c r="AW17" s="43"/>
      <c r="AX17" s="43"/>
      <c r="AY17" s="41"/>
      <c r="AZ17" s="46"/>
      <c r="BA17" s="86">
        <v>0.3</v>
      </c>
      <c r="BB17" s="45">
        <f>T22</f>
        <v>337.5</v>
      </c>
      <c r="BC17" s="45"/>
      <c r="BD17" s="43"/>
      <c r="BE17" s="43"/>
      <c r="BF17" s="43"/>
      <c r="BG17" s="43"/>
      <c r="BH17" s="43"/>
      <c r="BI17" s="43"/>
      <c r="BJ17" s="43"/>
      <c r="BK17" s="43">
        <f>AD17+AJ17+AR17+AT17+BB17</f>
        <v>771.67291999999998</v>
      </c>
      <c r="BL17" s="47">
        <v>42486</v>
      </c>
      <c r="BM17" s="43"/>
      <c r="BN17" s="43"/>
      <c r="BO17" s="46"/>
      <c r="BP17" s="46"/>
      <c r="BQ17" s="47"/>
      <c r="BR17" s="48"/>
    </row>
    <row r="18" spans="1:70" s="6" customFormat="1" ht="138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6</v>
      </c>
      <c r="M18" s="4">
        <f>AC17</f>
        <v>2.5000000000000001E-2</v>
      </c>
      <c r="N18" s="13">
        <f>1453*M18</f>
        <v>36.325000000000003</v>
      </c>
      <c r="O18" s="13"/>
      <c r="P18" s="13">
        <f>0.08*N18</f>
        <v>2.9060000000000001</v>
      </c>
      <c r="Q18" s="13">
        <f>N18*0.87</f>
        <v>31.602750000000004</v>
      </c>
      <c r="R18" s="13"/>
      <c r="S18" s="13">
        <f>0.05*N18</f>
        <v>1.8162500000000001</v>
      </c>
      <c r="T18" s="13">
        <f>P18+Q18+R18+S18</f>
        <v>36.325000000000003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7"/>
      <c r="BA18" s="17"/>
      <c r="BB18" s="7"/>
      <c r="BC18" s="4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38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9</v>
      </c>
      <c r="M19" s="4">
        <f>AI17</f>
        <v>1</v>
      </c>
      <c r="N19" s="13">
        <v>60.476240000000004</v>
      </c>
      <c r="O19" s="13"/>
      <c r="P19" s="13">
        <v>3.91</v>
      </c>
      <c r="Q19" s="13">
        <v>12.09</v>
      </c>
      <c r="R19" s="13">
        <f>40.92*1.072</f>
        <v>43.866240000000005</v>
      </c>
      <c r="S19" s="13">
        <v>0.61</v>
      </c>
      <c r="T19" s="13">
        <f t="shared" ref="T19:T22" si="9">P19+Q19+R19+S19</f>
        <v>60.476240000000004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6"/>
      <c r="AJ19" s="5"/>
      <c r="AK19" s="5"/>
      <c r="AL19" s="5"/>
      <c r="AM19" s="5"/>
      <c r="AN19" s="5"/>
      <c r="AO19" s="5"/>
      <c r="AP19" s="5"/>
      <c r="AQ19" s="36"/>
      <c r="AR19" s="5"/>
      <c r="AS19" s="36"/>
      <c r="AT19" s="5"/>
      <c r="AU19" s="5"/>
      <c r="AV19" s="5"/>
      <c r="AW19" s="5"/>
      <c r="AX19" s="5"/>
      <c r="AY19" s="4"/>
      <c r="AZ19" s="7"/>
      <c r="BA19" s="17"/>
      <c r="BB19" s="7"/>
      <c r="BC19" s="4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38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12</v>
      </c>
      <c r="M20" s="4" t="str">
        <f>AQ17</f>
        <v>СТП 63 кВА</v>
      </c>
      <c r="N20" s="13">
        <v>324.87168000000003</v>
      </c>
      <c r="O20" s="13"/>
      <c r="P20" s="13">
        <v>6.53</v>
      </c>
      <c r="Q20" s="13">
        <v>51.75</v>
      </c>
      <c r="R20" s="13">
        <f>244.19*1.072</f>
        <v>261.77168</v>
      </c>
      <c r="S20" s="13">
        <v>4.82</v>
      </c>
      <c r="T20" s="13">
        <f t="shared" si="9"/>
        <v>324.87168000000003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7"/>
      <c r="BB20" s="7"/>
      <c r="BC20" s="4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38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26</v>
      </c>
      <c r="M21" s="4">
        <f>AS17</f>
        <v>1</v>
      </c>
      <c r="N21" s="13">
        <v>12.5</v>
      </c>
      <c r="O21" s="13"/>
      <c r="P21" s="13">
        <v>0.75</v>
      </c>
      <c r="Q21" s="13">
        <v>1.53</v>
      </c>
      <c r="R21" s="13">
        <v>10.119999999999999</v>
      </c>
      <c r="S21" s="13">
        <v>0.1</v>
      </c>
      <c r="T21" s="13">
        <f t="shared" si="9"/>
        <v>12.499999999999998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36"/>
      <c r="AJ21" s="5"/>
      <c r="AK21" s="5"/>
      <c r="AL21" s="5"/>
      <c r="AM21" s="5"/>
      <c r="AN21" s="5"/>
      <c r="AO21" s="5"/>
      <c r="AP21" s="5"/>
      <c r="AQ21" s="36"/>
      <c r="AR21" s="5"/>
      <c r="AS21" s="36"/>
      <c r="AT21" s="5"/>
      <c r="AU21" s="5"/>
      <c r="AV21" s="5"/>
      <c r="AW21" s="5"/>
      <c r="AX21" s="5"/>
      <c r="AY21" s="4"/>
      <c r="AZ21" s="7"/>
      <c r="BA21" s="17"/>
      <c r="BB21" s="7"/>
      <c r="BC21" s="4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38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16</v>
      </c>
      <c r="M22" s="4">
        <f>BA17</f>
        <v>0.3</v>
      </c>
      <c r="N22" s="13">
        <f>1125*M22</f>
        <v>337.5</v>
      </c>
      <c r="O22" s="13"/>
      <c r="P22" s="13">
        <f>0.08*N22</f>
        <v>27</v>
      </c>
      <c r="Q22" s="13">
        <f>0.86*N22</f>
        <v>290.25</v>
      </c>
      <c r="R22" s="13"/>
      <c r="S22" s="13">
        <f>0.06*N22</f>
        <v>20.25</v>
      </c>
      <c r="T22" s="13">
        <f t="shared" si="9"/>
        <v>337.5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7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105" customFormat="1" ht="408.75" customHeight="1" x14ac:dyDescent="0.25">
      <c r="A23" s="94" t="s">
        <v>51</v>
      </c>
      <c r="B23" s="95" t="s">
        <v>73</v>
      </c>
      <c r="C23" s="96">
        <v>466.1</v>
      </c>
      <c r="D23" s="96"/>
      <c r="E23" s="97">
        <v>10</v>
      </c>
      <c r="F23" s="95" t="s">
        <v>95</v>
      </c>
      <c r="G23" s="95" t="s">
        <v>115</v>
      </c>
      <c r="H23" s="95" t="s">
        <v>128</v>
      </c>
      <c r="I23" s="95" t="s">
        <v>160</v>
      </c>
      <c r="J23" s="95" t="s">
        <v>161</v>
      </c>
      <c r="K23" s="97" t="s">
        <v>181</v>
      </c>
      <c r="L23" s="97"/>
      <c r="M23" s="97"/>
      <c r="N23" s="103">
        <f>N24+N25+N26+N27+N28</f>
        <v>483.16168000000005</v>
      </c>
      <c r="O23" s="97"/>
      <c r="P23" s="103">
        <f t="shared" ref="P23:T23" si="10">P24+P25+P26+P27+P28</f>
        <v>18.014800000000001</v>
      </c>
      <c r="Q23" s="103">
        <f t="shared" si="10"/>
        <v>139.02719999999999</v>
      </c>
      <c r="R23" s="103">
        <f t="shared" si="10"/>
        <v>315.75792000000001</v>
      </c>
      <c r="S23" s="103">
        <f t="shared" si="10"/>
        <v>10.358000000000001</v>
      </c>
      <c r="T23" s="103">
        <f t="shared" si="10"/>
        <v>483.15792000000005</v>
      </c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97">
        <v>0.02</v>
      </c>
      <c r="AF23" s="103">
        <f>T24</f>
        <v>29.060000000000002</v>
      </c>
      <c r="AG23" s="103"/>
      <c r="AH23" s="100"/>
      <c r="AI23" s="98">
        <v>1</v>
      </c>
      <c r="AJ23" s="103">
        <f>T25</f>
        <v>60.476240000000004</v>
      </c>
      <c r="AK23" s="103"/>
      <c r="AL23" s="100"/>
      <c r="AM23" s="100"/>
      <c r="AN23" s="100"/>
      <c r="AO23" s="100"/>
      <c r="AP23" s="100"/>
      <c r="AQ23" s="98" t="s">
        <v>182</v>
      </c>
      <c r="AR23" s="103">
        <f>T26</f>
        <v>324.87168000000003</v>
      </c>
      <c r="AS23" s="98">
        <v>1</v>
      </c>
      <c r="AT23" s="103">
        <f>T27</f>
        <v>12.499999999999998</v>
      </c>
      <c r="AU23" s="100"/>
      <c r="AV23" s="100"/>
      <c r="AW23" s="100"/>
      <c r="AX23" s="100"/>
      <c r="AY23" s="97"/>
      <c r="AZ23" s="103"/>
      <c r="BA23" s="98">
        <v>0.05</v>
      </c>
      <c r="BB23" s="103">
        <f>T28</f>
        <v>56.25</v>
      </c>
      <c r="BC23" s="103"/>
      <c r="BD23" s="100"/>
      <c r="BE23" s="100"/>
      <c r="BF23" s="100"/>
      <c r="BG23" s="100"/>
      <c r="BH23" s="100"/>
      <c r="BI23" s="100"/>
      <c r="BJ23" s="100"/>
      <c r="BK23" s="100">
        <f>AF23+AJ23+AR23+AT23+BB23</f>
        <v>483.15792000000005</v>
      </c>
      <c r="BL23" s="102">
        <v>42465</v>
      </c>
      <c r="BM23" s="100"/>
      <c r="BN23" s="100"/>
      <c r="BO23" s="103"/>
      <c r="BP23" s="103"/>
      <c r="BQ23" s="102"/>
      <c r="BR23" s="104"/>
    </row>
    <row r="24" spans="1:70" s="6" customFormat="1" ht="144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7</v>
      </c>
      <c r="M24" s="4">
        <v>0.02</v>
      </c>
      <c r="N24" s="12">
        <f>1453*M24</f>
        <v>29.060000000000002</v>
      </c>
      <c r="O24" s="2"/>
      <c r="P24" s="12">
        <f>0.08*N24</f>
        <v>2.3248000000000002</v>
      </c>
      <c r="Q24" s="12">
        <f>0.87*N24</f>
        <v>25.282200000000003</v>
      </c>
      <c r="R24" s="12"/>
      <c r="S24" s="12">
        <f>0.05*N24</f>
        <v>1.4530000000000003</v>
      </c>
      <c r="T24" s="12">
        <f>P24+Q24+R24+S24</f>
        <v>29.060000000000002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1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44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9</v>
      </c>
      <c r="M25" s="17">
        <v>1</v>
      </c>
      <c r="N25" s="12">
        <v>60.48</v>
      </c>
      <c r="O25" s="2"/>
      <c r="P25" s="12">
        <v>3.91</v>
      </c>
      <c r="Q25" s="12">
        <v>12.09</v>
      </c>
      <c r="R25" s="12">
        <f>40.92*1.072</f>
        <v>43.866240000000005</v>
      </c>
      <c r="S25" s="12">
        <v>0.61</v>
      </c>
      <c r="T25" s="12">
        <f t="shared" ref="T25" si="11">P25+Q25+R25+S25</f>
        <v>60.476240000000004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44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12</v>
      </c>
      <c r="M26" s="17" t="s">
        <v>182</v>
      </c>
      <c r="N26" s="7">
        <f>T26</f>
        <v>324.87168000000003</v>
      </c>
      <c r="O26" s="7"/>
      <c r="P26" s="7">
        <v>6.53</v>
      </c>
      <c r="Q26" s="7">
        <v>51.75</v>
      </c>
      <c r="R26" s="7">
        <f>244.19*1.072</f>
        <v>261.77168</v>
      </c>
      <c r="S26" s="7">
        <v>4.82</v>
      </c>
      <c r="T26" s="12">
        <f t="shared" ref="T26" si="12">SUM(P26:S26)</f>
        <v>324.87168000000003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44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26</v>
      </c>
      <c r="M27" s="17">
        <v>1</v>
      </c>
      <c r="N27" s="12">
        <v>12.5</v>
      </c>
      <c r="O27" s="2"/>
      <c r="P27" s="12">
        <v>0.75</v>
      </c>
      <c r="Q27" s="12">
        <v>1.53</v>
      </c>
      <c r="R27" s="12">
        <v>10.119999999999999</v>
      </c>
      <c r="S27" s="12">
        <v>0.1</v>
      </c>
      <c r="T27" s="12">
        <f t="shared" ref="T27:T28" si="13">P27+Q27+R27+S27</f>
        <v>12.499999999999998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36"/>
      <c r="AJ27" s="5"/>
      <c r="AK27" s="5"/>
      <c r="AL27" s="5"/>
      <c r="AM27" s="5"/>
      <c r="AN27" s="5"/>
      <c r="AO27" s="5"/>
      <c r="AP27" s="5"/>
      <c r="AQ27" s="36"/>
      <c r="AR27" s="5"/>
      <c r="AS27" s="36"/>
      <c r="AT27" s="5"/>
      <c r="AU27" s="5"/>
      <c r="AV27" s="5"/>
      <c r="AW27" s="5"/>
      <c r="AX27" s="5"/>
      <c r="AY27" s="4"/>
      <c r="AZ27" s="7"/>
      <c r="BA27" s="17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4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16</v>
      </c>
      <c r="M28" s="17">
        <v>0.05</v>
      </c>
      <c r="N28" s="12">
        <f>1125*M28</f>
        <v>56.25</v>
      </c>
      <c r="O28" s="2"/>
      <c r="P28" s="12">
        <f>0.08*N28</f>
        <v>4.5</v>
      </c>
      <c r="Q28" s="12">
        <f>0.86*N28</f>
        <v>48.375</v>
      </c>
      <c r="R28" s="12"/>
      <c r="S28" s="12">
        <f>0.06*N28</f>
        <v>3.375</v>
      </c>
      <c r="T28" s="12">
        <f t="shared" si="13"/>
        <v>56.25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1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49" customFormat="1" ht="409.5" customHeight="1" x14ac:dyDescent="0.25">
      <c r="A29" s="38" t="s">
        <v>52</v>
      </c>
      <c r="B29" s="39" t="s">
        <v>74</v>
      </c>
      <c r="C29" s="40">
        <v>466.1</v>
      </c>
      <c r="D29" s="40"/>
      <c r="E29" s="41">
        <v>15</v>
      </c>
      <c r="F29" s="39" t="s">
        <v>96</v>
      </c>
      <c r="G29" s="39" t="s">
        <v>116</v>
      </c>
      <c r="H29" s="39" t="s">
        <v>129</v>
      </c>
      <c r="I29" s="39" t="s">
        <v>162</v>
      </c>
      <c r="J29" s="39" t="s">
        <v>163</v>
      </c>
      <c r="K29" s="41" t="s">
        <v>183</v>
      </c>
      <c r="L29" s="41"/>
      <c r="M29" s="41"/>
      <c r="N29" s="46">
        <f>N30+N31+N32+N33+N34</f>
        <v>807.51168000000007</v>
      </c>
      <c r="O29" s="41"/>
      <c r="P29" s="46">
        <f t="shared" ref="P29:T29" si="14">P30+P31+P32+P33+P34</f>
        <v>43.962800000000001</v>
      </c>
      <c r="Q29" s="46">
        <f t="shared" si="14"/>
        <v>420.87419999999997</v>
      </c>
      <c r="R29" s="46">
        <f t="shared" si="14"/>
        <v>315.75792000000001</v>
      </c>
      <c r="S29" s="46">
        <f t="shared" si="14"/>
        <v>26.913000000000004</v>
      </c>
      <c r="T29" s="46">
        <f t="shared" si="14"/>
        <v>807.50792000000001</v>
      </c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1">
        <v>0.22</v>
      </c>
      <c r="AF29" s="46">
        <f>T30</f>
        <v>319.66000000000003</v>
      </c>
      <c r="AG29" s="46"/>
      <c r="AH29" s="43"/>
      <c r="AI29" s="86">
        <v>1</v>
      </c>
      <c r="AJ29" s="46">
        <f>T31</f>
        <v>60.476240000000004</v>
      </c>
      <c r="AK29" s="46"/>
      <c r="AL29" s="43"/>
      <c r="AM29" s="43"/>
      <c r="AN29" s="43"/>
      <c r="AO29" s="43"/>
      <c r="AP29" s="43"/>
      <c r="AQ29" s="86" t="s">
        <v>182</v>
      </c>
      <c r="AR29" s="46">
        <f>T32</f>
        <v>324.87168000000003</v>
      </c>
      <c r="AS29" s="86">
        <v>1</v>
      </c>
      <c r="AT29" s="46">
        <f>T33</f>
        <v>12.499999999999998</v>
      </c>
      <c r="AU29" s="43"/>
      <c r="AV29" s="43"/>
      <c r="AW29" s="43"/>
      <c r="AX29" s="43"/>
      <c r="AY29" s="41"/>
      <c r="AZ29" s="46"/>
      <c r="BA29" s="86">
        <v>0.08</v>
      </c>
      <c r="BB29" s="46">
        <f>T34</f>
        <v>90.000000000000014</v>
      </c>
      <c r="BC29" s="46"/>
      <c r="BD29" s="43"/>
      <c r="BE29" s="43"/>
      <c r="BF29" s="43"/>
      <c r="BG29" s="43"/>
      <c r="BH29" s="43"/>
      <c r="BI29" s="43"/>
      <c r="BJ29" s="43"/>
      <c r="BK29" s="43">
        <f>AF29+AJ29+AR29+AT29+BB29</f>
        <v>807.50792000000001</v>
      </c>
      <c r="BL29" s="47">
        <v>42481</v>
      </c>
      <c r="BM29" s="43"/>
      <c r="BN29" s="43"/>
      <c r="BO29" s="46"/>
      <c r="BP29" s="46"/>
      <c r="BQ29" s="47"/>
      <c r="BR29" s="48"/>
    </row>
    <row r="30" spans="1:70" s="6" customFormat="1" ht="149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7</v>
      </c>
      <c r="M30" s="4">
        <v>0.22</v>
      </c>
      <c r="N30" s="12">
        <f>1453*M30</f>
        <v>319.66000000000003</v>
      </c>
      <c r="O30" s="2"/>
      <c r="P30" s="12">
        <f>0.08*N30</f>
        <v>25.572800000000001</v>
      </c>
      <c r="Q30" s="12">
        <f>0.87*N30</f>
        <v>278.10420000000005</v>
      </c>
      <c r="R30" s="12"/>
      <c r="S30" s="12">
        <f>0.05*N30</f>
        <v>15.983000000000002</v>
      </c>
      <c r="T30" s="12">
        <f>P30+Q30+R30+S30</f>
        <v>319.66000000000003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49.2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9</v>
      </c>
      <c r="M31" s="17">
        <v>1</v>
      </c>
      <c r="N31" s="12">
        <v>60.48</v>
      </c>
      <c r="O31" s="2"/>
      <c r="P31" s="12">
        <v>3.91</v>
      </c>
      <c r="Q31" s="12">
        <v>12.09</v>
      </c>
      <c r="R31" s="12">
        <f>40.92*1.072</f>
        <v>43.866240000000005</v>
      </c>
      <c r="S31" s="12">
        <v>0.61</v>
      </c>
      <c r="T31" s="12">
        <f t="shared" ref="T31" si="15">P31+Q31+R31+S31</f>
        <v>60.476240000000004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49.2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12</v>
      </c>
      <c r="M32" s="17" t="s">
        <v>182</v>
      </c>
      <c r="N32" s="7">
        <f>T32</f>
        <v>324.87168000000003</v>
      </c>
      <c r="O32" s="7"/>
      <c r="P32" s="7">
        <v>6.53</v>
      </c>
      <c r="Q32" s="7">
        <v>51.75</v>
      </c>
      <c r="R32" s="7">
        <f>244.19*1.072</f>
        <v>261.77168</v>
      </c>
      <c r="S32" s="7">
        <v>4.82</v>
      </c>
      <c r="T32" s="12">
        <f t="shared" ref="T32" si="16">SUM(P32:S32)</f>
        <v>324.87168000000003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49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26</v>
      </c>
      <c r="M33" s="17">
        <v>1</v>
      </c>
      <c r="N33" s="12">
        <v>12.5</v>
      </c>
      <c r="O33" s="2"/>
      <c r="P33" s="12">
        <v>0.75</v>
      </c>
      <c r="Q33" s="12">
        <v>1.53</v>
      </c>
      <c r="R33" s="12">
        <v>10.119999999999999</v>
      </c>
      <c r="S33" s="12">
        <v>0.1</v>
      </c>
      <c r="T33" s="12">
        <f t="shared" ref="T33:T34" si="17">P33+Q33+R33+S33</f>
        <v>12.499999999999998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36"/>
      <c r="AJ33" s="5"/>
      <c r="AK33" s="5"/>
      <c r="AL33" s="5"/>
      <c r="AM33" s="5"/>
      <c r="AN33" s="5"/>
      <c r="AO33" s="5"/>
      <c r="AP33" s="5"/>
      <c r="AQ33" s="36"/>
      <c r="AR33" s="5"/>
      <c r="AS33" s="36"/>
      <c r="AT33" s="5"/>
      <c r="AU33" s="5"/>
      <c r="AV33" s="5"/>
      <c r="AW33" s="5"/>
      <c r="AX33" s="5"/>
      <c r="AY33" s="4"/>
      <c r="AZ33" s="7"/>
      <c r="BA33" s="17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49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16</v>
      </c>
      <c r="M34" s="17">
        <v>0.08</v>
      </c>
      <c r="N34" s="12">
        <f>1125*M34</f>
        <v>90</v>
      </c>
      <c r="O34" s="2"/>
      <c r="P34" s="12">
        <f>0.08*N34</f>
        <v>7.2</v>
      </c>
      <c r="Q34" s="12">
        <f>0.86*N34</f>
        <v>77.400000000000006</v>
      </c>
      <c r="R34" s="12"/>
      <c r="S34" s="12">
        <f>0.06*N34</f>
        <v>5.3999999999999995</v>
      </c>
      <c r="T34" s="12">
        <f t="shared" si="17"/>
        <v>90.000000000000014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49" customFormat="1" ht="220.5" customHeight="1" x14ac:dyDescent="0.25">
      <c r="A35" s="38" t="s">
        <v>53</v>
      </c>
      <c r="B35" s="39" t="s">
        <v>75</v>
      </c>
      <c r="C35" s="40">
        <v>466.1</v>
      </c>
      <c r="D35" s="40"/>
      <c r="E35" s="41">
        <v>149</v>
      </c>
      <c r="F35" s="39" t="s">
        <v>97</v>
      </c>
      <c r="G35" s="39" t="s">
        <v>113</v>
      </c>
      <c r="H35" s="39" t="s">
        <v>130</v>
      </c>
      <c r="I35" s="39" t="s">
        <v>164</v>
      </c>
      <c r="J35" s="39" t="s">
        <v>165</v>
      </c>
      <c r="K35" s="41" t="s">
        <v>203</v>
      </c>
      <c r="L35" s="41"/>
      <c r="M35" s="41"/>
      <c r="N35" s="45">
        <f>N36+N37</f>
        <v>75.009999999999991</v>
      </c>
      <c r="O35" s="45">
        <f t="shared" ref="O35:T35" si="18">O36+O37</f>
        <v>0</v>
      </c>
      <c r="P35" s="45">
        <f t="shared" si="18"/>
        <v>5.0724</v>
      </c>
      <c r="Q35" s="45">
        <f t="shared" si="18"/>
        <v>24.731100000000001</v>
      </c>
      <c r="R35" s="45">
        <f t="shared" si="18"/>
        <v>43.866240000000005</v>
      </c>
      <c r="S35" s="45">
        <f t="shared" si="18"/>
        <v>1.3365</v>
      </c>
      <c r="T35" s="45">
        <f t="shared" si="18"/>
        <v>75.006240000000005</v>
      </c>
      <c r="U35" s="43"/>
      <c r="V35" s="43"/>
      <c r="W35" s="43"/>
      <c r="X35" s="43"/>
      <c r="Y35" s="43"/>
      <c r="Z35" s="43"/>
      <c r="AA35" s="43"/>
      <c r="AB35" s="43"/>
      <c r="AC35" s="43">
        <v>0.01</v>
      </c>
      <c r="AD35" s="43">
        <f>T36</f>
        <v>14.530000000000001</v>
      </c>
      <c r="AE35" s="43"/>
      <c r="AF35" s="43"/>
      <c r="AG35" s="43"/>
      <c r="AH35" s="43"/>
      <c r="AI35" s="87">
        <v>1</v>
      </c>
      <c r="AJ35" s="43">
        <f>T37</f>
        <v>60.476240000000004</v>
      </c>
      <c r="AK35" s="43"/>
      <c r="AL35" s="43"/>
      <c r="AM35" s="43"/>
      <c r="AN35" s="43"/>
      <c r="AO35" s="43"/>
      <c r="AP35" s="43"/>
      <c r="AQ35" s="87"/>
      <c r="AR35" s="43"/>
      <c r="AS35" s="87"/>
      <c r="AT35" s="43"/>
      <c r="AU35" s="43"/>
      <c r="AV35" s="43"/>
      <c r="AW35" s="43"/>
      <c r="AX35" s="43"/>
      <c r="AY35" s="41"/>
      <c r="AZ35" s="46"/>
      <c r="BA35" s="86"/>
      <c r="BB35" s="45"/>
      <c r="BC35" s="45"/>
      <c r="BD35" s="43"/>
      <c r="BE35" s="43"/>
      <c r="BF35" s="43"/>
      <c r="BG35" s="43"/>
      <c r="BH35" s="43"/>
      <c r="BI35" s="43"/>
      <c r="BJ35" s="43"/>
      <c r="BK35" s="43">
        <f>AD35+AJ35</f>
        <v>75.006240000000005</v>
      </c>
      <c r="BL35" s="47">
        <v>42666</v>
      </c>
      <c r="BM35" s="43"/>
      <c r="BN35" s="43"/>
      <c r="BO35" s="46"/>
      <c r="BP35" s="46"/>
      <c r="BQ35" s="47"/>
      <c r="BR35" s="48"/>
    </row>
    <row r="36" spans="1:70" s="6" customFormat="1" ht="175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6</v>
      </c>
      <c r="M36" s="5">
        <f>AC35</f>
        <v>0.01</v>
      </c>
      <c r="N36" s="13">
        <f>1453*M36</f>
        <v>14.530000000000001</v>
      </c>
      <c r="O36" s="13"/>
      <c r="P36" s="13">
        <f>0.08*N36</f>
        <v>1.1624000000000001</v>
      </c>
      <c r="Q36" s="13">
        <f>0.87*N36</f>
        <v>12.641100000000002</v>
      </c>
      <c r="R36" s="13"/>
      <c r="S36" s="13">
        <f>0.05*N36</f>
        <v>0.72650000000000015</v>
      </c>
      <c r="T36" s="13">
        <f>P36+Q36+R36+S36</f>
        <v>14.530000000000001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7"/>
      <c r="BB36" s="13"/>
      <c r="BC36" s="13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90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9</v>
      </c>
      <c r="M37" s="5">
        <v>1</v>
      </c>
      <c r="N37" s="13">
        <v>60.48</v>
      </c>
      <c r="O37" s="13"/>
      <c r="P37" s="13">
        <v>3.91</v>
      </c>
      <c r="Q37" s="13">
        <v>12.09</v>
      </c>
      <c r="R37" s="13">
        <f>40.92*1.072</f>
        <v>43.866240000000005</v>
      </c>
      <c r="S37" s="13">
        <v>0.61</v>
      </c>
      <c r="T37" s="13">
        <f t="shared" ref="T37" si="19">P37+Q37+R37+S37</f>
        <v>60.476240000000004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7"/>
      <c r="BB37" s="13"/>
      <c r="BC37" s="13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105" customFormat="1" ht="409.5" customHeight="1" x14ac:dyDescent="0.25">
      <c r="A38" s="94" t="s">
        <v>54</v>
      </c>
      <c r="B38" s="95" t="s">
        <v>76</v>
      </c>
      <c r="C38" s="96">
        <v>466.1</v>
      </c>
      <c r="D38" s="96"/>
      <c r="E38" s="97">
        <v>14.5</v>
      </c>
      <c r="F38" s="95" t="s">
        <v>98</v>
      </c>
      <c r="G38" s="95" t="s">
        <v>113</v>
      </c>
      <c r="H38" s="95" t="s">
        <v>131</v>
      </c>
      <c r="I38" s="95" t="s">
        <v>166</v>
      </c>
      <c r="J38" s="95" t="s">
        <v>167</v>
      </c>
      <c r="K38" s="97" t="s">
        <v>191</v>
      </c>
      <c r="L38" s="97"/>
      <c r="M38" s="97"/>
      <c r="N38" s="106">
        <f>N39+N40+N41+N42+N43</f>
        <v>1592.799696</v>
      </c>
      <c r="O38" s="106">
        <f t="shared" ref="O38:T38" si="20">O39+O40+O41+O42+O43</f>
        <v>0</v>
      </c>
      <c r="P38" s="106">
        <f t="shared" si="20"/>
        <v>94.891199999999998</v>
      </c>
      <c r="Q38" s="106">
        <f t="shared" si="20"/>
        <v>923.43179999999984</v>
      </c>
      <c r="R38" s="106">
        <f t="shared" si="20"/>
        <v>515.39969600000006</v>
      </c>
      <c r="S38" s="106">
        <f t="shared" si="20"/>
        <v>59.076999999999998</v>
      </c>
      <c r="T38" s="106">
        <f t="shared" si="20"/>
        <v>1592.799696</v>
      </c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97">
        <v>0.38</v>
      </c>
      <c r="AF38" s="106">
        <f>T39</f>
        <v>552.13999999999987</v>
      </c>
      <c r="AG38" s="106"/>
      <c r="AH38" s="100"/>
      <c r="AI38" s="98">
        <v>1</v>
      </c>
      <c r="AJ38" s="106">
        <f>T40</f>
        <v>60.476240000000004</v>
      </c>
      <c r="AK38" s="106"/>
      <c r="AL38" s="100"/>
      <c r="AM38" s="100"/>
      <c r="AN38" s="100"/>
      <c r="AO38" s="100"/>
      <c r="AP38" s="100"/>
      <c r="AQ38" s="98" t="s">
        <v>214</v>
      </c>
      <c r="AR38" s="106">
        <f>T41</f>
        <v>540.18345600000009</v>
      </c>
      <c r="AS38" s="98">
        <v>1</v>
      </c>
      <c r="AT38" s="106">
        <f>T42</f>
        <v>12.499999999999998</v>
      </c>
      <c r="AU38" s="100"/>
      <c r="AV38" s="100"/>
      <c r="AW38" s="100"/>
      <c r="AX38" s="100"/>
      <c r="AY38" s="97"/>
      <c r="AZ38" s="103"/>
      <c r="BA38" s="98">
        <v>0.38</v>
      </c>
      <c r="BB38" s="106">
        <f>T43</f>
        <v>427.49999999999994</v>
      </c>
      <c r="BC38" s="106"/>
      <c r="BD38" s="100"/>
      <c r="BE38" s="100"/>
      <c r="BF38" s="100"/>
      <c r="BG38" s="100"/>
      <c r="BH38" s="100"/>
      <c r="BI38" s="100"/>
      <c r="BJ38" s="100"/>
      <c r="BK38" s="100">
        <f>AF38+AJ38+AR38+AT38+BB38</f>
        <v>1592.799696</v>
      </c>
      <c r="BL38" s="102">
        <v>42487</v>
      </c>
      <c r="BM38" s="100"/>
      <c r="BN38" s="100"/>
      <c r="BO38" s="103"/>
      <c r="BP38" s="103"/>
      <c r="BQ38" s="102"/>
      <c r="BR38" s="104"/>
    </row>
    <row r="39" spans="1:70" s="6" customFormat="1" ht="144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7</v>
      </c>
      <c r="M39" s="4">
        <f>AE38</f>
        <v>0.38</v>
      </c>
      <c r="N39" s="13">
        <f>1453*M39</f>
        <v>552.14</v>
      </c>
      <c r="O39" s="13"/>
      <c r="P39" s="13">
        <f>0.08*N39</f>
        <v>44.171199999999999</v>
      </c>
      <c r="Q39" s="13">
        <f>0.87*N39</f>
        <v>480.36179999999996</v>
      </c>
      <c r="R39" s="13"/>
      <c r="S39" s="13">
        <f>0.05*N39</f>
        <v>27.606999999999999</v>
      </c>
      <c r="T39" s="13">
        <f>P39+Q39+R39+S39</f>
        <v>552.13999999999987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4"/>
      <c r="AF39" s="13"/>
      <c r="AG39" s="13"/>
      <c r="AH39" s="5"/>
      <c r="AI39" s="17"/>
      <c r="AJ39" s="13"/>
      <c r="AK39" s="13"/>
      <c r="AL39" s="5"/>
      <c r="AM39" s="5"/>
      <c r="AN39" s="5"/>
      <c r="AO39" s="5"/>
      <c r="AP39" s="5"/>
      <c r="AQ39" s="17"/>
      <c r="AR39" s="13"/>
      <c r="AS39" s="17"/>
      <c r="AT39" s="13"/>
      <c r="AU39" s="5"/>
      <c r="AV39" s="5"/>
      <c r="AW39" s="5"/>
      <c r="AX39" s="5"/>
      <c r="AY39" s="4"/>
      <c r="AZ39" s="7"/>
      <c r="BA39" s="17"/>
      <c r="BB39" s="13"/>
      <c r="BC39" s="13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44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9</v>
      </c>
      <c r="M40" s="4">
        <f>AI38</f>
        <v>1</v>
      </c>
      <c r="N40" s="13">
        <v>60.476240000000004</v>
      </c>
      <c r="O40" s="13"/>
      <c r="P40" s="13">
        <v>3.91</v>
      </c>
      <c r="Q40" s="13">
        <v>12.09</v>
      </c>
      <c r="R40" s="13">
        <v>43.866240000000005</v>
      </c>
      <c r="S40" s="13">
        <v>0.61</v>
      </c>
      <c r="T40" s="13">
        <v>60.476240000000004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4"/>
      <c r="AF40" s="13"/>
      <c r="AG40" s="13"/>
      <c r="AH40" s="5"/>
      <c r="AI40" s="17"/>
      <c r="AJ40" s="13"/>
      <c r="AK40" s="13"/>
      <c r="AL40" s="5"/>
      <c r="AM40" s="5"/>
      <c r="AN40" s="5"/>
      <c r="AO40" s="5"/>
      <c r="AP40" s="5"/>
      <c r="AQ40" s="17"/>
      <c r="AR40" s="13"/>
      <c r="AS40" s="17"/>
      <c r="AT40" s="13"/>
      <c r="AU40" s="5"/>
      <c r="AV40" s="5"/>
      <c r="AW40" s="5"/>
      <c r="AX40" s="5"/>
      <c r="AY40" s="4"/>
      <c r="AZ40" s="7"/>
      <c r="BA40" s="17"/>
      <c r="BB40" s="13"/>
      <c r="BC40" s="13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44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12</v>
      </c>
      <c r="M41" s="4" t="str">
        <f>AQ38</f>
        <v>КТП 250 кВА (с трансформатором 160 кВА)</v>
      </c>
      <c r="N41" s="13">
        <f>P41+Q41+R41+S41</f>
        <v>540.18345600000009</v>
      </c>
      <c r="O41" s="13"/>
      <c r="P41" s="13">
        <v>11.86</v>
      </c>
      <c r="Q41" s="13">
        <v>61.8</v>
      </c>
      <c r="R41" s="13">
        <f>(449.237-162.346+143.532)*1.072</f>
        <v>461.41345600000005</v>
      </c>
      <c r="S41" s="13">
        <v>5.1100000000000003</v>
      </c>
      <c r="T41" s="13">
        <f t="shared" ref="T41:T43" si="21">P41+Q41+R41+S41</f>
        <v>540.18345600000009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13"/>
      <c r="AG41" s="13"/>
      <c r="AH41" s="5"/>
      <c r="AI41" s="17"/>
      <c r="AJ41" s="13"/>
      <c r="AK41" s="13"/>
      <c r="AL41" s="5"/>
      <c r="AM41" s="5"/>
      <c r="AN41" s="5"/>
      <c r="AO41" s="5"/>
      <c r="AP41" s="5"/>
      <c r="AQ41" s="17"/>
      <c r="AR41" s="13"/>
      <c r="AS41" s="17"/>
      <c r="AT41" s="13"/>
      <c r="AU41" s="5"/>
      <c r="AV41" s="5"/>
      <c r="AW41" s="5"/>
      <c r="AX41" s="5"/>
      <c r="AY41" s="4"/>
      <c r="AZ41" s="7"/>
      <c r="BA41" s="1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44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26</v>
      </c>
      <c r="M42" s="4">
        <f>AS38</f>
        <v>1</v>
      </c>
      <c r="N42" s="13">
        <v>12.5</v>
      </c>
      <c r="O42" s="13"/>
      <c r="P42" s="13">
        <v>0.75</v>
      </c>
      <c r="Q42" s="13">
        <v>1.53</v>
      </c>
      <c r="R42" s="13">
        <v>10.119999999999999</v>
      </c>
      <c r="S42" s="13">
        <v>0.1</v>
      </c>
      <c r="T42" s="13">
        <f t="shared" si="21"/>
        <v>12.499999999999998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13"/>
      <c r="AG42" s="13"/>
      <c r="AH42" s="5"/>
      <c r="AI42" s="17"/>
      <c r="AJ42" s="13"/>
      <c r="AK42" s="13"/>
      <c r="AL42" s="5"/>
      <c r="AM42" s="5"/>
      <c r="AN42" s="5"/>
      <c r="AO42" s="5"/>
      <c r="AP42" s="5"/>
      <c r="AQ42" s="17"/>
      <c r="AR42" s="13"/>
      <c r="AS42" s="17"/>
      <c r="AT42" s="13"/>
      <c r="AU42" s="5"/>
      <c r="AV42" s="5"/>
      <c r="AW42" s="5"/>
      <c r="AX42" s="5"/>
      <c r="AY42" s="4"/>
      <c r="AZ42" s="7"/>
      <c r="BA42" s="17"/>
      <c r="BB42" s="13"/>
      <c r="BC42" s="13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4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4">
        <f>BA38</f>
        <v>0.38</v>
      </c>
      <c r="N43" s="13">
        <f>1125*M43</f>
        <v>427.5</v>
      </c>
      <c r="O43" s="13"/>
      <c r="P43" s="13">
        <f>0.08*N43</f>
        <v>34.200000000000003</v>
      </c>
      <c r="Q43" s="13">
        <f>0.86*N43</f>
        <v>367.65</v>
      </c>
      <c r="R43" s="13"/>
      <c r="S43" s="13">
        <f>0.06*N43</f>
        <v>25.65</v>
      </c>
      <c r="T43" s="13">
        <f t="shared" si="21"/>
        <v>427.49999999999994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13"/>
      <c r="AG43" s="13"/>
      <c r="AH43" s="5"/>
      <c r="AI43" s="17"/>
      <c r="AJ43" s="13"/>
      <c r="AK43" s="13"/>
      <c r="AL43" s="5"/>
      <c r="AM43" s="5"/>
      <c r="AN43" s="5"/>
      <c r="AO43" s="5"/>
      <c r="AP43" s="5"/>
      <c r="AQ43" s="17"/>
      <c r="AR43" s="13"/>
      <c r="AS43" s="17"/>
      <c r="AT43" s="13"/>
      <c r="AU43" s="5"/>
      <c r="AV43" s="5"/>
      <c r="AW43" s="5"/>
      <c r="AX43" s="5"/>
      <c r="AY43" s="4"/>
      <c r="AZ43" s="7"/>
      <c r="BA43" s="1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49" customFormat="1" ht="409.5" customHeight="1" x14ac:dyDescent="0.25">
      <c r="A44" s="38" t="s">
        <v>55</v>
      </c>
      <c r="B44" s="39" t="s">
        <v>77</v>
      </c>
      <c r="C44" s="40">
        <v>466.1</v>
      </c>
      <c r="D44" s="40"/>
      <c r="E44" s="41">
        <v>15</v>
      </c>
      <c r="F44" s="39" t="s">
        <v>99</v>
      </c>
      <c r="G44" s="39" t="s">
        <v>114</v>
      </c>
      <c r="H44" s="39" t="s">
        <v>132</v>
      </c>
      <c r="I44" s="39" t="s">
        <v>204</v>
      </c>
      <c r="J44" s="39" t="s">
        <v>168</v>
      </c>
      <c r="K44" s="41" t="s">
        <v>205</v>
      </c>
      <c r="L44" s="41"/>
      <c r="M44" s="41"/>
      <c r="N44" s="45">
        <f>N45+N46+N47+N48+N49</f>
        <v>845.00168000000008</v>
      </c>
      <c r="O44" s="45">
        <f t="shared" ref="O44:T44" si="22">O45+O46+O47+O48+O49</f>
        <v>0</v>
      </c>
      <c r="P44" s="45">
        <f t="shared" si="22"/>
        <v>46.961999999999996</v>
      </c>
      <c r="Q44" s="45">
        <f t="shared" si="22"/>
        <v>454.27799999999996</v>
      </c>
      <c r="R44" s="45">
        <f t="shared" si="22"/>
        <v>315.75792000000001</v>
      </c>
      <c r="S44" s="45">
        <f t="shared" si="22"/>
        <v>28.000000000000004</v>
      </c>
      <c r="T44" s="45">
        <f t="shared" si="22"/>
        <v>844.99792000000002</v>
      </c>
      <c r="U44" s="43"/>
      <c r="V44" s="43"/>
      <c r="W44" s="43"/>
      <c r="X44" s="43"/>
      <c r="Y44" s="43"/>
      <c r="Z44" s="43"/>
      <c r="AA44" s="43"/>
      <c r="AB44" s="43"/>
      <c r="AC44" s="43">
        <v>0.3</v>
      </c>
      <c r="AD44" s="43">
        <f>T45</f>
        <v>435.90000000000003</v>
      </c>
      <c r="AE44" s="43"/>
      <c r="AF44" s="43"/>
      <c r="AG44" s="43"/>
      <c r="AH44" s="43"/>
      <c r="AI44" s="87">
        <v>1</v>
      </c>
      <c r="AJ44" s="43">
        <f>T46</f>
        <v>60.476240000000004</v>
      </c>
      <c r="AK44" s="43"/>
      <c r="AL44" s="43"/>
      <c r="AM44" s="43"/>
      <c r="AN44" s="43"/>
      <c r="AO44" s="43"/>
      <c r="AP44" s="43"/>
      <c r="AQ44" s="87" t="s">
        <v>182</v>
      </c>
      <c r="AR44" s="43">
        <f>T47</f>
        <v>324.87168000000003</v>
      </c>
      <c r="AS44" s="87">
        <v>1</v>
      </c>
      <c r="AT44" s="43">
        <f>T48</f>
        <v>12.499999999999998</v>
      </c>
      <c r="AU44" s="43"/>
      <c r="AV44" s="43"/>
      <c r="AW44" s="43"/>
      <c r="AX44" s="43"/>
      <c r="AY44" s="41"/>
      <c r="AZ44" s="46"/>
      <c r="BA44" s="86">
        <v>0.01</v>
      </c>
      <c r="BB44" s="42">
        <f>T49</f>
        <v>11.250000000000002</v>
      </c>
      <c r="BC44" s="45"/>
      <c r="BD44" s="43"/>
      <c r="BE44" s="43"/>
      <c r="BF44" s="43"/>
      <c r="BG44" s="43"/>
      <c r="BH44" s="43"/>
      <c r="BI44" s="43"/>
      <c r="BJ44" s="43"/>
      <c r="BK44" s="43">
        <f>AD44+AJ44+AR44+AT44+BB44</f>
        <v>844.99792000000002</v>
      </c>
      <c r="BL44" s="47">
        <v>42479</v>
      </c>
      <c r="BM44" s="43"/>
      <c r="BN44" s="43"/>
      <c r="BO44" s="46"/>
      <c r="BP44" s="46"/>
      <c r="BQ44" s="47"/>
      <c r="BR44" s="48"/>
    </row>
    <row r="45" spans="1:70" s="6" customFormat="1" ht="222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6</v>
      </c>
      <c r="M45" s="4">
        <f>AC44</f>
        <v>0.3</v>
      </c>
      <c r="N45" s="13">
        <f>1453*M45</f>
        <v>435.9</v>
      </c>
      <c r="O45" s="13"/>
      <c r="P45" s="13">
        <f>0.08*N45</f>
        <v>34.872</v>
      </c>
      <c r="Q45" s="13">
        <f>0.87*N45</f>
        <v>379.233</v>
      </c>
      <c r="R45" s="13"/>
      <c r="S45" s="13">
        <f>0.05*N45</f>
        <v>21.795000000000002</v>
      </c>
      <c r="T45" s="13">
        <f>P45+Q45+R45+S45</f>
        <v>435.90000000000003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7"/>
      <c r="BB45" s="18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31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9</v>
      </c>
      <c r="M46" s="4">
        <v>1</v>
      </c>
      <c r="N46" s="13">
        <v>60.48</v>
      </c>
      <c r="O46" s="13"/>
      <c r="P46" s="13">
        <v>3.91</v>
      </c>
      <c r="Q46" s="13">
        <v>12.09</v>
      </c>
      <c r="R46" s="13">
        <f>40.92*1.072</f>
        <v>43.866240000000005</v>
      </c>
      <c r="S46" s="13">
        <v>0.61</v>
      </c>
      <c r="T46" s="13">
        <f t="shared" ref="T46" si="23">P46+Q46+R46+S46</f>
        <v>60.476240000000004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7"/>
      <c r="BB46" s="18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71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12</v>
      </c>
      <c r="M47" s="5" t="s">
        <v>182</v>
      </c>
      <c r="N47" s="13">
        <f>T47</f>
        <v>324.87168000000003</v>
      </c>
      <c r="O47" s="13"/>
      <c r="P47" s="13">
        <v>6.53</v>
      </c>
      <c r="Q47" s="13">
        <v>51.75</v>
      </c>
      <c r="R47" s="13">
        <f>244.19*1.072</f>
        <v>261.77168</v>
      </c>
      <c r="S47" s="13">
        <v>4.82</v>
      </c>
      <c r="T47" s="13">
        <f t="shared" ref="T47" si="24">SUM(P47:S47)</f>
        <v>324.87168000000003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7"/>
      <c r="BB47" s="18"/>
      <c r="BC47" s="13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66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26</v>
      </c>
      <c r="M48" s="5">
        <f>AS44</f>
        <v>1</v>
      </c>
      <c r="N48" s="13">
        <v>12.5</v>
      </c>
      <c r="O48" s="13"/>
      <c r="P48" s="13">
        <v>0.75</v>
      </c>
      <c r="Q48" s="13">
        <v>1.53</v>
      </c>
      <c r="R48" s="13">
        <v>10.119999999999999</v>
      </c>
      <c r="S48" s="13">
        <v>0.1</v>
      </c>
      <c r="T48" s="13">
        <f t="shared" ref="T48:T49" si="25">P48+Q48+R48+S48</f>
        <v>12.499999999999998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36"/>
      <c r="AJ48" s="5"/>
      <c r="AK48" s="5"/>
      <c r="AL48" s="5"/>
      <c r="AM48" s="5"/>
      <c r="AN48" s="5"/>
      <c r="AO48" s="5"/>
      <c r="AP48" s="5"/>
      <c r="AQ48" s="36"/>
      <c r="AR48" s="5"/>
      <c r="AS48" s="36"/>
      <c r="AT48" s="5"/>
      <c r="AU48" s="5"/>
      <c r="AV48" s="5"/>
      <c r="AW48" s="5"/>
      <c r="AX48" s="5"/>
      <c r="AY48" s="4"/>
      <c r="AZ48" s="7"/>
      <c r="BA48" s="17"/>
      <c r="BB48" s="18"/>
      <c r="BC48" s="13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74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16</v>
      </c>
      <c r="M49" s="4">
        <f>BA44</f>
        <v>0.01</v>
      </c>
      <c r="N49" s="13">
        <f>1125*M49</f>
        <v>11.25</v>
      </c>
      <c r="O49" s="13"/>
      <c r="P49" s="13">
        <f>0.08*N49</f>
        <v>0.9</v>
      </c>
      <c r="Q49" s="13">
        <f>0.86*N49</f>
        <v>9.6750000000000007</v>
      </c>
      <c r="R49" s="13"/>
      <c r="S49" s="13">
        <f>0.06*N49</f>
        <v>0.67499999999999993</v>
      </c>
      <c r="T49" s="13">
        <f t="shared" si="25"/>
        <v>11.250000000000002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7"/>
      <c r="BB49" s="18"/>
      <c r="BC49" s="13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105" customFormat="1" ht="408.75" customHeight="1" x14ac:dyDescent="0.25">
      <c r="A50" s="94" t="s">
        <v>56</v>
      </c>
      <c r="B50" s="95" t="s">
        <v>78</v>
      </c>
      <c r="C50" s="96">
        <v>466.1</v>
      </c>
      <c r="D50" s="96"/>
      <c r="E50" s="97">
        <v>12</v>
      </c>
      <c r="F50" s="95" t="s">
        <v>100</v>
      </c>
      <c r="G50" s="95" t="s">
        <v>113</v>
      </c>
      <c r="H50" s="95" t="s">
        <v>133</v>
      </c>
      <c r="I50" s="95" t="s">
        <v>169</v>
      </c>
      <c r="J50" s="95" t="s">
        <v>170</v>
      </c>
      <c r="K50" s="97" t="s">
        <v>192</v>
      </c>
      <c r="L50" s="97"/>
      <c r="M50" s="97"/>
      <c r="N50" s="97">
        <f>N51</f>
        <v>123.75</v>
      </c>
      <c r="O50" s="97">
        <f t="shared" ref="O50:T50" si="26">O51</f>
        <v>0</v>
      </c>
      <c r="P50" s="97">
        <f t="shared" si="26"/>
        <v>9.9</v>
      </c>
      <c r="Q50" s="97">
        <f t="shared" si="26"/>
        <v>106.425</v>
      </c>
      <c r="R50" s="97"/>
      <c r="S50" s="97">
        <f t="shared" si="26"/>
        <v>7.4249999999999998</v>
      </c>
      <c r="T50" s="97">
        <f t="shared" si="26"/>
        <v>123.75</v>
      </c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1"/>
      <c r="AJ50" s="100"/>
      <c r="AK50" s="100"/>
      <c r="AL50" s="100"/>
      <c r="AM50" s="100"/>
      <c r="AN50" s="100"/>
      <c r="AO50" s="100"/>
      <c r="AP50" s="100"/>
      <c r="AQ50" s="101"/>
      <c r="AR50" s="100"/>
      <c r="AS50" s="101"/>
      <c r="AT50" s="100"/>
      <c r="AU50" s="100"/>
      <c r="AV50" s="100"/>
      <c r="AW50" s="100"/>
      <c r="AX50" s="100"/>
      <c r="AY50" s="97"/>
      <c r="AZ50" s="103"/>
      <c r="BA50" s="98">
        <v>0.11</v>
      </c>
      <c r="BB50" s="97">
        <f>T51</f>
        <v>123.75</v>
      </c>
      <c r="BC50" s="97"/>
      <c r="BD50" s="100"/>
      <c r="BE50" s="100"/>
      <c r="BF50" s="100"/>
      <c r="BG50" s="100"/>
      <c r="BH50" s="100"/>
      <c r="BI50" s="100"/>
      <c r="BJ50" s="100"/>
      <c r="BK50" s="100">
        <f>BB50</f>
        <v>123.75</v>
      </c>
      <c r="BL50" s="102">
        <v>42488</v>
      </c>
      <c r="BM50" s="100" t="s">
        <v>193</v>
      </c>
      <c r="BN50" s="100"/>
      <c r="BO50" s="103"/>
      <c r="BP50" s="103"/>
      <c r="BQ50" s="102"/>
      <c r="BR50" s="104"/>
    </row>
    <row r="51" spans="1:70" s="6" customFormat="1" ht="146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16</v>
      </c>
      <c r="M51" s="4">
        <f>BA50</f>
        <v>0.11</v>
      </c>
      <c r="N51" s="4">
        <f>1125*M51</f>
        <v>123.75</v>
      </c>
      <c r="O51" s="4"/>
      <c r="P51" s="4">
        <f>0.08*N51</f>
        <v>9.9</v>
      </c>
      <c r="Q51" s="4">
        <f>0.86*N51</f>
        <v>106.425</v>
      </c>
      <c r="R51" s="4"/>
      <c r="S51" s="4">
        <f>0.06*N51</f>
        <v>7.4249999999999998</v>
      </c>
      <c r="T51" s="4">
        <f>P51+Q51+R51+S51</f>
        <v>123.75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7"/>
      <c r="BB51" s="18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105" customFormat="1" ht="408.75" customHeight="1" x14ac:dyDescent="0.25">
      <c r="A52" s="94" t="s">
        <v>57</v>
      </c>
      <c r="B52" s="95" t="s">
        <v>79</v>
      </c>
      <c r="C52" s="96">
        <v>466.1</v>
      </c>
      <c r="D52" s="96"/>
      <c r="E52" s="97">
        <v>12</v>
      </c>
      <c r="F52" s="95" t="s">
        <v>101</v>
      </c>
      <c r="G52" s="95" t="s">
        <v>113</v>
      </c>
      <c r="H52" s="95" t="s">
        <v>134</v>
      </c>
      <c r="I52" s="95" t="s">
        <v>171</v>
      </c>
      <c r="J52" s="95" t="s">
        <v>172</v>
      </c>
      <c r="K52" s="97" t="s">
        <v>192</v>
      </c>
      <c r="L52" s="97"/>
      <c r="M52" s="97"/>
      <c r="N52" s="97">
        <f>N53</f>
        <v>281.25</v>
      </c>
      <c r="O52" s="97">
        <f t="shared" ref="O52:Q52" si="27">O53</f>
        <v>0</v>
      </c>
      <c r="P52" s="97">
        <f t="shared" si="27"/>
        <v>22.5</v>
      </c>
      <c r="Q52" s="97">
        <f t="shared" si="27"/>
        <v>241.875</v>
      </c>
      <c r="R52" s="97"/>
      <c r="S52" s="97">
        <f t="shared" ref="S52:T52" si="28">S53</f>
        <v>16.875</v>
      </c>
      <c r="T52" s="97">
        <f t="shared" si="28"/>
        <v>281.25</v>
      </c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1"/>
      <c r="AJ52" s="100"/>
      <c r="AK52" s="100"/>
      <c r="AL52" s="100"/>
      <c r="AM52" s="100"/>
      <c r="AN52" s="100"/>
      <c r="AO52" s="100"/>
      <c r="AP52" s="100"/>
      <c r="AQ52" s="101"/>
      <c r="AR52" s="100"/>
      <c r="AS52" s="101"/>
      <c r="AT52" s="100"/>
      <c r="AU52" s="100"/>
      <c r="AV52" s="100"/>
      <c r="AW52" s="100"/>
      <c r="AX52" s="100"/>
      <c r="AY52" s="97"/>
      <c r="AZ52" s="103"/>
      <c r="BA52" s="98">
        <v>0.25</v>
      </c>
      <c r="BB52" s="97">
        <f>T53</f>
        <v>281.25</v>
      </c>
      <c r="BC52" s="97"/>
      <c r="BD52" s="100"/>
      <c r="BE52" s="100"/>
      <c r="BF52" s="100"/>
      <c r="BG52" s="100"/>
      <c r="BH52" s="100"/>
      <c r="BI52" s="100"/>
      <c r="BJ52" s="100"/>
      <c r="BK52" s="100">
        <f>BB52</f>
        <v>281.25</v>
      </c>
      <c r="BL52" s="102">
        <v>42488</v>
      </c>
      <c r="BM52" s="100" t="s">
        <v>193</v>
      </c>
      <c r="BN52" s="100"/>
      <c r="BO52" s="103"/>
      <c r="BP52" s="103"/>
      <c r="BQ52" s="102"/>
      <c r="BR52" s="104"/>
    </row>
    <row r="53" spans="1:70" s="6" customFormat="1" ht="156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BA52</f>
        <v>0.25</v>
      </c>
      <c r="N53" s="4">
        <f>1125*M53</f>
        <v>281.25</v>
      </c>
      <c r="O53" s="4"/>
      <c r="P53" s="4">
        <f>0.08*N53</f>
        <v>22.5</v>
      </c>
      <c r="Q53" s="4">
        <f>0.86*N53</f>
        <v>241.875</v>
      </c>
      <c r="R53" s="4"/>
      <c r="S53" s="4">
        <f>0.06*N53</f>
        <v>16.875</v>
      </c>
      <c r="T53" s="4">
        <f>P53+Q53+R53+S53</f>
        <v>281.25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7"/>
      <c r="BB53" s="18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105" customFormat="1" ht="132" customHeight="1" x14ac:dyDescent="0.25">
      <c r="A54" s="94" t="s">
        <v>58</v>
      </c>
      <c r="B54" s="95" t="s">
        <v>80</v>
      </c>
      <c r="C54" s="96">
        <v>466.1</v>
      </c>
      <c r="D54" s="96"/>
      <c r="E54" s="97">
        <v>15</v>
      </c>
      <c r="F54" s="95" t="s">
        <v>102</v>
      </c>
      <c r="G54" s="95" t="s">
        <v>113</v>
      </c>
      <c r="H54" s="95" t="s">
        <v>135</v>
      </c>
      <c r="I54" s="95" t="s">
        <v>173</v>
      </c>
      <c r="J54" s="95" t="s">
        <v>174</v>
      </c>
      <c r="K54" s="97" t="s">
        <v>194</v>
      </c>
      <c r="L54" s="97"/>
      <c r="M54" s="97"/>
      <c r="N54" s="106">
        <f>N55</f>
        <v>112.5</v>
      </c>
      <c r="O54" s="106">
        <f t="shared" ref="O54:Q54" si="29">O55</f>
        <v>0</v>
      </c>
      <c r="P54" s="106">
        <f t="shared" si="29"/>
        <v>9</v>
      </c>
      <c r="Q54" s="106">
        <f t="shared" si="29"/>
        <v>96.75</v>
      </c>
      <c r="R54" s="106"/>
      <c r="S54" s="106">
        <f t="shared" ref="S54:T54" si="30">S55</f>
        <v>6.75</v>
      </c>
      <c r="T54" s="106">
        <f t="shared" si="30"/>
        <v>112.5</v>
      </c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1"/>
      <c r="AJ54" s="100"/>
      <c r="AK54" s="100"/>
      <c r="AL54" s="100"/>
      <c r="AM54" s="100"/>
      <c r="AN54" s="100"/>
      <c r="AO54" s="100"/>
      <c r="AP54" s="100"/>
      <c r="AQ54" s="101"/>
      <c r="AR54" s="100"/>
      <c r="AS54" s="101"/>
      <c r="AT54" s="100"/>
      <c r="AU54" s="100"/>
      <c r="AV54" s="100"/>
      <c r="AW54" s="100"/>
      <c r="AX54" s="100"/>
      <c r="AY54" s="97"/>
      <c r="AZ54" s="103"/>
      <c r="BA54" s="98">
        <v>0.1</v>
      </c>
      <c r="BB54" s="106">
        <f>T55</f>
        <v>112.5</v>
      </c>
      <c r="BC54" s="106"/>
      <c r="BD54" s="100"/>
      <c r="BE54" s="100"/>
      <c r="BF54" s="100"/>
      <c r="BG54" s="100"/>
      <c r="BH54" s="100"/>
      <c r="BI54" s="100"/>
      <c r="BJ54" s="100"/>
      <c r="BK54" s="100">
        <f>BB54</f>
        <v>112.5</v>
      </c>
      <c r="BL54" s="102">
        <v>42487</v>
      </c>
      <c r="BM54" s="100"/>
      <c r="BN54" s="100"/>
      <c r="BO54" s="103"/>
      <c r="BP54" s="103"/>
      <c r="BQ54" s="102"/>
      <c r="BR54" s="104"/>
    </row>
    <row r="55" spans="1:70" s="6" customFormat="1" ht="132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0.1</v>
      </c>
      <c r="N55" s="13">
        <f>1125*M55</f>
        <v>112.5</v>
      </c>
      <c r="O55" s="13"/>
      <c r="P55" s="13">
        <f>0.08*N55</f>
        <v>9</v>
      </c>
      <c r="Q55" s="13">
        <f>0.86*N55</f>
        <v>96.75</v>
      </c>
      <c r="R55" s="13"/>
      <c r="S55" s="13">
        <f>0.06*N55</f>
        <v>6.75</v>
      </c>
      <c r="T55" s="13">
        <f>P55+Q55+R55+S55</f>
        <v>112.5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7"/>
      <c r="BB55" s="18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105" customFormat="1" ht="246.75" customHeight="1" x14ac:dyDescent="0.25">
      <c r="A56" s="94" t="s">
        <v>59</v>
      </c>
      <c r="B56" s="95" t="s">
        <v>81</v>
      </c>
      <c r="C56" s="96">
        <v>466.1</v>
      </c>
      <c r="D56" s="96"/>
      <c r="E56" s="97">
        <v>15</v>
      </c>
      <c r="F56" s="95" t="s">
        <v>103</v>
      </c>
      <c r="G56" s="95" t="s">
        <v>117</v>
      </c>
      <c r="H56" s="95" t="s">
        <v>136</v>
      </c>
      <c r="I56" s="95" t="s">
        <v>175</v>
      </c>
      <c r="J56" s="95" t="s">
        <v>176</v>
      </c>
      <c r="K56" s="97" t="s">
        <v>185</v>
      </c>
      <c r="L56" s="97"/>
      <c r="M56" s="97"/>
      <c r="N56" s="103">
        <f>N57+N58</f>
        <v>219.0496</v>
      </c>
      <c r="O56" s="97"/>
      <c r="P56" s="103">
        <f t="shared" ref="P56:T56" si="31">P57+P58</f>
        <v>10.39</v>
      </c>
      <c r="Q56" s="103">
        <f t="shared" si="31"/>
        <v>84.454999999999998</v>
      </c>
      <c r="R56" s="103">
        <f t="shared" si="31"/>
        <v>118.50959999999999</v>
      </c>
      <c r="S56" s="103">
        <f t="shared" si="31"/>
        <v>5.6950000000000003</v>
      </c>
      <c r="T56" s="103">
        <f t="shared" si="31"/>
        <v>219.0496</v>
      </c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1"/>
      <c r="AJ56" s="100"/>
      <c r="AK56" s="100"/>
      <c r="AL56" s="100"/>
      <c r="AM56" s="100"/>
      <c r="AN56" s="100"/>
      <c r="AO56" s="100"/>
      <c r="AP56" s="100"/>
      <c r="AQ56" s="101"/>
      <c r="AR56" s="100"/>
      <c r="AS56" s="101"/>
      <c r="AT56" s="100"/>
      <c r="AU56" s="100"/>
      <c r="AV56" s="100"/>
      <c r="AW56" s="100"/>
      <c r="AX56" s="100"/>
      <c r="AY56" s="97" t="s">
        <v>186</v>
      </c>
      <c r="AZ56" s="103">
        <f>T57</f>
        <v>162.7996</v>
      </c>
      <c r="BA56" s="98">
        <v>0.05</v>
      </c>
      <c r="BB56" s="103">
        <f>T58</f>
        <v>56.25</v>
      </c>
      <c r="BC56" s="103"/>
      <c r="BD56" s="100"/>
      <c r="BE56" s="100"/>
      <c r="BF56" s="100"/>
      <c r="BG56" s="100"/>
      <c r="BH56" s="100"/>
      <c r="BI56" s="100"/>
      <c r="BJ56" s="100"/>
      <c r="BK56" s="100">
        <f>AZ56+BB56</f>
        <v>219.0496</v>
      </c>
      <c r="BL56" s="102">
        <v>42458</v>
      </c>
      <c r="BM56" s="100"/>
      <c r="BN56" s="100"/>
      <c r="BO56" s="103"/>
      <c r="BP56" s="103"/>
      <c r="BQ56" s="102"/>
      <c r="BR56" s="104"/>
    </row>
    <row r="57" spans="1:70" s="6" customFormat="1" ht="327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15</v>
      </c>
      <c r="M57" s="4" t="s">
        <v>186</v>
      </c>
      <c r="N57" s="7">
        <f>T57</f>
        <v>162.7996</v>
      </c>
      <c r="O57" s="7"/>
      <c r="P57" s="7">
        <f>5.89</f>
        <v>5.89</v>
      </c>
      <c r="Q57" s="7">
        <f>36.08</f>
        <v>36.08</v>
      </c>
      <c r="R57" s="7">
        <f>(84.58*1.072)+(25.97*1.072)</f>
        <v>118.50959999999999</v>
      </c>
      <c r="S57" s="7">
        <f>1.52+0.8</f>
        <v>2.3200000000000003</v>
      </c>
      <c r="T57" s="7">
        <f>SUM(P57:S57)</f>
        <v>162.7996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21"/>
      <c r="BB57" s="22"/>
      <c r="BC57" s="13"/>
      <c r="BD57" s="5"/>
      <c r="BE57" s="5"/>
      <c r="BF57" s="5"/>
      <c r="BG57" s="5"/>
      <c r="BH57" s="5"/>
      <c r="BI57" s="5"/>
      <c r="BJ57" s="5"/>
      <c r="BK57" s="37"/>
      <c r="BL57" s="8"/>
      <c r="BM57" s="5"/>
      <c r="BN57" s="5"/>
      <c r="BO57" s="7"/>
      <c r="BP57" s="7"/>
      <c r="BQ57" s="8"/>
      <c r="BR57" s="9"/>
    </row>
    <row r="58" spans="1:70" s="6" customFormat="1" ht="184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17">
        <v>0.05</v>
      </c>
      <c r="N58" s="12">
        <f>1125*M58</f>
        <v>56.25</v>
      </c>
      <c r="O58" s="2"/>
      <c r="P58" s="12">
        <f>0.08*N58</f>
        <v>4.5</v>
      </c>
      <c r="Q58" s="12">
        <f>0.86*N58</f>
        <v>48.375</v>
      </c>
      <c r="R58" s="12"/>
      <c r="S58" s="12">
        <f>0.06*N58</f>
        <v>3.375</v>
      </c>
      <c r="T58" s="12">
        <f t="shared" ref="T58" si="32">P58+Q58+R58+S58</f>
        <v>56.25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36"/>
      <c r="AJ58" s="5"/>
      <c r="AK58" s="5"/>
      <c r="AL58" s="5"/>
      <c r="AM58" s="5"/>
      <c r="AN58" s="5"/>
      <c r="AO58" s="5"/>
      <c r="AP58" s="5"/>
      <c r="AQ58" s="36"/>
      <c r="AR58" s="5"/>
      <c r="AS58" s="36"/>
      <c r="AT58" s="5"/>
      <c r="AU58" s="5"/>
      <c r="AV58" s="5"/>
      <c r="AW58" s="5"/>
      <c r="AX58" s="5"/>
      <c r="AY58" s="4"/>
      <c r="AZ58" s="7"/>
      <c r="BA58" s="21"/>
      <c r="BB58" s="22"/>
      <c r="BC58" s="13"/>
      <c r="BD58" s="5"/>
      <c r="BE58" s="5"/>
      <c r="BF58" s="5"/>
      <c r="BG58" s="5"/>
      <c r="BH58" s="5"/>
      <c r="BI58" s="5"/>
      <c r="BJ58" s="5"/>
      <c r="BK58" s="37"/>
      <c r="BL58" s="8"/>
      <c r="BM58" s="5"/>
      <c r="BN58" s="5"/>
      <c r="BO58" s="7"/>
      <c r="BP58" s="7"/>
      <c r="BQ58" s="8"/>
      <c r="BR58" s="9"/>
    </row>
    <row r="59" spans="1:70" s="105" customFormat="1" ht="345" x14ac:dyDescent="0.25">
      <c r="A59" s="94" t="s">
        <v>60</v>
      </c>
      <c r="B59" s="95" t="s">
        <v>82</v>
      </c>
      <c r="C59" s="96">
        <v>466.1</v>
      </c>
      <c r="D59" s="96"/>
      <c r="E59" s="97">
        <v>6</v>
      </c>
      <c r="F59" s="95" t="s">
        <v>104</v>
      </c>
      <c r="G59" s="95" t="s">
        <v>118</v>
      </c>
      <c r="H59" s="95" t="s">
        <v>137</v>
      </c>
      <c r="I59" s="95" t="s">
        <v>207</v>
      </c>
      <c r="J59" s="95" t="s">
        <v>208</v>
      </c>
      <c r="K59" s="97" t="s">
        <v>209</v>
      </c>
      <c r="L59" s="97"/>
      <c r="M59" s="97"/>
      <c r="N59" s="106">
        <f t="shared" ref="N59:S59" si="33">N64+N63+N62+N61+N60</f>
        <v>1501.93</v>
      </c>
      <c r="O59" s="106">
        <f t="shared" si="33"/>
        <v>0</v>
      </c>
      <c r="P59" s="106">
        <f t="shared" si="33"/>
        <v>89.070000000000007</v>
      </c>
      <c r="Q59" s="106">
        <f t="shared" si="33"/>
        <v>865.52250000000004</v>
      </c>
      <c r="R59" s="106">
        <f t="shared" si="33"/>
        <v>490.27952000000005</v>
      </c>
      <c r="S59" s="106">
        <f t="shared" si="33"/>
        <v>57.057499999999997</v>
      </c>
      <c r="T59" s="106">
        <f>T64+T63+T62+T61+T60</f>
        <v>1501.9295200000001</v>
      </c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>
        <v>0.25</v>
      </c>
      <c r="AF59" s="100">
        <f>T60</f>
        <v>363.25</v>
      </c>
      <c r="AG59" s="100"/>
      <c r="AH59" s="100"/>
      <c r="AI59" s="101">
        <v>1</v>
      </c>
      <c r="AJ59" s="100">
        <f>T61</f>
        <v>60.476240000000004</v>
      </c>
      <c r="AK59" s="100"/>
      <c r="AL59" s="100"/>
      <c r="AM59" s="100"/>
      <c r="AN59" s="100"/>
      <c r="AO59" s="100"/>
      <c r="AP59" s="100"/>
      <c r="AQ59" s="101" t="s">
        <v>212</v>
      </c>
      <c r="AR59" s="100">
        <f>T62</f>
        <v>514.45328000000006</v>
      </c>
      <c r="AS59" s="101">
        <v>1</v>
      </c>
      <c r="AT59" s="100">
        <f>T63</f>
        <v>12.499999999999998</v>
      </c>
      <c r="AU59" s="100"/>
      <c r="AV59" s="100"/>
      <c r="AW59" s="100"/>
      <c r="AX59" s="100"/>
      <c r="AY59" s="97"/>
      <c r="AZ59" s="103"/>
      <c r="BA59" s="98">
        <v>0.49</v>
      </c>
      <c r="BB59" s="97">
        <f>T64</f>
        <v>551.25</v>
      </c>
      <c r="BC59" s="97"/>
      <c r="BD59" s="100"/>
      <c r="BE59" s="100"/>
      <c r="BF59" s="100"/>
      <c r="BG59" s="100"/>
      <c r="BH59" s="100"/>
      <c r="BI59" s="100"/>
      <c r="BJ59" s="100"/>
      <c r="BK59" s="100">
        <f>BB59+AT59+AR59+AJ59+AF59</f>
        <v>1501.9295200000001</v>
      </c>
      <c r="BL59" s="102">
        <v>42487</v>
      </c>
      <c r="BM59" s="100"/>
      <c r="BN59" s="100"/>
      <c r="BO59" s="103"/>
      <c r="BP59" s="103"/>
      <c r="BQ59" s="102"/>
      <c r="BR59" s="104"/>
    </row>
    <row r="60" spans="1:70" s="84" customFormat="1" ht="147" customHeight="1" x14ac:dyDescent="0.25">
      <c r="A60" s="74"/>
      <c r="B60" s="75"/>
      <c r="C60" s="76"/>
      <c r="D60" s="76"/>
      <c r="E60" s="77"/>
      <c r="F60" s="75"/>
      <c r="G60" s="75"/>
      <c r="H60" s="75"/>
      <c r="I60" s="75"/>
      <c r="J60" s="75"/>
      <c r="K60" s="77"/>
      <c r="L60" s="77" t="s">
        <v>215</v>
      </c>
      <c r="M60" s="78">
        <f>AE59</f>
        <v>0.25</v>
      </c>
      <c r="N60" s="85">
        <f>1453*M60</f>
        <v>363.25</v>
      </c>
      <c r="O60" s="85"/>
      <c r="P60" s="85">
        <f>0.08*N60</f>
        <v>29.060000000000002</v>
      </c>
      <c r="Q60" s="85">
        <f>0.87*N60</f>
        <v>316.02749999999997</v>
      </c>
      <c r="R60" s="85"/>
      <c r="S60" s="85">
        <f>0.05*N60</f>
        <v>18.162500000000001</v>
      </c>
      <c r="T60" s="85">
        <f>P60+Q60+R60+S60</f>
        <v>363.25</v>
      </c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9"/>
      <c r="AJ60" s="78"/>
      <c r="AK60" s="78"/>
      <c r="AL60" s="78"/>
      <c r="AM60" s="78"/>
      <c r="AN60" s="78"/>
      <c r="AO60" s="78"/>
      <c r="AP60" s="78"/>
      <c r="AQ60" s="79"/>
      <c r="AR60" s="78"/>
      <c r="AS60" s="79"/>
      <c r="AT60" s="78"/>
      <c r="AU60" s="78"/>
      <c r="AV60" s="78"/>
      <c r="AW60" s="78"/>
      <c r="AX60" s="78"/>
      <c r="AY60" s="77"/>
      <c r="AZ60" s="80"/>
      <c r="BA60" s="81"/>
      <c r="BB60" s="77"/>
      <c r="BC60" s="77"/>
      <c r="BD60" s="78"/>
      <c r="BE60" s="78"/>
      <c r="BF60" s="78"/>
      <c r="BG60" s="78"/>
      <c r="BH60" s="78"/>
      <c r="BI60" s="78"/>
      <c r="BJ60" s="78"/>
      <c r="BK60" s="78"/>
      <c r="BL60" s="82"/>
      <c r="BM60" s="78"/>
      <c r="BN60" s="78"/>
      <c r="BO60" s="80"/>
      <c r="BP60" s="80"/>
      <c r="BQ60" s="82"/>
      <c r="BR60" s="83"/>
    </row>
    <row r="61" spans="1:70" s="84" customFormat="1" ht="147" customHeight="1" x14ac:dyDescent="0.25">
      <c r="A61" s="74"/>
      <c r="B61" s="75"/>
      <c r="C61" s="76"/>
      <c r="D61" s="76"/>
      <c r="E61" s="77"/>
      <c r="F61" s="75"/>
      <c r="G61" s="75"/>
      <c r="H61" s="75"/>
      <c r="I61" s="75"/>
      <c r="J61" s="75"/>
      <c r="K61" s="77"/>
      <c r="L61" s="77" t="s">
        <v>9</v>
      </c>
      <c r="M61" s="78">
        <v>1</v>
      </c>
      <c r="N61" s="85">
        <v>60.48</v>
      </c>
      <c r="O61" s="85"/>
      <c r="P61" s="85">
        <v>3.91</v>
      </c>
      <c r="Q61" s="85">
        <v>12.09</v>
      </c>
      <c r="R61" s="85">
        <v>43.866240000000005</v>
      </c>
      <c r="S61" s="85">
        <v>0.61</v>
      </c>
      <c r="T61" s="85">
        <v>60.476240000000004</v>
      </c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9"/>
      <c r="AJ61" s="78"/>
      <c r="AK61" s="78"/>
      <c r="AL61" s="78"/>
      <c r="AM61" s="78"/>
      <c r="AN61" s="78"/>
      <c r="AO61" s="78"/>
      <c r="AP61" s="78"/>
      <c r="AQ61" s="79"/>
      <c r="AR61" s="78"/>
      <c r="AS61" s="79"/>
      <c r="AT61" s="78"/>
      <c r="AU61" s="78"/>
      <c r="AV61" s="78"/>
      <c r="AW61" s="78"/>
      <c r="AX61" s="78"/>
      <c r="AY61" s="77"/>
      <c r="AZ61" s="80"/>
      <c r="BA61" s="81"/>
      <c r="BB61" s="77"/>
      <c r="BC61" s="77"/>
      <c r="BD61" s="78"/>
      <c r="BE61" s="78"/>
      <c r="BF61" s="78"/>
      <c r="BG61" s="78"/>
      <c r="BH61" s="78"/>
      <c r="BI61" s="78"/>
      <c r="BJ61" s="78"/>
      <c r="BK61" s="78"/>
      <c r="BL61" s="82"/>
      <c r="BM61" s="78"/>
      <c r="BN61" s="78"/>
      <c r="BO61" s="80"/>
      <c r="BP61" s="80"/>
      <c r="BQ61" s="82"/>
      <c r="BR61" s="83"/>
    </row>
    <row r="62" spans="1:70" s="84" customFormat="1" ht="147" customHeight="1" x14ac:dyDescent="0.25">
      <c r="A62" s="74"/>
      <c r="B62" s="75"/>
      <c r="C62" s="76"/>
      <c r="D62" s="76"/>
      <c r="E62" s="77"/>
      <c r="F62" s="75"/>
      <c r="G62" s="75"/>
      <c r="H62" s="75"/>
      <c r="I62" s="75"/>
      <c r="J62" s="75"/>
      <c r="K62" s="77"/>
      <c r="L62" s="77" t="s">
        <v>12</v>
      </c>
      <c r="M62" s="78" t="str">
        <f>AQ59</f>
        <v>КТП 160 кВА</v>
      </c>
      <c r="N62" s="85">
        <v>514.45000000000005</v>
      </c>
      <c r="O62" s="85"/>
      <c r="P62" s="85">
        <v>11.25</v>
      </c>
      <c r="Q62" s="85">
        <v>61.8</v>
      </c>
      <c r="R62" s="85">
        <f>406.99*1.072</f>
        <v>436.29328000000004</v>
      </c>
      <c r="S62" s="85">
        <v>5.1100000000000003</v>
      </c>
      <c r="T62" s="85">
        <f>P62+Q62+R62+S62</f>
        <v>514.45328000000006</v>
      </c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9"/>
      <c r="AJ62" s="78"/>
      <c r="AK62" s="78"/>
      <c r="AL62" s="78"/>
      <c r="AM62" s="78"/>
      <c r="AN62" s="78"/>
      <c r="AO62" s="78"/>
      <c r="AP62" s="78"/>
      <c r="AQ62" s="79"/>
      <c r="AR62" s="78"/>
      <c r="AS62" s="79"/>
      <c r="AT62" s="78"/>
      <c r="AU62" s="78"/>
      <c r="AV62" s="78"/>
      <c r="AW62" s="78"/>
      <c r="AX62" s="78"/>
      <c r="AY62" s="77"/>
      <c r="AZ62" s="80"/>
      <c r="BA62" s="81"/>
      <c r="BB62" s="77"/>
      <c r="BC62" s="77"/>
      <c r="BD62" s="78"/>
      <c r="BE62" s="78"/>
      <c r="BF62" s="78"/>
      <c r="BG62" s="78"/>
      <c r="BH62" s="78"/>
      <c r="BI62" s="78"/>
      <c r="BJ62" s="78"/>
      <c r="BK62" s="78"/>
      <c r="BL62" s="82"/>
      <c r="BM62" s="78"/>
      <c r="BN62" s="78"/>
      <c r="BO62" s="80"/>
      <c r="BP62" s="80"/>
      <c r="BQ62" s="82"/>
      <c r="BR62" s="83"/>
    </row>
    <row r="63" spans="1:70" s="84" customFormat="1" ht="137.25" customHeight="1" x14ac:dyDescent="0.25">
      <c r="A63" s="74"/>
      <c r="B63" s="75"/>
      <c r="C63" s="76"/>
      <c r="D63" s="76"/>
      <c r="E63" s="77"/>
      <c r="F63" s="75"/>
      <c r="G63" s="75"/>
      <c r="H63" s="75"/>
      <c r="I63" s="75"/>
      <c r="J63" s="75"/>
      <c r="K63" s="77"/>
      <c r="L63" s="77" t="s">
        <v>26</v>
      </c>
      <c r="M63" s="78">
        <f>AS59</f>
        <v>1</v>
      </c>
      <c r="N63" s="85">
        <v>12.5</v>
      </c>
      <c r="O63" s="85"/>
      <c r="P63" s="85">
        <v>0.75</v>
      </c>
      <c r="Q63" s="85">
        <v>1.53</v>
      </c>
      <c r="R63" s="85">
        <v>10.119999999999999</v>
      </c>
      <c r="S63" s="85">
        <v>0.1</v>
      </c>
      <c r="T63" s="85">
        <f t="shared" ref="T63:T64" si="34">P63+Q63+R63+S63</f>
        <v>12.499999999999998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9"/>
      <c r="AJ63" s="78"/>
      <c r="AK63" s="78"/>
      <c r="AL63" s="78"/>
      <c r="AM63" s="78"/>
      <c r="AN63" s="78"/>
      <c r="AO63" s="78"/>
      <c r="AP63" s="78"/>
      <c r="AQ63" s="79"/>
      <c r="AR63" s="78"/>
      <c r="AS63" s="79"/>
      <c r="AT63" s="78"/>
      <c r="AU63" s="78"/>
      <c r="AV63" s="78"/>
      <c r="AW63" s="78"/>
      <c r="AX63" s="78"/>
      <c r="AY63" s="77"/>
      <c r="AZ63" s="80"/>
      <c r="BA63" s="81"/>
      <c r="BB63" s="77"/>
      <c r="BC63" s="77"/>
      <c r="BD63" s="78"/>
      <c r="BE63" s="78"/>
      <c r="BF63" s="78"/>
      <c r="BG63" s="78"/>
      <c r="BH63" s="78"/>
      <c r="BI63" s="78"/>
      <c r="BJ63" s="78"/>
      <c r="BK63" s="78"/>
      <c r="BL63" s="82"/>
      <c r="BM63" s="78"/>
      <c r="BN63" s="78"/>
      <c r="BO63" s="80"/>
      <c r="BP63" s="80"/>
      <c r="BQ63" s="82"/>
      <c r="BR63" s="83"/>
    </row>
    <row r="64" spans="1:70" s="6" customFormat="1" ht="137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 t="s">
        <v>16</v>
      </c>
      <c r="M64" s="4">
        <f>BA59</f>
        <v>0.49</v>
      </c>
      <c r="N64" s="13">
        <f>1125*M64</f>
        <v>551.25</v>
      </c>
      <c r="O64" s="13"/>
      <c r="P64" s="13">
        <f>0.08*N64</f>
        <v>44.1</v>
      </c>
      <c r="Q64" s="13">
        <f>0.86*N64</f>
        <v>474.07499999999999</v>
      </c>
      <c r="R64" s="13"/>
      <c r="S64" s="13">
        <f>0.06*N64</f>
        <v>33.074999999999996</v>
      </c>
      <c r="T64" s="85">
        <f t="shared" si="34"/>
        <v>551.25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36"/>
      <c r="AJ64" s="5"/>
      <c r="AK64" s="5"/>
      <c r="AL64" s="5"/>
      <c r="AM64" s="5"/>
      <c r="AN64" s="5"/>
      <c r="AO64" s="5"/>
      <c r="AP64" s="5"/>
      <c r="AQ64" s="36"/>
      <c r="AR64" s="5"/>
      <c r="AS64" s="36"/>
      <c r="AT64" s="5"/>
      <c r="AU64" s="5"/>
      <c r="AV64" s="5"/>
      <c r="AW64" s="5"/>
      <c r="AX64" s="5"/>
      <c r="AY64" s="4"/>
      <c r="AZ64" s="7"/>
      <c r="BA64" s="21"/>
      <c r="BB64" s="22"/>
      <c r="BC64" s="4"/>
      <c r="BD64" s="5"/>
      <c r="BE64" s="5"/>
      <c r="BF64" s="5"/>
      <c r="BG64" s="5"/>
      <c r="BH64" s="5"/>
      <c r="BI64" s="5"/>
      <c r="BJ64" s="5"/>
      <c r="BK64" s="37"/>
      <c r="BL64" s="8"/>
      <c r="BM64" s="5"/>
      <c r="BN64" s="5"/>
      <c r="BO64" s="7"/>
      <c r="BP64" s="7"/>
      <c r="BQ64" s="8"/>
      <c r="BR64" s="9"/>
    </row>
    <row r="65" spans="1:70" s="105" customFormat="1" ht="379.5" x14ac:dyDescent="0.25">
      <c r="A65" s="94" t="s">
        <v>61</v>
      </c>
      <c r="B65" s="95" t="s">
        <v>83</v>
      </c>
      <c r="C65" s="96">
        <v>466.1</v>
      </c>
      <c r="D65" s="96"/>
      <c r="E65" s="97">
        <v>6</v>
      </c>
      <c r="F65" s="95" t="s">
        <v>105</v>
      </c>
      <c r="G65" s="95" t="s">
        <v>118</v>
      </c>
      <c r="H65" s="95" t="s">
        <v>138</v>
      </c>
      <c r="I65" s="95" t="s">
        <v>210</v>
      </c>
      <c r="J65" s="95" t="s">
        <v>211</v>
      </c>
      <c r="K65" s="97" t="s">
        <v>209</v>
      </c>
      <c r="L65" s="97"/>
      <c r="M65" s="97"/>
      <c r="N65" s="107"/>
      <c r="O65" s="107"/>
      <c r="P65" s="107"/>
      <c r="Q65" s="107"/>
      <c r="R65" s="107"/>
      <c r="S65" s="107"/>
      <c r="T65" s="107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1"/>
      <c r="AJ65" s="100"/>
      <c r="AK65" s="100"/>
      <c r="AL65" s="100"/>
      <c r="AM65" s="100"/>
      <c r="AN65" s="100"/>
      <c r="AO65" s="100"/>
      <c r="AP65" s="100"/>
      <c r="AQ65" s="101"/>
      <c r="AR65" s="100"/>
      <c r="AS65" s="101"/>
      <c r="AT65" s="100"/>
      <c r="AU65" s="100"/>
      <c r="AV65" s="100"/>
      <c r="AW65" s="100"/>
      <c r="AX65" s="100"/>
      <c r="AY65" s="97"/>
      <c r="AZ65" s="103"/>
      <c r="BA65" s="108"/>
      <c r="BB65" s="109"/>
      <c r="BC65" s="97"/>
      <c r="BD65" s="100"/>
      <c r="BE65" s="100"/>
      <c r="BF65" s="100"/>
      <c r="BG65" s="100"/>
      <c r="BH65" s="100"/>
      <c r="BI65" s="100"/>
      <c r="BJ65" s="100"/>
      <c r="BK65" s="110"/>
      <c r="BL65" s="102">
        <v>42487</v>
      </c>
      <c r="BM65" s="100" t="s">
        <v>213</v>
      </c>
      <c r="BN65" s="100"/>
      <c r="BO65" s="103"/>
      <c r="BP65" s="103"/>
      <c r="BQ65" s="102"/>
      <c r="BR65" s="104"/>
    </row>
    <row r="66" spans="1:70" s="105" customFormat="1" ht="184.5" customHeight="1" x14ac:dyDescent="0.25">
      <c r="A66" s="94" t="s">
        <v>62</v>
      </c>
      <c r="B66" s="95" t="s">
        <v>84</v>
      </c>
      <c r="C66" s="96">
        <v>466.1</v>
      </c>
      <c r="D66" s="96"/>
      <c r="E66" s="97">
        <v>6</v>
      </c>
      <c r="F66" s="95" t="s">
        <v>106</v>
      </c>
      <c r="G66" s="95" t="s">
        <v>118</v>
      </c>
      <c r="H66" s="95" t="s">
        <v>139</v>
      </c>
      <c r="I66" s="95" t="s">
        <v>178</v>
      </c>
      <c r="J66" s="95" t="s">
        <v>177</v>
      </c>
      <c r="K66" s="97" t="s">
        <v>195</v>
      </c>
      <c r="L66" s="97"/>
      <c r="M66" s="97"/>
      <c r="N66" s="97">
        <f>N67</f>
        <v>360</v>
      </c>
      <c r="O66" s="97">
        <f t="shared" ref="O66:Q66" si="35">O67</f>
        <v>0</v>
      </c>
      <c r="P66" s="97">
        <f t="shared" si="35"/>
        <v>28.8</v>
      </c>
      <c r="Q66" s="97">
        <f t="shared" si="35"/>
        <v>309.60000000000002</v>
      </c>
      <c r="R66" s="97"/>
      <c r="S66" s="97">
        <f t="shared" ref="S66:T66" si="36">S67</f>
        <v>21.599999999999998</v>
      </c>
      <c r="T66" s="97">
        <f t="shared" si="36"/>
        <v>360.00000000000006</v>
      </c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1"/>
      <c r="AJ66" s="100"/>
      <c r="AK66" s="100"/>
      <c r="AL66" s="100"/>
      <c r="AM66" s="100"/>
      <c r="AN66" s="100"/>
      <c r="AO66" s="100"/>
      <c r="AP66" s="100"/>
      <c r="AQ66" s="101"/>
      <c r="AR66" s="100"/>
      <c r="AS66" s="101"/>
      <c r="AT66" s="100"/>
      <c r="AU66" s="100"/>
      <c r="AV66" s="100"/>
      <c r="AW66" s="100"/>
      <c r="AX66" s="100"/>
      <c r="AY66" s="97"/>
      <c r="AZ66" s="103"/>
      <c r="BA66" s="98">
        <v>0.32</v>
      </c>
      <c r="BB66" s="97">
        <f>T67</f>
        <v>360.00000000000006</v>
      </c>
      <c r="BC66" s="97"/>
      <c r="BD66" s="100"/>
      <c r="BE66" s="100"/>
      <c r="BF66" s="100"/>
      <c r="BG66" s="97"/>
      <c r="BH66" s="103"/>
      <c r="BI66" s="103"/>
      <c r="BJ66" s="100"/>
      <c r="BK66" s="100">
        <f>BB66</f>
        <v>360.00000000000006</v>
      </c>
      <c r="BL66" s="102">
        <v>42487</v>
      </c>
      <c r="BM66" s="100" t="s">
        <v>196</v>
      </c>
      <c r="BN66" s="100"/>
      <c r="BO66" s="103"/>
      <c r="BP66" s="103"/>
      <c r="BQ66" s="102"/>
      <c r="BR66" s="104"/>
    </row>
    <row r="67" spans="1:70" s="6" customFormat="1" ht="184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 t="s">
        <v>16</v>
      </c>
      <c r="M67" s="4">
        <f>BA66</f>
        <v>0.32</v>
      </c>
      <c r="N67" s="4">
        <f>1125*M67</f>
        <v>360</v>
      </c>
      <c r="O67" s="4"/>
      <c r="P67" s="4">
        <f>0.08*N67</f>
        <v>28.8</v>
      </c>
      <c r="Q67" s="4">
        <f>0.86*N67</f>
        <v>309.60000000000002</v>
      </c>
      <c r="R67" s="4"/>
      <c r="S67" s="4">
        <f>0.06*N67</f>
        <v>21.599999999999998</v>
      </c>
      <c r="T67" s="4">
        <f>P67+Q67+R67+S67</f>
        <v>360.00000000000006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36"/>
      <c r="AJ67" s="5"/>
      <c r="AK67" s="5"/>
      <c r="AL67" s="5"/>
      <c r="AM67" s="5"/>
      <c r="AN67" s="5"/>
      <c r="AO67" s="5"/>
      <c r="AP67" s="5"/>
      <c r="AQ67" s="36"/>
      <c r="AR67" s="5"/>
      <c r="AS67" s="36"/>
      <c r="AT67" s="5"/>
      <c r="AU67" s="5"/>
      <c r="AV67" s="5"/>
      <c r="AW67" s="5"/>
      <c r="AX67" s="5"/>
      <c r="AY67" s="4"/>
      <c r="AZ67" s="7"/>
      <c r="BA67" s="23"/>
      <c r="BB67" s="22"/>
      <c r="BC67" s="4"/>
      <c r="BD67" s="5"/>
      <c r="BE67" s="5"/>
      <c r="BF67" s="5"/>
      <c r="BG67" s="4"/>
      <c r="BH67" s="7"/>
      <c r="BI67" s="7"/>
      <c r="BJ67" s="5"/>
      <c r="BK67" s="37"/>
      <c r="BL67" s="8"/>
      <c r="BM67" s="5"/>
      <c r="BN67" s="5"/>
      <c r="BO67" s="7"/>
      <c r="BP67" s="7"/>
      <c r="BQ67" s="8"/>
      <c r="BR67" s="9"/>
    </row>
    <row r="68" spans="1:70" s="58" customFormat="1" ht="184.5" customHeight="1" x14ac:dyDescent="0.25">
      <c r="A68" s="50"/>
      <c r="B68" s="51"/>
      <c r="C68" s="52"/>
      <c r="D68" s="52"/>
      <c r="E68" s="53"/>
      <c r="F68" s="51"/>
      <c r="G68" s="51"/>
      <c r="H68" s="51"/>
      <c r="I68" s="51"/>
      <c r="J68" s="91" t="s">
        <v>206</v>
      </c>
      <c r="K68" s="92"/>
      <c r="L68" s="92"/>
      <c r="M68" s="92"/>
      <c r="N68" s="93">
        <f>N3+N5+N7+N11+N13+N15+N17+N23+N29+N35+N38+N44+N50+N52+N54+N56+N59+N66</f>
        <v>8627.4622560000007</v>
      </c>
      <c r="O68" s="93">
        <f t="shared" ref="O68:BB68" si="37">O3+O5+O7+O11+O13+O15+O17+O23+O29+O35+O38+O44+O50+O52+O54+O56+O59+O66</f>
        <v>0</v>
      </c>
      <c r="P68" s="93">
        <f t="shared" si="37"/>
        <v>535.56919999999991</v>
      </c>
      <c r="Q68" s="93">
        <f t="shared" si="37"/>
        <v>5298.5900499999998</v>
      </c>
      <c r="R68" s="93">
        <f t="shared" si="37"/>
        <v>2437.786736</v>
      </c>
      <c r="S68" s="93">
        <f t="shared" si="37"/>
        <v>355.50075000000004</v>
      </c>
      <c r="T68" s="93">
        <f t="shared" si="37"/>
        <v>8627.4467359999999</v>
      </c>
      <c r="U68" s="93"/>
      <c r="V68" s="93"/>
      <c r="W68" s="93"/>
      <c r="X68" s="93"/>
      <c r="Y68" s="93"/>
      <c r="Z68" s="93"/>
      <c r="AA68" s="93"/>
      <c r="AB68" s="93"/>
      <c r="AC68" s="93"/>
      <c r="AD68" s="93">
        <f t="shared" si="37"/>
        <v>486.75500000000005</v>
      </c>
      <c r="AE68" s="93"/>
      <c r="AF68" s="93">
        <f t="shared" si="37"/>
        <v>1264.1099999999999</v>
      </c>
      <c r="AG68" s="93"/>
      <c r="AH68" s="93"/>
      <c r="AI68" s="93"/>
      <c r="AJ68" s="93">
        <f t="shared" si="37"/>
        <v>423.33368000000007</v>
      </c>
      <c r="AK68" s="93"/>
      <c r="AL68" s="93"/>
      <c r="AM68" s="93"/>
      <c r="AN68" s="93"/>
      <c r="AO68" s="93"/>
      <c r="AP68" s="93"/>
      <c r="AQ68" s="93"/>
      <c r="AR68" s="93">
        <f t="shared" si="37"/>
        <v>2354.1234560000003</v>
      </c>
      <c r="AS68" s="93"/>
      <c r="AT68" s="93">
        <f t="shared" si="37"/>
        <v>74.999999999999986</v>
      </c>
      <c r="AU68" s="93"/>
      <c r="AV68" s="93"/>
      <c r="AW68" s="93"/>
      <c r="AX68" s="93"/>
      <c r="AY68" s="93"/>
      <c r="AZ68" s="93">
        <f t="shared" si="37"/>
        <v>170.99959999999999</v>
      </c>
      <c r="BA68" s="93"/>
      <c r="BB68" s="93">
        <f t="shared" si="37"/>
        <v>3673.125</v>
      </c>
      <c r="BC68" s="93"/>
      <c r="BD68" s="93"/>
      <c r="BE68" s="93"/>
      <c r="BF68" s="93"/>
      <c r="BG68" s="93"/>
      <c r="BH68" s="93"/>
      <c r="BI68" s="93"/>
      <c r="BJ68" s="93"/>
      <c r="BK68" s="93">
        <f>BK3+BK5+BK7+BK10+BK13+BK15+BK17+BK23+BK29+BK35+BK38+BK44+BK50+BK52+BK54+BK56+BK59+BK66</f>
        <v>8627.4467359999999</v>
      </c>
      <c r="BL68" s="56"/>
      <c r="BM68" s="54"/>
      <c r="BN68" s="54"/>
      <c r="BO68" s="55"/>
      <c r="BP68" s="55"/>
      <c r="BQ68" s="56"/>
      <c r="BR68" s="57"/>
    </row>
    <row r="69" spans="1:70" s="6" customFormat="1" ht="184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6"/>
      <c r="AJ69" s="5"/>
      <c r="AK69" s="5"/>
      <c r="AL69" s="5"/>
      <c r="AM69" s="5"/>
      <c r="AN69" s="5"/>
      <c r="AO69" s="5"/>
      <c r="AP69" s="5"/>
      <c r="AQ69" s="36"/>
      <c r="AR69" s="5"/>
      <c r="AS69" s="36"/>
      <c r="AT69" s="5"/>
      <c r="AU69" s="5"/>
      <c r="AV69" s="5"/>
      <c r="AW69" s="5"/>
      <c r="AX69" s="5"/>
      <c r="AY69" s="4"/>
      <c r="AZ69" s="7"/>
      <c r="BA69" s="1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12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7"/>
      <c r="O70" s="7"/>
      <c r="P70" s="7"/>
      <c r="Q70" s="7"/>
      <c r="R70" s="7"/>
      <c r="S70" s="7"/>
      <c r="T70" s="7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17"/>
      <c r="BB70" s="7"/>
      <c r="BC70" s="7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409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7"/>
      <c r="O71" s="4"/>
      <c r="P71" s="7"/>
      <c r="Q71" s="7"/>
      <c r="R71" s="7"/>
      <c r="S71" s="7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17"/>
      <c r="BB71" s="7"/>
      <c r="BC71" s="7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86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17"/>
      <c r="N72" s="12"/>
      <c r="O72" s="2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6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22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4"/>
      <c r="O73" s="4"/>
      <c r="P73" s="4"/>
      <c r="Q73" s="4"/>
      <c r="R73" s="4"/>
      <c r="S73" s="4"/>
      <c r="T73" s="4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17"/>
      <c r="BB73" s="7"/>
      <c r="BC73" s="7"/>
      <c r="BD73" s="5"/>
      <c r="BE73" s="5"/>
      <c r="BF73" s="5"/>
      <c r="BG73" s="5"/>
      <c r="BH73" s="5"/>
      <c r="BI73" s="4"/>
      <c r="BJ73" s="7"/>
      <c r="BK73" s="7"/>
      <c r="BL73" s="8"/>
      <c r="BM73" s="5"/>
      <c r="BN73" s="5"/>
      <c r="BO73" s="7"/>
      <c r="BP73" s="7"/>
      <c r="BQ73" s="8"/>
      <c r="BR73" s="9"/>
    </row>
    <row r="74" spans="1:70" s="6" customFormat="1" ht="222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36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22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36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257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7"/>
      <c r="O76" s="4"/>
      <c r="P76" s="7"/>
      <c r="Q76" s="7"/>
      <c r="R76" s="7"/>
      <c r="S76" s="7"/>
      <c r="T76" s="7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17"/>
      <c r="BB76" s="7"/>
      <c r="BC76" s="7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82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36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29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36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40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7"/>
      <c r="AI79" s="17"/>
      <c r="AJ79" s="7"/>
      <c r="AK79" s="7"/>
      <c r="AL79" s="5"/>
      <c r="AM79" s="5"/>
      <c r="AN79" s="5"/>
      <c r="AO79" s="5"/>
      <c r="AP79" s="5"/>
      <c r="AQ79" s="17"/>
      <c r="AR79" s="7"/>
      <c r="AS79" s="17"/>
      <c r="AT79" s="7"/>
      <c r="AU79" s="5"/>
      <c r="AV79" s="5"/>
      <c r="AW79" s="5"/>
      <c r="AX79" s="5"/>
      <c r="AY79" s="4"/>
      <c r="AZ79" s="7"/>
      <c r="BA79" s="17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1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4"/>
      <c r="AH80" s="7"/>
      <c r="AI80" s="7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4"/>
      <c r="AZ80" s="7"/>
      <c r="BA80" s="1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1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7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4"/>
      <c r="AH81" s="7"/>
      <c r="AI81" s="7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4"/>
      <c r="AZ81" s="7"/>
      <c r="BA81" s="17"/>
      <c r="BB81" s="7"/>
      <c r="BC81" s="7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41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17"/>
      <c r="N82" s="7"/>
      <c r="O82" s="7"/>
      <c r="P82" s="7"/>
      <c r="Q82" s="7"/>
      <c r="R82" s="7"/>
      <c r="S82" s="7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4"/>
      <c r="AH82" s="7"/>
      <c r="AI82" s="7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4"/>
      <c r="AZ82" s="7"/>
      <c r="BA82" s="17"/>
      <c r="BB82" s="7"/>
      <c r="BC82" s="7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41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17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4"/>
      <c r="AH83" s="7"/>
      <c r="AI83" s="7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4"/>
      <c r="AZ83" s="7"/>
      <c r="BA83" s="1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17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4"/>
      <c r="AH84" s="7"/>
      <c r="AI84" s="7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7"/>
      <c r="BA84" s="1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0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4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1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0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7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36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01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4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1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20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1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36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9.6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4"/>
      <c r="Q89" s="4"/>
      <c r="R89" s="4"/>
      <c r="S89" s="4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36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0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4"/>
      <c r="P90" s="4"/>
      <c r="Q90" s="4"/>
      <c r="R90" s="4"/>
      <c r="S90" s="4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36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01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4"/>
      <c r="AH91" s="7"/>
      <c r="AI91" s="7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4"/>
      <c r="AZ91" s="7"/>
      <c r="BA91" s="1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0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7"/>
      <c r="O92" s="4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36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201.7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4"/>
      <c r="Q93" s="4"/>
      <c r="R93" s="4"/>
      <c r="S93" s="4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1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17"/>
      <c r="N94" s="12"/>
      <c r="O94" s="2"/>
      <c r="P94" s="12"/>
      <c r="Q94" s="12"/>
      <c r="R94" s="12"/>
      <c r="S94" s="12"/>
      <c r="T94" s="12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36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5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17"/>
      <c r="BB95" s="13"/>
      <c r="BC95" s="13"/>
      <c r="BD95" s="5"/>
      <c r="BE95" s="5"/>
      <c r="BF95" s="5"/>
      <c r="BG95" s="4"/>
      <c r="BH95" s="18"/>
      <c r="BI95" s="13"/>
      <c r="BJ95" s="5"/>
      <c r="BK95" s="37"/>
      <c r="BL95" s="8"/>
      <c r="BM95" s="5"/>
      <c r="BN95" s="5"/>
      <c r="BO95" s="7"/>
      <c r="BP95" s="7"/>
      <c r="BQ95" s="8"/>
      <c r="BR95" s="9"/>
    </row>
    <row r="96" spans="1:70" s="6" customFormat="1" ht="244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13"/>
      <c r="Q96" s="13"/>
      <c r="R96" s="13"/>
      <c r="S96" s="13"/>
      <c r="T96" s="13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17"/>
      <c r="BB96" s="24"/>
      <c r="BC96" s="13"/>
      <c r="BD96" s="5"/>
      <c r="BE96" s="5"/>
      <c r="BF96" s="5"/>
      <c r="BG96" s="4"/>
      <c r="BH96" s="18"/>
      <c r="BI96" s="13"/>
      <c r="BJ96" s="5"/>
      <c r="BK96" s="37"/>
      <c r="BL96" s="8"/>
      <c r="BM96" s="5"/>
      <c r="BN96" s="5"/>
      <c r="BO96" s="7"/>
      <c r="BP96" s="7"/>
      <c r="BQ96" s="8"/>
      <c r="BR96" s="9"/>
    </row>
    <row r="97" spans="1:70" s="6" customFormat="1" ht="219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8"/>
      <c r="O97" s="18"/>
      <c r="P97" s="18"/>
      <c r="Q97" s="18"/>
      <c r="R97" s="18"/>
      <c r="S97" s="18"/>
      <c r="T97" s="18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23"/>
      <c r="BB97" s="25"/>
      <c r="BC97" s="26"/>
      <c r="BD97" s="5"/>
      <c r="BE97" s="5"/>
      <c r="BF97" s="5"/>
      <c r="BG97" s="5"/>
      <c r="BH97" s="5"/>
      <c r="BI97" s="5"/>
      <c r="BJ97" s="5"/>
      <c r="BK97" s="37"/>
      <c r="BL97" s="8"/>
      <c r="BM97" s="5"/>
      <c r="BN97" s="5"/>
      <c r="BO97" s="7"/>
      <c r="BP97" s="7"/>
      <c r="BQ97" s="8"/>
      <c r="BR97" s="9"/>
    </row>
    <row r="98" spans="1:70" s="6" customFormat="1" ht="219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17"/>
      <c r="BB98" s="13"/>
      <c r="BC98" s="13"/>
      <c r="BD98" s="5"/>
      <c r="BE98" s="5"/>
      <c r="BF98" s="5"/>
      <c r="BG98" s="5"/>
      <c r="BH98" s="5"/>
      <c r="BI98" s="5"/>
      <c r="BJ98" s="5"/>
      <c r="BK98" s="37"/>
      <c r="BL98" s="8"/>
      <c r="BM98" s="5"/>
      <c r="BN98" s="5"/>
      <c r="BO98" s="7"/>
      <c r="BP98" s="7"/>
      <c r="BQ98" s="8"/>
      <c r="BR98" s="9"/>
    </row>
    <row r="99" spans="1:70" s="6" customFormat="1" ht="219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23"/>
      <c r="BB99" s="25"/>
      <c r="BC99" s="26"/>
      <c r="BD99" s="5"/>
      <c r="BE99" s="5"/>
      <c r="BF99" s="5"/>
      <c r="BG99" s="5"/>
      <c r="BH99" s="5"/>
      <c r="BI99" s="5"/>
      <c r="BJ99" s="5"/>
      <c r="BK99" s="37"/>
      <c r="BL99" s="8"/>
      <c r="BM99" s="5"/>
      <c r="BN99" s="5"/>
      <c r="BO99" s="7"/>
      <c r="BP99" s="7"/>
      <c r="BQ99" s="8"/>
      <c r="BR99" s="9"/>
    </row>
    <row r="100" spans="1:70" s="6" customFormat="1" ht="409.6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17"/>
      <c r="BB100" s="13"/>
      <c r="BC100" s="4"/>
      <c r="BD100" s="5"/>
      <c r="BE100" s="5"/>
      <c r="BF100" s="5"/>
      <c r="BG100" s="5"/>
      <c r="BH100" s="5"/>
      <c r="BI100" s="5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409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3"/>
      <c r="O101" s="13"/>
      <c r="P101" s="13"/>
      <c r="Q101" s="13"/>
      <c r="R101" s="13"/>
      <c r="S101" s="13"/>
      <c r="T101" s="13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13"/>
      <c r="AG101" s="13"/>
      <c r="AH101" s="5"/>
      <c r="AI101" s="17"/>
      <c r="AJ101" s="13"/>
      <c r="AK101" s="13"/>
      <c r="AL101" s="5"/>
      <c r="AM101" s="5"/>
      <c r="AN101" s="5"/>
      <c r="AO101" s="5"/>
      <c r="AP101" s="5"/>
      <c r="AQ101" s="17"/>
      <c r="AR101" s="13"/>
      <c r="AS101" s="17"/>
      <c r="AT101" s="13"/>
      <c r="AU101" s="5"/>
      <c r="AV101" s="5"/>
      <c r="AW101" s="5"/>
      <c r="AX101" s="5"/>
      <c r="AY101" s="5"/>
      <c r="AZ101" s="5"/>
      <c r="BA101" s="17"/>
      <c r="BB101" s="13"/>
      <c r="BC101" s="13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137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3"/>
      <c r="BB102" s="25"/>
      <c r="BC102" s="26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137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3"/>
      <c r="BB103" s="25"/>
      <c r="BC103" s="26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137.2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23"/>
      <c r="BB104" s="25"/>
      <c r="BC104" s="26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137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23"/>
      <c r="BB105" s="25"/>
      <c r="BC105" s="26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37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23"/>
      <c r="BB106" s="25"/>
      <c r="BC106" s="26"/>
      <c r="BD106" s="5"/>
      <c r="BE106" s="5"/>
      <c r="BF106" s="5"/>
      <c r="BG106" s="5"/>
      <c r="BH106" s="5"/>
      <c r="BI106" s="5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291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4"/>
      <c r="AZ107" s="5"/>
      <c r="BA107" s="17"/>
      <c r="BB107" s="13"/>
      <c r="BC107" s="4"/>
      <c r="BD107" s="7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291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4"/>
      <c r="AZ108" s="5"/>
      <c r="BA108" s="17"/>
      <c r="BB108" s="20"/>
      <c r="BC108" s="4"/>
      <c r="BD108" s="7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97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7"/>
      <c r="P109" s="7"/>
      <c r="Q109" s="7"/>
      <c r="R109" s="7"/>
      <c r="S109" s="7"/>
      <c r="T109" s="4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17"/>
      <c r="BB109" s="4"/>
      <c r="BC109" s="4"/>
      <c r="BD109" s="5"/>
      <c r="BE109" s="5"/>
      <c r="BF109" s="5"/>
      <c r="BG109" s="5"/>
      <c r="BH109" s="5"/>
      <c r="BI109" s="5"/>
      <c r="BJ109" s="5"/>
      <c r="BK109" s="37"/>
      <c r="BL109" s="8"/>
      <c r="BM109" s="5"/>
      <c r="BN109" s="5"/>
      <c r="BO109" s="7"/>
      <c r="BP109" s="7"/>
      <c r="BQ109" s="8"/>
      <c r="BR109" s="9"/>
    </row>
    <row r="110" spans="1:70" s="6" customFormat="1" ht="19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7"/>
      <c r="P110" s="7"/>
      <c r="Q110" s="7"/>
      <c r="R110" s="7"/>
      <c r="S110" s="7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21"/>
      <c r="BB110" s="26"/>
      <c r="BC110" s="26"/>
      <c r="BD110" s="5"/>
      <c r="BE110" s="5"/>
      <c r="BF110" s="5"/>
      <c r="BG110" s="5"/>
      <c r="BH110" s="5"/>
      <c r="BI110" s="5"/>
      <c r="BJ110" s="5"/>
      <c r="BK110" s="37"/>
      <c r="BL110" s="8"/>
      <c r="BM110" s="5"/>
      <c r="BN110" s="5"/>
      <c r="BO110" s="7"/>
      <c r="BP110" s="7"/>
      <c r="BQ110" s="8"/>
      <c r="BR110" s="9"/>
    </row>
    <row r="111" spans="1:70" s="6" customFormat="1" ht="279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27"/>
      <c r="O111" s="27"/>
      <c r="P111" s="27"/>
      <c r="Q111" s="27"/>
      <c r="R111" s="27"/>
      <c r="S111" s="27"/>
      <c r="T111" s="2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17"/>
      <c r="BB111" s="18"/>
      <c r="BC111" s="18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7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7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17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2" s="6" customFormat="1" ht="129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9"/>
      <c r="BB113" s="13"/>
      <c r="BC113" s="13"/>
      <c r="BD113" s="5"/>
      <c r="BE113" s="5"/>
      <c r="BF113" s="5"/>
      <c r="BG113" s="5"/>
      <c r="BH113" s="5"/>
      <c r="BI113" s="5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2" s="6" customFormat="1" ht="187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13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17"/>
      <c r="BB114" s="7"/>
      <c r="BC114" s="7"/>
      <c r="BD114" s="5"/>
      <c r="BE114" s="5"/>
      <c r="BF114" s="5"/>
      <c r="BG114" s="5"/>
      <c r="BH114" s="5"/>
      <c r="BI114" s="5"/>
      <c r="BJ114" s="7"/>
      <c r="BK114" s="7"/>
      <c r="BL114" s="8"/>
      <c r="BM114" s="5"/>
      <c r="BN114" s="5"/>
      <c r="BO114" s="5"/>
      <c r="BP114" s="5"/>
      <c r="BQ114" s="7"/>
      <c r="BR114" s="8"/>
      <c r="BS114" s="9"/>
      <c r="BT114" s="14"/>
    </row>
    <row r="115" spans="1:72" s="6" customFormat="1" ht="187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17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7"/>
      <c r="BK115" s="7"/>
      <c r="BL115" s="8"/>
      <c r="BM115" s="9"/>
      <c r="BN115" s="5"/>
      <c r="BO115" s="5"/>
      <c r="BP115" s="5"/>
      <c r="BQ115" s="7"/>
      <c r="BR115" s="8"/>
      <c r="BS115" s="9"/>
      <c r="BT115" s="14"/>
    </row>
    <row r="116" spans="1:72" s="6" customFormat="1" ht="409.6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7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7"/>
      <c r="AS116" s="5"/>
      <c r="AT116" s="7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7"/>
      <c r="BK116" s="7"/>
      <c r="BL116" s="8"/>
      <c r="BM116" s="9"/>
      <c r="BN116" s="5"/>
      <c r="BO116" s="5"/>
      <c r="BP116" s="5"/>
      <c r="BQ116" s="7"/>
      <c r="BR116" s="8"/>
      <c r="BS116" s="9"/>
      <c r="BT116" s="14"/>
    </row>
    <row r="117" spans="1:72" s="6" customFormat="1" ht="40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17"/>
      <c r="BB117" s="7"/>
      <c r="BC117" s="7"/>
      <c r="BD117" s="5"/>
      <c r="BE117" s="5"/>
      <c r="BF117" s="5"/>
      <c r="BG117" s="5"/>
      <c r="BH117" s="5"/>
      <c r="BI117" s="5"/>
      <c r="BJ117" s="7"/>
      <c r="BK117" s="7"/>
      <c r="BL117" s="8"/>
      <c r="BM117" s="9"/>
      <c r="BN117" s="5"/>
      <c r="BO117" s="5"/>
      <c r="BP117" s="5"/>
      <c r="BQ117" s="7"/>
      <c r="BR117" s="8"/>
      <c r="BS117" s="9"/>
      <c r="BT117" s="14"/>
    </row>
    <row r="118" spans="1:72" s="6" customFormat="1" ht="194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7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7"/>
      <c r="BK118" s="7"/>
      <c r="BL118" s="8"/>
      <c r="BM118" s="9"/>
      <c r="BN118" s="15"/>
      <c r="BO118" s="15"/>
      <c r="BP118" s="15"/>
      <c r="BQ118" s="16"/>
      <c r="BR118" s="10"/>
      <c r="BS118" s="15"/>
      <c r="BT118" s="14"/>
    </row>
    <row r="119" spans="1:72" s="6" customFormat="1" ht="219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7"/>
      <c r="BL119" s="8"/>
      <c r="BM119" s="9"/>
      <c r="BN119" s="15"/>
      <c r="BO119" s="15"/>
      <c r="BP119" s="15"/>
      <c r="BQ119" s="16"/>
      <c r="BR119" s="10"/>
      <c r="BS119" s="15"/>
      <c r="BT119" s="14"/>
    </row>
    <row r="120" spans="1:72" s="6" customFormat="1" ht="198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2"/>
      <c r="L120" s="4"/>
      <c r="M120" s="5"/>
      <c r="N120" s="20"/>
      <c r="O120" s="20"/>
      <c r="P120" s="20"/>
      <c r="Q120" s="20"/>
      <c r="R120" s="20"/>
      <c r="S120" s="20"/>
      <c r="T120" s="20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7"/>
      <c r="BK120" s="13"/>
      <c r="BL120" s="8"/>
      <c r="BM120" s="9"/>
      <c r="BN120" s="5"/>
      <c r="BO120" s="5"/>
      <c r="BP120" s="5"/>
      <c r="BQ120" s="7"/>
      <c r="BR120" s="8"/>
      <c r="BS120" s="9"/>
      <c r="BT120" s="14"/>
    </row>
    <row r="121" spans="1:72" s="6" customFormat="1" ht="198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2"/>
      <c r="L121" s="4"/>
      <c r="M121" s="5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7"/>
      <c r="BK121" s="13"/>
      <c r="BL121" s="8"/>
      <c r="BM121" s="9"/>
      <c r="BN121" s="5"/>
      <c r="BO121" s="5"/>
      <c r="BP121" s="5"/>
      <c r="BQ121" s="7"/>
      <c r="BR121" s="8"/>
      <c r="BS121" s="9"/>
      <c r="BT121" s="14"/>
    </row>
    <row r="122" spans="1:72" s="6" customFormat="1" ht="198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2"/>
      <c r="L122" s="4"/>
      <c r="M122" s="5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7"/>
      <c r="BK122" s="13"/>
      <c r="BL122" s="8"/>
      <c r="BM122" s="9"/>
      <c r="BN122" s="5"/>
      <c r="BO122" s="5"/>
      <c r="BP122" s="5"/>
      <c r="BQ122" s="7"/>
      <c r="BR122" s="8"/>
      <c r="BS122" s="9"/>
      <c r="BT122" s="14"/>
    </row>
    <row r="123" spans="1:72" s="6" customFormat="1" ht="146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2"/>
      <c r="L123" s="4"/>
      <c r="M123" s="5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7"/>
      <c r="BK123" s="13"/>
      <c r="BL123" s="8"/>
      <c r="BM123" s="9"/>
      <c r="BN123" s="5"/>
      <c r="BO123" s="5"/>
      <c r="BP123" s="5"/>
      <c r="BQ123" s="7"/>
      <c r="BR123" s="8"/>
      <c r="BS123" s="9"/>
      <c r="BT123" s="14"/>
    </row>
    <row r="124" spans="1:72" s="6" customFormat="1" ht="227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2"/>
      <c r="L124" s="4"/>
      <c r="M124" s="5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7"/>
      <c r="BK124" s="13"/>
      <c r="BL124" s="8"/>
      <c r="BM124" s="9"/>
      <c r="BN124" s="5"/>
      <c r="BO124" s="5"/>
      <c r="BP124" s="5"/>
      <c r="BQ124" s="7"/>
      <c r="BR124" s="8"/>
      <c r="BS124" s="9"/>
      <c r="BT124" s="14"/>
    </row>
    <row r="125" spans="1:72" s="6" customFormat="1" ht="154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2"/>
      <c r="L125" s="4"/>
      <c r="M125" s="5"/>
      <c r="N125" s="12"/>
      <c r="O125" s="1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7"/>
      <c r="BK125" s="13"/>
      <c r="BL125" s="8"/>
      <c r="BM125" s="9"/>
      <c r="BN125" s="5"/>
      <c r="BO125" s="5"/>
      <c r="BP125" s="5"/>
      <c r="BQ125" s="7"/>
      <c r="BR125" s="8"/>
      <c r="BS125" s="9"/>
      <c r="BT125" s="14"/>
    </row>
    <row r="126" spans="1:72" s="6" customFormat="1" ht="15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2"/>
      <c r="L126" s="4"/>
      <c r="M126" s="5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7"/>
      <c r="BK126" s="13"/>
      <c r="BL126" s="8"/>
      <c r="BM126" s="9"/>
      <c r="BN126" s="15"/>
      <c r="BO126" s="15"/>
      <c r="BP126" s="15"/>
      <c r="BQ126" s="16"/>
      <c r="BR126" s="10"/>
      <c r="BS126" s="15"/>
      <c r="BT126" s="14"/>
    </row>
    <row r="127" spans="1:72" s="6" customFormat="1" ht="182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2"/>
      <c r="L127" s="4"/>
      <c r="M127" s="5"/>
      <c r="N127" s="7"/>
      <c r="O127" s="7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7"/>
      <c r="BJ127" s="5"/>
      <c r="BK127" s="7"/>
      <c r="BL127" s="8"/>
      <c r="BM127" s="9"/>
      <c r="BN127" s="15"/>
      <c r="BO127" s="15"/>
      <c r="BP127" s="15"/>
      <c r="BQ127" s="16"/>
      <c r="BR127" s="10"/>
      <c r="BS127" s="15"/>
      <c r="BT127" s="14"/>
    </row>
    <row r="128" spans="1:72" s="6" customFormat="1" ht="182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2"/>
      <c r="L128" s="4"/>
      <c r="M128" s="5"/>
      <c r="N128" s="7"/>
      <c r="O128" s="7"/>
      <c r="P128" s="7"/>
      <c r="Q128" s="7"/>
      <c r="R128" s="7"/>
      <c r="S128" s="7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7"/>
      <c r="BL128" s="8"/>
      <c r="BM128" s="9"/>
      <c r="BN128" s="15"/>
      <c r="BO128" s="15"/>
      <c r="BP128" s="15"/>
      <c r="BQ128" s="16"/>
      <c r="BR128" s="10"/>
      <c r="BS128" s="15"/>
      <c r="BT128" s="14"/>
    </row>
    <row r="129" spans="1:70" s="6" customFormat="1" ht="31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2"/>
      <c r="L129" s="4"/>
      <c r="M129" s="5"/>
      <c r="N129" s="12"/>
      <c r="O129" s="1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36"/>
      <c r="BB129" s="5"/>
      <c r="BC129" s="5"/>
      <c r="BD129" s="7"/>
      <c r="BE129" s="5"/>
      <c r="BF129" s="5"/>
      <c r="BG129" s="5"/>
      <c r="BH129" s="5"/>
      <c r="BI129" s="7"/>
      <c r="BJ129" s="5"/>
      <c r="BK129" s="13"/>
      <c r="BL129" s="8"/>
      <c r="BM129" s="9"/>
      <c r="BN129" s="10"/>
    </row>
    <row r="130" spans="1:70" s="6" customFormat="1" ht="174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2"/>
      <c r="L130" s="4"/>
      <c r="M130" s="5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7"/>
      <c r="BE130" s="5"/>
      <c r="BF130" s="5"/>
      <c r="BG130" s="5"/>
      <c r="BH130" s="5"/>
      <c r="BI130" s="7"/>
      <c r="BJ130" s="5"/>
      <c r="BK130" s="13"/>
      <c r="BL130" s="8"/>
      <c r="BM130" s="9"/>
      <c r="BN130" s="10"/>
    </row>
    <row r="131" spans="1:70" s="6" customFormat="1" ht="167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2"/>
      <c r="L131" s="4"/>
      <c r="M131" s="5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36"/>
      <c r="BB131" s="5"/>
      <c r="BC131" s="5"/>
      <c r="BD131" s="7"/>
      <c r="BE131" s="5"/>
      <c r="BF131" s="5"/>
      <c r="BG131" s="5"/>
      <c r="BH131" s="5"/>
      <c r="BI131" s="7"/>
      <c r="BJ131" s="5"/>
      <c r="BK131" s="13"/>
      <c r="BL131" s="8"/>
      <c r="BM131" s="9"/>
      <c r="BN131" s="10"/>
    </row>
    <row r="132" spans="1:70" s="6" customFormat="1" ht="167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2"/>
      <c r="L132" s="4"/>
      <c r="M132" s="5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7"/>
      <c r="BE132" s="5"/>
      <c r="BF132" s="5"/>
      <c r="BG132" s="5"/>
      <c r="BH132" s="5"/>
      <c r="BI132" s="7"/>
      <c r="BJ132" s="5"/>
      <c r="BK132" s="13"/>
      <c r="BL132" s="8"/>
      <c r="BM132" s="9"/>
      <c r="BN132" s="10"/>
    </row>
    <row r="133" spans="1:70" s="6" customFormat="1" ht="167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2"/>
      <c r="L133" s="4"/>
      <c r="M133" s="5"/>
      <c r="N133" s="7"/>
      <c r="O133" s="7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7"/>
      <c r="BE133" s="5"/>
      <c r="BF133" s="5"/>
      <c r="BG133" s="5"/>
      <c r="BH133" s="5"/>
      <c r="BI133" s="7"/>
      <c r="BJ133" s="5"/>
      <c r="BK133" s="13"/>
      <c r="BL133" s="8"/>
      <c r="BM133" s="9"/>
      <c r="BN133" s="10"/>
    </row>
    <row r="134" spans="1:70" s="6" customFormat="1" ht="372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2"/>
      <c r="L134" s="4"/>
      <c r="M134" s="5"/>
      <c r="N134" s="2"/>
      <c r="O134" s="2"/>
      <c r="P134" s="2"/>
      <c r="Q134" s="2"/>
      <c r="R134" s="2"/>
      <c r="S134" s="2"/>
      <c r="T134" s="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5"/>
      <c r="BP134" s="5"/>
    </row>
    <row r="135" spans="1:70" s="6" customFormat="1" ht="25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2"/>
      <c r="L135" s="4"/>
      <c r="M135" s="5"/>
      <c r="N135" s="2"/>
      <c r="O135" s="2"/>
      <c r="P135" s="11"/>
      <c r="Q135" s="11"/>
      <c r="R135" s="11"/>
      <c r="S135" s="11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5"/>
      <c r="BP135" s="5"/>
    </row>
    <row r="136" spans="1:70" s="6" customFormat="1" ht="254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2"/>
      <c r="L136" s="4"/>
      <c r="M136" s="5"/>
      <c r="N136" s="2"/>
      <c r="O136" s="2"/>
      <c r="P136" s="11"/>
      <c r="Q136" s="11"/>
      <c r="R136" s="11"/>
      <c r="S136" s="11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5"/>
      <c r="BP136" s="5"/>
    </row>
    <row r="137" spans="1:70" s="6" customFormat="1" ht="319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2"/>
      <c r="L137" s="4"/>
      <c r="M137" s="5"/>
      <c r="N137" s="7"/>
      <c r="O137" s="7"/>
      <c r="P137" s="7"/>
      <c r="Q137" s="7"/>
      <c r="R137" s="7"/>
      <c r="S137" s="7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5"/>
      <c r="BP137" s="5"/>
    </row>
    <row r="138" spans="1:70" s="6" customFormat="1" ht="409.6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2"/>
      <c r="L138" s="2"/>
      <c r="M138" s="2"/>
      <c r="N138" s="12"/>
      <c r="O138" s="2"/>
      <c r="P138" s="12"/>
      <c r="Q138" s="12"/>
      <c r="R138" s="12"/>
      <c r="S138" s="12"/>
      <c r="T138" s="1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5"/>
      <c r="BP138" s="5"/>
    </row>
    <row r="139" spans="1:70" s="6" customFormat="1" ht="14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2"/>
      <c r="L139" s="4"/>
      <c r="M139" s="5"/>
      <c r="N139" s="7"/>
      <c r="O139" s="7"/>
      <c r="P139" s="7"/>
      <c r="Q139" s="7"/>
      <c r="R139" s="7"/>
      <c r="S139" s="7"/>
      <c r="T139" s="12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5"/>
      <c r="BP139" s="5"/>
    </row>
    <row r="140" spans="1:70" s="6" customFormat="1" ht="141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2"/>
      <c r="L140" s="4"/>
      <c r="M140" s="2"/>
      <c r="N140" s="7"/>
      <c r="O140" s="7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5"/>
      <c r="BP140" s="5"/>
    </row>
    <row r="141" spans="1:70" s="6" customFormat="1" ht="292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2"/>
      <c r="L141" s="4"/>
      <c r="M141" s="5"/>
      <c r="N141" s="11"/>
      <c r="O141" s="2"/>
      <c r="P141" s="11"/>
      <c r="Q141" s="11"/>
      <c r="R141" s="11"/>
      <c r="S141" s="11"/>
      <c r="T141" s="11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5"/>
      <c r="BP141" s="8"/>
      <c r="BQ141" s="9"/>
      <c r="BR141" s="10"/>
    </row>
    <row r="142" spans="1:70" s="6" customFormat="1" ht="177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2"/>
      <c r="L142" s="4"/>
      <c r="M142" s="5"/>
      <c r="N142" s="2"/>
      <c r="O142" s="2"/>
      <c r="P142" s="11"/>
      <c r="Q142" s="11"/>
      <c r="R142" s="11"/>
      <c r="S142" s="11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8"/>
      <c r="BQ142" s="9"/>
      <c r="BR142" s="10"/>
    </row>
  </sheetData>
  <autoFilter ref="A2:BM114"/>
  <mergeCells count="3">
    <mergeCell ref="BA10:BA11"/>
    <mergeCell ref="BB10:BB11"/>
    <mergeCell ref="BK10:BK11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04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G6" sqref="G6"/>
    </sheetView>
  </sheetViews>
  <sheetFormatPr defaultRowHeight="34.5" x14ac:dyDescent="0.45"/>
  <cols>
    <col min="1" max="1" width="33.5703125" style="28" customWidth="1"/>
    <col min="2" max="2" width="25.5703125" style="28" customWidth="1"/>
    <col min="3" max="3" width="31.5703125" style="28" customWidth="1"/>
    <col min="4" max="4" width="36.85546875" style="28" hidden="1" customWidth="1"/>
    <col min="5" max="5" width="16.42578125" style="28" customWidth="1"/>
    <col min="6" max="6" width="42.7109375" style="28" customWidth="1"/>
    <col min="7" max="7" width="23.5703125" style="28" customWidth="1"/>
    <col min="8" max="8" width="48.28515625" style="28" customWidth="1"/>
    <col min="9" max="9" width="156.42578125" style="28" customWidth="1"/>
    <col min="10" max="10" width="112.285156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hidden="1" customWidth="1"/>
    <col min="22" max="22" width="9.140625" style="28" hidden="1" customWidth="1"/>
    <col min="23" max="23" width="33.85546875" style="28" hidden="1" customWidth="1"/>
    <col min="24" max="24" width="25" style="28" hidden="1" customWidth="1"/>
    <col min="25" max="27" width="17" style="28" hidden="1" customWidth="1"/>
    <col min="28" max="28" width="24.85546875" style="28" hidden="1" customWidth="1"/>
    <col min="29" max="29" width="25.7109375" style="28" customWidth="1"/>
    <col min="30" max="30" width="26.42578125" style="28" customWidth="1"/>
    <col min="31" max="31" width="25.7109375" style="28" customWidth="1"/>
    <col min="32" max="32" width="27.28515625" style="28" customWidth="1"/>
    <col min="33" max="33" width="37.7109375" style="28" hidden="1" customWidth="1"/>
    <col min="34" max="34" width="21" style="28" hidden="1" customWidth="1"/>
    <col min="35" max="35" width="18.7109375" style="28" customWidth="1"/>
    <col min="36" max="36" width="23" style="28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9.140625" style="28" hidden="1" customWidth="1"/>
    <col min="41" max="41" width="17.140625" style="28" hidden="1" customWidth="1"/>
    <col min="42" max="42" width="22.85546875" style="28" hidden="1" customWidth="1"/>
    <col min="43" max="43" width="43.28515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hidden="1" customWidth="1"/>
    <col min="51" max="51" width="0.140625" style="28" customWidth="1"/>
    <col min="52" max="52" width="24.28515625" style="28" hidden="1" customWidth="1"/>
    <col min="53" max="53" width="32.85546875" style="28" customWidth="1"/>
    <col min="54" max="54" width="30" style="28" customWidth="1"/>
    <col min="55" max="55" width="23.140625" style="28" hidden="1" customWidth="1"/>
    <col min="56" max="56" width="18.140625" style="28" hidden="1" customWidth="1"/>
    <col min="57" max="57" width="27.85546875" style="28" hidden="1" customWidth="1"/>
    <col min="58" max="58" width="24.140625" style="28" hidden="1" customWidth="1"/>
    <col min="59" max="59" width="33.85546875" style="28" hidden="1" customWidth="1"/>
    <col min="60" max="60" width="18.5703125" style="28" hidden="1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6" width="50.7109375" style="28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60" x14ac:dyDescent="0.8">
      <c r="A1" s="122" t="s">
        <v>245</v>
      </c>
      <c r="B1" s="111"/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" t="s">
        <v>32</v>
      </c>
      <c r="M2" s="4" t="s">
        <v>33</v>
      </c>
      <c r="N2" s="4" t="s">
        <v>34</v>
      </c>
      <c r="O2" s="4"/>
      <c r="P2" s="4" t="s">
        <v>35</v>
      </c>
      <c r="Q2" s="4" t="s">
        <v>36</v>
      </c>
      <c r="R2" s="4" t="s">
        <v>37</v>
      </c>
      <c r="S2" s="4" t="s">
        <v>38</v>
      </c>
      <c r="T2" s="4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4" t="s">
        <v>247</v>
      </c>
    </row>
    <row r="3" spans="1:70" s="6" customFormat="1" ht="408.75" customHeight="1" x14ac:dyDescent="0.25">
      <c r="A3" s="1" t="s">
        <v>51</v>
      </c>
      <c r="B3" s="2" t="s">
        <v>73</v>
      </c>
      <c r="C3" s="3">
        <v>466.1</v>
      </c>
      <c r="D3" s="3"/>
      <c r="E3" s="4">
        <v>10</v>
      </c>
      <c r="F3" s="2" t="s">
        <v>95</v>
      </c>
      <c r="G3" s="2" t="s">
        <v>115</v>
      </c>
      <c r="H3" s="2" t="s">
        <v>128</v>
      </c>
      <c r="I3" s="139" t="s">
        <v>225</v>
      </c>
      <c r="J3" s="2" t="s">
        <v>161</v>
      </c>
      <c r="K3" s="4" t="s">
        <v>181</v>
      </c>
      <c r="L3" s="4"/>
      <c r="M3" s="4"/>
      <c r="N3" s="7">
        <f>N4+N5+N6+N7+N8</f>
        <v>483.16168000000005</v>
      </c>
      <c r="O3" s="4"/>
      <c r="P3" s="7">
        <f t="shared" ref="P3:T3" si="0">P4+P5+P6+P7+P8</f>
        <v>18.014800000000001</v>
      </c>
      <c r="Q3" s="7">
        <f t="shared" si="0"/>
        <v>139.02719999999999</v>
      </c>
      <c r="R3" s="7">
        <f t="shared" si="0"/>
        <v>315.75792000000001</v>
      </c>
      <c r="S3" s="7">
        <f t="shared" si="0"/>
        <v>10.358000000000001</v>
      </c>
      <c r="T3" s="7">
        <f t="shared" si="0"/>
        <v>483.15792000000005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4">
        <v>0.02</v>
      </c>
      <c r="AF3" s="7">
        <f>T4</f>
        <v>29.060000000000002</v>
      </c>
      <c r="AG3" s="7"/>
      <c r="AH3" s="5"/>
      <c r="AI3" s="17">
        <v>1</v>
      </c>
      <c r="AJ3" s="7">
        <f>T5</f>
        <v>60.476240000000004</v>
      </c>
      <c r="AK3" s="7"/>
      <c r="AL3" s="5"/>
      <c r="AM3" s="5"/>
      <c r="AN3" s="5"/>
      <c r="AO3" s="5"/>
      <c r="AP3" s="5"/>
      <c r="AQ3" s="17" t="s">
        <v>182</v>
      </c>
      <c r="AR3" s="7">
        <f>T6</f>
        <v>324.87168000000003</v>
      </c>
      <c r="AS3" s="17">
        <v>1</v>
      </c>
      <c r="AT3" s="7">
        <f>T7</f>
        <v>12.499999999999998</v>
      </c>
      <c r="AU3" s="5"/>
      <c r="AV3" s="5"/>
      <c r="AW3" s="5"/>
      <c r="AX3" s="5"/>
      <c r="AY3" s="4"/>
      <c r="AZ3" s="7"/>
      <c r="BA3" s="17">
        <v>0.05</v>
      </c>
      <c r="BB3" s="7">
        <f>T8</f>
        <v>56.25</v>
      </c>
      <c r="BC3" s="7"/>
      <c r="BD3" s="5"/>
      <c r="BE3" s="5"/>
      <c r="BF3" s="5"/>
      <c r="BG3" s="5"/>
      <c r="BH3" s="5"/>
      <c r="BI3" s="5"/>
      <c r="BJ3" s="5"/>
      <c r="BK3" s="5">
        <f>AF3+AJ3+AR3+AT3+BB3</f>
        <v>483.15792000000005</v>
      </c>
      <c r="BL3" s="8">
        <v>42465</v>
      </c>
      <c r="BM3" s="5"/>
      <c r="BN3" s="5" t="s">
        <v>246</v>
      </c>
      <c r="BO3" s="7"/>
      <c r="BP3" s="7"/>
      <c r="BQ3" s="8"/>
      <c r="BR3" s="9"/>
    </row>
    <row r="4" spans="1:70" s="6" customFormat="1" ht="144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7</v>
      </c>
      <c r="M4" s="4">
        <v>0.02</v>
      </c>
      <c r="N4" s="12">
        <f>1453*M4</f>
        <v>29.060000000000002</v>
      </c>
      <c r="O4" s="2"/>
      <c r="P4" s="12">
        <f>0.08*N4</f>
        <v>2.3248000000000002</v>
      </c>
      <c r="Q4" s="12">
        <f>0.87*N4</f>
        <v>25.282200000000003</v>
      </c>
      <c r="R4" s="12"/>
      <c r="S4" s="12">
        <f>0.05*N4</f>
        <v>1.4530000000000003</v>
      </c>
      <c r="T4" s="12">
        <f>P4+Q4+R4+S4</f>
        <v>29.060000000000002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36"/>
      <c r="AJ4" s="5"/>
      <c r="AK4" s="5"/>
      <c r="AL4" s="5"/>
      <c r="AM4" s="5"/>
      <c r="AN4" s="5"/>
      <c r="AO4" s="5"/>
      <c r="AP4" s="5"/>
      <c r="AQ4" s="36"/>
      <c r="AR4" s="5"/>
      <c r="AS4" s="36"/>
      <c r="AT4" s="5"/>
      <c r="AU4" s="5"/>
      <c r="AV4" s="5"/>
      <c r="AW4" s="5"/>
      <c r="AX4" s="5"/>
      <c r="AY4" s="4"/>
      <c r="AZ4" s="7"/>
      <c r="BA4" s="17"/>
      <c r="BB4" s="7"/>
      <c r="BC4" s="4"/>
      <c r="BD4" s="5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6" customFormat="1" ht="144" customHeight="1" x14ac:dyDescent="0.2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4" t="s">
        <v>9</v>
      </c>
      <c r="M5" s="17">
        <v>1</v>
      </c>
      <c r="N5" s="12">
        <v>60.48</v>
      </c>
      <c r="O5" s="2"/>
      <c r="P5" s="12">
        <v>3.91</v>
      </c>
      <c r="Q5" s="12">
        <v>12.09</v>
      </c>
      <c r="R5" s="12">
        <f>40.92*1.072</f>
        <v>43.866240000000005</v>
      </c>
      <c r="S5" s="12">
        <v>0.61</v>
      </c>
      <c r="T5" s="12">
        <f t="shared" ref="T5" si="1">P5+Q5+R5+S5</f>
        <v>60.476240000000004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36"/>
      <c r="AJ5" s="5"/>
      <c r="AK5" s="5"/>
      <c r="AL5" s="5"/>
      <c r="AM5" s="5"/>
      <c r="AN5" s="5"/>
      <c r="AO5" s="5"/>
      <c r="AP5" s="5"/>
      <c r="AQ5" s="36"/>
      <c r="AR5" s="5"/>
      <c r="AS5" s="36"/>
      <c r="AT5" s="5"/>
      <c r="AU5" s="5"/>
      <c r="AV5" s="5"/>
      <c r="AW5" s="5"/>
      <c r="AX5" s="5"/>
      <c r="AY5" s="4"/>
      <c r="AZ5" s="7"/>
      <c r="BA5" s="17"/>
      <c r="BB5" s="7"/>
      <c r="BC5" s="4"/>
      <c r="BD5" s="5"/>
      <c r="BE5" s="5"/>
      <c r="BF5" s="5"/>
      <c r="BG5" s="5"/>
      <c r="BH5" s="5"/>
      <c r="BI5" s="5"/>
      <c r="BJ5" s="5"/>
      <c r="BK5" s="5"/>
      <c r="BL5" s="8"/>
      <c r="BM5" s="5"/>
      <c r="BN5" s="5"/>
      <c r="BO5" s="7"/>
      <c r="BP5" s="7"/>
      <c r="BQ5" s="8"/>
      <c r="BR5" s="9"/>
    </row>
    <row r="6" spans="1:70" s="6" customFormat="1" ht="144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12</v>
      </c>
      <c r="M6" s="17" t="s">
        <v>182</v>
      </c>
      <c r="N6" s="7">
        <f>T6</f>
        <v>324.87168000000003</v>
      </c>
      <c r="O6" s="7"/>
      <c r="P6" s="7">
        <v>6.53</v>
      </c>
      <c r="Q6" s="7">
        <v>51.75</v>
      </c>
      <c r="R6" s="7">
        <f>244.19*1.072</f>
        <v>261.77168</v>
      </c>
      <c r="S6" s="7">
        <v>4.82</v>
      </c>
      <c r="T6" s="12">
        <f t="shared" ref="T6" si="2">SUM(P6:S6)</f>
        <v>324.87168000000003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36"/>
      <c r="AJ6" s="5"/>
      <c r="AK6" s="5"/>
      <c r="AL6" s="5"/>
      <c r="AM6" s="5"/>
      <c r="AN6" s="5"/>
      <c r="AO6" s="5"/>
      <c r="AP6" s="5"/>
      <c r="AQ6" s="36"/>
      <c r="AR6" s="5"/>
      <c r="AS6" s="36"/>
      <c r="AT6" s="5"/>
      <c r="AU6" s="5"/>
      <c r="AV6" s="5"/>
      <c r="AW6" s="5"/>
      <c r="AX6" s="5"/>
      <c r="AY6" s="4"/>
      <c r="AZ6" s="7"/>
      <c r="BA6" s="17"/>
      <c r="BB6" s="7"/>
      <c r="BC6" s="4"/>
      <c r="BD6" s="5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6" customFormat="1" ht="144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26</v>
      </c>
      <c r="M7" s="17">
        <v>1</v>
      </c>
      <c r="N7" s="12">
        <v>12.5</v>
      </c>
      <c r="O7" s="2"/>
      <c r="P7" s="12">
        <v>0.75</v>
      </c>
      <c r="Q7" s="12">
        <v>1.53</v>
      </c>
      <c r="R7" s="12">
        <v>10.119999999999999</v>
      </c>
      <c r="S7" s="12">
        <v>0.1</v>
      </c>
      <c r="T7" s="12">
        <f t="shared" ref="T7:T8" si="3">P7+Q7+R7+S7</f>
        <v>12.499999999999998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36"/>
      <c r="AJ7" s="5"/>
      <c r="AK7" s="5"/>
      <c r="AL7" s="5"/>
      <c r="AM7" s="5"/>
      <c r="AN7" s="5"/>
      <c r="AO7" s="5"/>
      <c r="AP7" s="5"/>
      <c r="AQ7" s="36"/>
      <c r="AR7" s="5"/>
      <c r="AS7" s="36"/>
      <c r="AT7" s="5"/>
      <c r="AU7" s="5"/>
      <c r="AV7" s="5"/>
      <c r="AW7" s="5"/>
      <c r="AX7" s="5"/>
      <c r="AY7" s="4"/>
      <c r="AZ7" s="7"/>
      <c r="BA7" s="17"/>
      <c r="BB7" s="7"/>
      <c r="BC7" s="4"/>
      <c r="BD7" s="5"/>
      <c r="BE7" s="5"/>
      <c r="BF7" s="5"/>
      <c r="BG7" s="5"/>
      <c r="BH7" s="5"/>
      <c r="BI7" s="5"/>
      <c r="BJ7" s="5"/>
      <c r="BK7" s="5"/>
      <c r="BL7" s="8"/>
      <c r="BM7" s="5"/>
      <c r="BN7" s="5"/>
      <c r="BO7" s="7"/>
      <c r="BP7" s="7"/>
      <c r="BQ7" s="8"/>
      <c r="BR7" s="9"/>
    </row>
    <row r="8" spans="1:70" s="6" customFormat="1" ht="144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16</v>
      </c>
      <c r="M8" s="17">
        <v>0.05</v>
      </c>
      <c r="N8" s="12">
        <f>1125*M8</f>
        <v>56.25</v>
      </c>
      <c r="O8" s="2"/>
      <c r="P8" s="12">
        <f>0.08*N8</f>
        <v>4.5</v>
      </c>
      <c r="Q8" s="12">
        <f>0.86*N8</f>
        <v>48.375</v>
      </c>
      <c r="R8" s="12"/>
      <c r="S8" s="12">
        <f>0.06*N8</f>
        <v>3.375</v>
      </c>
      <c r="T8" s="12">
        <f t="shared" si="3"/>
        <v>56.25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6"/>
      <c r="AJ8" s="5"/>
      <c r="AK8" s="5"/>
      <c r="AL8" s="5"/>
      <c r="AM8" s="5"/>
      <c r="AN8" s="5"/>
      <c r="AO8" s="5"/>
      <c r="AP8" s="5"/>
      <c r="AQ8" s="36"/>
      <c r="AR8" s="5"/>
      <c r="AS8" s="36"/>
      <c r="AT8" s="5"/>
      <c r="AU8" s="5"/>
      <c r="AV8" s="5"/>
      <c r="AW8" s="5"/>
      <c r="AX8" s="5"/>
      <c r="AY8" s="4"/>
      <c r="AZ8" s="7"/>
      <c r="BA8" s="17"/>
      <c r="BB8" s="7"/>
      <c r="BC8" s="4"/>
      <c r="BD8" s="5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409.6" customHeight="1" x14ac:dyDescent="0.25">
      <c r="A9" s="1" t="s">
        <v>54</v>
      </c>
      <c r="B9" s="2" t="s">
        <v>76</v>
      </c>
      <c r="C9" s="3">
        <v>466.1</v>
      </c>
      <c r="D9" s="3"/>
      <c r="E9" s="4">
        <v>14.5</v>
      </c>
      <c r="F9" s="2" t="s">
        <v>98</v>
      </c>
      <c r="G9" s="2" t="s">
        <v>113</v>
      </c>
      <c r="H9" s="2" t="s">
        <v>131</v>
      </c>
      <c r="I9" s="140" t="s">
        <v>226</v>
      </c>
      <c r="J9" s="2" t="s">
        <v>167</v>
      </c>
      <c r="K9" s="4" t="s">
        <v>191</v>
      </c>
      <c r="L9" s="4"/>
      <c r="M9" s="4"/>
      <c r="N9" s="13">
        <f>N10+N11+N12+N13+N14</f>
        <v>1592.799696</v>
      </c>
      <c r="O9" s="13">
        <f t="shared" ref="O9:T9" si="4">O10+O11+O12+O13+O14</f>
        <v>0</v>
      </c>
      <c r="P9" s="13">
        <f t="shared" si="4"/>
        <v>94.891199999999998</v>
      </c>
      <c r="Q9" s="13">
        <f t="shared" si="4"/>
        <v>923.43179999999984</v>
      </c>
      <c r="R9" s="13">
        <f t="shared" si="4"/>
        <v>515.39969600000006</v>
      </c>
      <c r="S9" s="13">
        <f t="shared" si="4"/>
        <v>59.076999999999998</v>
      </c>
      <c r="T9" s="13">
        <f t="shared" si="4"/>
        <v>1592.799696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4">
        <v>0.38</v>
      </c>
      <c r="AF9" s="13">
        <f>T10</f>
        <v>552.13999999999987</v>
      </c>
      <c r="AG9" s="13"/>
      <c r="AH9" s="5"/>
      <c r="AI9" s="17">
        <v>1</v>
      </c>
      <c r="AJ9" s="13">
        <f>T11</f>
        <v>60.476240000000004</v>
      </c>
      <c r="AK9" s="13"/>
      <c r="AL9" s="5"/>
      <c r="AM9" s="5"/>
      <c r="AN9" s="5"/>
      <c r="AO9" s="5"/>
      <c r="AP9" s="5"/>
      <c r="AQ9" s="17" t="s">
        <v>214</v>
      </c>
      <c r="AR9" s="13">
        <f>T12</f>
        <v>540.18345600000009</v>
      </c>
      <c r="AS9" s="17">
        <v>1</v>
      </c>
      <c r="AT9" s="13">
        <f>T13</f>
        <v>12.499999999999998</v>
      </c>
      <c r="AU9" s="5"/>
      <c r="AV9" s="5"/>
      <c r="AW9" s="5"/>
      <c r="AX9" s="5"/>
      <c r="AY9" s="4"/>
      <c r="AZ9" s="7"/>
      <c r="BA9" s="17">
        <v>0.38</v>
      </c>
      <c r="BB9" s="13">
        <f>T14</f>
        <v>427.49999999999994</v>
      </c>
      <c r="BC9" s="13"/>
      <c r="BD9" s="5"/>
      <c r="BE9" s="5"/>
      <c r="BF9" s="5"/>
      <c r="BG9" s="5"/>
      <c r="BH9" s="5"/>
      <c r="BI9" s="5"/>
      <c r="BJ9" s="5"/>
      <c r="BK9" s="5">
        <f>AF9+AJ9+AR9+AT9+BB9</f>
        <v>1592.799696</v>
      </c>
      <c r="BL9" s="8">
        <v>42487</v>
      </c>
      <c r="BM9" s="5"/>
      <c r="BN9" s="5" t="s">
        <v>246</v>
      </c>
      <c r="BO9" s="7"/>
      <c r="BP9" s="7"/>
      <c r="BQ9" s="8"/>
      <c r="BR9" s="9"/>
    </row>
    <row r="10" spans="1:70" s="6" customFormat="1" ht="144.7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7</v>
      </c>
      <c r="M10" s="4">
        <f>AE9</f>
        <v>0.38</v>
      </c>
      <c r="N10" s="13">
        <f>1453*M10</f>
        <v>552.14</v>
      </c>
      <c r="O10" s="13"/>
      <c r="P10" s="13">
        <f>0.08*N10</f>
        <v>44.171199999999999</v>
      </c>
      <c r="Q10" s="13">
        <f>0.87*N10</f>
        <v>480.36179999999996</v>
      </c>
      <c r="R10" s="13"/>
      <c r="S10" s="13">
        <f>0.05*N10</f>
        <v>27.606999999999999</v>
      </c>
      <c r="T10" s="13">
        <f>P10+Q10+R10+S10</f>
        <v>552.13999999999987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4"/>
      <c r="AF10" s="13"/>
      <c r="AG10" s="13"/>
      <c r="AH10" s="5"/>
      <c r="AI10" s="17"/>
      <c r="AJ10" s="13"/>
      <c r="AK10" s="13"/>
      <c r="AL10" s="5"/>
      <c r="AM10" s="5"/>
      <c r="AN10" s="5"/>
      <c r="AO10" s="5"/>
      <c r="AP10" s="5"/>
      <c r="AQ10" s="17"/>
      <c r="AR10" s="13"/>
      <c r="AS10" s="17"/>
      <c r="AT10" s="13"/>
      <c r="AU10" s="5"/>
      <c r="AV10" s="5"/>
      <c r="AW10" s="5"/>
      <c r="AX10" s="5"/>
      <c r="AY10" s="4"/>
      <c r="AZ10" s="7"/>
      <c r="BA10" s="17"/>
      <c r="BB10" s="13"/>
      <c r="BC10" s="13"/>
      <c r="BD10" s="5"/>
      <c r="BE10" s="5"/>
      <c r="BF10" s="5"/>
      <c r="BG10" s="5"/>
      <c r="BH10" s="5"/>
      <c r="BI10" s="5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144.7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9</v>
      </c>
      <c r="M11" s="4">
        <f>AI9</f>
        <v>1</v>
      </c>
      <c r="N11" s="13">
        <v>60.476240000000004</v>
      </c>
      <c r="O11" s="13"/>
      <c r="P11" s="13">
        <v>3.91</v>
      </c>
      <c r="Q11" s="13">
        <v>12.09</v>
      </c>
      <c r="R11" s="13">
        <v>43.866240000000005</v>
      </c>
      <c r="S11" s="13">
        <v>0.61</v>
      </c>
      <c r="T11" s="13">
        <v>60.476240000000004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4"/>
      <c r="AF11" s="13"/>
      <c r="AG11" s="13"/>
      <c r="AH11" s="5"/>
      <c r="AI11" s="17"/>
      <c r="AJ11" s="13"/>
      <c r="AK11" s="13"/>
      <c r="AL11" s="5"/>
      <c r="AM11" s="5"/>
      <c r="AN11" s="5"/>
      <c r="AO11" s="5"/>
      <c r="AP11" s="5"/>
      <c r="AQ11" s="17"/>
      <c r="AR11" s="13"/>
      <c r="AS11" s="17"/>
      <c r="AT11" s="13"/>
      <c r="AU11" s="5"/>
      <c r="AV11" s="5"/>
      <c r="AW11" s="5"/>
      <c r="AX11" s="5"/>
      <c r="AY11" s="4"/>
      <c r="AZ11" s="7"/>
      <c r="BA11" s="17"/>
      <c r="BB11" s="13"/>
      <c r="BC11" s="13"/>
      <c r="BD11" s="5"/>
      <c r="BE11" s="5"/>
      <c r="BF11" s="5"/>
      <c r="BG11" s="5"/>
      <c r="BH11" s="5"/>
      <c r="BI11" s="5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6" customFormat="1" ht="144.7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12</v>
      </c>
      <c r="M12" s="4" t="str">
        <f>AQ9</f>
        <v>КТП 250 кВА (с трансформатором 160 кВА)</v>
      </c>
      <c r="N12" s="13">
        <f>P12+Q12+R12+S12</f>
        <v>540.18345600000009</v>
      </c>
      <c r="O12" s="13"/>
      <c r="P12" s="13">
        <v>11.86</v>
      </c>
      <c r="Q12" s="13">
        <v>61.8</v>
      </c>
      <c r="R12" s="13">
        <f>(449.237-162.346+143.532)*1.072</f>
        <v>461.41345600000005</v>
      </c>
      <c r="S12" s="13">
        <v>5.1100000000000003</v>
      </c>
      <c r="T12" s="13">
        <f t="shared" ref="T12:T14" si="5">P12+Q12+R12+S12</f>
        <v>540.18345600000009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4"/>
      <c r="AF12" s="13"/>
      <c r="AG12" s="13"/>
      <c r="AH12" s="5"/>
      <c r="AI12" s="17"/>
      <c r="AJ12" s="13"/>
      <c r="AK12" s="13"/>
      <c r="AL12" s="5"/>
      <c r="AM12" s="5"/>
      <c r="AN12" s="5"/>
      <c r="AO12" s="5"/>
      <c r="AP12" s="5"/>
      <c r="AQ12" s="17"/>
      <c r="AR12" s="13"/>
      <c r="AS12" s="17"/>
      <c r="AT12" s="13"/>
      <c r="AU12" s="5"/>
      <c r="AV12" s="5"/>
      <c r="AW12" s="5"/>
      <c r="AX12" s="5"/>
      <c r="AY12" s="4"/>
      <c r="AZ12" s="7"/>
      <c r="BA12" s="17"/>
      <c r="BB12" s="13"/>
      <c r="BC12" s="13"/>
      <c r="BD12" s="5"/>
      <c r="BE12" s="5"/>
      <c r="BF12" s="5"/>
      <c r="BG12" s="5"/>
      <c r="BH12" s="5"/>
      <c r="BI12" s="5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6" customFormat="1" ht="144.7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26</v>
      </c>
      <c r="M13" s="4">
        <f>AS9</f>
        <v>1</v>
      </c>
      <c r="N13" s="13">
        <v>12.5</v>
      </c>
      <c r="O13" s="13"/>
      <c r="P13" s="13">
        <v>0.75</v>
      </c>
      <c r="Q13" s="13">
        <v>1.53</v>
      </c>
      <c r="R13" s="13">
        <v>10.119999999999999</v>
      </c>
      <c r="S13" s="13">
        <v>0.1</v>
      </c>
      <c r="T13" s="13">
        <f t="shared" si="5"/>
        <v>12.499999999999998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4"/>
      <c r="AF13" s="13"/>
      <c r="AG13" s="13"/>
      <c r="AH13" s="5"/>
      <c r="AI13" s="17"/>
      <c r="AJ13" s="13"/>
      <c r="AK13" s="13"/>
      <c r="AL13" s="5"/>
      <c r="AM13" s="5"/>
      <c r="AN13" s="5"/>
      <c r="AO13" s="5"/>
      <c r="AP13" s="5"/>
      <c r="AQ13" s="17"/>
      <c r="AR13" s="13"/>
      <c r="AS13" s="17"/>
      <c r="AT13" s="13"/>
      <c r="AU13" s="5"/>
      <c r="AV13" s="5"/>
      <c r="AW13" s="5"/>
      <c r="AX13" s="5"/>
      <c r="AY13" s="4"/>
      <c r="AZ13" s="7"/>
      <c r="BA13" s="17"/>
      <c r="BB13" s="13"/>
      <c r="BC13" s="13"/>
      <c r="BD13" s="5"/>
      <c r="BE13" s="5"/>
      <c r="BF13" s="5"/>
      <c r="BG13" s="5"/>
      <c r="BH13" s="5"/>
      <c r="BI13" s="5"/>
      <c r="BJ13" s="5"/>
      <c r="BK13" s="5"/>
      <c r="BL13" s="8"/>
      <c r="BM13" s="5"/>
      <c r="BN13" s="5"/>
      <c r="BO13" s="7"/>
      <c r="BP13" s="7"/>
      <c r="BQ13" s="8"/>
      <c r="BR13" s="9"/>
    </row>
    <row r="14" spans="1:70" s="6" customFormat="1" ht="144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f>BA9</f>
        <v>0.38</v>
      </c>
      <c r="N14" s="13">
        <f>1125*M14</f>
        <v>427.5</v>
      </c>
      <c r="O14" s="13"/>
      <c r="P14" s="13">
        <f>0.08*N14</f>
        <v>34.200000000000003</v>
      </c>
      <c r="Q14" s="13">
        <f>0.86*N14</f>
        <v>367.65</v>
      </c>
      <c r="R14" s="13"/>
      <c r="S14" s="13">
        <f>0.06*N14</f>
        <v>25.65</v>
      </c>
      <c r="T14" s="13">
        <f t="shared" si="5"/>
        <v>427.49999999999994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4"/>
      <c r="AF14" s="13"/>
      <c r="AG14" s="13"/>
      <c r="AH14" s="5"/>
      <c r="AI14" s="17"/>
      <c r="AJ14" s="13"/>
      <c r="AK14" s="13"/>
      <c r="AL14" s="5"/>
      <c r="AM14" s="5"/>
      <c r="AN14" s="5"/>
      <c r="AO14" s="5"/>
      <c r="AP14" s="5"/>
      <c r="AQ14" s="17"/>
      <c r="AR14" s="13"/>
      <c r="AS14" s="17"/>
      <c r="AT14" s="13"/>
      <c r="AU14" s="5"/>
      <c r="AV14" s="5"/>
      <c r="AW14" s="5"/>
      <c r="AX14" s="5"/>
      <c r="AY14" s="4"/>
      <c r="AZ14" s="7"/>
      <c r="BA14" s="17"/>
      <c r="BB14" s="13"/>
      <c r="BC14" s="13"/>
      <c r="BD14" s="5"/>
      <c r="BE14" s="5"/>
      <c r="BF14" s="5"/>
      <c r="BG14" s="5"/>
      <c r="BH14" s="5"/>
      <c r="BI14" s="5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6" customFormat="1" ht="409.5" customHeight="1" x14ac:dyDescent="0.25">
      <c r="A15" s="1" t="s">
        <v>60</v>
      </c>
      <c r="B15" s="2" t="s">
        <v>82</v>
      </c>
      <c r="C15" s="3">
        <v>466.1</v>
      </c>
      <c r="D15" s="3"/>
      <c r="E15" s="4">
        <v>6</v>
      </c>
      <c r="F15" s="2" t="s">
        <v>104</v>
      </c>
      <c r="G15" s="2" t="s">
        <v>118</v>
      </c>
      <c r="H15" s="2" t="s">
        <v>137</v>
      </c>
      <c r="I15" s="140" t="s">
        <v>207</v>
      </c>
      <c r="J15" s="2" t="s">
        <v>208</v>
      </c>
      <c r="K15" s="4" t="s">
        <v>209</v>
      </c>
      <c r="L15" s="4"/>
      <c r="M15" s="4"/>
      <c r="N15" s="13">
        <f t="shared" ref="N15:S15" si="6">N20+N19+N18+N17+N16</f>
        <v>1501.93</v>
      </c>
      <c r="O15" s="13">
        <f t="shared" si="6"/>
        <v>0</v>
      </c>
      <c r="P15" s="13">
        <f t="shared" si="6"/>
        <v>89.070000000000007</v>
      </c>
      <c r="Q15" s="13">
        <f t="shared" si="6"/>
        <v>865.52250000000004</v>
      </c>
      <c r="R15" s="13">
        <f t="shared" si="6"/>
        <v>490.27952000000005</v>
      </c>
      <c r="S15" s="13">
        <f t="shared" si="6"/>
        <v>57.057499999999997</v>
      </c>
      <c r="T15" s="13">
        <f>T20+T19+T18+T17+T16</f>
        <v>1501.9295200000001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>
        <v>0.25</v>
      </c>
      <c r="AF15" s="5">
        <f>T16</f>
        <v>363.25</v>
      </c>
      <c r="AG15" s="5"/>
      <c r="AH15" s="5"/>
      <c r="AI15" s="36">
        <v>1</v>
      </c>
      <c r="AJ15" s="5">
        <f>T17</f>
        <v>60.476240000000004</v>
      </c>
      <c r="AK15" s="5"/>
      <c r="AL15" s="5"/>
      <c r="AM15" s="5"/>
      <c r="AN15" s="5"/>
      <c r="AO15" s="5"/>
      <c r="AP15" s="5"/>
      <c r="AQ15" s="36" t="s">
        <v>212</v>
      </c>
      <c r="AR15" s="5">
        <f>T18</f>
        <v>514.45328000000006</v>
      </c>
      <c r="AS15" s="36">
        <v>1</v>
      </c>
      <c r="AT15" s="5">
        <f>T19</f>
        <v>12.499999999999998</v>
      </c>
      <c r="AU15" s="5"/>
      <c r="AV15" s="5"/>
      <c r="AW15" s="5"/>
      <c r="AX15" s="5"/>
      <c r="AY15" s="4"/>
      <c r="AZ15" s="7"/>
      <c r="BA15" s="17">
        <v>0.49</v>
      </c>
      <c r="BB15" s="4">
        <f>T20</f>
        <v>551.25</v>
      </c>
      <c r="BC15" s="4"/>
      <c r="BD15" s="5"/>
      <c r="BE15" s="5"/>
      <c r="BF15" s="5"/>
      <c r="BG15" s="5"/>
      <c r="BH15" s="5"/>
      <c r="BI15" s="5"/>
      <c r="BJ15" s="5"/>
      <c r="BK15" s="5">
        <f>BB15+AT15+AR15+AJ15+AF15</f>
        <v>1501.9295200000001</v>
      </c>
      <c r="BL15" s="8">
        <v>42487</v>
      </c>
      <c r="BM15" s="5"/>
      <c r="BN15" s="5" t="s">
        <v>246</v>
      </c>
      <c r="BO15" s="7"/>
      <c r="BP15" s="7"/>
      <c r="BQ15" s="8"/>
      <c r="BR15" s="9"/>
    </row>
    <row r="16" spans="1:70" s="6" customFormat="1" ht="147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215</v>
      </c>
      <c r="M16" s="5">
        <f>AE15</f>
        <v>0.25</v>
      </c>
      <c r="N16" s="13">
        <f>1453*M16</f>
        <v>363.25</v>
      </c>
      <c r="O16" s="13"/>
      <c r="P16" s="13">
        <f>0.08*N16</f>
        <v>29.060000000000002</v>
      </c>
      <c r="Q16" s="13">
        <f>0.87*N16</f>
        <v>316.02749999999997</v>
      </c>
      <c r="R16" s="13"/>
      <c r="S16" s="13">
        <f>0.05*N16</f>
        <v>18.162500000000001</v>
      </c>
      <c r="T16" s="13">
        <f>P16+Q16+R16+S16</f>
        <v>363.25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36"/>
      <c r="AJ16" s="5"/>
      <c r="AK16" s="5"/>
      <c r="AL16" s="5"/>
      <c r="AM16" s="5"/>
      <c r="AN16" s="5"/>
      <c r="AO16" s="5"/>
      <c r="AP16" s="5"/>
      <c r="AQ16" s="36"/>
      <c r="AR16" s="5"/>
      <c r="AS16" s="36"/>
      <c r="AT16" s="5"/>
      <c r="AU16" s="5"/>
      <c r="AV16" s="5"/>
      <c r="AW16" s="5"/>
      <c r="AX16" s="5"/>
      <c r="AY16" s="4"/>
      <c r="AZ16" s="7"/>
      <c r="BA16" s="17"/>
      <c r="BB16" s="4"/>
      <c r="BC16" s="4"/>
      <c r="BD16" s="5"/>
      <c r="BE16" s="5"/>
      <c r="BF16" s="5"/>
      <c r="BG16" s="5"/>
      <c r="BH16" s="5"/>
      <c r="BI16" s="5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147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9</v>
      </c>
      <c r="M17" s="5">
        <v>1</v>
      </c>
      <c r="N17" s="13">
        <v>60.48</v>
      </c>
      <c r="O17" s="13"/>
      <c r="P17" s="13">
        <v>3.91</v>
      </c>
      <c r="Q17" s="13">
        <v>12.09</v>
      </c>
      <c r="R17" s="13">
        <v>43.866240000000005</v>
      </c>
      <c r="S17" s="13">
        <v>0.61</v>
      </c>
      <c r="T17" s="13">
        <v>60.476240000000004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36"/>
      <c r="AJ17" s="5"/>
      <c r="AK17" s="5"/>
      <c r="AL17" s="5"/>
      <c r="AM17" s="5"/>
      <c r="AN17" s="5"/>
      <c r="AO17" s="5"/>
      <c r="AP17" s="5"/>
      <c r="AQ17" s="36"/>
      <c r="AR17" s="5"/>
      <c r="AS17" s="36"/>
      <c r="AT17" s="5"/>
      <c r="AU17" s="5"/>
      <c r="AV17" s="5"/>
      <c r="AW17" s="5"/>
      <c r="AX17" s="5"/>
      <c r="AY17" s="4"/>
      <c r="AZ17" s="7"/>
      <c r="BA17" s="17"/>
      <c r="BB17" s="4"/>
      <c r="BC17" s="4"/>
      <c r="BD17" s="5"/>
      <c r="BE17" s="5"/>
      <c r="BF17" s="5"/>
      <c r="BG17" s="5"/>
      <c r="BH17" s="5"/>
      <c r="BI17" s="5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147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12</v>
      </c>
      <c r="M18" s="5" t="str">
        <f>AQ15</f>
        <v>КТП 160 кВА</v>
      </c>
      <c r="N18" s="13">
        <v>514.45000000000005</v>
      </c>
      <c r="O18" s="13"/>
      <c r="P18" s="13">
        <v>11.25</v>
      </c>
      <c r="Q18" s="13">
        <v>61.8</v>
      </c>
      <c r="R18" s="13">
        <f>406.99*1.072</f>
        <v>436.29328000000004</v>
      </c>
      <c r="S18" s="13">
        <v>5.1100000000000003</v>
      </c>
      <c r="T18" s="13">
        <f>P18+Q18+R18+S18</f>
        <v>514.45328000000006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7"/>
      <c r="BA18" s="17"/>
      <c r="BB18" s="4"/>
      <c r="BC18" s="4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37.2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26</v>
      </c>
      <c r="M19" s="5">
        <f>AS15</f>
        <v>1</v>
      </c>
      <c r="N19" s="13">
        <v>12.5</v>
      </c>
      <c r="O19" s="13"/>
      <c r="P19" s="13">
        <v>0.75</v>
      </c>
      <c r="Q19" s="13">
        <v>1.53</v>
      </c>
      <c r="R19" s="13">
        <v>10.119999999999999</v>
      </c>
      <c r="S19" s="13">
        <v>0.1</v>
      </c>
      <c r="T19" s="13">
        <f t="shared" ref="T19:T20" si="7">P19+Q19+R19+S19</f>
        <v>12.499999999999998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6"/>
      <c r="AJ19" s="5"/>
      <c r="AK19" s="5"/>
      <c r="AL19" s="5"/>
      <c r="AM19" s="5"/>
      <c r="AN19" s="5"/>
      <c r="AO19" s="5"/>
      <c r="AP19" s="5"/>
      <c r="AQ19" s="36"/>
      <c r="AR19" s="5"/>
      <c r="AS19" s="36"/>
      <c r="AT19" s="5"/>
      <c r="AU19" s="5"/>
      <c r="AV19" s="5"/>
      <c r="AW19" s="5"/>
      <c r="AX19" s="5"/>
      <c r="AY19" s="4"/>
      <c r="AZ19" s="7"/>
      <c r="BA19" s="17"/>
      <c r="BB19" s="4"/>
      <c r="BC19" s="4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37.2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16</v>
      </c>
      <c r="M20" s="4">
        <f>BA15</f>
        <v>0.49</v>
      </c>
      <c r="N20" s="13">
        <f>1125*M20</f>
        <v>551.25</v>
      </c>
      <c r="O20" s="13"/>
      <c r="P20" s="13">
        <f>0.08*N20</f>
        <v>44.1</v>
      </c>
      <c r="Q20" s="13">
        <f>0.86*N20</f>
        <v>474.07499999999999</v>
      </c>
      <c r="R20" s="13"/>
      <c r="S20" s="13">
        <f>0.06*N20</f>
        <v>33.074999999999996</v>
      </c>
      <c r="T20" s="13">
        <f t="shared" si="7"/>
        <v>551.25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21"/>
      <c r="BB20" s="22"/>
      <c r="BC20" s="4"/>
      <c r="BD20" s="5"/>
      <c r="BE20" s="5"/>
      <c r="BF20" s="5"/>
      <c r="BG20" s="5"/>
      <c r="BH20" s="5"/>
      <c r="BI20" s="5"/>
      <c r="BJ20" s="5"/>
      <c r="BK20" s="37"/>
      <c r="BL20" s="8"/>
      <c r="BM20" s="5"/>
      <c r="BN20" s="5"/>
      <c r="BO20" s="7"/>
      <c r="BP20" s="7"/>
      <c r="BQ20" s="8"/>
      <c r="BR20" s="9"/>
    </row>
    <row r="21" spans="1:70" s="6" customFormat="1" ht="409.5" x14ac:dyDescent="0.25">
      <c r="A21" s="1" t="s">
        <v>61</v>
      </c>
      <c r="B21" s="2" t="s">
        <v>83</v>
      </c>
      <c r="C21" s="3">
        <v>466.1</v>
      </c>
      <c r="D21" s="3"/>
      <c r="E21" s="4">
        <v>6</v>
      </c>
      <c r="F21" s="2" t="s">
        <v>105</v>
      </c>
      <c r="G21" s="2" t="s">
        <v>118</v>
      </c>
      <c r="H21" s="2" t="s">
        <v>138</v>
      </c>
      <c r="I21" s="141" t="s">
        <v>210</v>
      </c>
      <c r="J21" s="2" t="s">
        <v>211</v>
      </c>
      <c r="K21" s="4" t="s">
        <v>209</v>
      </c>
      <c r="L21" s="4"/>
      <c r="M21" s="4"/>
      <c r="N21" s="18"/>
      <c r="O21" s="18"/>
      <c r="P21" s="18"/>
      <c r="Q21" s="18"/>
      <c r="R21" s="18"/>
      <c r="S21" s="18"/>
      <c r="T21" s="18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36"/>
      <c r="AJ21" s="5"/>
      <c r="AK21" s="5"/>
      <c r="AL21" s="5"/>
      <c r="AM21" s="5"/>
      <c r="AN21" s="5"/>
      <c r="AO21" s="5"/>
      <c r="AP21" s="5"/>
      <c r="AQ21" s="36"/>
      <c r="AR21" s="5"/>
      <c r="AS21" s="36"/>
      <c r="AT21" s="5"/>
      <c r="AU21" s="5"/>
      <c r="AV21" s="5"/>
      <c r="AW21" s="5"/>
      <c r="AX21" s="5"/>
      <c r="AY21" s="4"/>
      <c r="AZ21" s="7"/>
      <c r="BA21" s="21"/>
      <c r="BB21" s="22"/>
      <c r="BC21" s="4"/>
      <c r="BD21" s="5"/>
      <c r="BE21" s="5"/>
      <c r="BF21" s="5"/>
      <c r="BG21" s="5"/>
      <c r="BH21" s="5"/>
      <c r="BI21" s="5"/>
      <c r="BJ21" s="5"/>
      <c r="BK21" s="37"/>
      <c r="BL21" s="8">
        <v>42487</v>
      </c>
      <c r="BM21" s="5" t="s">
        <v>213</v>
      </c>
      <c r="BN21" s="5" t="s">
        <v>246</v>
      </c>
      <c r="BO21" s="7"/>
      <c r="BP21" s="7"/>
      <c r="BQ21" s="8"/>
      <c r="BR21" s="9"/>
    </row>
    <row r="22" spans="1:70" s="6" customFormat="1" ht="409.5" x14ac:dyDescent="0.25">
      <c r="A22" s="1" t="s">
        <v>227</v>
      </c>
      <c r="B22" s="2" t="s">
        <v>228</v>
      </c>
      <c r="C22" s="3">
        <v>466.1</v>
      </c>
      <c r="D22" s="3">
        <v>466.1</v>
      </c>
      <c r="E22" s="4">
        <v>12</v>
      </c>
      <c r="F22" s="2" t="s">
        <v>229</v>
      </c>
      <c r="G22" s="2" t="s">
        <v>113</v>
      </c>
      <c r="H22" s="2" t="s">
        <v>230</v>
      </c>
      <c r="I22" s="2" t="s">
        <v>231</v>
      </c>
      <c r="J22" s="2" t="s">
        <v>232</v>
      </c>
      <c r="K22" s="4" t="s">
        <v>233</v>
      </c>
      <c r="L22" s="4"/>
      <c r="M22" s="4"/>
      <c r="N22" s="7">
        <f>SUM(N23)</f>
        <v>540.18024000000003</v>
      </c>
      <c r="O22" s="7">
        <f t="shared" ref="O22:T22" si="8">SUM(O23)</f>
        <v>0</v>
      </c>
      <c r="P22" s="7">
        <f t="shared" si="8"/>
        <v>11.86</v>
      </c>
      <c r="Q22" s="7">
        <f t="shared" si="8"/>
        <v>61.8</v>
      </c>
      <c r="R22" s="7">
        <f t="shared" si="8"/>
        <v>461.41023999999999</v>
      </c>
      <c r="S22" s="7">
        <f t="shared" si="8"/>
        <v>5.1100000000000003</v>
      </c>
      <c r="T22" s="7">
        <f t="shared" si="8"/>
        <v>540.18024000000003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5" t="s">
        <v>234</v>
      </c>
      <c r="AR22" s="5">
        <f>T23</f>
        <v>540.18024000000003</v>
      </c>
      <c r="AS22" s="36"/>
      <c r="AT22" s="5"/>
      <c r="AU22" s="5"/>
      <c r="AV22" s="5"/>
      <c r="AW22" s="5"/>
      <c r="AX22" s="5"/>
      <c r="AY22" s="4"/>
      <c r="AZ22" s="7"/>
      <c r="BA22" s="21"/>
      <c r="BB22" s="22"/>
      <c r="BC22" s="4"/>
      <c r="BD22" s="5"/>
      <c r="BE22" s="5"/>
      <c r="BF22" s="5"/>
      <c r="BG22" s="5"/>
      <c r="BH22" s="5"/>
      <c r="BI22" s="5"/>
      <c r="BJ22" s="5"/>
      <c r="BK22" s="37">
        <f>AR22</f>
        <v>540.18024000000003</v>
      </c>
      <c r="BL22" s="8">
        <v>42427</v>
      </c>
      <c r="BM22" s="5" t="s">
        <v>235</v>
      </c>
      <c r="BN22" s="5" t="s">
        <v>246</v>
      </c>
      <c r="BO22" s="124"/>
      <c r="BP22" s="124"/>
      <c r="BQ22" s="125"/>
      <c r="BR22" s="126"/>
    </row>
    <row r="23" spans="1:70" s="6" customFormat="1" ht="136.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12</v>
      </c>
      <c r="M23" s="5" t="str">
        <f>AQ22</f>
        <v>КТП 250 кВА (с тр-ром 160 кВА)</v>
      </c>
      <c r="N23" s="7">
        <f>T23</f>
        <v>540.18024000000003</v>
      </c>
      <c r="O23" s="4"/>
      <c r="P23" s="7">
        <v>11.86</v>
      </c>
      <c r="Q23" s="7">
        <v>61.8</v>
      </c>
      <c r="R23" s="7">
        <f>(449.24-162.35+143.53)*1.072</f>
        <v>461.41023999999999</v>
      </c>
      <c r="S23" s="7">
        <v>5.1100000000000003</v>
      </c>
      <c r="T23" s="7">
        <f>SUM(P23:S23)</f>
        <v>540.18024000000003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36"/>
      <c r="AJ23" s="5"/>
      <c r="AK23" s="5"/>
      <c r="AL23" s="5"/>
      <c r="AM23" s="5"/>
      <c r="AN23" s="5"/>
      <c r="AO23" s="5"/>
      <c r="AP23" s="5"/>
      <c r="AQ23" s="36"/>
      <c r="AR23" s="5"/>
      <c r="AS23" s="36"/>
      <c r="AT23" s="5"/>
      <c r="AU23" s="5"/>
      <c r="AV23" s="5"/>
      <c r="AW23" s="5"/>
      <c r="AX23" s="5"/>
      <c r="AY23" s="4"/>
      <c r="AZ23" s="7"/>
      <c r="BA23" s="21"/>
      <c r="BB23" s="22"/>
      <c r="BC23" s="4"/>
      <c r="BD23" s="5"/>
      <c r="BE23" s="5"/>
      <c r="BF23" s="5"/>
      <c r="BG23" s="5"/>
      <c r="BH23" s="5"/>
      <c r="BI23" s="5"/>
      <c r="BJ23" s="5"/>
      <c r="BK23" s="37"/>
      <c r="BL23" s="8"/>
      <c r="BM23" s="5"/>
      <c r="BN23" s="5"/>
      <c r="BO23" s="124"/>
      <c r="BP23" s="124"/>
      <c r="BQ23" s="125"/>
      <c r="BR23" s="126"/>
    </row>
    <row r="24" spans="1:70" s="6" customFormat="1" ht="348.75" customHeight="1" x14ac:dyDescent="0.25">
      <c r="A24" s="1" t="s">
        <v>236</v>
      </c>
      <c r="B24" s="2" t="s">
        <v>237</v>
      </c>
      <c r="C24" s="3">
        <v>466.1</v>
      </c>
      <c r="D24" s="3"/>
      <c r="E24" s="4">
        <v>15</v>
      </c>
      <c r="F24" s="2" t="s">
        <v>238</v>
      </c>
      <c r="G24" s="2" t="s">
        <v>239</v>
      </c>
      <c r="H24" s="2" t="s">
        <v>240</v>
      </c>
      <c r="I24" s="2" t="s">
        <v>241</v>
      </c>
      <c r="J24" s="2" t="s">
        <v>242</v>
      </c>
      <c r="K24" s="4" t="s">
        <v>243</v>
      </c>
      <c r="L24" s="4"/>
      <c r="M24" s="4"/>
      <c r="N24" s="13">
        <f>N25+N26+N27+N28+N29</f>
        <v>861.87267999999995</v>
      </c>
      <c r="O24" s="4"/>
      <c r="P24" s="13">
        <f t="shared" ref="P24:T24" si="9">P25+P26+P27+P28+P29</f>
        <v>48.311999999999998</v>
      </c>
      <c r="Q24" s="13">
        <f t="shared" si="9"/>
        <v>468.79049999999995</v>
      </c>
      <c r="R24" s="13">
        <f t="shared" si="9"/>
        <v>315.75792000000001</v>
      </c>
      <c r="S24" s="13">
        <f t="shared" si="9"/>
        <v>29.012500000000003</v>
      </c>
      <c r="T24" s="13">
        <f t="shared" si="9"/>
        <v>861.87292000000002</v>
      </c>
      <c r="U24" s="5"/>
      <c r="V24" s="5"/>
      <c r="W24" s="5"/>
      <c r="X24" s="5"/>
      <c r="Y24" s="5"/>
      <c r="Z24" s="5"/>
      <c r="AA24" s="5"/>
      <c r="AB24" s="5"/>
      <c r="AC24" s="17">
        <v>0.3</v>
      </c>
      <c r="AD24" s="18">
        <f>T25</f>
        <v>435.90000000000003</v>
      </c>
      <c r="AE24" s="5"/>
      <c r="AF24" s="5"/>
      <c r="AG24" s="5"/>
      <c r="AH24" s="5"/>
      <c r="AI24" s="17">
        <v>1</v>
      </c>
      <c r="AJ24" s="18">
        <f>T26</f>
        <v>60.476240000000004</v>
      </c>
      <c r="AK24" s="5"/>
      <c r="AL24" s="5"/>
      <c r="AM24" s="5"/>
      <c r="AN24" s="5"/>
      <c r="AO24" s="5"/>
      <c r="AP24" s="5"/>
      <c r="AQ24" s="17" t="s">
        <v>182</v>
      </c>
      <c r="AR24" s="7">
        <f>T27</f>
        <v>324.87168000000003</v>
      </c>
      <c r="AS24" s="17">
        <v>1</v>
      </c>
      <c r="AT24" s="7">
        <f>T28</f>
        <v>12.499999999999998</v>
      </c>
      <c r="AU24" s="5"/>
      <c r="AV24" s="5"/>
      <c r="AW24" s="5"/>
      <c r="AX24" s="5"/>
      <c r="AY24" s="4"/>
      <c r="AZ24" s="7"/>
      <c r="BA24" s="17">
        <v>2.5000000000000001E-2</v>
      </c>
      <c r="BB24" s="7">
        <f>T29</f>
        <v>28.125</v>
      </c>
      <c r="BC24" s="4"/>
      <c r="BD24" s="5"/>
      <c r="BE24" s="5"/>
      <c r="BF24" s="5"/>
      <c r="BG24" s="5"/>
      <c r="BH24" s="5"/>
      <c r="BI24" s="5"/>
      <c r="BJ24" s="5"/>
      <c r="BK24" s="37">
        <f>AD24+AJ24+AR24+AT24+BB24</f>
        <v>861.87292000000002</v>
      </c>
      <c r="BL24" s="8">
        <v>42501</v>
      </c>
      <c r="BM24" s="5"/>
      <c r="BN24" s="5" t="s">
        <v>246</v>
      </c>
      <c r="BO24" s="124"/>
      <c r="BP24" s="124"/>
      <c r="BQ24" s="125"/>
      <c r="BR24" s="126"/>
    </row>
    <row r="25" spans="1:70" s="6" customFormat="1" ht="136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6</v>
      </c>
      <c r="M25" s="17">
        <v>0.3</v>
      </c>
      <c r="N25" s="13">
        <f>1453*M25</f>
        <v>435.9</v>
      </c>
      <c r="O25" s="13"/>
      <c r="P25" s="13">
        <f>0.08*N25</f>
        <v>34.872</v>
      </c>
      <c r="Q25" s="13">
        <f>0.87*N25</f>
        <v>379.233</v>
      </c>
      <c r="R25" s="13">
        <v>0</v>
      </c>
      <c r="S25" s="13">
        <f>0.05*N25</f>
        <v>21.795000000000002</v>
      </c>
      <c r="T25" s="13">
        <f>P25+Q25+R25+S25</f>
        <v>435.90000000000003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21"/>
      <c r="BB25" s="22"/>
      <c r="BC25" s="4"/>
      <c r="BD25" s="5"/>
      <c r="BE25" s="5"/>
      <c r="BF25" s="5"/>
      <c r="BG25" s="5"/>
      <c r="BH25" s="5"/>
      <c r="BI25" s="5"/>
      <c r="BJ25" s="5"/>
      <c r="BK25" s="37"/>
      <c r="BL25" s="8"/>
      <c r="BM25" s="5"/>
      <c r="BN25" s="5"/>
      <c r="BO25" s="124"/>
      <c r="BP25" s="124"/>
      <c r="BQ25" s="125"/>
      <c r="BR25" s="126"/>
    </row>
    <row r="26" spans="1:70" s="6" customFormat="1" ht="136.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9</v>
      </c>
      <c r="M26" s="17">
        <v>1</v>
      </c>
      <c r="N26" s="13">
        <f>60.476*M26</f>
        <v>60.475999999999999</v>
      </c>
      <c r="O26" s="13"/>
      <c r="P26" s="13">
        <f>3.91*M26</f>
        <v>3.91</v>
      </c>
      <c r="Q26" s="13">
        <f>12.09*M26</f>
        <v>12.09</v>
      </c>
      <c r="R26" s="13">
        <f>40.92*1.072*M26</f>
        <v>43.866240000000005</v>
      </c>
      <c r="S26" s="13">
        <f>0.61*M26</f>
        <v>0.61</v>
      </c>
      <c r="T26" s="13">
        <f>P26+Q26+R26+S26</f>
        <v>60.476240000000004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21"/>
      <c r="BB26" s="22"/>
      <c r="BC26" s="4"/>
      <c r="BD26" s="5"/>
      <c r="BE26" s="5"/>
      <c r="BF26" s="5"/>
      <c r="BG26" s="5"/>
      <c r="BH26" s="5"/>
      <c r="BI26" s="5"/>
      <c r="BJ26" s="5"/>
      <c r="BK26" s="37"/>
      <c r="BL26" s="8"/>
      <c r="BM26" s="5"/>
      <c r="BN26" s="5"/>
      <c r="BO26" s="124"/>
      <c r="BP26" s="124"/>
      <c r="BQ26" s="125"/>
      <c r="BR26" s="126"/>
    </row>
    <row r="27" spans="1:70" s="6" customFormat="1" ht="136.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12</v>
      </c>
      <c r="M27" s="17" t="s">
        <v>182</v>
      </c>
      <c r="N27" s="7">
        <f>T27</f>
        <v>324.87168000000003</v>
      </c>
      <c r="O27" s="7"/>
      <c r="P27" s="7">
        <v>6.53</v>
      </c>
      <c r="Q27" s="7">
        <v>51.75</v>
      </c>
      <c r="R27" s="7">
        <f>244.19*1.072</f>
        <v>261.77168</v>
      </c>
      <c r="S27" s="7">
        <v>4.82</v>
      </c>
      <c r="T27" s="12">
        <f t="shared" ref="T27" si="10">SUM(P27:S27)</f>
        <v>324.87168000000003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36"/>
      <c r="AJ27" s="5"/>
      <c r="AK27" s="5"/>
      <c r="AL27" s="5"/>
      <c r="AM27" s="5"/>
      <c r="AN27" s="5"/>
      <c r="AO27" s="5"/>
      <c r="AP27" s="5"/>
      <c r="AQ27" s="36"/>
      <c r="AR27" s="5"/>
      <c r="AS27" s="36"/>
      <c r="AT27" s="5"/>
      <c r="AU27" s="5"/>
      <c r="AV27" s="5"/>
      <c r="AW27" s="5"/>
      <c r="AX27" s="5"/>
      <c r="AY27" s="4"/>
      <c r="AZ27" s="7"/>
      <c r="BA27" s="21"/>
      <c r="BB27" s="22"/>
      <c r="BC27" s="4"/>
      <c r="BD27" s="5"/>
      <c r="BE27" s="5"/>
      <c r="BF27" s="5"/>
      <c r="BG27" s="5"/>
      <c r="BH27" s="5"/>
      <c r="BI27" s="5"/>
      <c r="BJ27" s="5"/>
      <c r="BK27" s="37"/>
      <c r="BL27" s="8"/>
      <c r="BM27" s="5"/>
      <c r="BN27" s="5"/>
      <c r="BO27" s="124"/>
      <c r="BP27" s="124"/>
      <c r="BQ27" s="125"/>
      <c r="BR27" s="126"/>
    </row>
    <row r="28" spans="1:70" s="6" customFormat="1" ht="136.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26</v>
      </c>
      <c r="M28" s="17">
        <v>1</v>
      </c>
      <c r="N28" s="12">
        <v>12.5</v>
      </c>
      <c r="O28" s="2"/>
      <c r="P28" s="12">
        <v>0.75</v>
      </c>
      <c r="Q28" s="12">
        <v>1.53</v>
      </c>
      <c r="R28" s="12">
        <v>10.119999999999999</v>
      </c>
      <c r="S28" s="12">
        <v>0.1</v>
      </c>
      <c r="T28" s="12">
        <f t="shared" ref="T28:T29" si="11">P28+Q28+R28+S28</f>
        <v>12.499999999999998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21"/>
      <c r="BB28" s="22"/>
      <c r="BC28" s="4"/>
      <c r="BD28" s="5"/>
      <c r="BE28" s="5"/>
      <c r="BF28" s="5"/>
      <c r="BG28" s="5"/>
      <c r="BH28" s="5"/>
      <c r="BI28" s="5"/>
      <c r="BJ28" s="5"/>
      <c r="BK28" s="37"/>
      <c r="BL28" s="8"/>
      <c r="BM28" s="5"/>
      <c r="BN28" s="5"/>
      <c r="BO28" s="124"/>
      <c r="BP28" s="124"/>
      <c r="BQ28" s="125"/>
      <c r="BR28" s="126"/>
    </row>
    <row r="29" spans="1:70" s="6" customFormat="1" ht="136.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17">
        <v>2.5000000000000001E-2</v>
      </c>
      <c r="N29" s="12">
        <f>1125*M29</f>
        <v>28.125</v>
      </c>
      <c r="O29" s="2"/>
      <c r="P29" s="12">
        <f>0.08*N29</f>
        <v>2.25</v>
      </c>
      <c r="Q29" s="12">
        <f>0.86*N29</f>
        <v>24.1875</v>
      </c>
      <c r="R29" s="12"/>
      <c r="S29" s="12">
        <f>0.06*N29</f>
        <v>1.6875</v>
      </c>
      <c r="T29" s="12">
        <f t="shared" si="11"/>
        <v>28.125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36"/>
      <c r="AJ29" s="5"/>
      <c r="AK29" s="5"/>
      <c r="AL29" s="5"/>
      <c r="AM29" s="5"/>
      <c r="AN29" s="5"/>
      <c r="AO29" s="5"/>
      <c r="AP29" s="5"/>
      <c r="AQ29" s="36"/>
      <c r="AR29" s="5"/>
      <c r="AS29" s="36"/>
      <c r="AT29" s="5"/>
      <c r="AU29" s="5"/>
      <c r="AV29" s="5"/>
      <c r="AW29" s="5"/>
      <c r="AX29" s="5"/>
      <c r="AY29" s="4"/>
      <c r="AZ29" s="7"/>
      <c r="BA29" s="21"/>
      <c r="BB29" s="22"/>
      <c r="BC29" s="4"/>
      <c r="BD29" s="5"/>
      <c r="BE29" s="5"/>
      <c r="BF29" s="5"/>
      <c r="BG29" s="5"/>
      <c r="BH29" s="5"/>
      <c r="BI29" s="5"/>
      <c r="BJ29" s="5"/>
      <c r="BK29" s="37"/>
      <c r="BL29" s="8"/>
      <c r="BM29" s="5"/>
      <c r="BN29" s="5"/>
      <c r="BO29" s="124"/>
      <c r="BP29" s="124"/>
      <c r="BQ29" s="125"/>
      <c r="BR29" s="126"/>
    </row>
    <row r="30" spans="1:70" s="138" customFormat="1" ht="408.75" customHeight="1" x14ac:dyDescent="0.25">
      <c r="A30" s="127"/>
      <c r="B30" s="128"/>
      <c r="C30" s="129"/>
      <c r="D30" s="129"/>
      <c r="E30" s="130"/>
      <c r="F30" s="128"/>
      <c r="G30" s="128"/>
      <c r="H30" s="128"/>
      <c r="I30" s="128"/>
      <c r="J30" s="131" t="s">
        <v>206</v>
      </c>
      <c r="K30" s="130"/>
      <c r="L30" s="130"/>
      <c r="M30" s="130"/>
      <c r="N30" s="132">
        <f>N3+N9+N15+N22+N24</f>
        <v>4979.9442959999997</v>
      </c>
      <c r="O30" s="132">
        <f t="shared" ref="O30:BK30" si="12">O3+O9+O15+O22+O24</f>
        <v>0</v>
      </c>
      <c r="P30" s="132">
        <f t="shared" si="12"/>
        <v>262.14800000000002</v>
      </c>
      <c r="Q30" s="132">
        <f t="shared" si="12"/>
        <v>2458.5719999999997</v>
      </c>
      <c r="R30" s="132">
        <f t="shared" si="12"/>
        <v>2098.6052959999997</v>
      </c>
      <c r="S30" s="132">
        <f t="shared" si="12"/>
        <v>160.61500000000001</v>
      </c>
      <c r="T30" s="132">
        <f t="shared" si="12"/>
        <v>4979.9402959999998</v>
      </c>
      <c r="U30" s="132">
        <f t="shared" si="12"/>
        <v>0</v>
      </c>
      <c r="V30" s="132">
        <f t="shared" si="12"/>
        <v>0</v>
      </c>
      <c r="W30" s="132">
        <f t="shared" si="12"/>
        <v>0</v>
      </c>
      <c r="X30" s="132">
        <f t="shared" si="12"/>
        <v>0</v>
      </c>
      <c r="Y30" s="132">
        <f t="shared" si="12"/>
        <v>0</v>
      </c>
      <c r="Z30" s="132">
        <f t="shared" si="12"/>
        <v>0</v>
      </c>
      <c r="AA30" s="132">
        <f t="shared" si="12"/>
        <v>0</v>
      </c>
      <c r="AB30" s="132">
        <f t="shared" si="12"/>
        <v>0</v>
      </c>
      <c r="AC30" s="132">
        <v>0.3</v>
      </c>
      <c r="AD30" s="132">
        <f t="shared" si="12"/>
        <v>435.90000000000003</v>
      </c>
      <c r="AE30" s="142">
        <v>0.65</v>
      </c>
      <c r="AF30" s="132">
        <f t="shared" si="12"/>
        <v>944.44999999999982</v>
      </c>
      <c r="AG30" s="132">
        <f t="shared" si="12"/>
        <v>0</v>
      </c>
      <c r="AH30" s="132">
        <f t="shared" si="12"/>
        <v>0</v>
      </c>
      <c r="AI30" s="132">
        <v>4</v>
      </c>
      <c r="AJ30" s="132">
        <f t="shared" si="12"/>
        <v>241.90496000000002</v>
      </c>
      <c r="AK30" s="132">
        <f t="shared" si="12"/>
        <v>0</v>
      </c>
      <c r="AL30" s="132">
        <f t="shared" si="12"/>
        <v>0</v>
      </c>
      <c r="AM30" s="132">
        <f t="shared" si="12"/>
        <v>0</v>
      </c>
      <c r="AN30" s="132">
        <f t="shared" si="12"/>
        <v>0</v>
      </c>
      <c r="AO30" s="132">
        <f t="shared" si="12"/>
        <v>0</v>
      </c>
      <c r="AP30" s="132">
        <f t="shared" si="12"/>
        <v>0</v>
      </c>
      <c r="AQ30" s="132" t="s">
        <v>244</v>
      </c>
      <c r="AR30" s="132">
        <f t="shared" si="12"/>
        <v>2244.5603360000005</v>
      </c>
      <c r="AS30" s="132">
        <v>4</v>
      </c>
      <c r="AT30" s="132">
        <f t="shared" si="12"/>
        <v>49.999999999999993</v>
      </c>
      <c r="AU30" s="132">
        <f t="shared" si="12"/>
        <v>0</v>
      </c>
      <c r="AV30" s="132">
        <f t="shared" si="12"/>
        <v>0</v>
      </c>
      <c r="AW30" s="132">
        <f t="shared" si="12"/>
        <v>0</v>
      </c>
      <c r="AX30" s="132">
        <f t="shared" si="12"/>
        <v>0</v>
      </c>
      <c r="AY30" s="132"/>
      <c r="AZ30" s="132">
        <f t="shared" si="12"/>
        <v>0</v>
      </c>
      <c r="BA30" s="143">
        <v>0.94499999999999995</v>
      </c>
      <c r="BB30" s="132">
        <f t="shared" si="12"/>
        <v>1063.125</v>
      </c>
      <c r="BC30" s="132">
        <f t="shared" si="12"/>
        <v>0</v>
      </c>
      <c r="BD30" s="132">
        <f t="shared" si="12"/>
        <v>0</v>
      </c>
      <c r="BE30" s="132">
        <f t="shared" si="12"/>
        <v>0</v>
      </c>
      <c r="BF30" s="132">
        <f t="shared" si="12"/>
        <v>0</v>
      </c>
      <c r="BG30" s="132">
        <f t="shared" si="12"/>
        <v>0</v>
      </c>
      <c r="BH30" s="132">
        <f t="shared" si="12"/>
        <v>0</v>
      </c>
      <c r="BI30" s="132">
        <f t="shared" si="12"/>
        <v>0</v>
      </c>
      <c r="BJ30" s="132">
        <f t="shared" si="12"/>
        <v>0</v>
      </c>
      <c r="BK30" s="132">
        <f t="shared" si="12"/>
        <v>4979.9402959999998</v>
      </c>
      <c r="BL30" s="133"/>
      <c r="BM30" s="134"/>
      <c r="BN30" s="134"/>
      <c r="BO30" s="135"/>
      <c r="BP30" s="135"/>
      <c r="BQ30" s="136"/>
      <c r="BR30" s="137"/>
    </row>
    <row r="31" spans="1:70" s="35" customFormat="1" ht="102" customHeight="1" x14ac:dyDescent="0.25">
      <c r="A31" s="117"/>
      <c r="B31" s="118"/>
      <c r="C31" s="119"/>
      <c r="D31" s="119"/>
      <c r="F31" s="118"/>
      <c r="G31" s="118"/>
      <c r="H31" s="118"/>
      <c r="I31" s="118"/>
      <c r="J31" s="118"/>
      <c r="N31" s="120"/>
      <c r="O31" s="120"/>
      <c r="P31" s="120"/>
      <c r="Q31" s="120"/>
      <c r="R31" s="120"/>
      <c r="S31" s="120"/>
      <c r="T31" s="120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Z31" s="16"/>
      <c r="BB31" s="16"/>
      <c r="BD31" s="15"/>
      <c r="BE31" s="15"/>
      <c r="BF31" s="15"/>
      <c r="BG31" s="15"/>
      <c r="BH31" s="15"/>
      <c r="BI31" s="15"/>
      <c r="BJ31" s="15"/>
      <c r="BK31" s="15"/>
      <c r="BL31" s="10"/>
      <c r="BM31" s="15"/>
      <c r="BN31" s="15"/>
      <c r="BO31" s="16"/>
      <c r="BP31" s="16"/>
      <c r="BQ31" s="10"/>
      <c r="BR31" s="15"/>
    </row>
    <row r="32" spans="1:70" s="35" customFormat="1" ht="237.75" customHeight="1" x14ac:dyDescent="0.25">
      <c r="A32" s="117"/>
      <c r="C32" s="119"/>
      <c r="D32" s="119"/>
      <c r="F32" s="123" t="s">
        <v>216</v>
      </c>
      <c r="G32" s="118"/>
      <c r="H32" s="118"/>
      <c r="I32" s="118"/>
      <c r="J32" s="123" t="s">
        <v>220</v>
      </c>
      <c r="M32" s="123" t="s">
        <v>221</v>
      </c>
      <c r="N32" s="16"/>
      <c r="O32" s="16"/>
      <c r="P32" s="16"/>
      <c r="Q32" s="16"/>
      <c r="R32" s="16"/>
      <c r="S32" s="16"/>
      <c r="T32" s="16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B32" s="16"/>
      <c r="BC32" s="16"/>
      <c r="BD32" s="15"/>
      <c r="BE32" s="15"/>
      <c r="BF32" s="15"/>
      <c r="BG32" s="15"/>
      <c r="BH32" s="15"/>
      <c r="BI32" s="15"/>
      <c r="BJ32" s="15"/>
      <c r="BK32" s="15"/>
      <c r="BL32" s="10"/>
      <c r="BM32" s="15"/>
      <c r="BN32" s="15"/>
      <c r="BO32" s="16"/>
      <c r="BP32" s="16"/>
      <c r="BQ32" s="10"/>
      <c r="BR32" s="15"/>
    </row>
    <row r="33" spans="1:70" s="35" customFormat="1" ht="237.75" customHeight="1" x14ac:dyDescent="0.25">
      <c r="A33" s="117"/>
      <c r="C33" s="119"/>
      <c r="D33" s="119"/>
      <c r="F33" s="123" t="s">
        <v>217</v>
      </c>
      <c r="G33" s="118"/>
      <c r="H33" s="118"/>
      <c r="I33" s="118"/>
      <c r="J33" s="123" t="s">
        <v>220</v>
      </c>
      <c r="M33" s="123" t="s">
        <v>222</v>
      </c>
      <c r="N33" s="16"/>
      <c r="P33" s="16"/>
      <c r="Q33" s="16"/>
      <c r="R33" s="16"/>
      <c r="S33" s="16"/>
      <c r="T33" s="16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B33" s="16"/>
      <c r="BC33" s="16"/>
      <c r="BD33" s="15"/>
      <c r="BE33" s="15"/>
      <c r="BF33" s="15"/>
      <c r="BG33" s="15"/>
      <c r="BH33" s="15"/>
      <c r="BI33" s="15"/>
      <c r="BJ33" s="15"/>
      <c r="BK33" s="15"/>
      <c r="BL33" s="10"/>
      <c r="BM33" s="15"/>
      <c r="BN33" s="15"/>
      <c r="BO33" s="16"/>
      <c r="BP33" s="16"/>
      <c r="BQ33" s="10"/>
      <c r="BR33" s="15"/>
    </row>
    <row r="34" spans="1:70" s="35" customFormat="1" ht="237.75" customHeight="1" x14ac:dyDescent="0.25">
      <c r="A34" s="117"/>
      <c r="C34" s="119"/>
      <c r="D34" s="119"/>
      <c r="F34" s="123" t="s">
        <v>218</v>
      </c>
      <c r="G34" s="118"/>
      <c r="H34" s="118"/>
      <c r="I34" s="118"/>
      <c r="J34" s="123" t="s">
        <v>220</v>
      </c>
      <c r="M34" s="123" t="s">
        <v>223</v>
      </c>
      <c r="N34" s="121"/>
      <c r="O34" s="118"/>
      <c r="P34" s="121"/>
      <c r="Q34" s="121"/>
      <c r="R34" s="121"/>
      <c r="S34" s="121"/>
      <c r="T34" s="121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0"/>
      <c r="BM34" s="15"/>
      <c r="BN34" s="15"/>
      <c r="BO34" s="16"/>
      <c r="BP34" s="16"/>
      <c r="BQ34" s="10"/>
      <c r="BR34" s="15"/>
    </row>
    <row r="35" spans="1:70" s="35" customFormat="1" ht="237.75" customHeight="1" x14ac:dyDescent="0.25">
      <c r="A35" s="117"/>
      <c r="C35" s="119"/>
      <c r="D35" s="119"/>
      <c r="F35" s="123" t="s">
        <v>219</v>
      </c>
      <c r="G35" s="118"/>
      <c r="H35" s="118"/>
      <c r="I35" s="118"/>
      <c r="J35" s="123" t="s">
        <v>220</v>
      </c>
      <c r="M35" s="123" t="s">
        <v>224</v>
      </c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B35" s="16"/>
      <c r="BC35" s="16"/>
      <c r="BD35" s="15"/>
      <c r="BE35" s="15"/>
      <c r="BF35" s="15"/>
      <c r="BG35" s="15"/>
      <c r="BH35" s="15"/>
      <c r="BJ35" s="16"/>
      <c r="BK35" s="16"/>
      <c r="BL35" s="10"/>
      <c r="BM35" s="15"/>
      <c r="BN35" s="15"/>
      <c r="BO35" s="16"/>
      <c r="BP35" s="16"/>
      <c r="BQ35" s="10"/>
      <c r="BR35" s="15"/>
    </row>
    <row r="36" spans="1:70" s="6" customFormat="1" ht="222" customHeight="1" x14ac:dyDescent="0.25">
      <c r="A36" s="112"/>
      <c r="B36" s="113"/>
      <c r="C36" s="114"/>
      <c r="D36" s="114"/>
      <c r="E36" s="17"/>
      <c r="F36" s="113"/>
      <c r="G36" s="113"/>
      <c r="H36" s="113"/>
      <c r="I36" s="113"/>
      <c r="J36" s="113"/>
      <c r="K36" s="17"/>
      <c r="L36" s="17"/>
      <c r="M36" s="17"/>
      <c r="N36" s="17"/>
      <c r="O36" s="17"/>
      <c r="P36" s="20"/>
      <c r="Q36" s="20"/>
      <c r="R36" s="20"/>
      <c r="S36" s="20"/>
      <c r="T36" s="20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115"/>
      <c r="BM36" s="36"/>
      <c r="BN36" s="36"/>
      <c r="BO36" s="20"/>
      <c r="BP36" s="20"/>
      <c r="BQ36" s="115"/>
      <c r="BR36" s="116"/>
    </row>
    <row r="37" spans="1:70" s="6" customFormat="1" ht="222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4"/>
      <c r="O37" s="4"/>
      <c r="P37" s="7"/>
      <c r="Q37" s="7"/>
      <c r="R37" s="7"/>
      <c r="S37" s="7"/>
      <c r="T37" s="7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36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57.2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7"/>
      <c r="O38" s="4"/>
      <c r="P38" s="7"/>
      <c r="Q38" s="7"/>
      <c r="R38" s="7"/>
      <c r="S38" s="7"/>
      <c r="T38" s="7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17"/>
      <c r="BB38" s="7"/>
      <c r="BC38" s="7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182.2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17"/>
      <c r="N39" s="12"/>
      <c r="O39" s="2"/>
      <c r="P39" s="12"/>
      <c r="Q39" s="12"/>
      <c r="R39" s="12"/>
      <c r="S39" s="12"/>
      <c r="T39" s="12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36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229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13"/>
      <c r="O40" s="13"/>
      <c r="P40" s="13"/>
      <c r="Q40" s="13"/>
      <c r="R40" s="13"/>
      <c r="S40" s="13"/>
      <c r="T40" s="13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36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409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7"/>
      <c r="O41" s="4"/>
      <c r="P41" s="7"/>
      <c r="Q41" s="7"/>
      <c r="R41" s="7"/>
      <c r="S41" s="7"/>
      <c r="T41" s="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7"/>
      <c r="AG41" s="7"/>
      <c r="AH41" s="7"/>
      <c r="AI41" s="17"/>
      <c r="AJ41" s="7"/>
      <c r="AK41" s="7"/>
      <c r="AL41" s="5"/>
      <c r="AM41" s="5"/>
      <c r="AN41" s="5"/>
      <c r="AO41" s="5"/>
      <c r="AP41" s="5"/>
      <c r="AQ41" s="17"/>
      <c r="AR41" s="7"/>
      <c r="AS41" s="17"/>
      <c r="AT41" s="7"/>
      <c r="AU41" s="5"/>
      <c r="AV41" s="5"/>
      <c r="AW41" s="5"/>
      <c r="AX41" s="5"/>
      <c r="AY41" s="4"/>
      <c r="AZ41" s="7"/>
      <c r="BA41" s="17"/>
      <c r="BB41" s="7"/>
      <c r="BC41" s="7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41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12"/>
      <c r="O42" s="2"/>
      <c r="P42" s="12"/>
      <c r="Q42" s="12"/>
      <c r="R42" s="12"/>
      <c r="S42" s="12"/>
      <c r="T42" s="12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4"/>
      <c r="AH42" s="7"/>
      <c r="AI42" s="7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4"/>
      <c r="AZ42" s="7"/>
      <c r="BA42" s="17"/>
      <c r="BB42" s="7"/>
      <c r="BC42" s="7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41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17"/>
      <c r="N43" s="12"/>
      <c r="O43" s="2"/>
      <c r="P43" s="12"/>
      <c r="Q43" s="12"/>
      <c r="R43" s="12"/>
      <c r="S43" s="12"/>
      <c r="T43" s="12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4"/>
      <c r="AH43" s="7"/>
      <c r="AI43" s="7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4"/>
      <c r="AZ43" s="7"/>
      <c r="BA43" s="17"/>
      <c r="BB43" s="7"/>
      <c r="BC43" s="7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41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17"/>
      <c r="N44" s="7"/>
      <c r="O44" s="7"/>
      <c r="P44" s="7"/>
      <c r="Q44" s="7"/>
      <c r="R44" s="7"/>
      <c r="S44" s="7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4"/>
      <c r="AH44" s="7"/>
      <c r="AI44" s="7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4"/>
      <c r="AZ44" s="7"/>
      <c r="BA44" s="17"/>
      <c r="BB44" s="7"/>
      <c r="BC44" s="7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41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17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4"/>
      <c r="AH45" s="7"/>
      <c r="AI45" s="7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4"/>
      <c r="AZ45" s="7"/>
      <c r="BA45" s="17"/>
      <c r="BB45" s="7"/>
      <c r="BC45" s="7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41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17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4"/>
      <c r="AH46" s="7"/>
      <c r="AI46" s="7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4"/>
      <c r="AZ46" s="7"/>
      <c r="BA46" s="17"/>
      <c r="BB46" s="7"/>
      <c r="BC46" s="7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201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7"/>
      <c r="O47" s="4"/>
      <c r="P47" s="7"/>
      <c r="Q47" s="7"/>
      <c r="R47" s="7"/>
      <c r="S47" s="7"/>
      <c r="T47" s="7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17"/>
      <c r="BB47" s="7"/>
      <c r="BC47" s="7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01.7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17"/>
      <c r="N48" s="12"/>
      <c r="O48" s="2"/>
      <c r="P48" s="12"/>
      <c r="Q48" s="12"/>
      <c r="R48" s="12"/>
      <c r="S48" s="12"/>
      <c r="T48" s="12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36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01.7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7"/>
      <c r="O49" s="4"/>
      <c r="P49" s="7"/>
      <c r="Q49" s="7"/>
      <c r="R49" s="7"/>
      <c r="S49" s="7"/>
      <c r="T49" s="7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17"/>
      <c r="BB49" s="7"/>
      <c r="BC49" s="7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01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17"/>
      <c r="N50" s="12"/>
      <c r="O50" s="2"/>
      <c r="P50" s="12"/>
      <c r="Q50" s="12"/>
      <c r="R50" s="12"/>
      <c r="S50" s="12"/>
      <c r="T50" s="12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36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409.6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7"/>
      <c r="O51" s="4"/>
      <c r="P51" s="4"/>
      <c r="Q51" s="4"/>
      <c r="R51" s="4"/>
      <c r="S51" s="4"/>
      <c r="T51" s="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36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201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7"/>
      <c r="O52" s="4"/>
      <c r="P52" s="4"/>
      <c r="Q52" s="4"/>
      <c r="R52" s="4"/>
      <c r="S52" s="4"/>
      <c r="T52" s="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36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201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7"/>
      <c r="O53" s="4"/>
      <c r="P53" s="7"/>
      <c r="Q53" s="7"/>
      <c r="R53" s="7"/>
      <c r="S53" s="7"/>
      <c r="T53" s="7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4"/>
      <c r="AH53" s="7"/>
      <c r="AI53" s="7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4"/>
      <c r="AZ53" s="7"/>
      <c r="BA53" s="17"/>
      <c r="BB53" s="7"/>
      <c r="BC53" s="7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201.7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7"/>
      <c r="O54" s="4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36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201.7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7"/>
      <c r="O55" s="4"/>
      <c r="P55" s="4"/>
      <c r="Q55" s="4"/>
      <c r="R55" s="4"/>
      <c r="S55" s="4"/>
      <c r="T55" s="7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36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01.7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17"/>
      <c r="N56" s="12"/>
      <c r="O56" s="2"/>
      <c r="P56" s="12"/>
      <c r="Q56" s="12"/>
      <c r="R56" s="12"/>
      <c r="S56" s="12"/>
      <c r="T56" s="12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36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259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13"/>
      <c r="O57" s="13"/>
      <c r="P57" s="13"/>
      <c r="Q57" s="13"/>
      <c r="R57" s="13"/>
      <c r="S57" s="13"/>
      <c r="T57" s="13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17"/>
      <c r="BB57" s="13"/>
      <c r="BC57" s="13"/>
      <c r="BD57" s="5"/>
      <c r="BE57" s="5"/>
      <c r="BF57" s="5"/>
      <c r="BG57" s="4"/>
      <c r="BH57" s="18"/>
      <c r="BI57" s="13"/>
      <c r="BJ57" s="5"/>
      <c r="BK57" s="37"/>
      <c r="BL57" s="8"/>
      <c r="BM57" s="5"/>
      <c r="BN57" s="5"/>
      <c r="BO57" s="7"/>
      <c r="BP57" s="7"/>
      <c r="BQ57" s="8"/>
      <c r="BR57" s="9"/>
    </row>
    <row r="58" spans="1:70" s="6" customFormat="1" ht="244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4"/>
      <c r="O58" s="4"/>
      <c r="P58" s="13"/>
      <c r="Q58" s="13"/>
      <c r="R58" s="13"/>
      <c r="S58" s="13"/>
      <c r="T58" s="13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17"/>
      <c r="BB58" s="24"/>
      <c r="BC58" s="13"/>
      <c r="BD58" s="5"/>
      <c r="BE58" s="5"/>
      <c r="BF58" s="5"/>
      <c r="BG58" s="4"/>
      <c r="BH58" s="18"/>
      <c r="BI58" s="13"/>
      <c r="BJ58" s="5"/>
      <c r="BK58" s="37"/>
      <c r="BL58" s="8"/>
      <c r="BM58" s="5"/>
      <c r="BN58" s="5"/>
      <c r="BO58" s="7"/>
      <c r="BP58" s="7"/>
      <c r="BQ58" s="8"/>
      <c r="BR58" s="9"/>
    </row>
    <row r="59" spans="1:70" s="6" customFormat="1" ht="219.7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18"/>
      <c r="O59" s="18"/>
      <c r="P59" s="18"/>
      <c r="Q59" s="18"/>
      <c r="R59" s="18"/>
      <c r="S59" s="18"/>
      <c r="T59" s="18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23"/>
      <c r="BB59" s="25"/>
      <c r="BC59" s="26"/>
      <c r="BD59" s="5"/>
      <c r="BE59" s="5"/>
      <c r="BF59" s="5"/>
      <c r="BG59" s="5"/>
      <c r="BH59" s="5"/>
      <c r="BI59" s="5"/>
      <c r="BJ59" s="5"/>
      <c r="BK59" s="37"/>
      <c r="BL59" s="8"/>
      <c r="BM59" s="5"/>
      <c r="BN59" s="5"/>
      <c r="BO59" s="7"/>
      <c r="BP59" s="7"/>
      <c r="BQ59" s="8"/>
      <c r="BR59" s="9"/>
    </row>
    <row r="60" spans="1:70" s="6" customFormat="1" ht="219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13"/>
      <c r="O60" s="13"/>
      <c r="P60" s="13"/>
      <c r="Q60" s="13"/>
      <c r="R60" s="13"/>
      <c r="S60" s="13"/>
      <c r="T60" s="13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17"/>
      <c r="BB60" s="13"/>
      <c r="BC60" s="13"/>
      <c r="BD60" s="5"/>
      <c r="BE60" s="5"/>
      <c r="BF60" s="5"/>
      <c r="BG60" s="5"/>
      <c r="BH60" s="5"/>
      <c r="BI60" s="5"/>
      <c r="BJ60" s="5"/>
      <c r="BK60" s="37"/>
      <c r="BL60" s="8"/>
      <c r="BM60" s="5"/>
      <c r="BN60" s="5"/>
      <c r="BO60" s="7"/>
      <c r="BP60" s="7"/>
      <c r="BQ60" s="8"/>
      <c r="BR60" s="9"/>
    </row>
    <row r="61" spans="1:70" s="6" customFormat="1" ht="219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13"/>
      <c r="O61" s="13"/>
      <c r="P61" s="13"/>
      <c r="Q61" s="13"/>
      <c r="R61" s="13"/>
      <c r="S61" s="13"/>
      <c r="T61" s="13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23"/>
      <c r="BB61" s="25"/>
      <c r="BC61" s="26"/>
      <c r="BD61" s="5"/>
      <c r="BE61" s="5"/>
      <c r="BF61" s="5"/>
      <c r="BG61" s="5"/>
      <c r="BH61" s="5"/>
      <c r="BI61" s="5"/>
      <c r="BJ61" s="5"/>
      <c r="BK61" s="37"/>
      <c r="BL61" s="8"/>
      <c r="BM61" s="5"/>
      <c r="BN61" s="5"/>
      <c r="BO61" s="7"/>
      <c r="BP61" s="7"/>
      <c r="BQ61" s="8"/>
      <c r="BR61" s="9"/>
    </row>
    <row r="62" spans="1:70" s="6" customFormat="1" ht="409.6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17"/>
      <c r="BB62" s="13"/>
      <c r="BC62" s="4"/>
      <c r="BD62" s="5"/>
      <c r="BE62" s="5"/>
      <c r="BF62" s="5"/>
      <c r="BG62" s="5"/>
      <c r="BH62" s="5"/>
      <c r="BI62" s="5"/>
      <c r="BJ62" s="5"/>
      <c r="BK62" s="37"/>
      <c r="BL62" s="8"/>
      <c r="BM62" s="5"/>
      <c r="BN62" s="5"/>
      <c r="BO62" s="7"/>
      <c r="BP62" s="7"/>
      <c r="BQ62" s="8"/>
      <c r="BR62" s="9"/>
    </row>
    <row r="63" spans="1:70" s="6" customFormat="1" ht="409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13"/>
      <c r="O63" s="13"/>
      <c r="P63" s="13"/>
      <c r="Q63" s="13"/>
      <c r="R63" s="13"/>
      <c r="S63" s="13"/>
      <c r="T63" s="13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13"/>
      <c r="AG63" s="13"/>
      <c r="AH63" s="5"/>
      <c r="AI63" s="17"/>
      <c r="AJ63" s="13"/>
      <c r="AK63" s="13"/>
      <c r="AL63" s="5"/>
      <c r="AM63" s="5"/>
      <c r="AN63" s="5"/>
      <c r="AO63" s="5"/>
      <c r="AP63" s="5"/>
      <c r="AQ63" s="17"/>
      <c r="AR63" s="13"/>
      <c r="AS63" s="17"/>
      <c r="AT63" s="13"/>
      <c r="AU63" s="5"/>
      <c r="AV63" s="5"/>
      <c r="AW63" s="5"/>
      <c r="AX63" s="5"/>
      <c r="AY63" s="5"/>
      <c r="AZ63" s="5"/>
      <c r="BA63" s="17"/>
      <c r="BB63" s="13"/>
      <c r="BC63" s="13"/>
      <c r="BD63" s="5"/>
      <c r="BE63" s="5"/>
      <c r="BF63" s="5"/>
      <c r="BG63" s="5"/>
      <c r="BH63" s="5"/>
      <c r="BI63" s="5"/>
      <c r="BJ63" s="5"/>
      <c r="BK63" s="37"/>
      <c r="BL63" s="8"/>
      <c r="BM63" s="5"/>
      <c r="BN63" s="5"/>
      <c r="BO63" s="7"/>
      <c r="BP63" s="7"/>
      <c r="BQ63" s="8"/>
      <c r="BR63" s="9"/>
    </row>
    <row r="64" spans="1:70" s="6" customFormat="1" ht="137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13"/>
      <c r="O64" s="13"/>
      <c r="P64" s="13"/>
      <c r="Q64" s="13"/>
      <c r="R64" s="13"/>
      <c r="S64" s="13"/>
      <c r="T64" s="13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23"/>
      <c r="BB64" s="25"/>
      <c r="BC64" s="26"/>
      <c r="BD64" s="5"/>
      <c r="BE64" s="5"/>
      <c r="BF64" s="5"/>
      <c r="BG64" s="5"/>
      <c r="BH64" s="5"/>
      <c r="BI64" s="5"/>
      <c r="BJ64" s="5"/>
      <c r="BK64" s="37"/>
      <c r="BL64" s="8"/>
      <c r="BM64" s="5"/>
      <c r="BN64" s="5"/>
      <c r="BO64" s="7"/>
      <c r="BP64" s="7"/>
      <c r="BQ64" s="8"/>
      <c r="BR64" s="9"/>
    </row>
    <row r="65" spans="1:72" s="6" customFormat="1" ht="137.2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13"/>
      <c r="O65" s="13"/>
      <c r="P65" s="13"/>
      <c r="Q65" s="13"/>
      <c r="R65" s="13"/>
      <c r="S65" s="13"/>
      <c r="T65" s="13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23"/>
      <c r="BB65" s="25"/>
      <c r="BC65" s="26"/>
      <c r="BD65" s="5"/>
      <c r="BE65" s="5"/>
      <c r="BF65" s="5"/>
      <c r="BG65" s="5"/>
      <c r="BH65" s="5"/>
      <c r="BI65" s="5"/>
      <c r="BJ65" s="5"/>
      <c r="BK65" s="37"/>
      <c r="BL65" s="8"/>
      <c r="BM65" s="5"/>
      <c r="BN65" s="5"/>
      <c r="BO65" s="7"/>
      <c r="BP65" s="7"/>
      <c r="BQ65" s="8"/>
      <c r="BR65" s="9"/>
    </row>
    <row r="66" spans="1:72" s="6" customFormat="1" ht="137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13"/>
      <c r="O66" s="13"/>
      <c r="P66" s="13"/>
      <c r="Q66" s="13"/>
      <c r="R66" s="13"/>
      <c r="S66" s="13"/>
      <c r="T66" s="13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23"/>
      <c r="BB66" s="25"/>
      <c r="BC66" s="26"/>
      <c r="BD66" s="5"/>
      <c r="BE66" s="5"/>
      <c r="BF66" s="5"/>
      <c r="BG66" s="5"/>
      <c r="BH66" s="5"/>
      <c r="BI66" s="5"/>
      <c r="BJ66" s="5"/>
      <c r="BK66" s="37"/>
      <c r="BL66" s="8"/>
      <c r="BM66" s="5"/>
      <c r="BN66" s="5"/>
      <c r="BO66" s="7"/>
      <c r="BP66" s="7"/>
      <c r="BQ66" s="8"/>
      <c r="BR66" s="9"/>
    </row>
    <row r="67" spans="1:72" s="6" customFormat="1" ht="137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13"/>
      <c r="O67" s="13"/>
      <c r="P67" s="13"/>
      <c r="Q67" s="13"/>
      <c r="R67" s="13"/>
      <c r="S67" s="13"/>
      <c r="T67" s="13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23"/>
      <c r="BB67" s="25"/>
      <c r="BC67" s="26"/>
      <c r="BD67" s="5"/>
      <c r="BE67" s="5"/>
      <c r="BF67" s="5"/>
      <c r="BG67" s="5"/>
      <c r="BH67" s="5"/>
      <c r="BI67" s="5"/>
      <c r="BJ67" s="5"/>
      <c r="BK67" s="37"/>
      <c r="BL67" s="8"/>
      <c r="BM67" s="5"/>
      <c r="BN67" s="5"/>
      <c r="BO67" s="7"/>
      <c r="BP67" s="7"/>
      <c r="BQ67" s="8"/>
      <c r="BR67" s="9"/>
    </row>
    <row r="68" spans="1:72" s="6" customFormat="1" ht="137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13"/>
      <c r="O68" s="13"/>
      <c r="P68" s="13"/>
      <c r="Q68" s="13"/>
      <c r="R68" s="13"/>
      <c r="S68" s="13"/>
      <c r="T68" s="13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23"/>
      <c r="BB68" s="25"/>
      <c r="BC68" s="26"/>
      <c r="BD68" s="5"/>
      <c r="BE68" s="5"/>
      <c r="BF68" s="5"/>
      <c r="BG68" s="5"/>
      <c r="BH68" s="5"/>
      <c r="BI68" s="5"/>
      <c r="BJ68" s="5"/>
      <c r="BK68" s="37"/>
      <c r="BL68" s="8"/>
      <c r="BM68" s="5"/>
      <c r="BN68" s="5"/>
      <c r="BO68" s="7"/>
      <c r="BP68" s="7"/>
      <c r="BQ68" s="8"/>
      <c r="BR68" s="9"/>
    </row>
    <row r="69" spans="1:72" s="6" customFormat="1" ht="291.7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4"/>
      <c r="AZ69" s="5"/>
      <c r="BA69" s="17"/>
      <c r="BB69" s="13"/>
      <c r="BC69" s="4"/>
      <c r="BD69" s="7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2" s="6" customFormat="1" ht="291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13"/>
      <c r="O70" s="13"/>
      <c r="P70" s="13"/>
      <c r="Q70" s="13"/>
      <c r="R70" s="13"/>
      <c r="S70" s="13"/>
      <c r="T70" s="13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4"/>
      <c r="AZ70" s="5"/>
      <c r="BA70" s="17"/>
      <c r="BB70" s="20"/>
      <c r="BC70" s="4"/>
      <c r="BD70" s="7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2" s="6" customFormat="1" ht="197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7"/>
      <c r="O71" s="7"/>
      <c r="P71" s="7"/>
      <c r="Q71" s="7"/>
      <c r="R71" s="7"/>
      <c r="S71" s="7"/>
      <c r="T71" s="4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17"/>
      <c r="BB71" s="4"/>
      <c r="BC71" s="4"/>
      <c r="BD71" s="5"/>
      <c r="BE71" s="5"/>
      <c r="BF71" s="5"/>
      <c r="BG71" s="5"/>
      <c r="BH71" s="5"/>
      <c r="BI71" s="5"/>
      <c r="BJ71" s="5"/>
      <c r="BK71" s="37"/>
      <c r="BL71" s="8"/>
      <c r="BM71" s="5"/>
      <c r="BN71" s="5"/>
      <c r="BO71" s="7"/>
      <c r="BP71" s="7"/>
      <c r="BQ71" s="8"/>
      <c r="BR71" s="9"/>
    </row>
    <row r="72" spans="1:72" s="6" customFormat="1" ht="197.2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7"/>
      <c r="P72" s="7"/>
      <c r="Q72" s="7"/>
      <c r="R72" s="7"/>
      <c r="S72" s="7"/>
      <c r="T72" s="4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21"/>
      <c r="BB72" s="26"/>
      <c r="BC72" s="26"/>
      <c r="BD72" s="5"/>
      <c r="BE72" s="5"/>
      <c r="BF72" s="5"/>
      <c r="BG72" s="5"/>
      <c r="BH72" s="5"/>
      <c r="BI72" s="5"/>
      <c r="BJ72" s="5"/>
      <c r="BK72" s="37"/>
      <c r="BL72" s="8"/>
      <c r="BM72" s="5"/>
      <c r="BN72" s="5"/>
      <c r="BO72" s="7"/>
      <c r="BP72" s="7"/>
      <c r="BQ72" s="8"/>
      <c r="BR72" s="9"/>
    </row>
    <row r="73" spans="1:72" s="6" customFormat="1" ht="279.7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27"/>
      <c r="O73" s="27"/>
      <c r="P73" s="27"/>
      <c r="Q73" s="27"/>
      <c r="R73" s="27"/>
      <c r="S73" s="27"/>
      <c r="T73" s="27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17"/>
      <c r="BB73" s="18"/>
      <c r="BC73" s="18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2" s="6" customFormat="1" ht="171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7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17"/>
      <c r="BB74" s="7"/>
      <c r="BC74" s="7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2" s="6" customFormat="1" ht="129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7"/>
      <c r="O75" s="7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19"/>
      <c r="BB75" s="13"/>
      <c r="BC75" s="13"/>
      <c r="BD75" s="5"/>
      <c r="BE75" s="5"/>
      <c r="BF75" s="5"/>
      <c r="BG75" s="5"/>
      <c r="BH75" s="5"/>
      <c r="BI75" s="5"/>
      <c r="BJ75" s="5"/>
      <c r="BK75" s="37"/>
      <c r="BL75" s="8"/>
      <c r="BM75" s="5"/>
      <c r="BN75" s="5"/>
      <c r="BO75" s="7"/>
      <c r="BP75" s="7"/>
      <c r="BQ75" s="8"/>
      <c r="BR75" s="9"/>
    </row>
    <row r="76" spans="1:72" s="6" customFormat="1" ht="187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3"/>
      <c r="N76" s="13"/>
      <c r="O76" s="13"/>
      <c r="P76" s="13"/>
      <c r="Q76" s="13"/>
      <c r="R76" s="13"/>
      <c r="S76" s="13"/>
      <c r="T76" s="13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17"/>
      <c r="BB76" s="7"/>
      <c r="BC76" s="7"/>
      <c r="BD76" s="5"/>
      <c r="BE76" s="5"/>
      <c r="BF76" s="5"/>
      <c r="BG76" s="5"/>
      <c r="BH76" s="5"/>
      <c r="BI76" s="5"/>
      <c r="BJ76" s="7"/>
      <c r="BK76" s="7"/>
      <c r="BL76" s="8"/>
      <c r="BM76" s="5"/>
      <c r="BN76" s="5"/>
      <c r="BO76" s="5"/>
      <c r="BP76" s="5"/>
      <c r="BQ76" s="7"/>
      <c r="BR76" s="8"/>
      <c r="BS76" s="9"/>
      <c r="BT76" s="14"/>
    </row>
    <row r="77" spans="1:72" s="6" customFormat="1" ht="187.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7"/>
      <c r="BK77" s="7"/>
      <c r="BL77" s="8"/>
      <c r="BM77" s="9"/>
      <c r="BN77" s="9"/>
      <c r="BO77" s="5"/>
      <c r="BP77" s="5"/>
      <c r="BQ77" s="7"/>
      <c r="BR77" s="8"/>
      <c r="BS77" s="9"/>
      <c r="BT77" s="14"/>
    </row>
    <row r="78" spans="1:72" s="6" customFormat="1" ht="409.6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7"/>
      <c r="O78" s="7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7"/>
      <c r="AS78" s="5"/>
      <c r="AT78" s="7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7"/>
      <c r="BK78" s="7"/>
      <c r="BL78" s="8"/>
      <c r="BM78" s="9"/>
      <c r="BN78" s="9"/>
      <c r="BO78" s="5"/>
      <c r="BP78" s="5"/>
      <c r="BQ78" s="7"/>
      <c r="BR78" s="8"/>
      <c r="BS78" s="9"/>
      <c r="BT78" s="14"/>
    </row>
    <row r="79" spans="1:72" s="6" customFormat="1" ht="40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7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17"/>
      <c r="BB79" s="7"/>
      <c r="BC79" s="7"/>
      <c r="BD79" s="5"/>
      <c r="BE79" s="5"/>
      <c r="BF79" s="5"/>
      <c r="BG79" s="5"/>
      <c r="BH79" s="5"/>
      <c r="BI79" s="5"/>
      <c r="BJ79" s="7"/>
      <c r="BK79" s="7"/>
      <c r="BL79" s="8"/>
      <c r="BM79" s="9"/>
      <c r="BN79" s="9"/>
      <c r="BO79" s="5"/>
      <c r="BP79" s="5"/>
      <c r="BQ79" s="7"/>
      <c r="BR79" s="8"/>
      <c r="BS79" s="9"/>
      <c r="BT79" s="14"/>
    </row>
    <row r="80" spans="1:72" s="6" customFormat="1" ht="194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17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7"/>
      <c r="BK80" s="7"/>
      <c r="BL80" s="8"/>
      <c r="BM80" s="9"/>
      <c r="BN80" s="9"/>
      <c r="BO80" s="15"/>
      <c r="BP80" s="15"/>
      <c r="BQ80" s="16"/>
      <c r="BR80" s="10"/>
      <c r="BS80" s="15"/>
      <c r="BT80" s="14"/>
    </row>
    <row r="81" spans="1:72" s="6" customFormat="1" ht="219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7"/>
      <c r="BL81" s="8"/>
      <c r="BM81" s="9"/>
      <c r="BN81" s="9"/>
      <c r="BO81" s="15"/>
      <c r="BP81" s="15"/>
      <c r="BQ81" s="16"/>
      <c r="BR81" s="10"/>
      <c r="BS81" s="15"/>
      <c r="BT81" s="14"/>
    </row>
    <row r="82" spans="1:72" s="6" customFormat="1" ht="198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2"/>
      <c r="L82" s="4"/>
      <c r="M82" s="5"/>
      <c r="N82" s="20"/>
      <c r="O82" s="20"/>
      <c r="P82" s="20"/>
      <c r="Q82" s="20"/>
      <c r="R82" s="20"/>
      <c r="S82" s="20"/>
      <c r="T82" s="20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7"/>
      <c r="BK82" s="13"/>
      <c r="BL82" s="8"/>
      <c r="BM82" s="9"/>
      <c r="BN82" s="9"/>
      <c r="BO82" s="5"/>
      <c r="BP82" s="5"/>
      <c r="BQ82" s="7"/>
      <c r="BR82" s="8"/>
      <c r="BS82" s="9"/>
      <c r="BT82" s="14"/>
    </row>
    <row r="83" spans="1:72" s="6" customFormat="1" ht="198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2"/>
      <c r="L83" s="4"/>
      <c r="M83" s="5"/>
      <c r="N83" s="7"/>
      <c r="O83" s="7"/>
      <c r="P83" s="7"/>
      <c r="Q83" s="7"/>
      <c r="R83" s="7"/>
      <c r="S83" s="7"/>
      <c r="T83" s="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7"/>
      <c r="BK83" s="13"/>
      <c r="BL83" s="8"/>
      <c r="BM83" s="9"/>
      <c r="BN83" s="9"/>
      <c r="BO83" s="5"/>
      <c r="BP83" s="5"/>
      <c r="BQ83" s="7"/>
      <c r="BR83" s="8"/>
      <c r="BS83" s="9"/>
      <c r="BT83" s="14"/>
    </row>
    <row r="84" spans="1:72" s="6" customFormat="1" ht="198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2"/>
      <c r="L84" s="4"/>
      <c r="M84" s="5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7"/>
      <c r="BK84" s="13"/>
      <c r="BL84" s="8"/>
      <c r="BM84" s="9"/>
      <c r="BN84" s="9"/>
      <c r="BO84" s="5"/>
      <c r="BP84" s="5"/>
      <c r="BQ84" s="7"/>
      <c r="BR84" s="8"/>
      <c r="BS84" s="9"/>
      <c r="BT84" s="14"/>
    </row>
    <row r="85" spans="1:72" s="6" customFormat="1" ht="146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2"/>
      <c r="L85" s="4"/>
      <c r="M85" s="5"/>
      <c r="N85" s="12"/>
      <c r="O85" s="2"/>
      <c r="P85" s="12"/>
      <c r="Q85" s="12"/>
      <c r="R85" s="12"/>
      <c r="S85" s="12"/>
      <c r="T85" s="12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7"/>
      <c r="BK85" s="13"/>
      <c r="BL85" s="8"/>
      <c r="BM85" s="9"/>
      <c r="BN85" s="9"/>
      <c r="BO85" s="5"/>
      <c r="BP85" s="5"/>
      <c r="BQ85" s="7"/>
      <c r="BR85" s="8"/>
      <c r="BS85" s="9"/>
      <c r="BT85" s="14"/>
    </row>
    <row r="86" spans="1:72" s="6" customFormat="1" ht="227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2"/>
      <c r="L86" s="4"/>
      <c r="M86" s="5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7"/>
      <c r="BK86" s="13"/>
      <c r="BL86" s="8"/>
      <c r="BM86" s="9"/>
      <c r="BN86" s="9"/>
      <c r="BO86" s="5"/>
      <c r="BP86" s="5"/>
      <c r="BQ86" s="7"/>
      <c r="BR86" s="8"/>
      <c r="BS86" s="9"/>
      <c r="BT86" s="14"/>
    </row>
    <row r="87" spans="1:72" s="6" customFormat="1" ht="154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2"/>
      <c r="L87" s="4"/>
      <c r="M87" s="5"/>
      <c r="N87" s="12"/>
      <c r="O87" s="12"/>
      <c r="P87" s="12"/>
      <c r="Q87" s="12"/>
      <c r="R87" s="12"/>
      <c r="S87" s="12"/>
      <c r="T87" s="12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7"/>
      <c r="BK87" s="13"/>
      <c r="BL87" s="8"/>
      <c r="BM87" s="9"/>
      <c r="BN87" s="9"/>
      <c r="BO87" s="5"/>
      <c r="BP87" s="5"/>
      <c r="BQ87" s="7"/>
      <c r="BR87" s="8"/>
      <c r="BS87" s="9"/>
      <c r="BT87" s="14"/>
    </row>
    <row r="88" spans="1:72" s="6" customFormat="1" ht="154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2"/>
      <c r="L88" s="4"/>
      <c r="M88" s="5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7"/>
      <c r="BK88" s="13"/>
      <c r="BL88" s="8"/>
      <c r="BM88" s="9"/>
      <c r="BN88" s="9"/>
      <c r="BO88" s="15"/>
      <c r="BP88" s="15"/>
      <c r="BQ88" s="16"/>
      <c r="BR88" s="10"/>
      <c r="BS88" s="15"/>
      <c r="BT88" s="14"/>
    </row>
    <row r="89" spans="1:72" s="6" customFormat="1" ht="182.2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2"/>
      <c r="L89" s="4"/>
      <c r="M89" s="5"/>
      <c r="N89" s="7"/>
      <c r="O89" s="7"/>
      <c r="P89" s="7"/>
      <c r="Q89" s="7"/>
      <c r="R89" s="7"/>
      <c r="S89" s="7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7"/>
      <c r="BJ89" s="5"/>
      <c r="BK89" s="7"/>
      <c r="BL89" s="8"/>
      <c r="BM89" s="9"/>
      <c r="BN89" s="9"/>
      <c r="BO89" s="15"/>
      <c r="BP89" s="15"/>
      <c r="BQ89" s="16"/>
      <c r="BR89" s="10"/>
      <c r="BS89" s="15"/>
      <c r="BT89" s="14"/>
    </row>
    <row r="90" spans="1:72" s="6" customFormat="1" ht="182.2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2"/>
      <c r="L90" s="4"/>
      <c r="M90" s="5"/>
      <c r="N90" s="7"/>
      <c r="O90" s="7"/>
      <c r="P90" s="7"/>
      <c r="Q90" s="7"/>
      <c r="R90" s="7"/>
      <c r="S90" s="7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7"/>
      <c r="BL90" s="8"/>
      <c r="BM90" s="9"/>
      <c r="BN90" s="9"/>
      <c r="BO90" s="15"/>
      <c r="BP90" s="15"/>
      <c r="BQ90" s="16"/>
      <c r="BR90" s="10"/>
      <c r="BS90" s="15"/>
      <c r="BT90" s="14"/>
    </row>
    <row r="91" spans="1:72" s="6" customFormat="1" ht="312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2"/>
      <c r="L91" s="4"/>
      <c r="M91" s="5"/>
      <c r="N91" s="12"/>
      <c r="O91" s="12"/>
      <c r="P91" s="12"/>
      <c r="Q91" s="12"/>
      <c r="R91" s="12"/>
      <c r="S91" s="12"/>
      <c r="T91" s="12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36"/>
      <c r="BB91" s="5"/>
      <c r="BC91" s="5"/>
      <c r="BD91" s="7"/>
      <c r="BE91" s="5"/>
      <c r="BF91" s="5"/>
      <c r="BG91" s="5"/>
      <c r="BH91" s="5"/>
      <c r="BI91" s="7"/>
      <c r="BJ91" s="5"/>
      <c r="BK91" s="13"/>
      <c r="BL91" s="8"/>
      <c r="BM91" s="9"/>
      <c r="BN91" s="9"/>
    </row>
    <row r="92" spans="1:72" s="6" customFormat="1" ht="174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2"/>
      <c r="L92" s="4"/>
      <c r="M92" s="5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7"/>
      <c r="BE92" s="5"/>
      <c r="BF92" s="5"/>
      <c r="BG92" s="5"/>
      <c r="BH92" s="5"/>
      <c r="BI92" s="7"/>
      <c r="BJ92" s="5"/>
      <c r="BK92" s="13"/>
      <c r="BL92" s="8"/>
      <c r="BM92" s="9"/>
      <c r="BN92" s="9"/>
    </row>
    <row r="93" spans="1:72" s="6" customFormat="1" ht="167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2"/>
      <c r="L93" s="4"/>
      <c r="M93" s="5"/>
      <c r="N93" s="7"/>
      <c r="O93" s="7"/>
      <c r="P93" s="7"/>
      <c r="Q93" s="7"/>
      <c r="R93" s="7"/>
      <c r="S93" s="7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7"/>
      <c r="BE93" s="5"/>
      <c r="BF93" s="5"/>
      <c r="BG93" s="5"/>
      <c r="BH93" s="5"/>
      <c r="BI93" s="7"/>
      <c r="BJ93" s="5"/>
      <c r="BK93" s="13"/>
      <c r="BL93" s="8"/>
      <c r="BM93" s="9"/>
      <c r="BN93" s="9"/>
    </row>
    <row r="94" spans="1:72" s="6" customFormat="1" ht="167.2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2"/>
      <c r="L94" s="4"/>
      <c r="M94" s="5"/>
      <c r="N94" s="7"/>
      <c r="O94" s="7"/>
      <c r="P94" s="7"/>
      <c r="Q94" s="7"/>
      <c r="R94" s="7"/>
      <c r="S94" s="7"/>
      <c r="T94" s="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7"/>
      <c r="BE94" s="5"/>
      <c r="BF94" s="5"/>
      <c r="BG94" s="5"/>
      <c r="BH94" s="5"/>
      <c r="BI94" s="7"/>
      <c r="BJ94" s="5"/>
      <c r="BK94" s="13"/>
      <c r="BL94" s="8"/>
      <c r="BM94" s="9"/>
      <c r="BN94" s="9"/>
    </row>
    <row r="95" spans="1:72" s="6" customFormat="1" ht="167.2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2"/>
      <c r="L95" s="4"/>
      <c r="M95" s="5"/>
      <c r="N95" s="7"/>
      <c r="O95" s="7"/>
      <c r="P95" s="12"/>
      <c r="Q95" s="12"/>
      <c r="R95" s="12"/>
      <c r="S95" s="12"/>
      <c r="T95" s="12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7"/>
      <c r="BE95" s="5"/>
      <c r="BF95" s="5"/>
      <c r="BG95" s="5"/>
      <c r="BH95" s="5"/>
      <c r="BI95" s="7"/>
      <c r="BJ95" s="5"/>
      <c r="BK95" s="13"/>
      <c r="BL95" s="8"/>
      <c r="BM95" s="9"/>
      <c r="BN95" s="9"/>
    </row>
    <row r="96" spans="1:72" s="6" customFormat="1" ht="372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2"/>
      <c r="L96" s="4"/>
      <c r="M96" s="5"/>
      <c r="N96" s="2"/>
      <c r="O96" s="2"/>
      <c r="P96" s="2"/>
      <c r="Q96" s="2"/>
      <c r="R96" s="2"/>
      <c r="S96" s="2"/>
      <c r="T96" s="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5"/>
      <c r="BP96" s="5"/>
    </row>
    <row r="97" spans="1:70" s="6" customFormat="1" ht="257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2"/>
      <c r="L97" s="4"/>
      <c r="M97" s="5"/>
      <c r="N97" s="2"/>
      <c r="O97" s="2"/>
      <c r="P97" s="11"/>
      <c r="Q97" s="11"/>
      <c r="R97" s="11"/>
      <c r="S97" s="11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5"/>
      <c r="BP97" s="5"/>
    </row>
    <row r="98" spans="1:70" s="6" customFormat="1" ht="254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2"/>
      <c r="L98" s="4"/>
      <c r="M98" s="5"/>
      <c r="N98" s="2"/>
      <c r="O98" s="2"/>
      <c r="P98" s="11"/>
      <c r="Q98" s="11"/>
      <c r="R98" s="11"/>
      <c r="S98" s="11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5"/>
      <c r="BP98" s="5"/>
    </row>
    <row r="99" spans="1:70" s="6" customFormat="1" ht="319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2"/>
      <c r="L99" s="4"/>
      <c r="M99" s="5"/>
      <c r="N99" s="7"/>
      <c r="O99" s="7"/>
      <c r="P99" s="7"/>
      <c r="Q99" s="7"/>
      <c r="R99" s="7"/>
      <c r="S99" s="7"/>
      <c r="T99" s="12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5"/>
      <c r="BP99" s="5"/>
    </row>
    <row r="100" spans="1:70" s="6" customFormat="1" ht="409.6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2"/>
      <c r="L100" s="2"/>
      <c r="M100" s="2"/>
      <c r="N100" s="12"/>
      <c r="O100" s="2"/>
      <c r="P100" s="12"/>
      <c r="Q100" s="12"/>
      <c r="R100" s="12"/>
      <c r="S100" s="12"/>
      <c r="T100" s="12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5"/>
      <c r="BP100" s="5"/>
    </row>
    <row r="101" spans="1:70" s="6" customFormat="1" ht="141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2"/>
      <c r="L101" s="4"/>
      <c r="M101" s="5"/>
      <c r="N101" s="7"/>
      <c r="O101" s="7"/>
      <c r="P101" s="7"/>
      <c r="Q101" s="7"/>
      <c r="R101" s="7"/>
      <c r="S101" s="7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5"/>
      <c r="BP101" s="5"/>
    </row>
    <row r="102" spans="1:70" s="6" customFormat="1" ht="141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2"/>
      <c r="L102" s="4"/>
      <c r="M102" s="2"/>
      <c r="N102" s="7"/>
      <c r="O102" s="7"/>
      <c r="P102" s="7"/>
      <c r="Q102" s="7"/>
      <c r="R102" s="7"/>
      <c r="S102" s="7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5"/>
      <c r="BP102" s="5"/>
    </row>
    <row r="103" spans="1:70" s="6" customFormat="1" ht="292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2"/>
      <c r="L103" s="4"/>
      <c r="M103" s="5"/>
      <c r="N103" s="11"/>
      <c r="O103" s="2"/>
      <c r="P103" s="11"/>
      <c r="Q103" s="11"/>
      <c r="R103" s="11"/>
      <c r="S103" s="11"/>
      <c r="T103" s="11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5"/>
      <c r="BP103" s="8"/>
      <c r="BQ103" s="9"/>
      <c r="BR103" s="10"/>
    </row>
    <row r="104" spans="1:70" s="6" customFormat="1" ht="177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2"/>
      <c r="L104" s="4"/>
      <c r="M104" s="5"/>
      <c r="N104" s="2"/>
      <c r="O104" s="2"/>
      <c r="P104" s="11"/>
      <c r="Q104" s="11"/>
      <c r="R104" s="11"/>
      <c r="S104" s="11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8"/>
      <c r="BQ104" s="9"/>
      <c r="BR104" s="10"/>
    </row>
  </sheetData>
  <autoFilter ref="A2:BM76"/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65_лот_(всего)</vt:lpstr>
      <vt:lpstr>65_лот_(Льготники)</vt:lpstr>
      <vt:lpstr>65-66-67_(Юго-Запад-1)</vt:lpstr>
      <vt:lpstr>'65_лот_(всего)'!Заголовки_для_печати</vt:lpstr>
      <vt:lpstr>'65_лот_(Льготники)'!Заголовки_для_печати</vt:lpstr>
      <vt:lpstr>'65-66-67_(Юго-Запад-1)'!Заголовки_для_печати</vt:lpstr>
      <vt:lpstr>'65_лот_(всего)'!Область_печати</vt:lpstr>
      <vt:lpstr>'65_лот_(Льготники)'!Область_печати</vt:lpstr>
      <vt:lpstr>'65-66-67_(Юго-Запад-1)'!Область_печати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2016-01-21T13:03:45Z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Лот_№_56_физ объемы.xlsx</vt:lpwstr>
  </property>
</Properties>
</file>