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456" windowHeight="11196" firstSheet="2" activeTab="2"/>
  </bookViews>
  <sheets>
    <sheet name="4 КВ 2010" sheetId="5" state="hidden" r:id="rId1"/>
    <sheet name="Свод" sheetId="4" state="hidden" r:id="rId2"/>
    <sheet name="ССР" sheetId="6" r:id="rId3"/>
    <sheet name="ЛСР" sheetId="7" state="hidden" r:id="rId4"/>
    <sheet name="ПРОКОЛ-100м" sheetId="8" r:id="rId5"/>
  </sheets>
  <definedNames>
    <definedName name="Constr" localSheetId="0">'4 КВ 2010'!$A$2</definedName>
    <definedName name="Constr" localSheetId="1">Свод!$A$2</definedName>
    <definedName name="Constr" localSheetId="2">ССР!$A$2</definedName>
    <definedName name="FOT" localSheetId="0">'4 КВ 2010'!$E$14</definedName>
    <definedName name="FOT" localSheetId="1">Свод!$E$14</definedName>
    <definedName name="FOT" localSheetId="2">ССР!$E$14</definedName>
    <definedName name="Ind" localSheetId="0">'4 КВ 2010'!$I$4</definedName>
    <definedName name="Ind" localSheetId="1">Свод!$I$4</definedName>
    <definedName name="Ind" localSheetId="2">ССР!$I$4</definedName>
    <definedName name="Obj" localSheetId="0">'4 КВ 2010'!$F$7</definedName>
    <definedName name="Obj" localSheetId="1">Свод!$F$7</definedName>
    <definedName name="Obj" localSheetId="2">ССР!$F$7</definedName>
    <definedName name="Obosn" localSheetId="0">'4 КВ 2010'!$A$10</definedName>
    <definedName name="Obosn" localSheetId="1">Свод!$A$10</definedName>
    <definedName name="Obosn" localSheetId="2">ССР!$A$10</definedName>
    <definedName name="SmPr" localSheetId="0">'4 КВ 2010'!#REF!</definedName>
    <definedName name="SmPr" localSheetId="1">Свод!#REF!</definedName>
    <definedName name="SmPr" localSheetId="2">ССР!#REF!</definedName>
    <definedName name="_xlnm.Print_Area" localSheetId="0">'4 КВ 2010'!$A$1:$I$58</definedName>
    <definedName name="_xlnm.Print_Area" localSheetId="1">Свод!$A$1:$I$57</definedName>
    <definedName name="_xlnm.Print_Area" localSheetId="2">ССР!$A$1:$I$60</definedName>
  </definedNames>
  <calcPr calcId="145621"/>
</workbook>
</file>

<file path=xl/calcChain.xml><?xml version="1.0" encoding="utf-8"?>
<calcChain xmlns="http://schemas.openxmlformats.org/spreadsheetml/2006/main">
  <c r="H36" i="6" l="1"/>
  <c r="H48" i="6" l="1"/>
  <c r="H37" i="6"/>
  <c r="I37" i="6" l="1"/>
  <c r="S81" i="6" l="1"/>
  <c r="G22" i="6" l="1"/>
  <c r="G25" i="6" s="1"/>
  <c r="I21" i="6" l="1"/>
  <c r="I36" i="6" l="1"/>
  <c r="H47" i="4"/>
  <c r="G30" i="6" l="1"/>
  <c r="H28" i="6"/>
  <c r="I28" i="6" s="1"/>
  <c r="A28" i="6"/>
  <c r="H22" i="6"/>
  <c r="H47" i="6" s="1"/>
  <c r="F22" i="6"/>
  <c r="F24" i="6" s="1"/>
  <c r="E22" i="6"/>
  <c r="E24" i="6" s="1"/>
  <c r="I22" i="6"/>
  <c r="H45" i="4"/>
  <c r="G31" i="6" l="1"/>
  <c r="G39" i="6" s="1"/>
  <c r="H25" i="6"/>
  <c r="E25" i="6"/>
  <c r="E27" i="6" s="1"/>
  <c r="F25" i="6"/>
  <c r="F27" i="6" s="1"/>
  <c r="G41" i="6" l="1"/>
  <c r="G43" i="6" s="1"/>
  <c r="G50" i="6" s="1"/>
  <c r="H38" i="6"/>
  <c r="I24" i="6"/>
  <c r="I25" i="6" s="1"/>
  <c r="H30" i="6"/>
  <c r="H31" i="6" s="1"/>
  <c r="E30" i="6"/>
  <c r="E31" i="6" s="1"/>
  <c r="E39" i="6" s="1"/>
  <c r="E41" i="6" l="1"/>
  <c r="E43" i="6" s="1"/>
  <c r="E46" i="6" s="1"/>
  <c r="F30" i="6"/>
  <c r="I27" i="6"/>
  <c r="I38" i="6"/>
  <c r="G54" i="6"/>
  <c r="G55" i="6" s="1"/>
  <c r="F31" i="6" l="1"/>
  <c r="I30" i="6"/>
  <c r="I31" i="6" s="1"/>
  <c r="H33" i="6" s="1"/>
  <c r="I33" i="6" l="1"/>
  <c r="F39" i="6"/>
  <c r="F41" i="6" s="1"/>
  <c r="F43" i="6" s="1"/>
  <c r="E54" i="6"/>
  <c r="E55" i="6" s="1"/>
  <c r="H33" i="4"/>
  <c r="G23" i="4"/>
  <c r="H49" i="6" l="1"/>
  <c r="H50" i="6" s="1"/>
  <c r="H54" i="6" s="1"/>
  <c r="H55" i="6" s="1"/>
  <c r="H39" i="6"/>
  <c r="H41" i="6" s="1"/>
  <c r="I41" i="6" s="1"/>
  <c r="F46" i="6"/>
  <c r="F54" i="6" s="1"/>
  <c r="F55" i="6" s="1"/>
  <c r="H34" i="6"/>
  <c r="I34" i="6" s="1"/>
  <c r="I39" i="6" s="1"/>
  <c r="H23" i="4"/>
  <c r="H44" i="4" s="1"/>
  <c r="I46" i="6" l="1"/>
  <c r="I43" i="6"/>
  <c r="J39" i="6"/>
  <c r="H43" i="6"/>
  <c r="I21" i="4"/>
  <c r="I54" i="6" l="1"/>
  <c r="I55" i="6" s="1"/>
  <c r="B5" i="6" s="1"/>
  <c r="H27" i="4"/>
  <c r="G29" i="4"/>
  <c r="G30" i="4" s="1"/>
  <c r="G38" i="4" s="1"/>
  <c r="G36" i="4" l="1"/>
  <c r="G40" i="4" s="1"/>
  <c r="G47" i="4" s="1"/>
  <c r="G51" i="4" l="1"/>
  <c r="G52" i="4" s="1"/>
  <c r="H35" i="5"/>
  <c r="F21" i="5" l="1"/>
  <c r="E21" i="5"/>
  <c r="I37" i="5"/>
  <c r="H36" i="5"/>
  <c r="H38" i="5" s="1"/>
  <c r="E25" i="5" l="1"/>
  <c r="F24" i="5"/>
  <c r="I24" i="5" s="1"/>
  <c r="F23" i="5" l="1"/>
  <c r="E23" i="5"/>
  <c r="F22" i="5"/>
  <c r="F26" i="5" s="1"/>
  <c r="E22" i="5"/>
  <c r="H26" i="5" l="1"/>
  <c r="G26" i="5"/>
  <c r="I25" i="5"/>
  <c r="I23" i="5"/>
  <c r="I22" i="5"/>
  <c r="F29" i="5"/>
  <c r="I21" i="5"/>
  <c r="I26" i="5" l="1"/>
  <c r="E26" i="5"/>
  <c r="E29" i="5" s="1"/>
  <c r="I29" i="5" s="1"/>
  <c r="I35" i="5" l="1"/>
  <c r="I38" i="5" s="1"/>
  <c r="I36" i="5"/>
  <c r="G31" i="5" l="1"/>
  <c r="G32" i="5" s="1"/>
  <c r="H30" i="5"/>
  <c r="I30" i="5" s="1"/>
  <c r="A30" i="5"/>
  <c r="J62" i="5" l="1"/>
  <c r="F31" i="5"/>
  <c r="H31" i="5"/>
  <c r="H32" i="5" s="1"/>
  <c r="G41" i="5"/>
  <c r="H47" i="5" l="1"/>
  <c r="H39" i="5"/>
  <c r="F32" i="5"/>
  <c r="E31" i="5"/>
  <c r="E32" i="5" s="1"/>
  <c r="G39" i="5"/>
  <c r="F39" i="5" l="1"/>
  <c r="F41" i="5"/>
  <c r="H41" i="5"/>
  <c r="H43" i="5" s="1"/>
  <c r="I31" i="5"/>
  <c r="E41" i="5"/>
  <c r="G43" i="5"/>
  <c r="G47" i="5" s="1"/>
  <c r="F43" i="5" l="1"/>
  <c r="F46" i="5" s="1"/>
  <c r="F52" i="5" s="1"/>
  <c r="F53" i="5" s="1"/>
  <c r="H52" i="5"/>
  <c r="H53" i="5" s="1"/>
  <c r="I32" i="5"/>
  <c r="I41" i="5"/>
  <c r="E39" i="5"/>
  <c r="G52" i="5"/>
  <c r="G53" i="5" s="1"/>
  <c r="I39" i="5" l="1"/>
  <c r="I43" i="5" s="1"/>
  <c r="E43" i="5"/>
  <c r="E46" i="5" s="1"/>
  <c r="I46" i="5" s="1"/>
  <c r="I50" i="5" l="1"/>
  <c r="E52" i="5"/>
  <c r="E53" i="5" s="1"/>
  <c r="A27" i="4"/>
  <c r="I27" i="4"/>
  <c r="I52" i="5" l="1"/>
  <c r="I53" i="5" s="1"/>
  <c r="B5" i="5" s="1"/>
  <c r="E23" i="4"/>
  <c r="E26" i="4" s="1"/>
  <c r="F23" i="4"/>
  <c r="I23" i="4"/>
  <c r="H28" i="4" s="1"/>
  <c r="I28" i="4" s="1"/>
  <c r="F26" i="4" l="1"/>
  <c r="F29" i="4" s="1"/>
  <c r="F30" i="4" s="1"/>
  <c r="F38" i="4" s="1"/>
  <c r="H35" i="4"/>
  <c r="E29" i="4"/>
  <c r="E30" i="4" s="1"/>
  <c r="I26" i="4" l="1"/>
  <c r="E38" i="4"/>
  <c r="E36" i="4"/>
  <c r="F36" i="4"/>
  <c r="F40" i="4" s="1"/>
  <c r="F43" i="4" s="1"/>
  <c r="E40" i="4"/>
  <c r="E43" i="4" s="1"/>
  <c r="H29" i="4"/>
  <c r="H30" i="4" s="1"/>
  <c r="I29" i="4"/>
  <c r="I30" i="4" s="1"/>
  <c r="I33" i="4"/>
  <c r="I35" i="4" s="1"/>
  <c r="H36" i="4" l="1"/>
  <c r="H46" i="4"/>
  <c r="F51" i="4"/>
  <c r="F52" i="4" s="1"/>
  <c r="I36" i="4"/>
  <c r="J36" i="4" l="1"/>
  <c r="H38" i="4"/>
  <c r="H40" i="4" s="1"/>
  <c r="E51" i="4"/>
  <c r="E52" i="4" s="1"/>
  <c r="I38" i="4"/>
  <c r="I40" i="4" s="1"/>
  <c r="I43" i="4" l="1"/>
  <c r="H51" i="4" l="1"/>
  <c r="H52" i="4" s="1"/>
  <c r="I51" i="4" l="1"/>
  <c r="I52" i="4" s="1"/>
  <c r="B5" i="4" s="1"/>
</calcChain>
</file>

<file path=xl/sharedStrings.xml><?xml version="1.0" encoding="utf-8"?>
<sst xmlns="http://schemas.openxmlformats.org/spreadsheetml/2006/main" count="414" uniqueCount="261">
  <si>
    <t>Сводный сметный расчет в сумме, тыс. руб.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</si>
  <si>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</si>
  <si>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</si>
  <si>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</si>
  <si>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</si>
  <si>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тыс.руб.</t>
  </si>
  <si>
    <t>Общая сметная стоимость, тыс.руб.</t>
  </si>
  <si>
    <t>строительных работ</t>
  </si>
  <si>
    <t>монтажных работ</t>
  </si>
  <si>
    <t>оборудования, мебели, инвентаря</t>
  </si>
  <si>
    <t>прочих</t>
  </si>
  <si>
    <t>Глава 2. Основные объекты строительства</t>
  </si>
  <si>
    <t>Итого по Главе 2</t>
  </si>
  <si>
    <t>Глава 8. Временные здания и сооружения</t>
  </si>
  <si>
    <t>Глава 9. Прочие работы и затраты</t>
  </si>
  <si>
    <t>ГСН 81-05-02-2007
т. 4 п.2.6.</t>
  </si>
  <si>
    <t>Письмо ФСК 
МА 22/118 от 10.04.06</t>
  </si>
  <si>
    <t>Пуско-наладочные работы (КТП)</t>
  </si>
  <si>
    <t>Итого по Главе 9</t>
  </si>
  <si>
    <t>Итого по Главам 1-9</t>
  </si>
  <si>
    <t>Глава 10. Содержание дирекции</t>
  </si>
  <si>
    <t>Глава 12. Проектные и изыскательские работы</t>
  </si>
  <si>
    <t>Непредвиденные затраты</t>
  </si>
  <si>
    <t>Всего по сводному расчету</t>
  </si>
  <si>
    <t>Итого в текущих ценах</t>
  </si>
  <si>
    <t>Письмо Минрегиона</t>
  </si>
  <si>
    <t>Всего по сводному расчету в текущих ценах</t>
  </si>
  <si>
    <t>Всего с НДС</t>
  </si>
  <si>
    <t>Наименование объекта</t>
  </si>
  <si>
    <t>Итого 
тыс. руб.
с НДС:</t>
  </si>
  <si>
    <t xml:space="preserve"> ВЛ 6-10 кВ</t>
  </si>
  <si>
    <t>ВЛ 0,4 кВ</t>
  </si>
  <si>
    <t xml:space="preserve"> с НДС-18% </t>
  </si>
  <si>
    <t>СВОДНЫЙ СМЕТНЫЙ РАСЧЕТ СТОИМОСТИ СТРОИТЕЛЬСТВА</t>
  </si>
  <si>
    <t>ВЛЗ-10 кВ</t>
  </si>
  <si>
    <t>ВЛИ-0,4 кВ</t>
  </si>
  <si>
    <t>Удорожание работ в зимнее время 1,8%</t>
  </si>
  <si>
    <t>МДС 81-35.2004 п.4.96</t>
  </si>
  <si>
    <t>Непредвиденные затраты 2 %</t>
  </si>
  <si>
    <t>НДС  18%</t>
  </si>
  <si>
    <t>Составил:</t>
  </si>
  <si>
    <t>Составлен в ценах по состоянию на  01.01.2001г. (в редакции 2010 года) с переводом в текущие цены по  состоянию 4 квартал  2010г.</t>
  </si>
  <si>
    <t>СМР с К=  5,43</t>
  </si>
  <si>
    <t>Строка по ИП</t>
  </si>
  <si>
    <t>№1927</t>
  </si>
  <si>
    <t>№1930</t>
  </si>
  <si>
    <t>№1942</t>
  </si>
  <si>
    <t xml:space="preserve">Аналог (шифр 171-11) </t>
  </si>
  <si>
    <t>Стоимость проектных работ</t>
  </si>
  <si>
    <t>СБЦ Объекты энергетики табл.11</t>
  </si>
  <si>
    <t>Итого по Главе 12</t>
  </si>
  <si>
    <t>Итого по Главам 1-12</t>
  </si>
  <si>
    <t>Е.А. Володина</t>
  </si>
  <si>
    <t xml:space="preserve">Аналог (шифр 895-11) </t>
  </si>
  <si>
    <t>Оборудование с К=3,27, прочие с К=6,03, ПИР с К=3,13</t>
  </si>
  <si>
    <t>России от 18.11.2010г.</t>
  </si>
  <si>
    <t>№39160-кк/08</t>
  </si>
  <si>
    <t xml:space="preserve">Итого 
тыс. руб.
</t>
  </si>
  <si>
    <t xml:space="preserve">Аналог </t>
  </si>
  <si>
    <t>ВЛИ-0,23 кВ</t>
  </si>
  <si>
    <t xml:space="preserve">Аналог (шифр 148-11) </t>
  </si>
  <si>
    <t>ВЛ 0,23 кВ</t>
  </si>
  <si>
    <t>Установка ячейки</t>
  </si>
  <si>
    <t>СТП 160кВА</t>
  </si>
  <si>
    <t>Ячейка</t>
  </si>
  <si>
    <t>Установка двухстолбовой СТП 160 кВА</t>
  </si>
  <si>
    <t xml:space="preserve">Сметная стоимость, тыс. руб. </t>
  </si>
  <si>
    <t>№1938</t>
  </si>
  <si>
    <t>Расчет №1</t>
  </si>
  <si>
    <t>Расчет №2</t>
  </si>
  <si>
    <t>Топосъемка 3,476т.р.х 5,1км</t>
  </si>
  <si>
    <t>2381,167,</t>
  </si>
  <si>
    <t>Топосъемка 7,533т.р.</t>
  </si>
  <si>
    <t xml:space="preserve">Внешнее электроснабжение  16 объектов
</t>
  </si>
  <si>
    <t>Внешнее электроснабжение  16 объектов</t>
  </si>
  <si>
    <t xml:space="preserve">МДС81-35.2004г </t>
  </si>
  <si>
    <t>Удорожание работ в зимнее время 1,9%</t>
  </si>
  <si>
    <t>Средства на покрытие затрат строительных организаций по добровольному страхованию работников и имущества, оборудования, в том числе строительных рисков -1% от СМР  глав 1-8</t>
  </si>
  <si>
    <t>Стоимость проектных работ 8%</t>
  </si>
  <si>
    <t>Непредвиденные затраты 3 %</t>
  </si>
  <si>
    <t>СМ -1</t>
  </si>
  <si>
    <t>СМР с К=  4,25</t>
  </si>
  <si>
    <t xml:space="preserve">ВЛ-10кВ </t>
  </si>
  <si>
    <t>России от 12.11.2013.</t>
  </si>
  <si>
    <t>№21331-СД/10</t>
  </si>
  <si>
    <t>Составлен в ценах по состоянию на  01.01.2001г. (в редакции 2010 года) с переводом в текущие цены по  состоянию IV квартал  2013г.</t>
  </si>
  <si>
    <t>Сметная стоимость, руб.</t>
  </si>
  <si>
    <t>Реконструкция ВЛ-10 кВ в Орловской оюласти (е.п.Мезенцево) для нужд ОАО МРСК Центра" (филиала "Орелэнерго")</t>
  </si>
  <si>
    <t>Сводный сметный расчет в сумме,  руб.</t>
  </si>
  <si>
    <t>ПНР с К=10,45</t>
  </si>
  <si>
    <t xml:space="preserve"> прочие с К=7,74</t>
  </si>
  <si>
    <t xml:space="preserve"> Проек.раб.  с К=3,64</t>
  </si>
  <si>
    <t xml:space="preserve"> Оборудование с К=3,94,</t>
  </si>
  <si>
    <t xml:space="preserve">Стоимость проектных работ </t>
  </si>
  <si>
    <t>Временные здания и сооружения 2,5%</t>
  </si>
  <si>
    <t xml:space="preserve">ГСН 81-05-01-2001
</t>
  </si>
  <si>
    <t>Итого по Главам 1-8</t>
  </si>
  <si>
    <t>Расчёт №2</t>
  </si>
  <si>
    <t>МДС 81-35.2004</t>
  </si>
  <si>
    <t>Технический надзор  -2,14%</t>
  </si>
  <si>
    <t>Итого по Главе 10</t>
  </si>
  <si>
    <t>СБЦ на проектные работы т.12.</t>
  </si>
  <si>
    <t xml:space="preserve">ЛОКАЛЬНЫЙ СМЕТНЫЙ РАСЧЕТ </t>
  </si>
  <si>
    <t>(ориентировочный)</t>
  </si>
  <si>
    <t xml:space="preserve">на </t>
  </si>
  <si>
    <t>(наименование работ и затрат, наименование объекта)</t>
  </si>
  <si>
    <t xml:space="preserve">Основание: </t>
  </si>
  <si>
    <t>Сметная стоимость _______________________________________________________________________________________________</t>
  </si>
  <si>
    <t>тыс. руб.</t>
  </si>
  <si>
    <t xml:space="preserve">      строительных работ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</si>
  <si>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</si>
  <si>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</si>
  <si>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</si>
  <si>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</si>
  <si>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чел.час</t>
  </si>
  <si>
    <t>Составлен(а) в текущих (прогнозных) ценах по состоянию на 01.01.2001г.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</si>
  <si>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</si>
  <si>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</si>
  <si>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</si>
  <si>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</si>
  <si>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</si>
  <si>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</si>
  <si>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</si>
  <si>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</si>
  <si>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</si>
  <si>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</si>
  <si>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</si>
  <si>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</si>
  <si>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</si>
  <si>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</si>
  <si>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</si>
  <si>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 xml:space="preserve">                           Раздел 1. Строительно-монтажные работы</t>
  </si>
  <si>
    <t>100 м3 грунта</t>
  </si>
  <si>
    <t>ТЕРм08-02-142-01</t>
  </si>
  <si>
    <t>Устройство постели при одном кабеле в траншее</t>
  </si>
  <si>
    <t>100 м кабеля</t>
  </si>
  <si>
    <t>ТЕРм08-02-142-02</t>
  </si>
  <si>
    <t>ТЕРм08-02-141-02</t>
  </si>
  <si>
    <t>Кабель до 35 кВ в готовых траншеях без покрытий, масса 1 м: до 2 кг</t>
  </si>
  <si>
    <t>1 шт.</t>
  </si>
  <si>
    <t>ТЕРм08-02-143-01</t>
  </si>
  <si>
    <t>Покрытие кабеля, проложенного в траншее: кирпичом одного кабеля</t>
  </si>
  <si>
    <t>ТЕРм08-02-143-02</t>
  </si>
  <si>
    <t>Покрытие кабеля, проложенного в траншее: кирпичом каждого последующего</t>
  </si>
  <si>
    <t>ТЕР01-02-061-02</t>
  </si>
  <si>
    <t>Засыпка вручную траншей, пазух котлованов и ям, группа грунтов: 2</t>
  </si>
  <si>
    <t>ТЕРм08-02-165-07</t>
  </si>
  <si>
    <t>Муфта концевая эпоксидная для 3-жильного кабеля напряжением: до 10 кВ, сечение одной жилы до 120 мм2</t>
  </si>
  <si>
    <t>ТЕРп01-12-027-01</t>
  </si>
  <si>
    <t>Испытание кабеля силового длиной до 500 м напряжением: до 10 кВ</t>
  </si>
  <si>
    <t>1 испытание</t>
  </si>
  <si>
    <t xml:space="preserve">                           Раздел 3. Материалы</t>
  </si>
  <si>
    <t>Справочник МРСК п. 2089849</t>
  </si>
  <si>
    <t>Кабель АПВП 1х120мм2</t>
  </si>
  <si>
    <t>м</t>
  </si>
  <si>
    <t>Справочник МРСК п.2275835</t>
  </si>
  <si>
    <t>Муфта кабельная термоусаживаемая   концевая ПКНТО-10-70/120</t>
  </si>
  <si>
    <t>шт</t>
  </si>
  <si>
    <t>Справочник МРСК п.2031149</t>
  </si>
  <si>
    <t>Кирпич</t>
  </si>
  <si>
    <t>Справочник МРСК п.2229918</t>
  </si>
  <si>
    <t>Песок</t>
  </si>
  <si>
    <t>т</t>
  </si>
  <si>
    <t>Итого прямые затраты по смете в ценах 2001г.</t>
  </si>
  <si>
    <t>Накладные расходы</t>
  </si>
  <si>
    <t>Сметная прибыль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</si>
  <si>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</si>
  <si>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</si>
  <si>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</si>
  <si>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 Прочие затраты</t>
  </si>
  <si>
    <t xml:space="preserve">  Итого</t>
  </si>
  <si>
    <t xml:space="preserve">  ВСЕГО по смете</t>
  </si>
  <si>
    <t>Приложение к ТУ</t>
  </si>
  <si>
    <t>ЛСР (ориентировочный)</t>
  </si>
  <si>
    <t>Составил ________________________________________________</t>
  </si>
  <si>
    <t>Володина Е.А.</t>
  </si>
  <si>
    <t>ТЕР01-02-055-08</t>
  </si>
  <si>
    <t>Разработка грунта вручную с креплениями в траншеях шириной до 2 м, глубиной: до 3 м, группа грунтов 2</t>
  </si>
  <si>
    <r>
      <t>На каждый последующий кабель добавлять к расценке 08-02-142-01</t>
    </r>
    <r>
      <rPr>
        <i/>
        <sz val="9"/>
        <rFont val="Times New Roman"/>
        <family val="1"/>
        <charset val="204"/>
      </rPr>
      <t xml:space="preserve">
(ПЗ=2 (ОЗП=2; ЭМ=2 к расх.; ЗПМ=2; МАТ=2 к расх.; ТЗ=2; ТЗМ=2))</t>
    </r>
  </si>
  <si>
    <t>___________________________70,904</t>
  </si>
  <si>
    <t>_______________________________________________________________________________________________60,008</t>
  </si>
  <si>
    <t>_______________________________________________________________________________________________10,482</t>
  </si>
  <si>
    <t>_______________________________________________________________________________________________0,415</t>
  </si>
  <si>
    <t>___________________________3,917</t>
  </si>
  <si>
    <t>_______________________________________________________________________________________________381,91</t>
  </si>
  <si>
    <t>ТЕРм08-02-177-01</t>
  </si>
  <si>
    <t>Указатель месторасположения трассы кабелей, проложенных в земле</t>
  </si>
  <si>
    <t>ТЕРм08-02-147-02</t>
  </si>
  <si>
    <t>Кабель до 35 кВ по установленным конструкциям и лоткам с креплением на поворотах и в конце трассы, масса 1 м кабеля: до 2 кг</t>
  </si>
  <si>
    <t>ТЕРм08-02-152-02</t>
  </si>
  <si>
    <t>Скоба П-образная из полосовой или угловой стали Швеллер 80*80 Защита кабеля уголком</t>
  </si>
  <si>
    <t>1 т</t>
  </si>
  <si>
    <t xml:space="preserve">                           Раздел 2. Испытание кабеля силового</t>
  </si>
  <si>
    <t>ТССЦ-301-0039</t>
  </si>
  <si>
    <t>Хомуты для крепления кронштейнов</t>
  </si>
  <si>
    <t>Справочник МРСК п.2089535</t>
  </si>
  <si>
    <t>Стяжной хомут</t>
  </si>
  <si>
    <t>Справочник МРСК</t>
  </si>
  <si>
    <t>Столбик опознав. для каб. линий СОС-2,5</t>
  </si>
  <si>
    <t>Итого прямые затраты по смете с учетом коэффициентов к итогам</t>
  </si>
  <si>
    <t>Строительство  КЛ -10 кВ -100м,  (кабель с изоляцией из сшитого полиэтилена  (1x 120 мм2). ООО "Черкизово-Растениеводство"</t>
  </si>
  <si>
    <t>СМР с К= 5,21 (КЛ)</t>
  </si>
  <si>
    <t>ПНР с К=11,3</t>
  </si>
  <si>
    <t xml:space="preserve"> Проек.раб.  с К=3,92, изыскательские работы с К=3,93</t>
  </si>
  <si>
    <t xml:space="preserve"> прочие с К=8,42</t>
  </si>
  <si>
    <t xml:space="preserve"> Оборудование с К=4,28</t>
  </si>
  <si>
    <t>КЛ -10 кВ кабелем с изоляцией из сшитого полиэтилена с площадью поперечного сечения токоведущей жилы 1х50мм2</t>
  </si>
  <si>
    <t>Обоснование</t>
  </si>
  <si>
    <t>Эк.Маш.</t>
  </si>
  <si>
    <t xml:space="preserve">                           Раздел 1. Прокладка кабеля методом прокола</t>
  </si>
  <si>
    <t>ТЕР34-02-017-01</t>
  </si>
  <si>
    <t>Устройство переходов подземных методом горизонтального прокола: первой трубой до 10 м</t>
  </si>
  <si>
    <t>1 переход</t>
  </si>
  <si>
    <t>ТЕР34-02-017-02</t>
  </si>
  <si>
    <t>Устройство переходов подземных методом горизонтального прокола: на каждые последующие 5 м добавлять к расценке 34-02-017-01</t>
  </si>
  <si>
    <t>ТЕРм08-02-148-01</t>
  </si>
  <si>
    <t>Кабель до 35 кВ в проложенных трубах, блоках и коробах, масса 1 м кабеля: до 1 кг</t>
  </si>
  <si>
    <t>ТЕРм08-02-147-01</t>
  </si>
  <si>
    <t>Кабель до 35 кВ по установленным конструкциям и лоткам с креплением на поворотах и в конце трассы, масса 1 м кабеля: до 1 кг</t>
  </si>
  <si>
    <t>Скоба П-образная из полосовой или угловой стали</t>
  </si>
  <si>
    <t>ТЕРм08-02-165-06</t>
  </si>
  <si>
    <t>Муфта концевая эпоксидная для кабеля напряжением: до 10 кВ, сечение одной жилы до 70 мм2</t>
  </si>
  <si>
    <t>Хомуты для крепления</t>
  </si>
  <si>
    <t xml:space="preserve">                           Материалы</t>
  </si>
  <si>
    <t>Справочник МРСК п.  2328228</t>
  </si>
  <si>
    <t>Труба ПНД техническая 160</t>
  </si>
  <si>
    <r>
      <t>97,62</t>
    </r>
    <r>
      <rPr>
        <i/>
        <sz val="9"/>
        <rFont val="Times New Roman"/>
        <family val="1"/>
        <charset val="204"/>
      </rPr>
      <t xml:space="preserve">
470,4/5,21*1,02*1,06</t>
    </r>
  </si>
  <si>
    <t>Справочник МРСК 2003465</t>
  </si>
  <si>
    <t>Уголок 80*80*6</t>
  </si>
  <si>
    <t>Итого прямые затраты по разделу в ценах 2001г.</t>
  </si>
  <si>
    <t xml:space="preserve">                           Раздел 2. ПНР</t>
  </si>
  <si>
    <t>Итого по разделу 2 ПНР</t>
  </si>
  <si>
    <t>ИТОГИ ПО СМЕТЕ:</t>
  </si>
  <si>
    <t>Основание:  Приложение к ТУ</t>
  </si>
  <si>
    <t xml:space="preserve"> КЛ-10кВ -100м прокол 3х(1х50)мм2</t>
  </si>
  <si>
    <t>Строительство КЛ-10 кВ  методом прокола  (100м)</t>
  </si>
  <si>
    <t>Стоимость изыскательских работ.Топографическая съемка   7,533т.руб-1км;  3,476 т.руб-1км</t>
  </si>
  <si>
    <t>ЛОКАЛЬНЫЙ СМЕТНЫЙ РАСЧЕТ</t>
  </si>
  <si>
    <t>Итого в текущих ценах на 2кв. 2016г.</t>
  </si>
  <si>
    <r>
      <t>Составлен в ценах по состоянию на  01.01.2001г. (в редакции 2010 года) с переводом в текущие цены по  состоянию</t>
    </r>
    <r>
      <rPr>
        <b/>
        <sz val="10"/>
        <rFont val="Times New Roman"/>
        <family val="1"/>
        <charset val="204"/>
      </rPr>
      <t xml:space="preserve"> 2квартал  2016г.</t>
    </r>
  </si>
  <si>
    <r>
      <t>Указатель месторасположения трассы кабелей, проложенных в земле</t>
    </r>
    <r>
      <rPr>
        <i/>
        <sz val="9"/>
        <rFont val="Times New Roman"/>
        <family val="1"/>
        <charset val="204"/>
      </rPr>
      <t xml:space="preserve">
(МАТ=0 к расх.)</t>
    </r>
  </si>
  <si>
    <t>Справочник МРСК п. 2328114</t>
  </si>
  <si>
    <t>Муфты  кабельная термоусаживаемые  концевые  наружние  на напряжение до 10 кВ.(1ПКНт10- 50-В)</t>
  </si>
  <si>
    <r>
      <t>348,97</t>
    </r>
    <r>
      <rPr>
        <i/>
        <sz val="9"/>
        <rFont val="Times New Roman"/>
        <family val="1"/>
        <charset val="204"/>
      </rPr>
      <t xml:space="preserve">
1652,55/5,12*1,02*1,06</t>
    </r>
  </si>
  <si>
    <t>Справочник МРСК 329651</t>
  </si>
  <si>
    <t>Кабель силовой  АПВП 1X50/25-10</t>
  </si>
  <si>
    <r>
      <t>141,32</t>
    </r>
    <r>
      <rPr>
        <i/>
        <sz val="9"/>
        <rFont val="Times New Roman"/>
        <family val="1"/>
        <charset val="204"/>
      </rPr>
      <t xml:space="preserve">
680,96/5,21*1,02*1,06</t>
    </r>
  </si>
  <si>
    <r>
      <t>8196,43</t>
    </r>
    <r>
      <rPr>
        <i/>
        <sz val="9"/>
        <rFont val="Times New Roman"/>
        <family val="1"/>
        <charset val="204"/>
      </rPr>
      <t xml:space="preserve">
39496,32/5,21*1,02*1,06</t>
    </r>
  </si>
  <si>
    <t>Справочник МРСК 2296528</t>
  </si>
  <si>
    <t>Столбик опозновательный  (564,26/5,21)</t>
  </si>
  <si>
    <r>
      <t>108,3</t>
    </r>
    <r>
      <rPr>
        <i/>
        <sz val="9"/>
        <rFont val="Times New Roman"/>
        <family val="1"/>
        <charset val="204"/>
      </rPr>
      <t xml:space="preserve">
564,26/5,21</t>
    </r>
  </si>
  <si>
    <t>Итого прямые затраты по разделу с учетом коэффициентов к итогам (МДС 81-35.2004 пр.1 т.2 п.5. Производство монтажных работ вблизи объектов, находящихся под высоким напряжением, в том числе  в охранной зоне действующей воздушной линии электропередачи ОЗП=1,2; ЭМ=1,2; ЗПМ=1,2; ТЗ=1,2; ТЗМ=1,2  (Поз. 1-7, 15, 13, 9-11))</t>
  </si>
  <si>
    <t>Итого по разделу 1 Прокладка кабеля методом прокола</t>
  </si>
  <si>
    <t>Итого прямые затраты по разделу с учетом коэффициентов к итогам (МДС 81-35.2004 пр.1 т.2 п.5. Производство монтажных работ вблизи объектов, находящихся под высоким напряжением, в том числе  в охранной зоне действующей воздушной линии электропередачи ОЗП=1,2; ЭМ=1,2; ЗПМ=1,2; ТЗ=1,2; ТЗМ=1,2  (Поз. 12))</t>
  </si>
  <si>
    <t xml:space="preserve">  В том числе, справочно:</t>
  </si>
  <si>
    <t xml:space="preserve">    МДС 81-35.2004 пр.1 т.2 п.5. Производство монтажных работ вблизи объектов, находящихся под высоким напряжением, в том числе  в охранной зоне действующей воздушной линии электропередачи ОЗП=1,2; ЭМ=1,2; ЗПМ=1,2; ТЗ=1,2; ТЗМ=1,2  (Поз. 1-7, 15, 13, 9-12)</t>
  </si>
  <si>
    <t>___________________________102,057</t>
  </si>
  <si>
    <t>_______________________________________________________________________________________________22,647</t>
  </si>
  <si>
    <t>_______________________________________________________________________________________________78,995</t>
  </si>
  <si>
    <t>___________________________3,464</t>
  </si>
  <si>
    <t>_______________________________________________________________________________________________215,87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</si>
</sst>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00"/>
    <numFmt numFmtId="165" formatCode="0.000"/>
    <numFmt numFmtId="166" formatCode="#,##0.0"/>
  </numFmts>
  <fonts count="3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0"/>
      <color indexed="9"/>
      <name val="Times New Roman"/>
      <family val="1"/>
      <charset val="204"/>
    </font>
    <font>
      <i/>
      <sz val="9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Helv"/>
      <charset val="204"/>
    </font>
    <font>
      <sz val="10"/>
      <name val="Helv"/>
    </font>
    <font>
      <b/>
      <sz val="7"/>
      <color rgb="FFFF0000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7"/>
      <name val="Arial Cyr"/>
      <charset val="204"/>
    </font>
    <font>
      <sz val="9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6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name val="Calibri"/>
      <family val="2"/>
      <charset val="204"/>
    </font>
    <font>
      <b/>
      <sz val="8"/>
      <name val="Arial Cyr"/>
      <charset val="204"/>
    </font>
    <font>
      <b/>
      <sz val="9"/>
      <name val="Times New Roman"/>
      <family val="1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7" fillId="0" borderId="0"/>
    <xf numFmtId="0" fontId="18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" fillId="0" borderId="0"/>
  </cellStyleXfs>
  <cellXfs count="320">
    <xf numFmtId="0" fontId="0" fillId="0" borderId="0" xfId="0"/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Border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0" xfId="0" applyFont="1"/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164" fontId="3" fillId="0" borderId="0" xfId="0" applyNumberFormat="1" applyFont="1" applyAlignment="1">
      <alignment horizontal="right" vertical="top" indent="1"/>
    </xf>
    <xf numFmtId="0" fontId="3" fillId="0" borderId="0" xfId="0" applyFont="1" applyAlignment="1">
      <alignment horizontal="right" vertical="top"/>
    </xf>
    <xf numFmtId="49" fontId="7" fillId="0" borderId="0" xfId="0" applyNumberFormat="1" applyFont="1" applyFill="1" applyAlignment="1">
      <alignment horizontal="left" vertical="top"/>
    </xf>
    <xf numFmtId="164" fontId="8" fillId="0" borderId="0" xfId="0" applyNumberFormat="1" applyFont="1" applyAlignment="1">
      <alignment horizontal="left" vertical="top"/>
    </xf>
    <xf numFmtId="164" fontId="7" fillId="0" borderId="0" xfId="0" applyNumberFormat="1" applyFont="1" applyAlignment="1">
      <alignment horizontal="right" vertical="top" indent="1"/>
    </xf>
    <xf numFmtId="0" fontId="7" fillId="0" borderId="0" xfId="0" applyFont="1" applyAlignment="1">
      <alignment horizontal="left" vertical="top"/>
    </xf>
    <xf numFmtId="164" fontId="3" fillId="0" borderId="0" xfId="0" applyNumberFormat="1" applyFont="1" applyAlignment="1">
      <alignment horizontal="right" vertical="top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top"/>
    </xf>
    <xf numFmtId="0" fontId="3" fillId="0" borderId="0" xfId="0" applyFont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/>
    <xf numFmtId="0" fontId="3" fillId="0" borderId="1" xfId="0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left" vertical="top" wrapText="1"/>
    </xf>
    <xf numFmtId="165" fontId="3" fillId="0" borderId="1" xfId="0" applyNumberFormat="1" applyFont="1" applyBorder="1" applyAlignment="1">
      <alignment horizontal="right" vertical="top" wrapText="1"/>
    </xf>
    <xf numFmtId="165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 wrapText="1"/>
    </xf>
    <xf numFmtId="49" fontId="11" fillId="0" borderId="1" xfId="0" applyNumberFormat="1" applyFont="1" applyBorder="1" applyAlignment="1">
      <alignment horizontal="left" vertical="top"/>
    </xf>
    <xf numFmtId="0" fontId="13" fillId="0" borderId="1" xfId="0" applyFont="1" applyBorder="1" applyAlignment="1">
      <alignment horizontal="left" vertical="top" wrapText="1"/>
    </xf>
    <xf numFmtId="165" fontId="13" fillId="0" borderId="1" xfId="0" applyNumberFormat="1" applyFont="1" applyBorder="1" applyAlignment="1">
      <alignment horizontal="right" vertical="top" wrapText="1"/>
    </xf>
    <xf numFmtId="164" fontId="13" fillId="0" borderId="1" xfId="0" applyNumberFormat="1" applyFont="1" applyBorder="1" applyAlignment="1">
      <alignment horizontal="right" vertical="top" wrapText="1"/>
    </xf>
    <xf numFmtId="0" fontId="4" fillId="0" borderId="2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164" fontId="4" fillId="0" borderId="4" xfId="0" applyNumberFormat="1" applyFont="1" applyBorder="1" applyAlignment="1">
      <alignment horizontal="right" vertical="top"/>
    </xf>
    <xf numFmtId="49" fontId="14" fillId="0" borderId="1" xfId="0" applyNumberFormat="1" applyFont="1" applyBorder="1" applyAlignment="1">
      <alignment horizontal="left" vertical="top" wrapText="1"/>
    </xf>
    <xf numFmtId="166" fontId="3" fillId="0" borderId="1" xfId="0" applyNumberFormat="1" applyFont="1" applyBorder="1" applyAlignment="1">
      <alignment horizontal="right" vertical="top"/>
    </xf>
    <xf numFmtId="165" fontId="4" fillId="0" borderId="1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center" vertical="top"/>
    </xf>
    <xf numFmtId="49" fontId="3" fillId="0" borderId="0" xfId="0" applyNumberFormat="1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right" vertical="top"/>
    </xf>
    <xf numFmtId="3" fontId="4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vertical="top"/>
    </xf>
    <xf numFmtId="0" fontId="2" fillId="0" borderId="0" xfId="0" applyFont="1" applyBorder="1"/>
    <xf numFmtId="0" fontId="21" fillId="0" borderId="9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top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23" fillId="0" borderId="0" xfId="0" applyFont="1" applyBorder="1"/>
    <xf numFmtId="0" fontId="2" fillId="0" borderId="0" xfId="0" applyFont="1" applyFill="1" applyBorder="1"/>
    <xf numFmtId="0" fontId="20" fillId="0" borderId="0" xfId="0" applyFont="1" applyBorder="1" applyAlignment="1">
      <alignment horizontal="right" vertical="top"/>
    </xf>
    <xf numFmtId="0" fontId="19" fillId="0" borderId="0" xfId="0" applyFont="1" applyBorder="1" applyAlignment="1">
      <alignment horizontal="right" vertical="top" wrapText="1"/>
    </xf>
    <xf numFmtId="0" fontId="12" fillId="0" borderId="0" xfId="0" applyFont="1" applyBorder="1" applyAlignment="1">
      <alignment horizontal="right" vertical="top" wrapText="1"/>
    </xf>
    <xf numFmtId="0" fontId="10" fillId="0" borderId="0" xfId="0" applyFont="1" applyBorder="1" applyAlignment="1">
      <alignment horizontal="right" vertical="top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0" borderId="2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4" xfId="0" applyFont="1" applyBorder="1" applyAlignment="1">
      <alignment vertical="top"/>
    </xf>
    <xf numFmtId="0" fontId="22" fillId="0" borderId="9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165" fontId="2" fillId="0" borderId="0" xfId="0" applyNumberFormat="1" applyFont="1"/>
    <xf numFmtId="164" fontId="2" fillId="0" borderId="0" xfId="0" applyNumberFormat="1" applyFont="1" applyBorder="1"/>
    <xf numFmtId="165" fontId="2" fillId="0" borderId="0" xfId="0" applyNumberFormat="1" applyFont="1" applyBorder="1"/>
    <xf numFmtId="165" fontId="24" fillId="0" borderId="9" xfId="0" applyNumberFormat="1" applyFont="1" applyFill="1" applyBorder="1" applyAlignment="1">
      <alignment horizontal="center" vertical="center"/>
    </xf>
    <xf numFmtId="165" fontId="3" fillId="0" borderId="3" xfId="0" applyNumberFormat="1" applyFont="1" applyBorder="1" applyAlignment="1">
      <alignment horizontal="right" vertical="top" wrapText="1"/>
    </xf>
    <xf numFmtId="165" fontId="22" fillId="0" borderId="9" xfId="0" applyNumberFormat="1" applyFont="1" applyFill="1" applyBorder="1" applyAlignment="1">
      <alignment horizontal="center" vertical="center"/>
    </xf>
    <xf numFmtId="165" fontId="22" fillId="3" borderId="9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right" vertical="top" wrapText="1"/>
    </xf>
    <xf numFmtId="164" fontId="2" fillId="0" borderId="0" xfId="0" applyNumberFormat="1" applyFont="1"/>
    <xf numFmtId="0" fontId="4" fillId="0" borderId="4" xfId="0" applyFont="1" applyBorder="1" applyAlignment="1">
      <alignment horizontal="left" vertical="top" wrapText="1"/>
    </xf>
    <xf numFmtId="165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vertical="top"/>
    </xf>
    <xf numFmtId="0" fontId="25" fillId="0" borderId="0" xfId="0" applyFont="1" applyBorder="1" applyAlignment="1">
      <alignment horizontal="center" vertical="top"/>
    </xf>
    <xf numFmtId="49" fontId="14" fillId="0" borderId="0" xfId="0" applyNumberFormat="1" applyFont="1" applyBorder="1" applyAlignment="1">
      <alignment horizontal="left" vertical="top"/>
    </xf>
    <xf numFmtId="0" fontId="14" fillId="0" borderId="0" xfId="0" applyFont="1" applyBorder="1" applyAlignment="1">
      <alignment horizontal="left" vertical="top"/>
    </xf>
    <xf numFmtId="165" fontId="14" fillId="0" borderId="1" xfId="0" applyNumberFormat="1" applyFont="1" applyFill="1" applyBorder="1" applyAlignment="1">
      <alignment horizontal="righ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49" fontId="11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/>
    </xf>
    <xf numFmtId="0" fontId="4" fillId="0" borderId="4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left" vertical="top"/>
    </xf>
    <xf numFmtId="49" fontId="14" fillId="3" borderId="1" xfId="0" applyNumberFormat="1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9" fontId="14" fillId="0" borderId="1" xfId="0" applyNumberFormat="1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top"/>
    </xf>
    <xf numFmtId="0" fontId="27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vertical="center" wrapText="1"/>
    </xf>
    <xf numFmtId="164" fontId="24" fillId="0" borderId="0" xfId="0" applyNumberFormat="1" applyFont="1" applyFill="1" applyBorder="1" applyAlignment="1">
      <alignment horizontal="center" vertical="center" wrapText="1"/>
    </xf>
    <xf numFmtId="164" fontId="24" fillId="0" borderId="0" xfId="0" applyNumberFormat="1" applyFont="1" applyFill="1" applyBorder="1" applyAlignment="1">
      <alignment horizontal="center" vertical="center"/>
    </xf>
    <xf numFmtId="165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top"/>
    </xf>
    <xf numFmtId="165" fontId="3" fillId="0" borderId="0" xfId="0" applyNumberFormat="1" applyFont="1" applyBorder="1" applyAlignment="1">
      <alignment horizontal="left" vertical="top"/>
    </xf>
    <xf numFmtId="165" fontId="3" fillId="0" borderId="0" xfId="0" applyNumberFormat="1" applyFont="1" applyBorder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center" vertical="top"/>
    </xf>
    <xf numFmtId="0" fontId="25" fillId="0" borderId="0" xfId="0" applyFont="1" applyBorder="1" applyAlignment="1">
      <alignment horizontal="center"/>
    </xf>
    <xf numFmtId="0" fontId="25" fillId="0" borderId="0" xfId="0" applyFont="1" applyBorder="1" applyAlignment="1">
      <alignment horizontal="left"/>
    </xf>
    <xf numFmtId="0" fontId="26" fillId="0" borderId="0" xfId="0" applyFont="1" applyBorder="1" applyAlignment="1">
      <alignment horizontal="left" vertical="top"/>
    </xf>
    <xf numFmtId="0" fontId="26" fillId="0" borderId="0" xfId="0" applyFont="1" applyBorder="1" applyAlignment="1">
      <alignment horizontal="center" vertical="top"/>
    </xf>
    <xf numFmtId="164" fontId="3" fillId="0" borderId="0" xfId="0" applyNumberFormat="1" applyFont="1" applyBorder="1" applyAlignment="1">
      <alignment horizontal="center" vertical="top"/>
    </xf>
    <xf numFmtId="4" fontId="3" fillId="4" borderId="0" xfId="0" applyNumberFormat="1" applyFont="1" applyFill="1" applyBorder="1" applyAlignment="1">
      <alignment horizontal="center" vertical="top"/>
    </xf>
    <xf numFmtId="4" fontId="3" fillId="4" borderId="0" xfId="0" applyNumberFormat="1" applyFont="1" applyFill="1" applyBorder="1" applyAlignment="1">
      <alignment horizontal="center"/>
    </xf>
    <xf numFmtId="4" fontId="4" fillId="4" borderId="0" xfId="0" applyNumberFormat="1" applyFont="1" applyFill="1" applyBorder="1" applyAlignment="1">
      <alignment horizontal="center" vertical="top"/>
    </xf>
    <xf numFmtId="49" fontId="10" fillId="0" borderId="0" xfId="0" applyNumberFormat="1" applyFont="1" applyBorder="1" applyAlignment="1">
      <alignment horizontal="left" vertical="top"/>
    </xf>
    <xf numFmtId="0" fontId="2" fillId="0" borderId="1" xfId="0" applyFont="1" applyBorder="1"/>
    <xf numFmtId="2" fontId="3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2" fontId="3" fillId="0" borderId="1" xfId="0" applyNumberFormat="1" applyFont="1" applyBorder="1" applyAlignment="1">
      <alignment horizontal="right" vertical="top" wrapText="1"/>
    </xf>
    <xf numFmtId="2" fontId="3" fillId="0" borderId="3" xfId="0" applyNumberFormat="1" applyFont="1" applyBorder="1" applyAlignment="1">
      <alignment horizontal="right" vertical="top" wrapText="1"/>
    </xf>
    <xf numFmtId="2" fontId="13" fillId="0" borderId="1" xfId="0" applyNumberFormat="1" applyFont="1" applyBorder="1" applyAlignment="1">
      <alignment horizontal="right" vertical="top" wrapText="1"/>
    </xf>
    <xf numFmtId="2" fontId="3" fillId="0" borderId="1" xfId="0" applyNumberFormat="1" applyFont="1" applyBorder="1" applyAlignment="1">
      <alignment horizontal="right" vertical="top"/>
    </xf>
    <xf numFmtId="2" fontId="4" fillId="0" borderId="1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165" fontId="4" fillId="0" borderId="0" xfId="0" applyNumberFormat="1" applyFont="1" applyBorder="1" applyAlignment="1">
      <alignment horizontal="right" vertical="top"/>
    </xf>
    <xf numFmtId="164" fontId="4" fillId="0" borderId="1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0" fillId="0" borderId="0" xfId="0" applyFont="1" applyFill="1"/>
    <xf numFmtId="0" fontId="0" fillId="0" borderId="0" xfId="0" applyFont="1"/>
    <xf numFmtId="0" fontId="30" fillId="0" borderId="0" xfId="0" applyFont="1"/>
    <xf numFmtId="2" fontId="30" fillId="0" borderId="0" xfId="0" applyNumberFormat="1" applyFont="1"/>
    <xf numFmtId="0" fontId="30" fillId="0" borderId="0" xfId="0" applyFont="1" applyBorder="1"/>
    <xf numFmtId="0" fontId="30" fillId="0" borderId="0" xfId="0" applyFont="1" applyBorder="1" applyAlignment="1">
      <alignment horizontal="left"/>
    </xf>
    <xf numFmtId="165" fontId="4" fillId="0" borderId="0" xfId="0" applyNumberFormat="1" applyFont="1" applyBorder="1"/>
    <xf numFmtId="0" fontId="28" fillId="3" borderId="0" xfId="0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right" vertical="top" wrapText="1"/>
    </xf>
    <xf numFmtId="2" fontId="4" fillId="0" borderId="1" xfId="0" applyNumberFormat="1" applyFont="1" applyBorder="1" applyAlignment="1">
      <alignment horizontal="right" vertical="top" wrapText="1"/>
    </xf>
    <xf numFmtId="2" fontId="4" fillId="0" borderId="1" xfId="0" applyNumberFormat="1" applyFont="1" applyFill="1" applyBorder="1" applyAlignment="1">
      <alignment horizontal="right" vertical="top" wrapText="1"/>
    </xf>
    <xf numFmtId="0" fontId="1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2" fontId="3" fillId="0" borderId="1" xfId="0" applyNumberFormat="1" applyFont="1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1" fillId="0" borderId="0" xfId="0" applyFont="1" applyBorder="1" applyAlignment="1">
      <alignment horizontal="right" vertical="top" wrapText="1"/>
    </xf>
    <xf numFmtId="49" fontId="14" fillId="0" borderId="0" xfId="1" applyNumberFormat="1" applyFont="1" applyBorder="1" applyAlignment="1">
      <alignment horizontal="center" vertical="top"/>
    </xf>
    <xf numFmtId="49" fontId="14" fillId="0" borderId="0" xfId="1" applyNumberFormat="1" applyFont="1" applyBorder="1" applyAlignment="1">
      <alignment horizontal="left" vertical="top"/>
    </xf>
    <xf numFmtId="0" fontId="14" fillId="0" borderId="0" xfId="1" applyFont="1" applyBorder="1" applyAlignment="1">
      <alignment horizontal="left" vertical="top" wrapText="1"/>
    </xf>
    <xf numFmtId="0" fontId="14" fillId="0" borderId="0" xfId="1" applyFont="1" applyBorder="1" applyAlignment="1">
      <alignment horizontal="center" vertical="top" wrapText="1"/>
    </xf>
    <xf numFmtId="0" fontId="14" fillId="0" borderId="0" xfId="1" applyFont="1" applyBorder="1"/>
    <xf numFmtId="0" fontId="14" fillId="0" borderId="0" xfId="1" applyFont="1" applyBorder="1" applyAlignment="1">
      <alignment horizontal="right" vertical="top"/>
    </xf>
    <xf numFmtId="0" fontId="9" fillId="0" borderId="0" xfId="1" applyFont="1" applyBorder="1" applyAlignment="1">
      <alignment horizontal="center" vertical="top"/>
    </xf>
    <xf numFmtId="49" fontId="14" fillId="0" borderId="0" xfId="1" applyNumberFormat="1" applyFont="1" applyAlignment="1">
      <alignment horizontal="center" vertical="top"/>
    </xf>
    <xf numFmtId="49" fontId="14" fillId="0" borderId="0" xfId="1" applyNumberFormat="1" applyFont="1" applyAlignment="1">
      <alignment horizontal="left" vertical="top"/>
    </xf>
    <xf numFmtId="0" fontId="14" fillId="0" borderId="0" xfId="1" applyFont="1" applyAlignment="1">
      <alignment horizontal="left" vertical="top" wrapText="1"/>
    </xf>
    <xf numFmtId="0" fontId="14" fillId="0" borderId="0" xfId="1" applyFont="1" applyAlignment="1">
      <alignment horizontal="center" vertical="top" wrapText="1"/>
    </xf>
    <xf numFmtId="0" fontId="14" fillId="0" borderId="0" xfId="1" applyFont="1"/>
    <xf numFmtId="0" fontId="14" fillId="0" borderId="0" xfId="1" applyFont="1" applyAlignment="1">
      <alignment horizontal="right" vertical="top"/>
    </xf>
    <xf numFmtId="0" fontId="30" fillId="0" borderId="0" xfId="1" applyFont="1" applyAlignment="1">
      <alignment horizontal="center" vertical="top"/>
    </xf>
    <xf numFmtId="0" fontId="14" fillId="0" borderId="0" xfId="1" applyFont="1" applyAlignment="1">
      <alignment horizontal="center" vertical="top"/>
    </xf>
    <xf numFmtId="0" fontId="4" fillId="0" borderId="21" xfId="1" applyFont="1" applyBorder="1" applyAlignment="1">
      <alignment horizontal="left" vertical="top"/>
    </xf>
    <xf numFmtId="0" fontId="14" fillId="0" borderId="0" xfId="1" applyFont="1" applyAlignment="1">
      <alignment horizontal="left"/>
    </xf>
    <xf numFmtId="0" fontId="14" fillId="0" borderId="21" xfId="1" applyFont="1" applyBorder="1" applyAlignment="1">
      <alignment horizontal="right" vertical="top"/>
    </xf>
    <xf numFmtId="0" fontId="11" fillId="0" borderId="0" xfId="1" applyFont="1" applyBorder="1" applyAlignment="1">
      <alignment horizontal="right" vertical="top"/>
    </xf>
    <xf numFmtId="0" fontId="11" fillId="0" borderId="0" xfId="1" applyFont="1" applyAlignment="1">
      <alignment horizontal="right" vertical="top"/>
    </xf>
    <xf numFmtId="49" fontId="9" fillId="0" borderId="0" xfId="1" applyNumberFormat="1" applyFont="1" applyAlignment="1">
      <alignment horizontal="center" vertical="top"/>
    </xf>
    <xf numFmtId="49" fontId="9" fillId="0" borderId="0" xfId="1" applyNumberFormat="1" applyFont="1" applyAlignment="1">
      <alignment horizontal="left" vertical="top"/>
    </xf>
    <xf numFmtId="0" fontId="21" fillId="0" borderId="0" xfId="0" applyFont="1" applyBorder="1" applyAlignment="1">
      <alignment horizontal="center" vertical="center"/>
    </xf>
    <xf numFmtId="0" fontId="32" fillId="0" borderId="0" xfId="1" applyFont="1" applyBorder="1" applyAlignment="1">
      <alignment horizontal="right" vertical="top" wrapText="1"/>
    </xf>
    <xf numFmtId="0" fontId="11" fillId="0" borderId="0" xfId="1" applyFont="1" applyBorder="1"/>
    <xf numFmtId="0" fontId="13" fillId="0" borderId="0" xfId="1" applyFont="1" applyBorder="1" applyAlignment="1">
      <alignment horizontal="center" vertical="top"/>
    </xf>
    <xf numFmtId="0" fontId="14" fillId="0" borderId="21" xfId="1" applyFont="1" applyBorder="1" applyAlignment="1">
      <alignment horizontal="right" vertical="top" wrapText="1"/>
    </xf>
    <xf numFmtId="0" fontId="14" fillId="0" borderId="21" xfId="1" applyFont="1" applyBorder="1" applyAlignment="1">
      <alignment horizontal="left"/>
    </xf>
    <xf numFmtId="0" fontId="14" fillId="0" borderId="21" xfId="1" applyFont="1" applyBorder="1" applyAlignment="1">
      <alignment horizontal="center" vertical="top"/>
    </xf>
    <xf numFmtId="0" fontId="14" fillId="0" borderId="0" xfId="0" applyFont="1"/>
    <xf numFmtId="49" fontId="14" fillId="0" borderId="0" xfId="1" applyNumberFormat="1" applyFont="1" applyAlignment="1">
      <alignment horizontal="left" vertical="top"/>
    </xf>
    <xf numFmtId="0" fontId="14" fillId="0" borderId="0" xfId="1" applyFont="1" applyAlignment="1">
      <alignment horizontal="left" vertical="top" wrapText="1"/>
    </xf>
    <xf numFmtId="0" fontId="14" fillId="0" borderId="0" xfId="1" applyFont="1" applyAlignment="1">
      <alignment horizontal="center" vertical="top" wrapText="1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horizontal="right" vertical="top"/>
    </xf>
    <xf numFmtId="0" fontId="14" fillId="0" borderId="0" xfId="1" applyFont="1" applyAlignment="1">
      <alignment horizontal="left" vertical="top"/>
    </xf>
    <xf numFmtId="49" fontId="14" fillId="0" borderId="0" xfId="1" applyNumberFormat="1" applyFont="1" applyAlignment="1">
      <alignment horizontal="center" vertical="top"/>
    </xf>
    <xf numFmtId="0" fontId="14" fillId="0" borderId="0" xfId="1" applyFont="1" applyAlignment="1">
      <alignment horizontal="left"/>
    </xf>
    <xf numFmtId="0" fontId="14" fillId="0" borderId="0" xfId="1" applyFont="1" applyAlignment="1"/>
    <xf numFmtId="0" fontId="14" fillId="0" borderId="1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/>
    </xf>
    <xf numFmtId="49" fontId="14" fillId="0" borderId="1" xfId="1" applyNumberFormat="1" applyFont="1" applyBorder="1" applyAlignment="1">
      <alignment horizontal="center" vertical="center"/>
    </xf>
    <xf numFmtId="49" fontId="14" fillId="0" borderId="1" xfId="1" applyNumberFormat="1" applyFont="1" applyBorder="1" applyAlignment="1">
      <alignment horizontal="center" vertical="top"/>
    </xf>
    <xf numFmtId="0" fontId="14" fillId="0" borderId="1" xfId="1" applyFont="1" applyBorder="1" applyAlignment="1">
      <alignment horizontal="center" vertical="top"/>
    </xf>
    <xf numFmtId="49" fontId="30" fillId="0" borderId="1" xfId="1" applyNumberFormat="1" applyFont="1" applyBorder="1" applyAlignment="1">
      <alignment horizontal="left" vertical="top" wrapText="1"/>
    </xf>
    <xf numFmtId="0" fontId="14" fillId="0" borderId="1" xfId="1" applyFont="1" applyBorder="1" applyAlignment="1">
      <alignment horizontal="left" vertical="top" wrapText="1"/>
    </xf>
    <xf numFmtId="0" fontId="14" fillId="0" borderId="1" xfId="1" applyFont="1" applyBorder="1" applyAlignment="1">
      <alignment horizontal="center" vertical="top" wrapText="1"/>
    </xf>
    <xf numFmtId="0" fontId="14" fillId="0" borderId="1" xfId="1" applyFont="1" applyBorder="1" applyAlignment="1">
      <alignment horizontal="right" vertical="top" wrapText="1"/>
    </xf>
    <xf numFmtId="0" fontId="14" fillId="0" borderId="1" xfId="1" applyFont="1" applyBorder="1" applyAlignment="1">
      <alignment horizontal="right" vertical="top"/>
    </xf>
    <xf numFmtId="0" fontId="30" fillId="0" borderId="1" xfId="1" applyFont="1" applyBorder="1" applyAlignment="1">
      <alignment horizontal="right" vertical="top" wrapText="1"/>
    </xf>
    <xf numFmtId="4" fontId="3" fillId="3" borderId="0" xfId="0" applyNumberFormat="1" applyFont="1" applyFill="1" applyBorder="1" applyAlignment="1">
      <alignment horizontal="center" vertical="top"/>
    </xf>
    <xf numFmtId="164" fontId="3" fillId="3" borderId="0" xfId="0" applyNumberFormat="1" applyFont="1" applyFill="1" applyBorder="1" applyAlignment="1">
      <alignment horizontal="center" vertical="top"/>
    </xf>
    <xf numFmtId="4" fontId="3" fillId="3" borderId="0" xfId="0" applyNumberFormat="1" applyFont="1" applyFill="1" applyBorder="1" applyAlignment="1">
      <alignment horizontal="center"/>
    </xf>
    <xf numFmtId="4" fontId="4" fillId="3" borderId="0" xfId="0" applyNumberFormat="1" applyFont="1" applyFill="1" applyBorder="1" applyAlignment="1">
      <alignment horizontal="center" vertical="top"/>
    </xf>
    <xf numFmtId="2" fontId="3" fillId="0" borderId="13" xfId="0" applyNumberFormat="1" applyFont="1" applyFill="1" applyBorder="1" applyAlignment="1">
      <alignment horizontal="right" vertical="top" wrapText="1"/>
    </xf>
    <xf numFmtId="2" fontId="2" fillId="0" borderId="0" xfId="0" applyNumberFormat="1" applyFont="1"/>
    <xf numFmtId="0" fontId="2" fillId="0" borderId="0" xfId="0" applyFont="1" applyFill="1" applyAlignment="1">
      <alignment vertical="center"/>
    </xf>
    <xf numFmtId="1" fontId="2" fillId="0" borderId="0" xfId="0" applyNumberFormat="1" applyFont="1"/>
    <xf numFmtId="0" fontId="14" fillId="0" borderId="0" xfId="1" applyFont="1" applyAlignment="1">
      <alignment horizontal="left" vertical="top"/>
    </xf>
    <xf numFmtId="2" fontId="2" fillId="0" borderId="0" xfId="0" applyNumberFormat="1" applyFont="1" applyFill="1"/>
    <xf numFmtId="1" fontId="2" fillId="0" borderId="0" xfId="0" applyNumberFormat="1" applyFont="1" applyFill="1"/>
    <xf numFmtId="2" fontId="0" fillId="0" borderId="0" xfId="0" applyNumberFormat="1" applyFont="1" applyFill="1"/>
    <xf numFmtId="0" fontId="14" fillId="0" borderId="0" xfId="1" applyFont="1" applyFill="1" applyBorder="1" applyAlignment="1">
      <alignment horizontal="left" vertical="top"/>
    </xf>
    <xf numFmtId="0" fontId="14" fillId="0" borderId="0" xfId="1" applyFont="1" applyFill="1" applyBorder="1" applyAlignment="1">
      <alignment horizontal="center" vertical="top"/>
    </xf>
    <xf numFmtId="0" fontId="14" fillId="0" borderId="0" xfId="1" applyFont="1" applyFill="1" applyBorder="1" applyAlignment="1">
      <alignment horizontal="right" vertical="top"/>
    </xf>
    <xf numFmtId="0" fontId="14" fillId="0" borderId="0" xfId="1" applyFont="1" applyBorder="1" applyAlignment="1">
      <alignment horizontal="left" vertical="top"/>
    </xf>
    <xf numFmtId="49" fontId="14" fillId="3" borderId="1" xfId="0" applyNumberFormat="1" applyFont="1" applyFill="1" applyBorder="1" applyAlignment="1">
      <alignment horizontal="center" vertical="center" wrapText="1"/>
    </xf>
    <xf numFmtId="0" fontId="14" fillId="0" borderId="0" xfId="1" applyFont="1" applyBorder="1" applyAlignment="1">
      <alignment horizontal="right" vertical="top" wrapText="1"/>
    </xf>
    <xf numFmtId="0" fontId="14" fillId="0" borderId="1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/>
    </xf>
    <xf numFmtId="49" fontId="14" fillId="0" borderId="1" xfId="1" applyNumberFormat="1" applyFont="1" applyBorder="1" applyAlignment="1">
      <alignment horizontal="center" vertical="center"/>
    </xf>
    <xf numFmtId="49" fontId="14" fillId="0" borderId="1" xfId="1" applyNumberFormat="1" applyFont="1" applyBorder="1" applyAlignment="1">
      <alignment horizontal="center" vertical="top"/>
    </xf>
    <xf numFmtId="0" fontId="14" fillId="0" borderId="1" xfId="1" applyFont="1" applyBorder="1" applyAlignment="1">
      <alignment horizontal="center" vertical="top" wrapText="1"/>
    </xf>
    <xf numFmtId="49" fontId="30" fillId="0" borderId="1" xfId="1" applyNumberFormat="1" applyFont="1" applyBorder="1" applyAlignment="1">
      <alignment horizontal="left" vertical="top" wrapText="1"/>
    </xf>
    <xf numFmtId="0" fontId="14" fillId="0" borderId="1" xfId="1" applyFont="1" applyBorder="1" applyAlignment="1">
      <alignment horizontal="left" vertical="top" wrapText="1"/>
    </xf>
    <xf numFmtId="0" fontId="14" fillId="0" borderId="1" xfId="1" applyFont="1" applyBorder="1" applyAlignment="1">
      <alignment horizontal="center" vertical="top"/>
    </xf>
    <xf numFmtId="0" fontId="14" fillId="0" borderId="1" xfId="1" applyFont="1" applyBorder="1" applyAlignment="1">
      <alignment horizontal="right" vertical="top" wrapText="1"/>
    </xf>
    <xf numFmtId="0" fontId="14" fillId="0" borderId="1" xfId="1" applyFont="1" applyBorder="1" applyAlignment="1">
      <alignment horizontal="right" vertical="top"/>
    </xf>
    <xf numFmtId="0" fontId="30" fillId="0" borderId="1" xfId="1" applyFont="1" applyBorder="1" applyAlignment="1">
      <alignment horizontal="right" vertical="top" wrapText="1"/>
    </xf>
    <xf numFmtId="0" fontId="14" fillId="0" borderId="0" xfId="1" applyFont="1" applyAlignment="1">
      <alignment horizontal="right" vertical="top"/>
    </xf>
    <xf numFmtId="0" fontId="14" fillId="0" borderId="0" xfId="1" applyFont="1" applyAlignment="1">
      <alignment horizontal="left" vertical="top"/>
    </xf>
    <xf numFmtId="0" fontId="14" fillId="0" borderId="0" xfId="1" applyFont="1" applyAlignment="1">
      <alignment horizontal="center" vertical="top"/>
    </xf>
    <xf numFmtId="0" fontId="14" fillId="0" borderId="0" xfId="1" applyFont="1" applyAlignment="1"/>
    <xf numFmtId="0" fontId="14" fillId="0" borderId="0" xfId="1" applyFont="1" applyAlignment="1">
      <alignment horizontal="left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9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21" fillId="0" borderId="0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wrapText="1"/>
    </xf>
    <xf numFmtId="0" fontId="14" fillId="0" borderId="0" xfId="1" applyFont="1" applyAlignment="1">
      <alignment horizontal="left" vertical="top"/>
    </xf>
    <xf numFmtId="0" fontId="14" fillId="0" borderId="1" xfId="1" applyFont="1" applyBorder="1" applyAlignment="1">
      <alignment horizontal="center" vertical="center" wrapText="1"/>
    </xf>
    <xf numFmtId="49" fontId="14" fillId="0" borderId="1" xfId="1" applyNumberFormat="1" applyFont="1" applyBorder="1" applyAlignment="1">
      <alignment horizontal="left" vertical="top" wrapText="1"/>
    </xf>
    <xf numFmtId="0" fontId="24" fillId="0" borderId="1" xfId="11" applyFont="1" applyBorder="1" applyAlignment="1">
      <alignment vertical="top" wrapText="1"/>
    </xf>
    <xf numFmtId="49" fontId="30" fillId="0" borderId="1" xfId="1" applyNumberFormat="1" applyFont="1" applyBorder="1" applyAlignment="1">
      <alignment horizontal="left" vertical="top" wrapText="1"/>
    </xf>
    <xf numFmtId="0" fontId="14" fillId="0" borderId="0" xfId="1" applyFont="1" applyAlignment="1">
      <alignment horizontal="right"/>
    </xf>
    <xf numFmtId="0" fontId="24" fillId="0" borderId="0" xfId="11" applyFont="1" applyAlignment="1">
      <alignment horizontal="right"/>
    </xf>
    <xf numFmtId="0" fontId="14" fillId="0" borderId="1" xfId="1" applyFont="1" applyBorder="1" applyAlignment="1">
      <alignment horizontal="center" vertical="center"/>
    </xf>
    <xf numFmtId="49" fontId="14" fillId="0" borderId="1" xfId="1" applyNumberFormat="1" applyFont="1" applyBorder="1" applyAlignment="1">
      <alignment horizontal="center" vertical="center" wrapText="1"/>
    </xf>
    <xf numFmtId="49" fontId="14" fillId="0" borderId="1" xfId="1" applyNumberFormat="1" applyFont="1" applyBorder="1" applyAlignment="1">
      <alignment horizontal="center" vertical="center"/>
    </xf>
    <xf numFmtId="49" fontId="30" fillId="0" borderId="1" xfId="1" applyNumberFormat="1" applyFont="1" applyBorder="1" applyAlignment="1">
      <alignment horizontal="center" vertical="top"/>
    </xf>
    <xf numFmtId="0" fontId="24" fillId="0" borderId="1" xfId="11" applyFont="1" applyBorder="1" applyAlignment="1">
      <alignment vertical="top"/>
    </xf>
    <xf numFmtId="0" fontId="4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6" fillId="0" borderId="21" xfId="1" applyFont="1" applyBorder="1" applyAlignment="1">
      <alignment horizontal="center" vertical="top"/>
    </xf>
  </cellXfs>
  <cellStyles count="12">
    <cellStyle name="Обычный" xfId="0" builtinId="0"/>
    <cellStyle name="Обычный 2" xfId="1"/>
    <cellStyle name="Обычный 2 2" xfId="2"/>
    <cellStyle name="Обычный 2 9" xfId="3"/>
    <cellStyle name="Обычный 3" xfId="4"/>
    <cellStyle name="Обычный 4" xfId="5"/>
    <cellStyle name="Обычный 5" xfId="6"/>
    <cellStyle name="Обычный 6" xfId="11"/>
    <cellStyle name="Стиль 1" xfId="7"/>
    <cellStyle name="Стиль 1 2" xfId="8"/>
    <cellStyle name="Финансовый 2 2" xfId="9"/>
    <cellStyle name="Финансовый 2 3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T69"/>
  <sheetViews>
    <sheetView showGridLines="0" topLeftCell="B25" zoomScale="90" zoomScaleNormal="90" zoomScaleSheetLayoutView="100" workbookViewId="0">
      <selection activeCell="H41" sqref="H41"/>
    </sheetView>
  </sheetViews>
  <sheetFormatPr defaultColWidth="9.109375" defaultRowHeight="13.2" x14ac:dyDescent="0.25"/>
  <cols>
    <col min="1" max="1" width="5" style="66" customWidth="1"/>
    <col min="2" max="2" width="18.5546875" style="1" customWidth="1"/>
    <col min="3" max="3" width="52" style="2" customWidth="1"/>
    <col min="4" max="4" width="12.33203125" style="2" customWidth="1"/>
    <col min="5" max="5" width="12.33203125" style="13" customWidth="1"/>
    <col min="6" max="6" width="13" style="13" customWidth="1"/>
    <col min="7" max="7" width="13.44140625" style="13" customWidth="1"/>
    <col min="8" max="8" width="12.5546875" style="13" customWidth="1"/>
    <col min="9" max="9" width="15.44140625" style="13" customWidth="1"/>
    <col min="10" max="10" width="13.44140625" style="5" customWidth="1"/>
    <col min="11" max="16384" width="9.109375" style="5"/>
  </cols>
  <sheetData>
    <row r="1" spans="1:13" x14ac:dyDescent="0.25">
      <c r="E1" s="3"/>
      <c r="F1" s="3"/>
      <c r="G1" s="3"/>
      <c r="H1" s="3"/>
      <c r="I1" s="4"/>
    </row>
    <row r="2" spans="1:13" ht="13.8" x14ac:dyDescent="0.25">
      <c r="C2" s="6"/>
      <c r="D2" s="6"/>
      <c r="E2" s="3"/>
      <c r="F2" s="7"/>
      <c r="G2" s="8"/>
      <c r="H2" s="7"/>
      <c r="I2" s="68"/>
    </row>
    <row r="3" spans="1:13" ht="13.8" x14ac:dyDescent="0.25">
      <c r="E3" s="3"/>
      <c r="F3" s="9"/>
      <c r="G3" s="9"/>
      <c r="H3" s="68"/>
      <c r="I3" s="68"/>
    </row>
    <row r="4" spans="1:13" ht="13.8" x14ac:dyDescent="0.25">
      <c r="B4" s="10" t="s">
        <v>0</v>
      </c>
      <c r="C4" s="11"/>
      <c r="D4" s="11"/>
      <c r="E4" s="69"/>
      <c r="F4" s="68"/>
      <c r="G4" s="275"/>
      <c r="H4" s="275"/>
      <c r="I4" s="275"/>
    </row>
    <row r="5" spans="1:13" ht="13.8" x14ac:dyDescent="0.25">
      <c r="B5" s="12">
        <f>I53</f>
        <v>11453.300718879998</v>
      </c>
      <c r="C5" s="2" t="s">
        <v>32</v>
      </c>
      <c r="E5" s="3"/>
      <c r="F5" s="275"/>
      <c r="G5" s="275"/>
      <c r="H5" s="275"/>
      <c r="I5" s="275"/>
    </row>
    <row r="6" spans="1:13" ht="13.8" x14ac:dyDescent="0.25">
      <c r="F6" s="8"/>
      <c r="G6" s="8"/>
      <c r="H6" s="7"/>
      <c r="I6" s="7"/>
    </row>
    <row r="7" spans="1:13" ht="13.8" x14ac:dyDescent="0.25">
      <c r="B7" s="14"/>
      <c r="C7" s="15"/>
      <c r="D7" s="15"/>
      <c r="E7" s="3"/>
      <c r="F7" s="275"/>
      <c r="G7" s="275"/>
      <c r="H7" s="275"/>
      <c r="I7" s="275"/>
    </row>
    <row r="8" spans="1:13" x14ac:dyDescent="0.25">
      <c r="B8" s="16"/>
      <c r="C8" s="17"/>
      <c r="D8" s="17"/>
      <c r="H8" s="3"/>
      <c r="I8" s="3"/>
    </row>
    <row r="9" spans="1:13" x14ac:dyDescent="0.25">
      <c r="B9" s="12"/>
      <c r="F9" s="18"/>
      <c r="H9" s="3"/>
      <c r="I9" s="3"/>
    </row>
    <row r="10" spans="1:13" x14ac:dyDescent="0.25">
      <c r="A10" s="276" t="s">
        <v>33</v>
      </c>
      <c r="B10" s="276"/>
      <c r="C10" s="276"/>
      <c r="D10" s="276"/>
      <c r="E10" s="276"/>
      <c r="F10" s="276"/>
      <c r="G10" s="276"/>
      <c r="H10" s="276"/>
      <c r="I10" s="276"/>
    </row>
    <row r="11" spans="1:13" ht="12.75" customHeight="1" x14ac:dyDescent="0.25">
      <c r="A11" s="277" t="s">
        <v>73</v>
      </c>
      <c r="B11" s="277"/>
      <c r="C11" s="277"/>
      <c r="D11" s="277"/>
      <c r="E11" s="277"/>
      <c r="F11" s="277"/>
      <c r="G11" s="277"/>
      <c r="H11" s="277"/>
      <c r="I11" s="277"/>
      <c r="J11" s="13"/>
      <c r="K11" s="13"/>
      <c r="L11" s="13"/>
      <c r="M11" s="13"/>
    </row>
    <row r="12" spans="1:13" x14ac:dyDescent="0.25">
      <c r="B12" s="12"/>
      <c r="C12" s="274" t="s">
        <v>1</v>
      </c>
      <c r="D12" s="274"/>
      <c r="E12" s="274"/>
      <c r="F12" s="274"/>
      <c r="G12" s="274"/>
      <c r="H12" s="274"/>
      <c r="I12" s="19"/>
    </row>
    <row r="13" spans="1:13" x14ac:dyDescent="0.25">
      <c r="E13" s="20"/>
      <c r="F13" s="20"/>
      <c r="G13" s="20"/>
      <c r="H13" s="20"/>
      <c r="I13" s="19"/>
    </row>
    <row r="14" spans="1:13" x14ac:dyDescent="0.25">
      <c r="B14" s="1" t="s">
        <v>41</v>
      </c>
      <c r="E14" s="21"/>
      <c r="F14" s="3"/>
      <c r="G14" s="3"/>
      <c r="H14" s="3"/>
      <c r="I14" s="3"/>
    </row>
    <row r="15" spans="1:13" ht="13.2" customHeight="1" x14ac:dyDescent="0.25">
      <c r="A15" s="269" t="s">
        <v>2</v>
      </c>
      <c r="B15" s="278" t="s">
        <v>3</v>
      </c>
      <c r="C15" s="279" t="s">
        <v>4</v>
      </c>
      <c r="D15" s="280"/>
      <c r="E15" s="285" t="s">
        <v>5</v>
      </c>
      <c r="F15" s="285"/>
      <c r="G15" s="285"/>
      <c r="H15" s="285"/>
      <c r="I15" s="269" t="s">
        <v>6</v>
      </c>
    </row>
    <row r="16" spans="1:13" ht="13.2" customHeight="1" x14ac:dyDescent="0.25">
      <c r="A16" s="269"/>
      <c r="B16" s="278"/>
      <c r="C16" s="281"/>
      <c r="D16" s="282"/>
      <c r="E16" s="269" t="s">
        <v>7</v>
      </c>
      <c r="F16" s="269" t="s">
        <v>8</v>
      </c>
      <c r="G16" s="269" t="s">
        <v>9</v>
      </c>
      <c r="H16" s="269" t="s">
        <v>10</v>
      </c>
      <c r="I16" s="269"/>
    </row>
    <row r="17" spans="1:17" ht="12.75" customHeight="1" x14ac:dyDescent="0.25">
      <c r="A17" s="269"/>
      <c r="B17" s="278"/>
      <c r="C17" s="281"/>
      <c r="D17" s="282"/>
      <c r="E17" s="269"/>
      <c r="F17" s="269"/>
      <c r="G17" s="269"/>
      <c r="H17" s="269"/>
      <c r="I17" s="269"/>
    </row>
    <row r="18" spans="1:17" ht="13.2" customHeight="1" x14ac:dyDescent="0.25">
      <c r="A18" s="269"/>
      <c r="B18" s="278"/>
      <c r="C18" s="283"/>
      <c r="D18" s="284"/>
      <c r="E18" s="269"/>
      <c r="F18" s="269"/>
      <c r="G18" s="269"/>
      <c r="H18" s="269"/>
      <c r="I18" s="269"/>
    </row>
    <row r="19" spans="1:17" x14ac:dyDescent="0.25">
      <c r="A19" s="67">
        <v>1</v>
      </c>
      <c r="B19" s="22">
        <v>2</v>
      </c>
      <c r="C19" s="71">
        <v>3</v>
      </c>
      <c r="D19" s="72"/>
      <c r="E19" s="67">
        <v>4</v>
      </c>
      <c r="F19" s="67">
        <v>5</v>
      </c>
      <c r="G19" s="67">
        <v>6</v>
      </c>
      <c r="H19" s="67">
        <v>7</v>
      </c>
      <c r="I19" s="67">
        <v>8</v>
      </c>
    </row>
    <row r="20" spans="1:17" ht="15" customHeight="1" x14ac:dyDescent="0.25">
      <c r="A20" s="270" t="s">
        <v>11</v>
      </c>
      <c r="B20" s="271"/>
      <c r="C20" s="271"/>
      <c r="D20" s="271"/>
      <c r="E20" s="271"/>
      <c r="F20" s="271"/>
      <c r="G20" s="271"/>
      <c r="H20" s="271"/>
      <c r="I20" s="271"/>
      <c r="J20" s="59"/>
      <c r="K20" s="52"/>
      <c r="L20" s="52"/>
      <c r="M20" s="52"/>
      <c r="N20" s="52"/>
      <c r="O20" s="52"/>
      <c r="P20" s="52"/>
      <c r="Q20" s="52"/>
    </row>
    <row r="21" spans="1:17" s="25" customFormat="1" ht="12.75" customHeight="1" x14ac:dyDescent="0.25">
      <c r="A21" s="23">
        <v>1</v>
      </c>
      <c r="B21" s="70" t="s">
        <v>53</v>
      </c>
      <c r="C21" s="73" t="s">
        <v>34</v>
      </c>
      <c r="D21" s="74"/>
      <c r="E21" s="24">
        <f>28.96/0.456*(4.165-1.2)</f>
        <v>188.30350877192981</v>
      </c>
      <c r="F21" s="24">
        <f>134.287/0.456*(4.165-1.2)</f>
        <v>873.15998903508762</v>
      </c>
      <c r="G21" s="24">
        <v>0</v>
      </c>
      <c r="H21" s="24">
        <v>0</v>
      </c>
      <c r="I21" s="24">
        <f>SUM(E21:H21)</f>
        <v>1061.4634978070173</v>
      </c>
      <c r="J21" s="60"/>
      <c r="K21" s="61"/>
      <c r="L21" s="62"/>
      <c r="M21" s="60"/>
      <c r="N21" s="60"/>
      <c r="O21" s="60"/>
      <c r="P21" s="60"/>
      <c r="Q21" s="60"/>
    </row>
    <row r="22" spans="1:17" s="25" customFormat="1" ht="12.75" customHeight="1" x14ac:dyDescent="0.25">
      <c r="A22" s="23">
        <v>2</v>
      </c>
      <c r="B22" s="70" t="s">
        <v>47</v>
      </c>
      <c r="C22" s="75" t="s">
        <v>35</v>
      </c>
      <c r="D22" s="76"/>
      <c r="E22" s="24">
        <f>(26.625+0.181)/0.16*1.86</f>
        <v>311.61975000000001</v>
      </c>
      <c r="F22" s="24">
        <f>6.548/0.16*1.86</f>
        <v>76.120499999999993</v>
      </c>
      <c r="G22" s="24">
        <v>0</v>
      </c>
      <c r="H22" s="24">
        <v>0</v>
      </c>
      <c r="I22" s="24">
        <f>SUM(E22:H22)</f>
        <v>387.74025</v>
      </c>
      <c r="J22" s="60"/>
      <c r="K22" s="61"/>
      <c r="L22" s="62"/>
      <c r="M22" s="60"/>
      <c r="N22" s="60"/>
      <c r="O22" s="60"/>
      <c r="P22" s="60"/>
      <c r="Q22" s="60"/>
    </row>
    <row r="23" spans="1:17" s="25" customFormat="1" ht="12.75" customHeight="1" x14ac:dyDescent="0.25">
      <c r="A23" s="23">
        <v>3</v>
      </c>
      <c r="B23" s="70" t="s">
        <v>60</v>
      </c>
      <c r="C23" s="75" t="s">
        <v>59</v>
      </c>
      <c r="D23" s="76"/>
      <c r="E23" s="24">
        <f>1.654/0.11*0.275</f>
        <v>4.1349999999999998</v>
      </c>
      <c r="F23" s="24">
        <f>4.198/0.11*0.275</f>
        <v>10.495000000000001</v>
      </c>
      <c r="G23" s="24">
        <v>0</v>
      </c>
      <c r="H23" s="24">
        <v>0</v>
      </c>
      <c r="I23" s="24">
        <f>E23+F23+G23+H23</f>
        <v>14.63</v>
      </c>
      <c r="J23" s="62"/>
      <c r="K23" s="61"/>
      <c r="L23" s="62"/>
      <c r="M23" s="60"/>
      <c r="N23" s="60"/>
      <c r="O23" s="60"/>
      <c r="P23" s="60"/>
      <c r="Q23" s="60"/>
    </row>
    <row r="24" spans="1:17" s="25" customFormat="1" ht="12.75" customHeight="1" x14ac:dyDescent="0.25">
      <c r="A24" s="23">
        <v>4</v>
      </c>
      <c r="B24" s="70" t="s">
        <v>53</v>
      </c>
      <c r="C24" s="75" t="s">
        <v>62</v>
      </c>
      <c r="D24" s="76"/>
      <c r="E24" s="24"/>
      <c r="F24" s="24">
        <f>158.972-G24</f>
        <v>12.129999999999995</v>
      </c>
      <c r="G24" s="94">
        <v>146.84200000000001</v>
      </c>
      <c r="H24" s="24">
        <v>6.8369999999999997</v>
      </c>
      <c r="I24" s="24">
        <f>E24+F24+G24+H24</f>
        <v>165.809</v>
      </c>
      <c r="J24" s="62"/>
      <c r="K24" s="61"/>
      <c r="L24" s="62"/>
      <c r="M24" s="60"/>
      <c r="N24" s="60"/>
      <c r="O24" s="60"/>
      <c r="P24" s="60"/>
      <c r="Q24" s="60"/>
    </row>
    <row r="25" spans="1:17" s="25" customFormat="1" ht="12.75" customHeight="1" x14ac:dyDescent="0.25">
      <c r="A25" s="23">
        <v>5</v>
      </c>
      <c r="B25" s="70" t="s">
        <v>58</v>
      </c>
      <c r="C25" s="75" t="s">
        <v>65</v>
      </c>
      <c r="D25" s="76"/>
      <c r="E25" s="24">
        <f>78.458-72.737</f>
        <v>5.7210000000000036</v>
      </c>
      <c r="F25" s="24">
        <v>2.4380000000000002</v>
      </c>
      <c r="G25" s="94">
        <v>72.736999999999995</v>
      </c>
      <c r="H25" s="24">
        <v>0.38200000000000001</v>
      </c>
      <c r="I25" s="24">
        <f>SUM(E25:H25)</f>
        <v>81.278000000000006</v>
      </c>
      <c r="J25" s="62"/>
      <c r="K25" s="61"/>
      <c r="L25" s="62"/>
      <c r="M25" s="60"/>
      <c r="N25" s="60"/>
      <c r="O25" s="60"/>
      <c r="P25" s="60"/>
      <c r="Q25" s="60"/>
    </row>
    <row r="26" spans="1:17" ht="13.2" customHeight="1" x14ac:dyDescent="0.25">
      <c r="A26" s="26"/>
      <c r="B26" s="27"/>
      <c r="C26" s="73" t="s">
        <v>12</v>
      </c>
      <c r="D26" s="74"/>
      <c r="E26" s="29">
        <f>SUM(E21:E25)</f>
        <v>509.77925877192979</v>
      </c>
      <c r="F26" s="29">
        <f>SUM(F21:F25)</f>
        <v>974.3434890350876</v>
      </c>
      <c r="G26" s="29">
        <f>SUM(G21:G25)</f>
        <v>219.57900000000001</v>
      </c>
      <c r="H26" s="29">
        <f>SUM(H21:H25)</f>
        <v>7.2189999999999994</v>
      </c>
      <c r="I26" s="29">
        <f>SUM(I21:I25)</f>
        <v>1710.9207478070175</v>
      </c>
      <c r="J26" s="88"/>
      <c r="K26" s="52"/>
      <c r="L26" s="52"/>
      <c r="M26" s="52"/>
      <c r="N26" s="52"/>
      <c r="O26" s="52"/>
      <c r="P26" s="52"/>
      <c r="Q26" s="52"/>
    </row>
    <row r="27" spans="1:17" ht="13.2" customHeight="1" x14ac:dyDescent="0.25">
      <c r="A27" s="270" t="s">
        <v>13</v>
      </c>
      <c r="B27" s="271"/>
      <c r="C27" s="271"/>
      <c r="D27" s="271"/>
      <c r="E27" s="271"/>
      <c r="F27" s="271"/>
      <c r="G27" s="271"/>
      <c r="H27" s="271"/>
      <c r="I27" s="271"/>
      <c r="J27" s="52"/>
      <c r="K27" s="52"/>
      <c r="L27" s="52"/>
      <c r="M27" s="52"/>
      <c r="N27" s="52"/>
      <c r="O27" s="52"/>
      <c r="P27" s="52"/>
      <c r="Q27" s="52"/>
    </row>
    <row r="28" spans="1:17" ht="13.2" customHeight="1" x14ac:dyDescent="0.25">
      <c r="A28" s="272" t="s">
        <v>14</v>
      </c>
      <c r="B28" s="273"/>
      <c r="C28" s="273"/>
      <c r="D28" s="273"/>
      <c r="E28" s="273"/>
      <c r="F28" s="273"/>
      <c r="G28" s="273"/>
      <c r="H28" s="273"/>
      <c r="I28" s="273"/>
      <c r="J28" s="52"/>
      <c r="K28" s="52"/>
      <c r="L28" s="52"/>
      <c r="M28" s="52"/>
      <c r="N28" s="63"/>
      <c r="O28" s="64"/>
      <c r="P28" s="63"/>
      <c r="Q28" s="52"/>
    </row>
    <row r="29" spans="1:17" ht="20.399999999999999" x14ac:dyDescent="0.25">
      <c r="A29" s="30">
        <v>6</v>
      </c>
      <c r="B29" s="31" t="s">
        <v>15</v>
      </c>
      <c r="C29" s="77" t="s">
        <v>36</v>
      </c>
      <c r="D29" s="78"/>
      <c r="E29" s="32">
        <f>E26*1.8%</f>
        <v>9.176026657894738</v>
      </c>
      <c r="F29" s="32">
        <f>F26*1.8%</f>
        <v>17.538182802631578</v>
      </c>
      <c r="G29" s="32">
        <v>0</v>
      </c>
      <c r="H29" s="32">
        <v>0</v>
      </c>
      <c r="I29" s="32">
        <f>E29+F29+G29+H29</f>
        <v>26.714209460526316</v>
      </c>
      <c r="J29" s="89"/>
      <c r="K29" s="52"/>
      <c r="L29" s="52"/>
      <c r="M29" s="52"/>
      <c r="N29" s="63"/>
      <c r="O29" s="64"/>
      <c r="P29" s="63"/>
      <c r="Q29" s="52"/>
    </row>
    <row r="30" spans="1:17" ht="20.399999999999999" hidden="1" x14ac:dyDescent="0.25">
      <c r="A30" s="30">
        <f>A29+1</f>
        <v>7</v>
      </c>
      <c r="B30" s="31" t="s">
        <v>16</v>
      </c>
      <c r="C30" s="28" t="s">
        <v>17</v>
      </c>
      <c r="D30" s="28"/>
      <c r="E30" s="34"/>
      <c r="F30" s="34"/>
      <c r="G30" s="34"/>
      <c r="H30" s="32">
        <f>0*0.07</f>
        <v>0</v>
      </c>
      <c r="I30" s="32">
        <f>E30+F30+G30+H30</f>
        <v>0</v>
      </c>
      <c r="J30" s="52"/>
      <c r="K30" s="52"/>
      <c r="L30" s="52"/>
      <c r="M30" s="52"/>
      <c r="N30" s="63"/>
      <c r="O30" s="64"/>
      <c r="P30" s="63"/>
      <c r="Q30" s="52"/>
    </row>
    <row r="31" spans="1:17" x14ac:dyDescent="0.25">
      <c r="A31" s="26"/>
      <c r="B31" s="36"/>
      <c r="C31" s="73" t="s">
        <v>18</v>
      </c>
      <c r="D31" s="74"/>
      <c r="E31" s="32">
        <f>SUM(E29:E30)</f>
        <v>9.176026657894738</v>
      </c>
      <c r="F31" s="32">
        <f>SUM(F29:F30)</f>
        <v>17.538182802631578</v>
      </c>
      <c r="G31" s="32">
        <f>SUM(G29:G30)</f>
        <v>0</v>
      </c>
      <c r="H31" s="32">
        <f>SUM(H29:H30)</f>
        <v>0</v>
      </c>
      <c r="I31" s="32">
        <f>E31+F31+G31+H31</f>
        <v>26.714209460526316</v>
      </c>
      <c r="J31" s="52"/>
      <c r="K31" s="52"/>
      <c r="L31" s="52"/>
      <c r="M31" s="52"/>
      <c r="N31" s="52"/>
      <c r="O31" s="52"/>
      <c r="P31" s="52"/>
      <c r="Q31" s="52"/>
    </row>
    <row r="32" spans="1:17" ht="13.2" customHeight="1" x14ac:dyDescent="0.25">
      <c r="A32" s="26"/>
      <c r="B32" s="36"/>
      <c r="C32" s="73" t="s">
        <v>19</v>
      </c>
      <c r="D32" s="74"/>
      <c r="E32" s="32">
        <f>E31+E26</f>
        <v>518.95528542982447</v>
      </c>
      <c r="F32" s="32">
        <f>F31+F26</f>
        <v>991.88167183771918</v>
      </c>
      <c r="G32" s="32">
        <f>G31+G26</f>
        <v>219.57900000000001</v>
      </c>
      <c r="H32" s="32">
        <f>H31+H26</f>
        <v>7.2189999999999994</v>
      </c>
      <c r="I32" s="32">
        <f>I31+I26</f>
        <v>1737.6349572675438</v>
      </c>
      <c r="J32" s="87"/>
    </row>
    <row r="33" spans="1:11" ht="13.2" customHeight="1" x14ac:dyDescent="0.25">
      <c r="A33" s="258" t="s">
        <v>20</v>
      </c>
      <c r="B33" s="259"/>
      <c r="C33" s="259"/>
      <c r="D33" s="259"/>
      <c r="E33" s="259"/>
      <c r="F33" s="259"/>
      <c r="G33" s="259"/>
      <c r="H33" s="259"/>
      <c r="I33" s="260"/>
    </row>
    <row r="34" spans="1:11" ht="13.2" customHeight="1" x14ac:dyDescent="0.25">
      <c r="A34" s="258" t="s">
        <v>21</v>
      </c>
      <c r="B34" s="259"/>
      <c r="C34" s="259"/>
      <c r="D34" s="259"/>
      <c r="E34" s="259"/>
      <c r="F34" s="259"/>
      <c r="G34" s="259"/>
      <c r="H34" s="259"/>
      <c r="I34" s="260"/>
    </row>
    <row r="35" spans="1:11" ht="30" customHeight="1" x14ac:dyDescent="0.25">
      <c r="A35" s="30">
        <v>7</v>
      </c>
      <c r="B35" s="28" t="s">
        <v>49</v>
      </c>
      <c r="C35" s="86" t="s">
        <v>48</v>
      </c>
      <c r="D35" s="84"/>
      <c r="E35" s="32">
        <v>0</v>
      </c>
      <c r="F35" s="32">
        <v>0</v>
      </c>
      <c r="G35" s="32">
        <v>8.8260000000000005</v>
      </c>
      <c r="H35" s="91">
        <f>84.38+54.48+2.8+8.826+7.315</f>
        <v>157.80099999999999</v>
      </c>
      <c r="I35" s="32">
        <f>H35</f>
        <v>157.80099999999999</v>
      </c>
    </row>
    <row r="36" spans="1:11" ht="15" customHeight="1" x14ac:dyDescent="0.25">
      <c r="A36" s="30">
        <v>8</v>
      </c>
      <c r="B36" s="28" t="s">
        <v>68</v>
      </c>
      <c r="C36" s="86" t="s">
        <v>70</v>
      </c>
      <c r="D36" s="84"/>
      <c r="E36" s="32">
        <v>0</v>
      </c>
      <c r="F36" s="32">
        <v>0</v>
      </c>
      <c r="G36" s="32">
        <v>0</v>
      </c>
      <c r="H36" s="91">
        <f>3.476*5.1</f>
        <v>17.727599999999999</v>
      </c>
      <c r="I36" s="32">
        <f>H36</f>
        <v>17.727599999999999</v>
      </c>
    </row>
    <row r="37" spans="1:11" ht="15" customHeight="1" x14ac:dyDescent="0.25">
      <c r="A37" s="30">
        <v>9</v>
      </c>
      <c r="B37" s="28" t="s">
        <v>69</v>
      </c>
      <c r="C37" s="86" t="s">
        <v>72</v>
      </c>
      <c r="D37" s="96"/>
      <c r="E37" s="32">
        <v>0</v>
      </c>
      <c r="F37" s="32">
        <v>0</v>
      </c>
      <c r="G37" s="32">
        <v>0</v>
      </c>
      <c r="H37" s="91">
        <v>0</v>
      </c>
      <c r="I37" s="32">
        <f>H37</f>
        <v>0</v>
      </c>
    </row>
    <row r="38" spans="1:11" ht="13.2" customHeight="1" x14ac:dyDescent="0.25">
      <c r="A38" s="85"/>
      <c r="B38" s="85"/>
      <c r="C38" s="73" t="s">
        <v>50</v>
      </c>
      <c r="D38" s="84"/>
      <c r="E38" s="32">
        <v>0</v>
      </c>
      <c r="F38" s="32">
        <v>0</v>
      </c>
      <c r="G38" s="32">
        <v>0</v>
      </c>
      <c r="H38" s="91">
        <f>H35+H36+H37</f>
        <v>175.52859999999998</v>
      </c>
      <c r="I38" s="32">
        <f>I35+I36+I37</f>
        <v>175.52859999999998</v>
      </c>
    </row>
    <row r="39" spans="1:11" ht="13.2" customHeight="1" x14ac:dyDescent="0.25">
      <c r="A39" s="85"/>
      <c r="B39" s="85"/>
      <c r="C39" s="73" t="s">
        <v>51</v>
      </c>
      <c r="D39" s="84"/>
      <c r="E39" s="32">
        <f>E32</f>
        <v>518.95528542982447</v>
      </c>
      <c r="F39" s="32">
        <f>F32</f>
        <v>991.88167183771918</v>
      </c>
      <c r="G39" s="32">
        <f>G32</f>
        <v>219.57900000000001</v>
      </c>
      <c r="H39" s="91">
        <f>H32+H38</f>
        <v>182.74759999999998</v>
      </c>
      <c r="I39" s="32">
        <f>I32+I38</f>
        <v>1913.1635572675436</v>
      </c>
    </row>
    <row r="40" spans="1:11" ht="13.2" customHeight="1" x14ac:dyDescent="0.25">
      <c r="A40" s="258" t="s">
        <v>22</v>
      </c>
      <c r="B40" s="259"/>
      <c r="C40" s="259"/>
      <c r="D40" s="259"/>
      <c r="E40" s="259"/>
      <c r="F40" s="259"/>
      <c r="G40" s="259"/>
      <c r="H40" s="259"/>
      <c r="I40" s="260"/>
    </row>
    <row r="41" spans="1:11" ht="13.2" customHeight="1" x14ac:dyDescent="0.25">
      <c r="A41" s="30">
        <v>10</v>
      </c>
      <c r="B41" s="31" t="s">
        <v>37</v>
      </c>
      <c r="C41" s="77" t="s">
        <v>38</v>
      </c>
      <c r="D41" s="78"/>
      <c r="E41" s="32">
        <f>ROUND(E32*0.02,3)</f>
        <v>10.379</v>
      </c>
      <c r="F41" s="32">
        <f>ROUND(F32*0.02,3)</f>
        <v>19.838000000000001</v>
      </c>
      <c r="G41" s="32">
        <f>ROUND(G32*0.02,3)</f>
        <v>4.3920000000000003</v>
      </c>
      <c r="H41" s="32">
        <f>H39*2%</f>
        <v>3.6549519999999998</v>
      </c>
      <c r="I41" s="32">
        <f>E41+F41+G41+H41</f>
        <v>38.263952000000003</v>
      </c>
      <c r="J41" s="87"/>
      <c r="K41" s="87"/>
    </row>
    <row r="42" spans="1:11" ht="13.2" customHeight="1" x14ac:dyDescent="0.25">
      <c r="A42" s="26"/>
      <c r="B42" s="36"/>
      <c r="C42" s="73"/>
      <c r="D42" s="74"/>
      <c r="E42" s="32"/>
      <c r="F42" s="32"/>
      <c r="G42" s="32"/>
      <c r="H42" s="32"/>
      <c r="I42" s="32"/>
    </row>
    <row r="43" spans="1:11" x14ac:dyDescent="0.25">
      <c r="A43" s="26"/>
      <c r="B43" s="36"/>
      <c r="C43" s="73" t="s">
        <v>23</v>
      </c>
      <c r="D43" s="74"/>
      <c r="E43" s="32">
        <f>E41+E39</f>
        <v>529.33428542982449</v>
      </c>
      <c r="F43" s="32">
        <f>F41+F39</f>
        <v>1011.7196718377191</v>
      </c>
      <c r="G43" s="32">
        <f>G41+G39</f>
        <v>223.971</v>
      </c>
      <c r="H43" s="32">
        <f>H41+H39</f>
        <v>186.40255199999999</v>
      </c>
      <c r="I43" s="32">
        <f>I39+I41</f>
        <v>1951.4275092675437</v>
      </c>
      <c r="J43" s="87"/>
    </row>
    <row r="44" spans="1:11" ht="13.2" customHeight="1" x14ac:dyDescent="0.25">
      <c r="A44" s="26"/>
      <c r="B44" s="27"/>
      <c r="C44" s="73"/>
      <c r="D44" s="74"/>
      <c r="E44" s="35"/>
      <c r="F44" s="35"/>
      <c r="G44" s="35"/>
      <c r="H44" s="35"/>
      <c r="I44" s="35"/>
    </row>
    <row r="45" spans="1:11" ht="13.2" customHeight="1" x14ac:dyDescent="0.25">
      <c r="A45" s="258" t="s">
        <v>24</v>
      </c>
      <c r="B45" s="259"/>
      <c r="C45" s="259"/>
      <c r="D45" s="259"/>
      <c r="E45" s="259"/>
      <c r="F45" s="259"/>
      <c r="G45" s="259"/>
      <c r="H45" s="259"/>
      <c r="I45" s="260"/>
    </row>
    <row r="46" spans="1:11" x14ac:dyDescent="0.25">
      <c r="A46" s="26">
        <v>11</v>
      </c>
      <c r="B46" s="36" t="s">
        <v>25</v>
      </c>
      <c r="C46" s="73" t="s">
        <v>42</v>
      </c>
      <c r="D46" s="74"/>
      <c r="E46" s="32">
        <f>ROUND(E43*5.43,3)</f>
        <v>2874.2849999999999</v>
      </c>
      <c r="F46" s="32">
        <f>ROUND(F43*5.43,3)</f>
        <v>5493.6379999999999</v>
      </c>
      <c r="G46" s="32"/>
      <c r="H46" s="32"/>
      <c r="I46" s="29">
        <f>E46+F46+G47+H47</f>
        <v>9706.1867188799988</v>
      </c>
    </row>
    <row r="47" spans="1:11" x14ac:dyDescent="0.25">
      <c r="A47" s="26"/>
      <c r="B47" s="36" t="s">
        <v>55</v>
      </c>
      <c r="C47" s="73" t="s">
        <v>54</v>
      </c>
      <c r="D47" s="74"/>
      <c r="E47" s="32"/>
      <c r="F47" s="32"/>
      <c r="G47" s="32">
        <f>ROUND(G43*3.27,3)</f>
        <v>732.38499999999999</v>
      </c>
      <c r="H47" s="32">
        <f>H32*1.02*6.03+H35*1.02*3.13+H36*3.19*1.02+H37*1.02*3.19</f>
        <v>605.87871887999995</v>
      </c>
      <c r="I47" s="29"/>
      <c r="J47" s="87"/>
    </row>
    <row r="48" spans="1:11" hidden="1" x14ac:dyDescent="0.25">
      <c r="A48" s="26"/>
      <c r="B48" s="36"/>
      <c r="C48" s="37"/>
      <c r="D48" s="37"/>
      <c r="E48" s="38"/>
      <c r="F48" s="38"/>
      <c r="G48" s="38"/>
      <c r="H48" s="38"/>
      <c r="I48" s="39"/>
    </row>
    <row r="49" spans="1:20" x14ac:dyDescent="0.25">
      <c r="A49" s="26"/>
      <c r="B49" s="36" t="s">
        <v>56</v>
      </c>
      <c r="C49" s="79"/>
      <c r="D49" s="80"/>
      <c r="E49" s="33"/>
      <c r="F49" s="33"/>
      <c r="G49" s="33"/>
      <c r="H49" s="33"/>
      <c r="I49" s="33"/>
    </row>
    <row r="50" spans="1:20" x14ac:dyDescent="0.25">
      <c r="A50" s="40" t="s">
        <v>26</v>
      </c>
      <c r="B50" s="41"/>
      <c r="C50" s="41"/>
      <c r="D50" s="41"/>
      <c r="E50" s="41"/>
      <c r="F50" s="41"/>
      <c r="G50" s="41"/>
      <c r="H50" s="41"/>
      <c r="I50" s="42">
        <f>I46+I47</f>
        <v>9706.1867188799988</v>
      </c>
      <c r="J50" s="95"/>
    </row>
    <row r="51" spans="1:20" x14ac:dyDescent="0.25">
      <c r="A51" s="26"/>
      <c r="B51" s="43"/>
      <c r="C51" s="79"/>
      <c r="D51" s="80"/>
      <c r="E51" s="34"/>
      <c r="F51" s="34"/>
      <c r="G51" s="34"/>
      <c r="H51" s="34"/>
      <c r="I51" s="44"/>
    </row>
    <row r="52" spans="1:20" x14ac:dyDescent="0.25">
      <c r="A52" s="26">
        <v>12</v>
      </c>
      <c r="B52" s="31"/>
      <c r="C52" s="79" t="s">
        <v>39</v>
      </c>
      <c r="D52" s="80"/>
      <c r="E52" s="33">
        <f>ROUND(E46*0.18,3)</f>
        <v>517.37099999999998</v>
      </c>
      <c r="F52" s="33">
        <f>ROUND(F46*0.18,3)</f>
        <v>988.85500000000002</v>
      </c>
      <c r="G52" s="33">
        <f>ROUND(G47*0.18,3)</f>
        <v>131.82900000000001</v>
      </c>
      <c r="H52" s="33">
        <f>ROUND(H47*0.18,3)</f>
        <v>109.05800000000001</v>
      </c>
      <c r="I52" s="33">
        <f>ROUND(I50*0.18,3)</f>
        <v>1747.114</v>
      </c>
    </row>
    <row r="53" spans="1:20" x14ac:dyDescent="0.25">
      <c r="A53" s="26"/>
      <c r="B53" s="27"/>
      <c r="C53" s="81" t="s">
        <v>27</v>
      </c>
      <c r="D53" s="82"/>
      <c r="E53" s="45">
        <f>E46+E52</f>
        <v>3391.6559999999999</v>
      </c>
      <c r="F53" s="45">
        <f>F46+F52</f>
        <v>6482.4930000000004</v>
      </c>
      <c r="G53" s="45">
        <f>G47+G52</f>
        <v>864.21399999999994</v>
      </c>
      <c r="H53" s="45">
        <f>H47+H52</f>
        <v>714.93671887999994</v>
      </c>
      <c r="I53" s="45">
        <f>I50+I52</f>
        <v>11453.300718879998</v>
      </c>
    </row>
    <row r="54" spans="1:20" x14ac:dyDescent="0.25">
      <c r="A54" s="46"/>
      <c r="B54" s="47"/>
      <c r="C54" s="48"/>
      <c r="D54" s="48"/>
      <c r="E54" s="49"/>
      <c r="F54" s="49"/>
      <c r="G54" s="49"/>
      <c r="H54" s="49"/>
      <c r="I54" s="50"/>
    </row>
    <row r="55" spans="1:20" x14ac:dyDescent="0.25">
      <c r="A55" s="46"/>
      <c r="B55" s="47"/>
      <c r="C55" s="48"/>
      <c r="D55" s="48"/>
      <c r="E55" s="49"/>
      <c r="F55" s="49"/>
      <c r="G55" s="49"/>
      <c r="H55" s="49"/>
      <c r="I55" s="50"/>
    </row>
    <row r="56" spans="1:20" x14ac:dyDescent="0.25">
      <c r="A56" s="46"/>
      <c r="C56" s="47" t="s">
        <v>40</v>
      </c>
      <c r="D56" s="51" t="s">
        <v>52</v>
      </c>
      <c r="E56" s="51"/>
      <c r="F56" s="20"/>
      <c r="G56" s="20"/>
      <c r="H56" s="20"/>
      <c r="I56" s="20"/>
    </row>
    <row r="57" spans="1:20" x14ac:dyDescent="0.25">
      <c r="A57" s="46"/>
      <c r="B57" s="47"/>
      <c r="C57" s="51"/>
      <c r="D57" s="51"/>
      <c r="E57" s="20"/>
      <c r="F57" s="20"/>
      <c r="G57" s="20"/>
      <c r="H57" s="20"/>
      <c r="I57" s="20"/>
    </row>
    <row r="58" spans="1:20" ht="13.8" thickBot="1" x14ac:dyDescent="0.3"/>
    <row r="59" spans="1:20" ht="21" customHeight="1" thickBot="1" x14ac:dyDescent="0.3">
      <c r="A59" s="261"/>
      <c r="B59" s="262"/>
      <c r="C59" s="263" t="s">
        <v>28</v>
      </c>
      <c r="D59" s="265" t="s">
        <v>66</v>
      </c>
      <c r="E59" s="266"/>
      <c r="F59" s="266"/>
      <c r="G59" s="266"/>
      <c r="H59" s="266"/>
      <c r="I59" s="267" t="s">
        <v>57</v>
      </c>
      <c r="J59" s="267" t="s">
        <v>29</v>
      </c>
      <c r="N59" s="52"/>
      <c r="O59" s="52"/>
      <c r="P59" s="52"/>
      <c r="Q59" s="52"/>
      <c r="R59" s="52"/>
      <c r="S59" s="52"/>
      <c r="T59" s="52"/>
    </row>
    <row r="60" spans="1:20" ht="24.75" customHeight="1" thickBot="1" x14ac:dyDescent="0.3">
      <c r="A60" s="261"/>
      <c r="B60" s="262"/>
      <c r="C60" s="264"/>
      <c r="D60" s="53" t="s">
        <v>30</v>
      </c>
      <c r="E60" s="53" t="s">
        <v>31</v>
      </c>
      <c r="F60" s="53" t="s">
        <v>61</v>
      </c>
      <c r="G60" s="53" t="s">
        <v>64</v>
      </c>
      <c r="H60" s="53" t="s">
        <v>63</v>
      </c>
      <c r="I60" s="268"/>
      <c r="J60" s="268"/>
      <c r="N60" s="52"/>
      <c r="O60" s="52"/>
      <c r="P60" s="52"/>
      <c r="Q60" s="52"/>
      <c r="R60" s="52"/>
      <c r="S60" s="52"/>
      <c r="T60" s="52"/>
    </row>
    <row r="61" spans="1:20" ht="13.8" thickBot="1" x14ac:dyDescent="0.3">
      <c r="A61" s="261"/>
      <c r="B61" s="262"/>
      <c r="C61" s="54">
        <v>1</v>
      </c>
      <c r="D61" s="54">
        <v>2</v>
      </c>
      <c r="E61" s="54">
        <v>3</v>
      </c>
      <c r="F61" s="54">
        <v>4</v>
      </c>
      <c r="G61" s="54">
        <v>5</v>
      </c>
      <c r="H61" s="54">
        <v>6</v>
      </c>
      <c r="I61" s="54">
        <v>7</v>
      </c>
      <c r="J61" s="54">
        <v>8</v>
      </c>
      <c r="N61" s="52"/>
      <c r="O61" s="52"/>
      <c r="P61" s="52"/>
      <c r="Q61" s="52"/>
      <c r="R61" s="52"/>
      <c r="S61" s="52"/>
      <c r="T61" s="52"/>
    </row>
    <row r="62" spans="1:20" ht="13.8" thickBot="1" x14ac:dyDescent="0.3">
      <c r="A62" s="261"/>
      <c r="B62" s="262"/>
      <c r="C62" s="55" t="s">
        <v>74</v>
      </c>
      <c r="D62" s="83">
        <v>6287.768</v>
      </c>
      <c r="E62" s="92" t="s">
        <v>71</v>
      </c>
      <c r="F62" s="92">
        <v>94.539000000000001</v>
      </c>
      <c r="G62" s="92">
        <v>628.4</v>
      </c>
      <c r="H62" s="93">
        <v>314.31299999999999</v>
      </c>
      <c r="I62" s="92">
        <v>9706.1869999999999</v>
      </c>
      <c r="J62" s="90">
        <f>I62*1.18</f>
        <v>11453.300659999999</v>
      </c>
      <c r="N62" s="52"/>
      <c r="O62" s="52"/>
      <c r="P62" s="52"/>
      <c r="Q62" s="52"/>
      <c r="R62" s="52"/>
      <c r="S62" s="52"/>
      <c r="T62" s="52"/>
    </row>
    <row r="63" spans="1:20" x14ac:dyDescent="0.25">
      <c r="E63" s="2"/>
    </row>
    <row r="64" spans="1:20" x14ac:dyDescent="0.25">
      <c r="C64" s="26" t="s">
        <v>43</v>
      </c>
      <c r="D64" s="26" t="s">
        <v>44</v>
      </c>
      <c r="E64" s="26" t="s">
        <v>45</v>
      </c>
      <c r="F64" s="26" t="s">
        <v>45</v>
      </c>
      <c r="G64" s="26" t="s">
        <v>67</v>
      </c>
      <c r="H64" s="26" t="s">
        <v>46</v>
      </c>
      <c r="I64" s="34"/>
    </row>
    <row r="66" spans="4:9" x14ac:dyDescent="0.25">
      <c r="D66" s="97"/>
      <c r="I66" s="18"/>
    </row>
    <row r="67" spans="4:9" x14ac:dyDescent="0.25">
      <c r="D67" s="97"/>
    </row>
    <row r="69" spans="4:9" x14ac:dyDescent="0.25">
      <c r="I69" s="18"/>
    </row>
  </sheetData>
  <mergeCells count="27">
    <mergeCell ref="J59:J60"/>
    <mergeCell ref="C12:H12"/>
    <mergeCell ref="G4:I4"/>
    <mergeCell ref="F5:I5"/>
    <mergeCell ref="F7:I7"/>
    <mergeCell ref="A10:I10"/>
    <mergeCell ref="A11:I11"/>
    <mergeCell ref="A40:I40"/>
    <mergeCell ref="A15:A18"/>
    <mergeCell ref="B15:B18"/>
    <mergeCell ref="C15:D18"/>
    <mergeCell ref="E15:H15"/>
    <mergeCell ref="I15:I18"/>
    <mergeCell ref="E16:E18"/>
    <mergeCell ref="F16:F18"/>
    <mergeCell ref="G16:G18"/>
    <mergeCell ref="H16:H18"/>
    <mergeCell ref="A20:I20"/>
    <mergeCell ref="A27:I27"/>
    <mergeCell ref="A28:I28"/>
    <mergeCell ref="A33:I33"/>
    <mergeCell ref="A34:I34"/>
    <mergeCell ref="A45:I45"/>
    <mergeCell ref="A59:B62"/>
    <mergeCell ref="C59:C60"/>
    <mergeCell ref="D59:H59"/>
    <mergeCell ref="I59:I60"/>
  </mergeCells>
  <pageMargins left="0.39370078740157483" right="0.39370078740157483" top="0.39370078740157483" bottom="0.39370078740157483" header="0.19685039370078741" footer="0.19685039370078741"/>
  <pageSetup paperSize="9" scale="98" orientation="landscape" r:id="rId1"/>
  <headerFooter alignWithMargins="0">
    <oddHeader>&amp;LГранд-СМЕТА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M76"/>
  <sheetViews>
    <sheetView showGridLines="0" topLeftCell="B28" zoomScaleNormal="100" zoomScaleSheetLayoutView="100" workbookViewId="0">
      <selection activeCell="G50" sqref="G50"/>
    </sheetView>
  </sheetViews>
  <sheetFormatPr defaultColWidth="9.109375" defaultRowHeight="13.2" x14ac:dyDescent="0.25"/>
  <cols>
    <col min="1" max="1" width="3.33203125" style="56" customWidth="1"/>
    <col min="2" max="2" width="18.109375" style="1" customWidth="1"/>
    <col min="3" max="3" width="52" style="2" customWidth="1"/>
    <col min="4" max="4" width="12.33203125" style="2" customWidth="1"/>
    <col min="5" max="5" width="12.88671875" style="13" customWidth="1"/>
    <col min="6" max="6" width="12.6640625" style="13" customWidth="1"/>
    <col min="7" max="7" width="13.5546875" style="13" customWidth="1"/>
    <col min="8" max="8" width="12" style="13" customWidth="1"/>
    <col min="9" max="9" width="12.109375" style="13" customWidth="1"/>
    <col min="10" max="10" width="9.5546875" style="5" bestFit="1" customWidth="1"/>
    <col min="11" max="16384" width="9.109375" style="5"/>
  </cols>
  <sheetData>
    <row r="1" spans="1:9" x14ac:dyDescent="0.25">
      <c r="E1" s="3"/>
      <c r="F1" s="3"/>
      <c r="G1" s="3"/>
      <c r="H1" s="3"/>
      <c r="I1" s="4"/>
    </row>
    <row r="2" spans="1:9" ht="13.8" x14ac:dyDescent="0.25">
      <c r="C2" s="6"/>
      <c r="D2" s="6"/>
      <c r="E2" s="3"/>
      <c r="F2" s="7"/>
      <c r="G2" s="8"/>
      <c r="H2" s="7"/>
      <c r="I2" s="57"/>
    </row>
    <row r="3" spans="1:9" ht="13.8" x14ac:dyDescent="0.25">
      <c r="E3" s="3"/>
      <c r="F3" s="9"/>
      <c r="G3" s="9"/>
      <c r="H3" s="57"/>
      <c r="I3" s="57"/>
    </row>
    <row r="4" spans="1:9" ht="13.8" x14ac:dyDescent="0.25">
      <c r="B4" s="10" t="s">
        <v>88</v>
      </c>
      <c r="C4" s="11"/>
      <c r="D4" s="11"/>
      <c r="E4" s="58"/>
      <c r="F4" s="57"/>
      <c r="G4" s="275"/>
      <c r="H4" s="275"/>
      <c r="I4" s="275"/>
    </row>
    <row r="5" spans="1:9" ht="13.8" x14ac:dyDescent="0.25">
      <c r="B5" s="12">
        <f>I52</f>
        <v>19236262.135849219</v>
      </c>
      <c r="C5" s="2" t="s">
        <v>32</v>
      </c>
      <c r="E5" s="3"/>
      <c r="F5" s="275"/>
      <c r="G5" s="275"/>
      <c r="H5" s="275"/>
      <c r="I5" s="275"/>
    </row>
    <row r="6" spans="1:9" ht="13.8" x14ac:dyDescent="0.25">
      <c r="F6" s="8"/>
      <c r="G6" s="8"/>
      <c r="H6" s="7"/>
      <c r="I6" s="7"/>
    </row>
    <row r="7" spans="1:9" ht="13.8" x14ac:dyDescent="0.25">
      <c r="B7" s="14"/>
      <c r="C7" s="15"/>
      <c r="D7" s="15"/>
      <c r="E7" s="3"/>
      <c r="F7" s="275"/>
      <c r="G7" s="275"/>
      <c r="H7" s="275"/>
      <c r="I7" s="275"/>
    </row>
    <row r="8" spans="1:9" x14ac:dyDescent="0.25">
      <c r="B8" s="16"/>
      <c r="C8" s="17"/>
      <c r="D8" s="17"/>
      <c r="H8" s="3"/>
      <c r="I8" s="3"/>
    </row>
    <row r="9" spans="1:9" x14ac:dyDescent="0.25">
      <c r="B9" s="12"/>
      <c r="F9" s="18"/>
      <c r="H9" s="3"/>
      <c r="I9" s="3"/>
    </row>
    <row r="10" spans="1:9" x14ac:dyDescent="0.25">
      <c r="A10" s="276" t="s">
        <v>33</v>
      </c>
      <c r="B10" s="276"/>
      <c r="C10" s="276"/>
      <c r="D10" s="276"/>
      <c r="E10" s="276"/>
      <c r="F10" s="276"/>
      <c r="G10" s="276"/>
      <c r="H10" s="276"/>
      <c r="I10" s="276"/>
    </row>
    <row r="11" spans="1:9" ht="12.75" customHeight="1" x14ac:dyDescent="0.25">
      <c r="A11" s="277" t="s">
        <v>87</v>
      </c>
      <c r="B11" s="277"/>
      <c r="C11" s="277"/>
      <c r="D11" s="277"/>
      <c r="E11" s="277"/>
      <c r="F11" s="277"/>
      <c r="G11" s="277"/>
      <c r="H11" s="277"/>
      <c r="I11" s="277"/>
    </row>
    <row r="12" spans="1:9" x14ac:dyDescent="0.25">
      <c r="B12" s="12"/>
      <c r="C12" s="274" t="s">
        <v>1</v>
      </c>
      <c r="D12" s="274"/>
      <c r="E12" s="274"/>
      <c r="F12" s="274"/>
      <c r="G12" s="274"/>
      <c r="H12" s="274"/>
      <c r="I12" s="19"/>
    </row>
    <row r="13" spans="1:9" x14ac:dyDescent="0.25">
      <c r="E13" s="20"/>
      <c r="F13" s="20"/>
      <c r="G13" s="20"/>
      <c r="H13" s="20"/>
      <c r="I13" s="19"/>
    </row>
    <row r="14" spans="1:9" x14ac:dyDescent="0.25">
      <c r="B14" s="1" t="s">
        <v>85</v>
      </c>
      <c r="E14" s="21"/>
      <c r="F14" s="3"/>
      <c r="G14" s="3"/>
      <c r="H14" s="3"/>
      <c r="I14" s="3"/>
    </row>
    <row r="15" spans="1:9" ht="13.2" customHeight="1" x14ac:dyDescent="0.25">
      <c r="A15" s="269" t="s">
        <v>2</v>
      </c>
      <c r="B15" s="278" t="s">
        <v>3</v>
      </c>
      <c r="C15" s="279" t="s">
        <v>4</v>
      </c>
      <c r="D15" s="280"/>
      <c r="E15" s="285" t="s">
        <v>86</v>
      </c>
      <c r="F15" s="285"/>
      <c r="G15" s="285"/>
      <c r="H15" s="285"/>
      <c r="I15" s="269" t="s">
        <v>6</v>
      </c>
    </row>
    <row r="16" spans="1:9" ht="13.2" customHeight="1" x14ac:dyDescent="0.25">
      <c r="A16" s="269"/>
      <c r="B16" s="278"/>
      <c r="C16" s="281"/>
      <c r="D16" s="282"/>
      <c r="E16" s="269" t="s">
        <v>7</v>
      </c>
      <c r="F16" s="269" t="s">
        <v>8</v>
      </c>
      <c r="G16" s="287" t="s">
        <v>9</v>
      </c>
      <c r="H16" s="287" t="s">
        <v>10</v>
      </c>
      <c r="I16" s="269"/>
    </row>
    <row r="17" spans="1:10" ht="12.75" customHeight="1" x14ac:dyDescent="0.25">
      <c r="A17" s="269"/>
      <c r="B17" s="278"/>
      <c r="C17" s="281"/>
      <c r="D17" s="282"/>
      <c r="E17" s="269"/>
      <c r="F17" s="269"/>
      <c r="G17" s="288"/>
      <c r="H17" s="288"/>
      <c r="I17" s="269"/>
    </row>
    <row r="18" spans="1:10" ht="13.2" customHeight="1" x14ac:dyDescent="0.25">
      <c r="A18" s="269"/>
      <c r="B18" s="278"/>
      <c r="C18" s="283"/>
      <c r="D18" s="284"/>
      <c r="E18" s="269"/>
      <c r="F18" s="269"/>
      <c r="G18" s="289"/>
      <c r="H18" s="289"/>
      <c r="I18" s="269"/>
    </row>
    <row r="19" spans="1:10" x14ac:dyDescent="0.25">
      <c r="A19" s="65">
        <v>1</v>
      </c>
      <c r="B19" s="22">
        <v>2</v>
      </c>
      <c r="C19" s="71">
        <v>3</v>
      </c>
      <c r="D19" s="72"/>
      <c r="E19" s="65">
        <v>4</v>
      </c>
      <c r="F19" s="65">
        <v>5</v>
      </c>
      <c r="G19" s="65">
        <v>6</v>
      </c>
      <c r="H19" s="65">
        <v>7</v>
      </c>
      <c r="I19" s="65">
        <v>8</v>
      </c>
    </row>
    <row r="20" spans="1:10" ht="15" customHeight="1" x14ac:dyDescent="0.25">
      <c r="A20" s="270" t="s">
        <v>11</v>
      </c>
      <c r="B20" s="271"/>
      <c r="C20" s="271"/>
      <c r="D20" s="271"/>
      <c r="E20" s="271"/>
      <c r="F20" s="271"/>
      <c r="G20" s="271"/>
      <c r="H20" s="271"/>
      <c r="I20" s="271"/>
      <c r="J20" s="52"/>
    </row>
    <row r="21" spans="1:10" s="25" customFormat="1" ht="12.6" customHeight="1" x14ac:dyDescent="0.25">
      <c r="A21" s="23">
        <v>1</v>
      </c>
      <c r="B21" s="110" t="s">
        <v>80</v>
      </c>
      <c r="C21" s="73" t="s">
        <v>82</v>
      </c>
      <c r="D21" s="74"/>
      <c r="E21" s="102">
        <v>2339517.69</v>
      </c>
      <c r="F21" s="102">
        <v>947110.07</v>
      </c>
      <c r="G21" s="24">
        <v>0</v>
      </c>
      <c r="H21" s="24">
        <v>34096.61</v>
      </c>
      <c r="I21" s="24">
        <f>SUM(E21:H21)</f>
        <v>3320724.3699999996</v>
      </c>
      <c r="J21" s="60"/>
    </row>
    <row r="22" spans="1:10" s="25" customFormat="1" ht="12.75" customHeight="1" x14ac:dyDescent="0.25">
      <c r="A22" s="23">
        <v>2</v>
      </c>
      <c r="B22" s="112"/>
      <c r="C22" s="75"/>
      <c r="D22" s="76"/>
      <c r="E22" s="102"/>
      <c r="F22" s="102"/>
      <c r="G22" s="24"/>
      <c r="H22" s="24"/>
      <c r="I22" s="24"/>
      <c r="J22" s="60"/>
    </row>
    <row r="23" spans="1:10" ht="13.2" customHeight="1" x14ac:dyDescent="0.25">
      <c r="A23" s="26"/>
      <c r="B23" s="27"/>
      <c r="C23" s="73" t="s">
        <v>12</v>
      </c>
      <c r="D23" s="74"/>
      <c r="E23" s="29">
        <f>SUM(E21:E22)</f>
        <v>2339517.69</v>
      </c>
      <c r="F23" s="29">
        <f>SUM(F21:F22)</f>
        <v>947110.07</v>
      </c>
      <c r="G23" s="29">
        <f>SUM(G21:G22)</f>
        <v>0</v>
      </c>
      <c r="H23" s="29">
        <f>SUM(H21:H22)</f>
        <v>34096.61</v>
      </c>
      <c r="I23" s="103">
        <f>SUM(I21:I22)</f>
        <v>3320724.3699999996</v>
      </c>
      <c r="J23" s="52"/>
    </row>
    <row r="24" spans="1:10" ht="13.2" customHeight="1" x14ac:dyDescent="0.25">
      <c r="A24" s="270" t="s">
        <v>13</v>
      </c>
      <c r="B24" s="271"/>
      <c r="C24" s="271"/>
      <c r="D24" s="271"/>
      <c r="E24" s="271"/>
      <c r="F24" s="271"/>
      <c r="G24" s="271"/>
      <c r="H24" s="271"/>
      <c r="I24" s="271"/>
      <c r="J24" s="52"/>
    </row>
    <row r="25" spans="1:10" ht="13.2" customHeight="1" x14ac:dyDescent="0.25">
      <c r="A25" s="272" t="s">
        <v>14</v>
      </c>
      <c r="B25" s="273"/>
      <c r="C25" s="273"/>
      <c r="D25" s="273"/>
      <c r="E25" s="273"/>
      <c r="F25" s="273"/>
      <c r="G25" s="273"/>
      <c r="H25" s="273"/>
      <c r="I25" s="273"/>
      <c r="J25" s="52"/>
    </row>
    <row r="26" spans="1:10" ht="31.95" customHeight="1" x14ac:dyDescent="0.25">
      <c r="A26" s="30">
        <v>3</v>
      </c>
      <c r="B26" s="31" t="s">
        <v>15</v>
      </c>
      <c r="C26" s="77" t="s">
        <v>76</v>
      </c>
      <c r="D26" s="78"/>
      <c r="E26" s="32">
        <f>E23*1.9%</f>
        <v>44450.836109999997</v>
      </c>
      <c r="F26" s="32">
        <f>F23*1.9%</f>
        <v>17995.091329999999</v>
      </c>
      <c r="G26" s="32">
        <v>0</v>
      </c>
      <c r="H26" s="32">
        <v>0</v>
      </c>
      <c r="I26" s="32">
        <f>E26+F26</f>
        <v>62445.927439999999</v>
      </c>
      <c r="J26" s="52"/>
    </row>
    <row r="27" spans="1:10" ht="20.399999999999999" hidden="1" x14ac:dyDescent="0.25">
      <c r="A27" s="30">
        <f>A26+1</f>
        <v>4</v>
      </c>
      <c r="B27" s="31" t="s">
        <v>16</v>
      </c>
      <c r="C27" s="28" t="s">
        <v>17</v>
      </c>
      <c r="D27" s="28"/>
      <c r="E27" s="34"/>
      <c r="F27" s="34"/>
      <c r="G27" s="34"/>
      <c r="H27" s="32">
        <f>0*0.07</f>
        <v>0</v>
      </c>
      <c r="I27" s="32">
        <f>E27+F27+G27+H27</f>
        <v>0</v>
      </c>
      <c r="J27" s="52"/>
    </row>
    <row r="28" spans="1:10" ht="42" customHeight="1" x14ac:dyDescent="0.25">
      <c r="A28" s="30">
        <v>4</v>
      </c>
      <c r="B28" s="104" t="s">
        <v>75</v>
      </c>
      <c r="C28" s="292" t="s">
        <v>77</v>
      </c>
      <c r="D28" s="293"/>
      <c r="E28" s="105"/>
      <c r="F28" s="105"/>
      <c r="G28" s="105"/>
      <c r="H28" s="24">
        <f>I23*1%</f>
        <v>33207.243699999999</v>
      </c>
      <c r="I28" s="24">
        <f>H28</f>
        <v>33207.243699999999</v>
      </c>
      <c r="J28" s="52"/>
    </row>
    <row r="29" spans="1:10" x14ac:dyDescent="0.25">
      <c r="A29" s="26"/>
      <c r="B29" s="36"/>
      <c r="C29" s="73" t="s">
        <v>18</v>
      </c>
      <c r="D29" s="74"/>
      <c r="E29" s="32">
        <f>SUM(E26:E27)</f>
        <v>44450.836109999997</v>
      </c>
      <c r="F29" s="32">
        <f>SUM(F26:F27)</f>
        <v>17995.091329999999</v>
      </c>
      <c r="G29" s="32">
        <f>SUM(G26:G27)</f>
        <v>0</v>
      </c>
      <c r="H29" s="32">
        <f>H26+H28</f>
        <v>33207.243699999999</v>
      </c>
      <c r="I29" s="32">
        <f>I26+I28</f>
        <v>95653.171139999991</v>
      </c>
      <c r="J29" s="52"/>
    </row>
    <row r="30" spans="1:10" ht="13.2" customHeight="1" x14ac:dyDescent="0.25">
      <c r="A30" s="26"/>
      <c r="B30" s="36"/>
      <c r="C30" s="73" t="s">
        <v>19</v>
      </c>
      <c r="D30" s="74"/>
      <c r="E30" s="32">
        <f>E29+E23</f>
        <v>2383968.52611</v>
      </c>
      <c r="F30" s="32">
        <f>F29+F23</f>
        <v>965105.16132999992</v>
      </c>
      <c r="G30" s="32">
        <f>G29+G23</f>
        <v>0</v>
      </c>
      <c r="H30" s="32">
        <f>H29+H23</f>
        <v>67303.853700000007</v>
      </c>
      <c r="I30" s="32">
        <f>I29+I23</f>
        <v>3416377.5411399994</v>
      </c>
    </row>
    <row r="31" spans="1:10" ht="13.2" customHeight="1" x14ac:dyDescent="0.25">
      <c r="A31" s="258" t="s">
        <v>20</v>
      </c>
      <c r="B31" s="259"/>
      <c r="C31" s="259"/>
      <c r="D31" s="259"/>
      <c r="E31" s="259"/>
      <c r="F31" s="259"/>
      <c r="G31" s="259"/>
      <c r="H31" s="259"/>
      <c r="I31" s="260"/>
    </row>
    <row r="32" spans="1:10" ht="13.2" customHeight="1" x14ac:dyDescent="0.25">
      <c r="A32" s="258" t="s">
        <v>21</v>
      </c>
      <c r="B32" s="259"/>
      <c r="C32" s="259"/>
      <c r="D32" s="259"/>
      <c r="E32" s="259"/>
      <c r="F32" s="259"/>
      <c r="G32" s="259"/>
      <c r="H32" s="259"/>
      <c r="I32" s="260"/>
    </row>
    <row r="33" spans="1:10" ht="28.95" customHeight="1" x14ac:dyDescent="0.25">
      <c r="A33" s="30">
        <v>5</v>
      </c>
      <c r="B33" s="28"/>
      <c r="C33" s="111" t="s">
        <v>78</v>
      </c>
      <c r="D33" s="106"/>
      <c r="E33" s="32">
        <v>0</v>
      </c>
      <c r="F33" s="32">
        <v>0</v>
      </c>
      <c r="G33" s="32">
        <v>0</v>
      </c>
      <c r="H33" s="91">
        <f>1016949.15/3.64/1.03</f>
        <v>271244.30545182974</v>
      </c>
      <c r="I33" s="32">
        <f>H33</f>
        <v>271244.30545182974</v>
      </c>
      <c r="J33" s="87"/>
    </row>
    <row r="34" spans="1:10" ht="15" customHeight="1" x14ac:dyDescent="0.25">
      <c r="A34" s="30"/>
      <c r="B34" s="28"/>
      <c r="C34" s="108"/>
      <c r="D34" s="106"/>
      <c r="E34" s="32"/>
      <c r="F34" s="32"/>
      <c r="G34" s="32"/>
      <c r="H34" s="91"/>
      <c r="I34" s="32"/>
    </row>
    <row r="35" spans="1:10" ht="13.2" customHeight="1" x14ac:dyDescent="0.25">
      <c r="A35" s="107"/>
      <c r="B35" s="107"/>
      <c r="C35" s="73" t="s">
        <v>50</v>
      </c>
      <c r="D35" s="106"/>
      <c r="E35" s="32">
        <v>0</v>
      </c>
      <c r="F35" s="32">
        <v>0</v>
      </c>
      <c r="G35" s="32">
        <v>0</v>
      </c>
      <c r="H35" s="91">
        <f>H33</f>
        <v>271244.30545182974</v>
      </c>
      <c r="I35" s="32">
        <f>I33</f>
        <v>271244.30545182974</v>
      </c>
    </row>
    <row r="36" spans="1:10" ht="13.2" customHeight="1" x14ac:dyDescent="0.25">
      <c r="A36" s="85"/>
      <c r="B36" s="85"/>
      <c r="C36" s="73" t="s">
        <v>51</v>
      </c>
      <c r="D36" s="84"/>
      <c r="E36" s="32">
        <f>E30</f>
        <v>2383968.52611</v>
      </c>
      <c r="F36" s="32">
        <f>F30</f>
        <v>965105.16132999992</v>
      </c>
      <c r="G36" s="32">
        <f>G30</f>
        <v>0</v>
      </c>
      <c r="H36" s="91">
        <f>H30+H35</f>
        <v>338548.15915182978</v>
      </c>
      <c r="I36" s="32">
        <f>I30+I35</f>
        <v>3687621.8465918293</v>
      </c>
      <c r="J36" s="87">
        <f>H36-H33-H23</f>
        <v>33207.243700000035</v>
      </c>
    </row>
    <row r="37" spans="1:10" ht="13.2" customHeight="1" x14ac:dyDescent="0.25">
      <c r="A37" s="258" t="s">
        <v>22</v>
      </c>
      <c r="B37" s="259"/>
      <c r="C37" s="259"/>
      <c r="D37" s="259"/>
      <c r="E37" s="259"/>
      <c r="F37" s="259"/>
      <c r="G37" s="259"/>
      <c r="H37" s="259"/>
      <c r="I37" s="260"/>
    </row>
    <row r="38" spans="1:10" ht="19.2" customHeight="1" x14ac:dyDescent="0.25">
      <c r="A38" s="30">
        <v>8</v>
      </c>
      <c r="B38" s="31" t="s">
        <v>37</v>
      </c>
      <c r="C38" s="77" t="s">
        <v>79</v>
      </c>
      <c r="D38" s="78"/>
      <c r="E38" s="32">
        <f>ROUND(E30*0.03,3)</f>
        <v>71519.055999999997</v>
      </c>
      <c r="F38" s="32">
        <f>ROUND(F30*0.03,3)</f>
        <v>28953.154999999999</v>
      </c>
      <c r="G38" s="32">
        <f>ROUND(G30*0.03,3)</f>
        <v>0</v>
      </c>
      <c r="H38" s="32">
        <f>H36*3%</f>
        <v>10156.444774554893</v>
      </c>
      <c r="I38" s="32">
        <f>E38+F38+G38+H38</f>
        <v>110628.65577455489</v>
      </c>
    </row>
    <row r="39" spans="1:10" ht="13.2" customHeight="1" x14ac:dyDescent="0.25">
      <c r="A39" s="26"/>
      <c r="B39" s="36"/>
      <c r="C39" s="73"/>
      <c r="D39" s="74"/>
      <c r="E39" s="32"/>
      <c r="F39" s="32"/>
      <c r="G39" s="32"/>
      <c r="H39" s="32"/>
      <c r="I39" s="32"/>
    </row>
    <row r="40" spans="1:10" x14ac:dyDescent="0.25">
      <c r="A40" s="26"/>
      <c r="B40" s="36"/>
      <c r="C40" s="73" t="s">
        <v>23</v>
      </c>
      <c r="D40" s="74"/>
      <c r="E40" s="32">
        <f>E36+E38</f>
        <v>2455487.5821099998</v>
      </c>
      <c r="F40" s="32">
        <f>F36+F38</f>
        <v>994058.31632999994</v>
      </c>
      <c r="G40" s="32">
        <f>G36+G38</f>
        <v>0</v>
      </c>
      <c r="H40" s="32">
        <f>H36+H38</f>
        <v>348704.60392638465</v>
      </c>
      <c r="I40" s="32">
        <f>I36+I38</f>
        <v>3798250.502366384</v>
      </c>
    </row>
    <row r="41" spans="1:10" ht="13.2" customHeight="1" x14ac:dyDescent="0.25">
      <c r="A41" s="26"/>
      <c r="B41" s="27"/>
      <c r="C41" s="73"/>
      <c r="D41" s="74"/>
      <c r="E41" s="35"/>
      <c r="F41" s="35"/>
      <c r="G41" s="35"/>
      <c r="H41" s="35"/>
      <c r="I41" s="35"/>
    </row>
    <row r="42" spans="1:10" ht="13.2" customHeight="1" x14ac:dyDescent="0.25">
      <c r="A42" s="258" t="s">
        <v>24</v>
      </c>
      <c r="B42" s="259"/>
      <c r="C42" s="259"/>
      <c r="D42" s="259"/>
      <c r="E42" s="259"/>
      <c r="F42" s="259"/>
      <c r="G42" s="259"/>
      <c r="H42" s="259"/>
      <c r="I42" s="260"/>
    </row>
    <row r="43" spans="1:10" x14ac:dyDescent="0.25">
      <c r="A43" s="26">
        <v>9</v>
      </c>
      <c r="B43" s="109" t="s">
        <v>25</v>
      </c>
      <c r="C43" s="73" t="s">
        <v>81</v>
      </c>
      <c r="D43" s="74"/>
      <c r="E43" s="32">
        <f>ROUND(E40*4.25,3)</f>
        <v>10435822.223999999</v>
      </c>
      <c r="F43" s="32">
        <f>ROUND(F40*4.25,3)</f>
        <v>4224747.8439999996</v>
      </c>
      <c r="G43" s="32"/>
      <c r="H43" s="32"/>
      <c r="I43" s="29">
        <f>E43+F43+G47+H47</f>
        <v>16301917.064278999</v>
      </c>
    </row>
    <row r="44" spans="1:10" x14ac:dyDescent="0.25">
      <c r="A44" s="26"/>
      <c r="B44" s="109" t="s">
        <v>83</v>
      </c>
      <c r="C44" s="73" t="s">
        <v>89</v>
      </c>
      <c r="D44" s="74"/>
      <c r="E44" s="32"/>
      <c r="F44" s="32"/>
      <c r="G44" s="32"/>
      <c r="H44" s="32">
        <f>H23*1.03*10.45</f>
        <v>366998.86173499998</v>
      </c>
      <c r="I44" s="29"/>
    </row>
    <row r="45" spans="1:10" x14ac:dyDescent="0.25">
      <c r="A45" s="26"/>
      <c r="B45" s="109" t="s">
        <v>84</v>
      </c>
      <c r="C45" s="290" t="s">
        <v>91</v>
      </c>
      <c r="D45" s="291"/>
      <c r="E45" s="32"/>
      <c r="F45" s="32"/>
      <c r="G45" s="32"/>
      <c r="H45" s="32">
        <f>271344.305*1.03*3.64</f>
        <v>1017324.068306</v>
      </c>
      <c r="I45" s="29"/>
    </row>
    <row r="46" spans="1:10" x14ac:dyDescent="0.25">
      <c r="A46" s="26"/>
      <c r="B46" s="140"/>
      <c r="C46" s="73" t="s">
        <v>90</v>
      </c>
      <c r="D46" s="74"/>
      <c r="E46" s="32"/>
      <c r="F46" s="32"/>
      <c r="G46" s="32"/>
      <c r="H46" s="32">
        <f>(H30-H23)*7.74</f>
        <v>257024.06623800006</v>
      </c>
      <c r="I46" s="29"/>
    </row>
    <row r="47" spans="1:10" ht="13.2" customHeight="1" x14ac:dyDescent="0.25">
      <c r="A47" s="26"/>
      <c r="B47" s="141"/>
      <c r="C47" s="5"/>
      <c r="D47" s="5"/>
      <c r="E47" s="32"/>
      <c r="F47" s="32"/>
      <c r="G47" s="32">
        <f>ROUND(G40*3.9,3)</f>
        <v>0</v>
      </c>
      <c r="H47" s="24">
        <f>H44+H45+H46</f>
        <v>1641346.9962790001</v>
      </c>
      <c r="I47" s="29"/>
    </row>
    <row r="48" spans="1:10" ht="13.2" hidden="1" customHeight="1" x14ac:dyDescent="0.25">
      <c r="A48" s="26"/>
      <c r="B48" s="109"/>
      <c r="C48" s="37"/>
      <c r="D48" s="37"/>
      <c r="E48" s="38"/>
      <c r="F48" s="38"/>
      <c r="G48" s="38"/>
      <c r="H48" s="38"/>
      <c r="I48" s="39"/>
    </row>
    <row r="49" spans="1:13" x14ac:dyDescent="0.25">
      <c r="A49" s="26"/>
      <c r="B49" s="141"/>
      <c r="C49" s="79" t="s">
        <v>92</v>
      </c>
      <c r="D49" s="80"/>
      <c r="E49" s="33"/>
      <c r="F49" s="33"/>
      <c r="G49" s="33"/>
      <c r="H49" s="33"/>
      <c r="I49" s="33"/>
    </row>
    <row r="50" spans="1:13" x14ac:dyDescent="0.25">
      <c r="A50" s="26"/>
      <c r="B50" s="43"/>
      <c r="C50" s="73"/>
      <c r="D50" s="80"/>
      <c r="E50" s="34"/>
      <c r="F50" s="34"/>
      <c r="G50" s="34"/>
      <c r="H50" s="34"/>
      <c r="I50" s="44"/>
    </row>
    <row r="51" spans="1:13" x14ac:dyDescent="0.25">
      <c r="A51" s="26">
        <v>10</v>
      </c>
      <c r="B51" s="31"/>
      <c r="C51" s="79" t="s">
        <v>39</v>
      </c>
      <c r="D51" s="80"/>
      <c r="E51" s="33">
        <f>E43*0.18</f>
        <v>1878448.0003199999</v>
      </c>
      <c r="F51" s="33">
        <f>F43*0.18</f>
        <v>760454.61191999994</v>
      </c>
      <c r="G51" s="33">
        <f>G47*0.18</f>
        <v>0</v>
      </c>
      <c r="H51" s="33">
        <f>H47*0.18</f>
        <v>295442.45933022001</v>
      </c>
      <c r="I51" s="33">
        <f>I43*0.18</f>
        <v>2934345.0715702199</v>
      </c>
      <c r="J51" s="87"/>
    </row>
    <row r="52" spans="1:13" x14ac:dyDescent="0.25">
      <c r="A52" s="26"/>
      <c r="B52" s="27"/>
      <c r="C52" s="81" t="s">
        <v>27</v>
      </c>
      <c r="D52" s="82"/>
      <c r="E52" s="45">
        <f>E43+E51</f>
        <v>12314270.22432</v>
      </c>
      <c r="F52" s="45">
        <f>F43+F51</f>
        <v>4985202.4559199996</v>
      </c>
      <c r="G52" s="45">
        <f>G47+G51</f>
        <v>0</v>
      </c>
      <c r="H52" s="45">
        <f>H47+H51</f>
        <v>1936789.4556092201</v>
      </c>
      <c r="I52" s="45">
        <f>I43+I51</f>
        <v>19236262.135849219</v>
      </c>
    </row>
    <row r="53" spans="1:13" x14ac:dyDescent="0.25">
      <c r="A53" s="46"/>
      <c r="B53" s="47"/>
      <c r="C53" s="48"/>
      <c r="D53" s="48"/>
      <c r="E53" s="49"/>
      <c r="F53" s="49"/>
      <c r="G53" s="49"/>
      <c r="H53" s="49"/>
      <c r="I53" s="50"/>
    </row>
    <row r="54" spans="1:13" x14ac:dyDescent="0.25">
      <c r="A54" s="46"/>
      <c r="B54" s="47"/>
      <c r="C54" s="48"/>
      <c r="D54" s="48"/>
      <c r="E54" s="49"/>
      <c r="F54" s="49"/>
      <c r="G54" s="49"/>
      <c r="H54" s="49"/>
      <c r="I54" s="50"/>
    </row>
    <row r="55" spans="1:13" x14ac:dyDescent="0.25">
      <c r="A55" s="46"/>
      <c r="C55" s="47"/>
      <c r="D55" s="47"/>
      <c r="E55" s="51"/>
      <c r="F55" s="20"/>
      <c r="G55" s="20"/>
      <c r="H55" s="20"/>
      <c r="I55" s="20"/>
    </row>
    <row r="56" spans="1:13" x14ac:dyDescent="0.25">
      <c r="A56" s="46"/>
      <c r="B56" s="47"/>
      <c r="C56" s="51"/>
      <c r="D56" s="51"/>
      <c r="E56" s="20"/>
      <c r="F56" s="20"/>
      <c r="G56" s="20"/>
      <c r="H56" s="20"/>
      <c r="I56" s="20"/>
    </row>
    <row r="57" spans="1:13" x14ac:dyDescent="0.25">
      <c r="C57" s="51"/>
      <c r="D57" s="51"/>
      <c r="E57" s="20"/>
      <c r="F57" s="20"/>
      <c r="G57" s="20"/>
      <c r="H57" s="20"/>
      <c r="I57" s="20"/>
      <c r="J57" s="52"/>
      <c r="K57" s="52"/>
      <c r="L57" s="52"/>
    </row>
    <row r="58" spans="1:13" ht="21" customHeight="1" x14ac:dyDescent="0.25">
      <c r="A58" s="98"/>
      <c r="B58" s="119"/>
      <c r="C58" s="295"/>
      <c r="D58" s="286"/>
      <c r="E58" s="286"/>
      <c r="F58" s="286"/>
      <c r="G58" s="286"/>
      <c r="H58" s="286"/>
      <c r="I58" s="286"/>
      <c r="J58" s="52"/>
      <c r="K58" s="52"/>
      <c r="L58" s="52"/>
      <c r="M58" s="52"/>
    </row>
    <row r="59" spans="1:13" ht="24.75" customHeight="1" x14ac:dyDescent="0.25">
      <c r="A59" s="98"/>
      <c r="B59" s="119"/>
      <c r="C59" s="295"/>
      <c r="D59" s="120"/>
      <c r="E59" s="120"/>
      <c r="F59" s="121"/>
      <c r="G59" s="120"/>
      <c r="H59" s="120"/>
      <c r="I59" s="286"/>
      <c r="J59" s="52"/>
      <c r="K59" s="52"/>
      <c r="L59" s="52"/>
      <c r="M59" s="52"/>
    </row>
    <row r="60" spans="1:13" x14ac:dyDescent="0.25">
      <c r="A60" s="98"/>
      <c r="B60" s="119"/>
      <c r="C60" s="122"/>
      <c r="D60" s="122"/>
      <c r="E60" s="122"/>
      <c r="F60" s="122"/>
      <c r="G60" s="122"/>
      <c r="H60" s="122"/>
      <c r="I60" s="122"/>
      <c r="J60" s="52"/>
      <c r="K60" s="52"/>
      <c r="L60" s="52"/>
      <c r="M60" s="52"/>
    </row>
    <row r="61" spans="1:13" x14ac:dyDescent="0.25">
      <c r="A61" s="98"/>
      <c r="B61" s="119"/>
      <c r="C61" s="123"/>
      <c r="D61" s="124"/>
      <c r="E61" s="125"/>
      <c r="F61" s="125"/>
      <c r="G61" s="126"/>
      <c r="H61" s="126"/>
      <c r="I61" s="125"/>
      <c r="J61" s="52"/>
      <c r="K61" s="52"/>
      <c r="L61" s="52"/>
      <c r="M61" s="52"/>
    </row>
    <row r="62" spans="1:13" x14ac:dyDescent="0.25">
      <c r="C62" s="51"/>
      <c r="D62" s="127"/>
      <c r="E62" s="127"/>
      <c r="F62" s="127"/>
      <c r="G62" s="127"/>
      <c r="H62" s="127"/>
      <c r="I62" s="127"/>
      <c r="J62" s="52"/>
      <c r="K62" s="52"/>
      <c r="L62" s="52"/>
    </row>
    <row r="63" spans="1:13" x14ac:dyDescent="0.25">
      <c r="C63" s="46"/>
      <c r="D63" s="46"/>
      <c r="E63" s="46"/>
      <c r="F63" s="46"/>
      <c r="G63" s="46"/>
      <c r="H63" s="46"/>
      <c r="I63" s="20"/>
      <c r="J63" s="52"/>
      <c r="K63" s="52"/>
      <c r="L63" s="52"/>
    </row>
    <row r="64" spans="1:13" x14ac:dyDescent="0.25">
      <c r="C64" s="51"/>
      <c r="D64" s="128"/>
      <c r="E64" s="20"/>
      <c r="F64" s="129"/>
      <c r="G64" s="20"/>
      <c r="H64" s="20"/>
      <c r="I64" s="20"/>
      <c r="J64" s="52"/>
      <c r="K64" s="52"/>
      <c r="L64" s="52"/>
    </row>
    <row r="65" spans="3:12" x14ac:dyDescent="0.25">
      <c r="C65" s="51"/>
      <c r="D65" s="51"/>
      <c r="E65" s="20"/>
      <c r="F65" s="20"/>
      <c r="G65" s="20"/>
      <c r="H65" s="20"/>
      <c r="I65" s="130"/>
      <c r="J65" s="52"/>
      <c r="K65" s="52"/>
      <c r="L65" s="52"/>
    </row>
    <row r="66" spans="3:12" x14ac:dyDescent="0.25">
      <c r="C66" s="51"/>
      <c r="D66" s="51"/>
      <c r="E66" s="20"/>
      <c r="F66" s="20"/>
      <c r="G66" s="20"/>
      <c r="H66" s="20"/>
      <c r="I66" s="20"/>
      <c r="J66" s="52"/>
      <c r="K66" s="52"/>
      <c r="L66" s="52"/>
    </row>
    <row r="67" spans="3:12" x14ac:dyDescent="0.25">
      <c r="C67" s="294"/>
      <c r="D67" s="294"/>
      <c r="E67" s="294"/>
      <c r="F67" s="294"/>
      <c r="G67" s="294"/>
      <c r="H67" s="294"/>
      <c r="I67" s="294"/>
      <c r="J67" s="52"/>
      <c r="K67" s="52"/>
      <c r="L67" s="52"/>
    </row>
    <row r="68" spans="3:12" x14ac:dyDescent="0.25">
      <c r="C68" s="46"/>
      <c r="D68" s="132"/>
      <c r="E68" s="132"/>
      <c r="F68" s="99"/>
      <c r="G68" s="132"/>
      <c r="H68" s="132"/>
      <c r="I68" s="132"/>
      <c r="J68" s="52"/>
      <c r="K68" s="52"/>
      <c r="L68" s="52"/>
    </row>
    <row r="69" spans="3:12" x14ac:dyDescent="0.25">
      <c r="C69" s="127"/>
      <c r="D69" s="132"/>
      <c r="E69" s="99"/>
      <c r="F69" s="99"/>
      <c r="G69" s="99"/>
      <c r="H69" s="99"/>
      <c r="I69" s="99"/>
      <c r="J69" s="52"/>
      <c r="K69" s="52"/>
      <c r="L69" s="52"/>
    </row>
    <row r="70" spans="3:12" x14ac:dyDescent="0.25">
      <c r="C70" s="119"/>
      <c r="D70" s="133"/>
      <c r="E70" s="134"/>
      <c r="F70" s="99"/>
      <c r="G70" s="135"/>
      <c r="H70" s="99"/>
      <c r="I70" s="99"/>
      <c r="J70" s="52"/>
      <c r="K70" s="52"/>
      <c r="L70" s="52"/>
    </row>
    <row r="71" spans="3:12" x14ac:dyDescent="0.25">
      <c r="C71" s="119"/>
      <c r="D71" s="136"/>
      <c r="E71" s="137"/>
      <c r="F71" s="137"/>
      <c r="G71" s="136"/>
      <c r="H71" s="138"/>
      <c r="I71" s="139"/>
      <c r="J71" s="52"/>
      <c r="K71" s="52"/>
      <c r="L71" s="52"/>
    </row>
    <row r="72" spans="3:12" x14ac:dyDescent="0.25">
      <c r="C72" s="51"/>
      <c r="D72" s="51"/>
      <c r="E72" s="129"/>
      <c r="F72" s="20"/>
      <c r="G72" s="20"/>
      <c r="H72" s="20"/>
      <c r="I72" s="20"/>
      <c r="J72" s="52"/>
      <c r="K72" s="52"/>
      <c r="L72" s="52"/>
    </row>
    <row r="73" spans="3:12" x14ac:dyDescent="0.25">
      <c r="C73" s="51"/>
      <c r="D73" s="51"/>
      <c r="E73" s="129"/>
      <c r="F73" s="129"/>
      <c r="G73" s="129"/>
      <c r="H73" s="129"/>
      <c r="I73" s="20"/>
      <c r="J73" s="52"/>
      <c r="K73" s="52"/>
      <c r="L73" s="52"/>
    </row>
    <row r="74" spans="3:12" x14ac:dyDescent="0.25">
      <c r="C74" s="51"/>
      <c r="D74" s="51"/>
      <c r="E74" s="20"/>
      <c r="F74" s="130"/>
      <c r="G74" s="129"/>
      <c r="H74" s="129"/>
      <c r="I74" s="129"/>
      <c r="J74" s="52"/>
      <c r="K74" s="52"/>
      <c r="L74" s="52"/>
    </row>
    <row r="75" spans="3:12" x14ac:dyDescent="0.25">
      <c r="C75" s="51"/>
      <c r="D75" s="51"/>
      <c r="E75" s="20"/>
      <c r="F75" s="20"/>
      <c r="G75" s="20"/>
      <c r="H75" s="20"/>
      <c r="I75" s="20"/>
      <c r="J75" s="52"/>
      <c r="K75" s="52"/>
      <c r="L75" s="52"/>
    </row>
    <row r="76" spans="3:12" x14ac:dyDescent="0.25">
      <c r="C76" s="100"/>
      <c r="D76" s="100"/>
      <c r="E76" s="101"/>
    </row>
  </sheetData>
  <mergeCells count="28">
    <mergeCell ref="C67:I67"/>
    <mergeCell ref="G4:I4"/>
    <mergeCell ref="C12:H12"/>
    <mergeCell ref="C15:D18"/>
    <mergeCell ref="F5:I5"/>
    <mergeCell ref="F7:I7"/>
    <mergeCell ref="A10:I10"/>
    <mergeCell ref="A11:I11"/>
    <mergeCell ref="A42:I42"/>
    <mergeCell ref="C58:C59"/>
    <mergeCell ref="A37:I37"/>
    <mergeCell ref="A15:A18"/>
    <mergeCell ref="B15:B18"/>
    <mergeCell ref="E15:H15"/>
    <mergeCell ref="I15:I18"/>
    <mergeCell ref="E16:E18"/>
    <mergeCell ref="D58:H58"/>
    <mergeCell ref="I58:I59"/>
    <mergeCell ref="F16:F18"/>
    <mergeCell ref="G16:G18"/>
    <mergeCell ref="H16:H18"/>
    <mergeCell ref="C45:D45"/>
    <mergeCell ref="C28:D28"/>
    <mergeCell ref="A20:I20"/>
    <mergeCell ref="A24:I24"/>
    <mergeCell ref="A25:I25"/>
    <mergeCell ref="A31:I31"/>
    <mergeCell ref="A32:I32"/>
  </mergeCells>
  <pageMargins left="0.19685039370078741" right="0" top="0.19685039370078741" bottom="0.19685039370078741" header="0.19685039370078741" footer="0.19685039370078741"/>
  <pageSetup paperSize="9" scale="98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81"/>
  <sheetViews>
    <sheetView showGridLines="0" tabSelected="1" topLeftCell="A20" zoomScaleNormal="100" zoomScaleSheetLayoutView="100" workbookViewId="0">
      <selection activeCell="G39" sqref="G39"/>
    </sheetView>
  </sheetViews>
  <sheetFormatPr defaultColWidth="9.109375" defaultRowHeight="13.2" x14ac:dyDescent="0.25"/>
  <cols>
    <col min="1" max="1" width="3.33203125" style="114" customWidth="1"/>
    <col min="2" max="2" width="17.88671875" style="1" customWidth="1"/>
    <col min="3" max="3" width="52" style="2" customWidth="1"/>
    <col min="4" max="4" width="26" style="2" customWidth="1"/>
    <col min="5" max="5" width="9.77734375" style="13" customWidth="1"/>
    <col min="6" max="6" width="9.88671875" style="13" customWidth="1"/>
    <col min="7" max="7" width="9.21875" style="13" customWidth="1"/>
    <col min="8" max="8" width="9.6640625" style="13" customWidth="1"/>
    <col min="9" max="9" width="12.109375" style="13" customWidth="1"/>
    <col min="10" max="10" width="9.5546875" style="5" hidden="1" customWidth="1"/>
    <col min="11" max="11" width="12.5546875" style="5" bestFit="1" customWidth="1"/>
    <col min="12" max="12" width="12.88671875" style="5" customWidth="1"/>
    <col min="13" max="13" width="11.21875" style="5" customWidth="1"/>
    <col min="14" max="15" width="9.109375" style="5"/>
    <col min="16" max="16" width="10.21875" style="5" customWidth="1"/>
    <col min="17" max="16384" width="9.109375" style="5"/>
  </cols>
  <sheetData>
    <row r="1" spans="1:12" x14ac:dyDescent="0.25">
      <c r="E1" s="3"/>
      <c r="F1" s="3"/>
      <c r="G1" s="3"/>
      <c r="H1" s="3"/>
      <c r="I1" s="4"/>
    </row>
    <row r="2" spans="1:12" ht="13.8" x14ac:dyDescent="0.25">
      <c r="C2" s="6"/>
      <c r="D2" s="6"/>
      <c r="E2" s="3"/>
      <c r="F2" s="7"/>
      <c r="G2" s="8"/>
      <c r="H2" s="7"/>
      <c r="I2" s="116"/>
    </row>
    <row r="3" spans="1:12" ht="13.8" x14ac:dyDescent="0.25">
      <c r="E3" s="3"/>
      <c r="F3" s="9"/>
      <c r="G3" s="9"/>
      <c r="H3" s="116"/>
      <c r="I3" s="116"/>
    </row>
    <row r="4" spans="1:12" ht="13.8" x14ac:dyDescent="0.25">
      <c r="B4" s="10" t="s">
        <v>88</v>
      </c>
      <c r="C4" s="11"/>
      <c r="D4" s="11"/>
      <c r="E4" s="117"/>
      <c r="F4" s="116"/>
      <c r="G4" s="275"/>
      <c r="H4" s="275"/>
      <c r="I4" s="275"/>
    </row>
    <row r="5" spans="1:12" ht="13.8" x14ac:dyDescent="0.25">
      <c r="B5" s="12">
        <f>I55</f>
        <v>710.37014255297856</v>
      </c>
      <c r="C5" s="2" t="s">
        <v>32</v>
      </c>
      <c r="E5" s="3"/>
      <c r="F5" s="275"/>
      <c r="G5" s="275"/>
      <c r="H5" s="275"/>
      <c r="I5" s="275"/>
    </row>
    <row r="6" spans="1:12" ht="13.8" x14ac:dyDescent="0.25">
      <c r="F6" s="8"/>
      <c r="G6" s="8"/>
      <c r="H6" s="7"/>
      <c r="I6" s="7"/>
    </row>
    <row r="7" spans="1:12" ht="13.8" x14ac:dyDescent="0.25">
      <c r="B7" s="14"/>
      <c r="C7" s="15"/>
      <c r="D7" s="15"/>
      <c r="E7" s="3"/>
      <c r="F7" s="275"/>
      <c r="G7" s="275"/>
      <c r="H7" s="275"/>
      <c r="I7" s="275"/>
    </row>
    <row r="8" spans="1:12" x14ac:dyDescent="0.25">
      <c r="B8" s="16"/>
      <c r="C8" s="17"/>
      <c r="D8" s="17"/>
      <c r="H8" s="3"/>
      <c r="I8" s="3"/>
    </row>
    <row r="9" spans="1:12" x14ac:dyDescent="0.25">
      <c r="B9" s="12"/>
      <c r="F9" s="18"/>
      <c r="H9" s="3"/>
      <c r="I9" s="3"/>
    </row>
    <row r="10" spans="1:12" x14ac:dyDescent="0.25">
      <c r="A10" s="276" t="s">
        <v>33</v>
      </c>
      <c r="B10" s="276"/>
      <c r="C10" s="276"/>
      <c r="D10" s="276"/>
      <c r="E10" s="276"/>
      <c r="F10" s="276"/>
      <c r="G10" s="276"/>
      <c r="H10" s="276"/>
      <c r="I10" s="276"/>
    </row>
    <row r="11" spans="1:12" ht="22.8" customHeight="1" x14ac:dyDescent="0.25">
      <c r="A11" s="304" t="s">
        <v>206</v>
      </c>
      <c r="B11" s="304"/>
      <c r="C11" s="304"/>
      <c r="D11" s="304"/>
      <c r="E11" s="304"/>
      <c r="F11" s="304"/>
      <c r="G11" s="304"/>
      <c r="H11" s="304"/>
      <c r="I11" s="304"/>
      <c r="K11" s="161"/>
    </row>
    <row r="12" spans="1:12" x14ac:dyDescent="0.25">
      <c r="B12" s="12"/>
      <c r="C12" s="303" t="s">
        <v>1</v>
      </c>
      <c r="D12" s="303"/>
      <c r="E12" s="303"/>
      <c r="F12" s="303"/>
      <c r="G12" s="303"/>
      <c r="H12" s="303"/>
      <c r="I12" s="19"/>
    </row>
    <row r="13" spans="1:12" x14ac:dyDescent="0.25">
      <c r="E13" s="20"/>
      <c r="F13" s="20"/>
      <c r="G13" s="20"/>
      <c r="H13" s="20"/>
      <c r="I13" s="19"/>
    </row>
    <row r="14" spans="1:12" x14ac:dyDescent="0.25">
      <c r="B14" s="1" t="s">
        <v>239</v>
      </c>
      <c r="E14" s="21"/>
      <c r="F14" s="3"/>
      <c r="G14" s="3"/>
      <c r="H14" s="3"/>
      <c r="I14" s="3"/>
    </row>
    <row r="15" spans="1:12" ht="13.2" customHeight="1" x14ac:dyDescent="0.25">
      <c r="A15" s="269" t="s">
        <v>2</v>
      </c>
      <c r="B15" s="278" t="s">
        <v>3</v>
      </c>
      <c r="C15" s="279" t="s">
        <v>4</v>
      </c>
      <c r="D15" s="280"/>
      <c r="E15" s="285" t="s">
        <v>86</v>
      </c>
      <c r="F15" s="285"/>
      <c r="G15" s="285"/>
      <c r="H15" s="285"/>
      <c r="I15" s="269" t="s">
        <v>6</v>
      </c>
      <c r="K15" s="153"/>
    </row>
    <row r="16" spans="1:12" ht="13.2" customHeight="1" x14ac:dyDescent="0.25">
      <c r="A16" s="269"/>
      <c r="B16" s="278"/>
      <c r="C16" s="281"/>
      <c r="D16" s="282"/>
      <c r="E16" s="269" t="s">
        <v>7</v>
      </c>
      <c r="F16" s="269" t="s">
        <v>8</v>
      </c>
      <c r="G16" s="287" t="s">
        <v>9</v>
      </c>
      <c r="H16" s="287" t="s">
        <v>10</v>
      </c>
      <c r="I16" s="269"/>
      <c r="K16" s="153"/>
      <c r="L16" s="173"/>
    </row>
    <row r="17" spans="1:14" ht="12.75" customHeight="1" x14ac:dyDescent="0.25">
      <c r="A17" s="269"/>
      <c r="B17" s="278"/>
      <c r="C17" s="281"/>
      <c r="D17" s="282"/>
      <c r="E17" s="269"/>
      <c r="F17" s="269"/>
      <c r="G17" s="288"/>
      <c r="H17" s="288"/>
      <c r="I17" s="269"/>
      <c r="K17" s="153"/>
      <c r="L17" s="173"/>
    </row>
    <row r="18" spans="1:14" ht="13.2" customHeight="1" x14ac:dyDescent="0.25">
      <c r="A18" s="269"/>
      <c r="B18" s="278"/>
      <c r="C18" s="283"/>
      <c r="D18" s="284"/>
      <c r="E18" s="269"/>
      <c r="F18" s="269"/>
      <c r="G18" s="289"/>
      <c r="H18" s="289"/>
      <c r="I18" s="269"/>
      <c r="K18" s="153"/>
      <c r="L18" s="241"/>
    </row>
    <row r="19" spans="1:14" x14ac:dyDescent="0.25">
      <c r="A19" s="118">
        <v>1</v>
      </c>
      <c r="B19" s="22">
        <v>2</v>
      </c>
      <c r="C19" s="71">
        <v>3</v>
      </c>
      <c r="D19" s="72"/>
      <c r="E19" s="118">
        <v>4</v>
      </c>
      <c r="F19" s="118">
        <v>5</v>
      </c>
      <c r="G19" s="118">
        <v>6</v>
      </c>
      <c r="H19" s="118">
        <v>7</v>
      </c>
      <c r="I19" s="118">
        <v>8</v>
      </c>
      <c r="L19" s="241"/>
      <c r="N19" s="155"/>
    </row>
    <row r="20" spans="1:14" ht="15" customHeight="1" x14ac:dyDescent="0.25">
      <c r="A20" s="270" t="s">
        <v>11</v>
      </c>
      <c r="B20" s="271"/>
      <c r="C20" s="271"/>
      <c r="D20" s="271"/>
      <c r="E20" s="271"/>
      <c r="F20" s="271"/>
      <c r="G20" s="271"/>
      <c r="H20" s="271"/>
      <c r="I20" s="271"/>
      <c r="J20" s="52"/>
      <c r="L20" s="241"/>
    </row>
    <row r="21" spans="1:14" s="25" customFormat="1" ht="25.8" customHeight="1" x14ac:dyDescent="0.25">
      <c r="A21" s="23">
        <v>1</v>
      </c>
      <c r="B21" s="240" t="s">
        <v>173</v>
      </c>
      <c r="C21" s="290" t="s">
        <v>235</v>
      </c>
      <c r="D21" s="291"/>
      <c r="E21" s="142">
        <v>22.646799999999999</v>
      </c>
      <c r="F21" s="142">
        <v>78.995180000000005</v>
      </c>
      <c r="G21" s="142">
        <v>0</v>
      </c>
      <c r="H21" s="142">
        <v>0.41466999999999998</v>
      </c>
      <c r="I21" s="24">
        <f>E21+F21+G21+H21</f>
        <v>102.05665</v>
      </c>
      <c r="J21" s="60"/>
      <c r="K21" s="235"/>
      <c r="L21" s="241"/>
      <c r="M21" s="230"/>
    </row>
    <row r="22" spans="1:14" ht="13.2" customHeight="1" x14ac:dyDescent="0.25">
      <c r="A22" s="26"/>
      <c r="B22" s="27"/>
      <c r="C22" s="73" t="s">
        <v>12</v>
      </c>
      <c r="D22" s="74"/>
      <c r="E22" s="143">
        <f>SUM(E21:E21)</f>
        <v>22.646799999999999</v>
      </c>
      <c r="F22" s="143">
        <f>SUM(F21:F21)</f>
        <v>78.995180000000005</v>
      </c>
      <c r="G22" s="143">
        <f>SUM(G21:G21)</f>
        <v>0</v>
      </c>
      <c r="H22" s="143">
        <f>SUM(H21:H21)</f>
        <v>0.41466999999999998</v>
      </c>
      <c r="I22" s="24">
        <f>SUM(I21:I21)</f>
        <v>102.05665</v>
      </c>
      <c r="J22" s="52"/>
      <c r="K22" s="154"/>
      <c r="L22" s="241"/>
      <c r="M22" s="25"/>
      <c r="N22" s="25"/>
    </row>
    <row r="23" spans="1:14" ht="13.2" customHeight="1" x14ac:dyDescent="0.25">
      <c r="A23" s="270" t="s">
        <v>13</v>
      </c>
      <c r="B23" s="271"/>
      <c r="C23" s="271"/>
      <c r="D23" s="271"/>
      <c r="E23" s="271"/>
      <c r="F23" s="271"/>
      <c r="G23" s="271"/>
      <c r="H23" s="271"/>
      <c r="I23" s="271"/>
      <c r="J23" s="52"/>
      <c r="L23" s="197"/>
    </row>
    <row r="24" spans="1:14" ht="13.2" customHeight="1" x14ac:dyDescent="0.25">
      <c r="A24" s="30">
        <v>2</v>
      </c>
      <c r="B24" s="168" t="s">
        <v>95</v>
      </c>
      <c r="C24" s="290" t="s">
        <v>94</v>
      </c>
      <c r="D24" s="302"/>
      <c r="E24" s="145">
        <f>E22*0.025*0</f>
        <v>0</v>
      </c>
      <c r="F24" s="145">
        <f>F22*0.025*0</f>
        <v>0</v>
      </c>
      <c r="G24" s="145">
        <v>0</v>
      </c>
      <c r="H24" s="145">
        <v>0</v>
      </c>
      <c r="I24" s="145">
        <f>E24+F24</f>
        <v>0</v>
      </c>
      <c r="J24" s="52"/>
    </row>
    <row r="25" spans="1:14" ht="13.2" customHeight="1" x14ac:dyDescent="0.25">
      <c r="A25" s="166"/>
      <c r="B25" s="168"/>
      <c r="C25" s="73" t="s">
        <v>96</v>
      </c>
      <c r="D25" s="167"/>
      <c r="E25" s="145">
        <f>E22+E24</f>
        <v>22.646799999999999</v>
      </c>
      <c r="F25" s="145">
        <f>F24+F22</f>
        <v>78.995180000000005</v>
      </c>
      <c r="G25" s="145">
        <f>G24+G22</f>
        <v>0</v>
      </c>
      <c r="H25" s="145">
        <f>H24+H22</f>
        <v>0.41466999999999998</v>
      </c>
      <c r="I25" s="145">
        <f>I24+I22</f>
        <v>102.05665</v>
      </c>
      <c r="J25" s="52"/>
      <c r="K25" s="228"/>
    </row>
    <row r="26" spans="1:14" ht="13.2" customHeight="1" x14ac:dyDescent="0.25">
      <c r="A26" s="272" t="s">
        <v>14</v>
      </c>
      <c r="B26" s="273"/>
      <c r="C26" s="273"/>
      <c r="D26" s="273"/>
      <c r="E26" s="273"/>
      <c r="F26" s="273"/>
      <c r="G26" s="273"/>
      <c r="H26" s="273"/>
      <c r="I26" s="273"/>
      <c r="J26" s="52"/>
    </row>
    <row r="27" spans="1:14" ht="20.399999999999999" customHeight="1" x14ac:dyDescent="0.25">
      <c r="A27" s="30">
        <v>3</v>
      </c>
      <c r="B27" s="31" t="s">
        <v>15</v>
      </c>
      <c r="C27" s="77" t="s">
        <v>76</v>
      </c>
      <c r="D27" s="78"/>
      <c r="E27" s="145">
        <f>E25*1.9%</f>
        <v>0.43028919999999998</v>
      </c>
      <c r="F27" s="145">
        <f>F25*1.9%</f>
        <v>1.50090842</v>
      </c>
      <c r="G27" s="145">
        <v>0</v>
      </c>
      <c r="H27" s="145">
        <v>0</v>
      </c>
      <c r="I27" s="145">
        <f>E27+F27</f>
        <v>1.9311976200000001</v>
      </c>
      <c r="J27" s="52"/>
      <c r="K27" s="229"/>
    </row>
    <row r="28" spans="1:14" ht="20.399999999999999" hidden="1" x14ac:dyDescent="0.25">
      <c r="A28" s="30">
        <f>A27+1</f>
        <v>4</v>
      </c>
      <c r="B28" s="31" t="s">
        <v>16</v>
      </c>
      <c r="C28" s="28" t="s">
        <v>17</v>
      </c>
      <c r="D28" s="28"/>
      <c r="E28" s="34"/>
      <c r="F28" s="34"/>
      <c r="G28" s="34"/>
      <c r="H28" s="32">
        <f>0*0.07</f>
        <v>0</v>
      </c>
      <c r="I28" s="32">
        <f>E28+F28+G28+H28</f>
        <v>0</v>
      </c>
      <c r="J28" s="52"/>
      <c r="K28" s="229"/>
    </row>
    <row r="29" spans="1:14" x14ac:dyDescent="0.25">
      <c r="A29" s="30"/>
      <c r="B29" s="31"/>
      <c r="C29" s="171"/>
      <c r="D29" s="172"/>
      <c r="E29" s="34"/>
      <c r="F29" s="34"/>
      <c r="G29" s="34"/>
      <c r="H29" s="32"/>
      <c r="I29" s="32"/>
      <c r="J29" s="52"/>
      <c r="K29" s="229"/>
    </row>
    <row r="30" spans="1:14" x14ac:dyDescent="0.25">
      <c r="A30" s="26"/>
      <c r="B30" s="36"/>
      <c r="C30" s="73" t="s">
        <v>18</v>
      </c>
      <c r="D30" s="74"/>
      <c r="E30" s="145">
        <f>SUM(E27:E28)</f>
        <v>0.43028919999999998</v>
      </c>
      <c r="F30" s="145">
        <f>SUM(F27:F28)</f>
        <v>1.50090842</v>
      </c>
      <c r="G30" s="145">
        <f>SUM(G27:G28)</f>
        <v>0</v>
      </c>
      <c r="H30" s="145">
        <f>H29</f>
        <v>0</v>
      </c>
      <c r="I30" s="145">
        <f>SUM(E30:H30)</f>
        <v>1.9311976200000001</v>
      </c>
      <c r="J30" s="52"/>
      <c r="K30" s="229"/>
    </row>
    <row r="31" spans="1:14" ht="13.2" customHeight="1" x14ac:dyDescent="0.25">
      <c r="A31" s="26"/>
      <c r="B31" s="36"/>
      <c r="C31" s="73" t="s">
        <v>19</v>
      </c>
      <c r="D31" s="74"/>
      <c r="E31" s="145">
        <f>E25+E30</f>
        <v>23.0770892</v>
      </c>
      <c r="F31" s="145">
        <f>F25+F30</f>
        <v>80.496088420000007</v>
      </c>
      <c r="G31" s="145">
        <f>G25+G30</f>
        <v>0</v>
      </c>
      <c r="H31" s="145">
        <f>H25+H30</f>
        <v>0.41466999999999998</v>
      </c>
      <c r="I31" s="145">
        <f>I25+I30</f>
        <v>103.98784762000001</v>
      </c>
      <c r="K31" s="229"/>
      <c r="L31" s="231"/>
    </row>
    <row r="32" spans="1:14" ht="13.2" customHeight="1" x14ac:dyDescent="0.25">
      <c r="A32" s="258" t="s">
        <v>20</v>
      </c>
      <c r="B32" s="259"/>
      <c r="C32" s="259"/>
      <c r="D32" s="259"/>
      <c r="E32" s="259"/>
      <c r="F32" s="259"/>
      <c r="G32" s="259"/>
      <c r="H32" s="259"/>
      <c r="I32" s="260"/>
      <c r="K32" s="229"/>
    </row>
    <row r="33" spans="1:19" ht="13.2" customHeight="1" x14ac:dyDescent="0.25">
      <c r="A33" s="30">
        <v>4</v>
      </c>
      <c r="B33" s="165" t="s">
        <v>98</v>
      </c>
      <c r="C33" s="301" t="s">
        <v>99</v>
      </c>
      <c r="D33" s="301"/>
      <c r="E33" s="169"/>
      <c r="F33" s="169"/>
      <c r="G33" s="169"/>
      <c r="H33" s="170">
        <f>I31*0.0214*0</f>
        <v>0</v>
      </c>
      <c r="I33" s="170">
        <f>H33</f>
        <v>0</v>
      </c>
      <c r="K33" s="233"/>
      <c r="L33" s="234"/>
      <c r="M33" s="25"/>
    </row>
    <row r="34" spans="1:19" ht="13.2" customHeight="1" x14ac:dyDescent="0.25">
      <c r="A34" s="169"/>
      <c r="B34" s="169"/>
      <c r="C34" s="290" t="s">
        <v>100</v>
      </c>
      <c r="D34" s="291"/>
      <c r="E34" s="169"/>
      <c r="F34" s="169"/>
      <c r="G34" s="169"/>
      <c r="H34" s="170">
        <f>H33</f>
        <v>0</v>
      </c>
      <c r="I34" s="170">
        <f>H34</f>
        <v>0</v>
      </c>
      <c r="K34" s="25"/>
      <c r="L34" s="25"/>
      <c r="M34" s="25"/>
    </row>
    <row r="35" spans="1:19" ht="13.2" customHeight="1" x14ac:dyDescent="0.25">
      <c r="A35" s="258" t="s">
        <v>21</v>
      </c>
      <c r="B35" s="259"/>
      <c r="C35" s="259"/>
      <c r="D35" s="259"/>
      <c r="E35" s="259"/>
      <c r="F35" s="259"/>
      <c r="G35" s="259"/>
      <c r="H35" s="259"/>
      <c r="I35" s="260"/>
      <c r="K35" s="25"/>
      <c r="L35" s="25"/>
      <c r="M35" s="25"/>
    </row>
    <row r="36" spans="1:19" ht="28.8" customHeight="1" x14ac:dyDescent="0.25">
      <c r="A36" s="30">
        <v>5</v>
      </c>
      <c r="B36" s="165" t="s">
        <v>101</v>
      </c>
      <c r="C36" s="299" t="s">
        <v>93</v>
      </c>
      <c r="D36" s="300"/>
      <c r="E36" s="145">
        <v>0</v>
      </c>
      <c r="F36" s="145">
        <v>0</v>
      </c>
      <c r="G36" s="145">
        <v>0</v>
      </c>
      <c r="H36" s="146">
        <f>97/1000*I21</f>
        <v>9.8994950500000005</v>
      </c>
      <c r="I36" s="145">
        <f>H36</f>
        <v>9.8994950500000005</v>
      </c>
      <c r="J36" s="87"/>
      <c r="K36" s="25"/>
      <c r="L36" s="234"/>
      <c r="M36" s="234"/>
    </row>
    <row r="37" spans="1:19" ht="15" customHeight="1" x14ac:dyDescent="0.25">
      <c r="A37" s="30">
        <v>6</v>
      </c>
      <c r="B37" s="28" t="s">
        <v>97</v>
      </c>
      <c r="C37" s="290" t="s">
        <v>236</v>
      </c>
      <c r="D37" s="291"/>
      <c r="E37" s="145"/>
      <c r="F37" s="145"/>
      <c r="G37" s="145"/>
      <c r="H37" s="146">
        <f>3.476*0.1</f>
        <v>0.34760000000000002</v>
      </c>
      <c r="I37" s="145">
        <f>H37</f>
        <v>0.34760000000000002</v>
      </c>
      <c r="K37" s="233"/>
      <c r="L37" s="234"/>
      <c r="M37" s="25"/>
    </row>
    <row r="38" spans="1:19" ht="13.2" customHeight="1" x14ac:dyDescent="0.25">
      <c r="A38" s="115"/>
      <c r="B38" s="115"/>
      <c r="C38" s="73" t="s">
        <v>50</v>
      </c>
      <c r="D38" s="113"/>
      <c r="E38" s="145">
        <v>0</v>
      </c>
      <c r="F38" s="145">
        <v>0</v>
      </c>
      <c r="G38" s="145">
        <v>0</v>
      </c>
      <c r="H38" s="146">
        <f>H36+H37</f>
        <v>10.24709505</v>
      </c>
      <c r="I38" s="145">
        <f>I36+I37</f>
        <v>10.24709505</v>
      </c>
      <c r="K38" s="229"/>
      <c r="M38" s="231"/>
    </row>
    <row r="39" spans="1:19" ht="13.2" customHeight="1" x14ac:dyDescent="0.25">
      <c r="A39" s="115"/>
      <c r="B39" s="115"/>
      <c r="C39" s="73" t="s">
        <v>51</v>
      </c>
      <c r="D39" s="113"/>
      <c r="E39" s="145">
        <f>E31</f>
        <v>23.0770892</v>
      </c>
      <c r="F39" s="145">
        <f>F31</f>
        <v>80.496088420000007</v>
      </c>
      <c r="G39" s="145">
        <f>G31</f>
        <v>0</v>
      </c>
      <c r="H39" s="146">
        <f>H31+H38+H33</f>
        <v>10.66176505</v>
      </c>
      <c r="I39" s="145">
        <f>I31+I38+I34</f>
        <v>114.23494267000001</v>
      </c>
      <c r="J39" s="87">
        <f>H39-H36-H22</f>
        <v>0.34759999999999913</v>
      </c>
      <c r="O39" s="155"/>
    </row>
    <row r="40" spans="1:19" ht="13.2" customHeight="1" x14ac:dyDescent="0.25">
      <c r="A40" s="258" t="s">
        <v>22</v>
      </c>
      <c r="B40" s="259"/>
      <c r="C40" s="259"/>
      <c r="D40" s="259"/>
      <c r="E40" s="259"/>
      <c r="F40" s="259"/>
      <c r="G40" s="259"/>
      <c r="H40" s="259"/>
      <c r="I40" s="260"/>
    </row>
    <row r="41" spans="1:19" ht="19.2" customHeight="1" x14ac:dyDescent="0.25">
      <c r="A41" s="30">
        <v>7</v>
      </c>
      <c r="B41" s="31" t="s">
        <v>37</v>
      </c>
      <c r="C41" s="77" t="s">
        <v>79</v>
      </c>
      <c r="D41" s="78"/>
      <c r="E41" s="145">
        <f>E39*0.03</f>
        <v>0.69231267600000002</v>
      </c>
      <c r="F41" s="145">
        <f>F39*0.03</f>
        <v>2.4148826526000002</v>
      </c>
      <c r="G41" s="145">
        <f>ROUND(G31*0.03,3)</f>
        <v>0</v>
      </c>
      <c r="H41" s="145">
        <f>H39*3%</f>
        <v>0.31985295149999998</v>
      </c>
      <c r="I41" s="145">
        <f>E41+F41+G41+H41</f>
        <v>3.4270482801000006</v>
      </c>
    </row>
    <row r="42" spans="1:19" ht="13.2" customHeight="1" x14ac:dyDescent="0.25">
      <c r="A42" s="26"/>
      <c r="B42" s="36"/>
      <c r="C42" s="73"/>
      <c r="D42" s="74"/>
      <c r="E42" s="32"/>
      <c r="F42" s="32"/>
      <c r="G42" s="32"/>
      <c r="H42" s="32"/>
      <c r="I42" s="32"/>
    </row>
    <row r="43" spans="1:19" x14ac:dyDescent="0.25">
      <c r="A43" s="26"/>
      <c r="B43" s="36"/>
      <c r="C43" s="73" t="s">
        <v>23</v>
      </c>
      <c r="D43" s="74"/>
      <c r="E43" s="145">
        <f>E39+E41</f>
        <v>23.769401876</v>
      </c>
      <c r="F43" s="145">
        <f>F39+F41</f>
        <v>82.910971072600006</v>
      </c>
      <c r="G43" s="145">
        <f>G39+G41</f>
        <v>0</v>
      </c>
      <c r="H43" s="145">
        <f>H39+H41</f>
        <v>10.981618001499999</v>
      </c>
      <c r="I43" s="145">
        <f>I39+I41</f>
        <v>117.66199095010001</v>
      </c>
    </row>
    <row r="44" spans="1:19" ht="13.2" customHeight="1" x14ac:dyDescent="0.25">
      <c r="A44" s="26"/>
      <c r="B44" s="27"/>
      <c r="C44" s="290"/>
      <c r="D44" s="291"/>
      <c r="E44" s="35"/>
      <c r="F44" s="35"/>
      <c r="G44" s="35"/>
      <c r="H44" s="35"/>
      <c r="I44" s="35"/>
      <c r="M44" s="52"/>
      <c r="N44" s="158"/>
      <c r="O44" s="52"/>
      <c r="P44" s="52"/>
      <c r="Q44" s="52"/>
      <c r="R44" s="52"/>
      <c r="S44" s="52"/>
    </row>
    <row r="45" spans="1:19" ht="13.2" customHeight="1" x14ac:dyDescent="0.25">
      <c r="A45" s="296" t="s">
        <v>238</v>
      </c>
      <c r="B45" s="297"/>
      <c r="C45" s="297"/>
      <c r="D45" s="297"/>
      <c r="E45" s="297"/>
      <c r="F45" s="297"/>
      <c r="G45" s="297"/>
      <c r="H45" s="297"/>
      <c r="I45" s="298"/>
      <c r="M45" s="52"/>
      <c r="N45" s="52"/>
      <c r="O45" s="52"/>
      <c r="P45" s="158"/>
      <c r="Q45" s="158"/>
      <c r="R45" s="158"/>
      <c r="S45" s="52"/>
    </row>
    <row r="46" spans="1:19" x14ac:dyDescent="0.25">
      <c r="A46" s="26">
        <v>8</v>
      </c>
      <c r="B46" s="109"/>
      <c r="C46" s="73" t="s">
        <v>201</v>
      </c>
      <c r="D46" s="74"/>
      <c r="E46" s="162">
        <f>ROUND(E43*5.21,3)</f>
        <v>123.839</v>
      </c>
      <c r="F46" s="163">
        <f>ROUND(F43*5.21,3)</f>
        <v>431.96600000000001</v>
      </c>
      <c r="G46" s="163"/>
      <c r="H46" s="163"/>
      <c r="I46" s="162">
        <f>E46+F46+H50</f>
        <v>602.00859538388011</v>
      </c>
      <c r="K46" s="87"/>
      <c r="L46" s="157"/>
      <c r="M46" s="159"/>
      <c r="N46" s="158"/>
      <c r="O46" s="158"/>
      <c r="P46" s="158"/>
      <c r="Q46" s="158"/>
      <c r="R46" s="158"/>
      <c r="S46" s="160"/>
    </row>
    <row r="47" spans="1:19" x14ac:dyDescent="0.25">
      <c r="A47" s="26"/>
      <c r="B47" s="109"/>
      <c r="C47" s="75" t="s">
        <v>202</v>
      </c>
      <c r="D47" s="76"/>
      <c r="E47" s="164"/>
      <c r="F47" s="164"/>
      <c r="G47" s="164"/>
      <c r="H47" s="152">
        <f>H22*11.3*1.03</f>
        <v>4.8263441299999998</v>
      </c>
      <c r="I47" s="164"/>
      <c r="K47" s="87"/>
      <c r="M47" s="52"/>
      <c r="N47" s="52"/>
      <c r="O47" s="52"/>
      <c r="P47" s="158"/>
      <c r="Q47" s="158"/>
      <c r="R47" s="158"/>
      <c r="S47" s="52"/>
    </row>
    <row r="48" spans="1:19" x14ac:dyDescent="0.25">
      <c r="A48" s="26"/>
      <c r="B48" s="109"/>
      <c r="C48" s="292" t="s">
        <v>203</v>
      </c>
      <c r="D48" s="293"/>
      <c r="E48" s="142"/>
      <c r="F48" s="142"/>
      <c r="G48" s="142"/>
      <c r="H48" s="152">
        <f>(H36*3.92+H37*3.93)*1.03</f>
        <v>41.377251253880004</v>
      </c>
      <c r="I48" s="142"/>
      <c r="L48" s="156"/>
      <c r="M48" s="159"/>
      <c r="N48" s="158"/>
      <c r="O48" s="158"/>
      <c r="P48" s="158"/>
      <c r="Q48" s="158"/>
      <c r="R48" s="158"/>
      <c r="S48" s="160"/>
    </row>
    <row r="49" spans="1:19" x14ac:dyDescent="0.25">
      <c r="A49" s="26"/>
      <c r="B49" s="140"/>
      <c r="C49" s="75" t="s">
        <v>204</v>
      </c>
      <c r="D49" s="76"/>
      <c r="E49" s="142"/>
      <c r="F49" s="142"/>
      <c r="G49" s="142"/>
      <c r="H49" s="152">
        <f>(H33+H29)*8.42*1.03</f>
        <v>0</v>
      </c>
      <c r="I49" s="142"/>
      <c r="J49" s="25"/>
      <c r="K49" s="25"/>
      <c r="M49" s="52"/>
      <c r="N49" s="52"/>
      <c r="O49" s="52"/>
      <c r="P49" s="158"/>
      <c r="Q49" s="158"/>
      <c r="R49" s="158"/>
      <c r="S49" s="52"/>
    </row>
    <row r="50" spans="1:19" ht="13.2" customHeight="1" x14ac:dyDescent="0.25">
      <c r="A50" s="26"/>
      <c r="B50" s="141"/>
      <c r="C50" s="5"/>
      <c r="D50" s="5"/>
      <c r="E50" s="145"/>
      <c r="F50" s="145"/>
      <c r="G50" s="32">
        <f>ROUND(G43*4.02,3)</f>
        <v>0</v>
      </c>
      <c r="H50" s="144">
        <f>H47+H48+H49</f>
        <v>46.203595383880007</v>
      </c>
      <c r="I50" s="145"/>
      <c r="K50" s="95"/>
      <c r="L50" s="157"/>
      <c r="M50" s="158"/>
      <c r="N50" s="158"/>
      <c r="O50" s="158"/>
      <c r="P50" s="158"/>
      <c r="Q50" s="158"/>
      <c r="R50" s="158"/>
      <c r="S50" s="160"/>
    </row>
    <row r="51" spans="1:19" ht="13.2" hidden="1" customHeight="1" x14ac:dyDescent="0.25">
      <c r="A51" s="26"/>
      <c r="B51" s="109"/>
      <c r="C51" s="37"/>
      <c r="D51" s="37"/>
      <c r="E51" s="147"/>
      <c r="F51" s="147"/>
      <c r="G51" s="147"/>
      <c r="H51" s="147"/>
      <c r="I51" s="147"/>
      <c r="M51" s="52"/>
      <c r="N51" s="52"/>
      <c r="O51" s="52"/>
      <c r="P51" s="52"/>
      <c r="Q51" s="52"/>
      <c r="R51" s="52"/>
      <c r="S51" s="52"/>
    </row>
    <row r="52" spans="1:19" x14ac:dyDescent="0.25">
      <c r="A52" s="26"/>
      <c r="B52" s="141"/>
      <c r="C52" s="79" t="s">
        <v>205</v>
      </c>
      <c r="D52" s="80"/>
      <c r="E52" s="148"/>
      <c r="F52" s="148"/>
      <c r="G52" s="148"/>
      <c r="H52" s="148"/>
      <c r="I52" s="148"/>
      <c r="M52" s="52"/>
      <c r="N52" s="52"/>
      <c r="O52" s="52"/>
      <c r="P52" s="52"/>
      <c r="Q52" s="52"/>
      <c r="R52" s="52"/>
      <c r="S52" s="52"/>
    </row>
    <row r="53" spans="1:19" x14ac:dyDescent="0.25">
      <c r="A53" s="26"/>
      <c r="B53" s="43"/>
      <c r="C53" s="73"/>
      <c r="D53" s="80"/>
      <c r="E53" s="148"/>
      <c r="F53" s="148"/>
      <c r="G53" s="148"/>
      <c r="H53" s="148"/>
      <c r="I53" s="148"/>
      <c r="M53" s="52"/>
      <c r="N53" s="52"/>
      <c r="O53" s="52"/>
      <c r="P53" s="52"/>
      <c r="Q53" s="52"/>
      <c r="R53" s="52"/>
      <c r="S53" s="52"/>
    </row>
    <row r="54" spans="1:19" x14ac:dyDescent="0.25">
      <c r="A54" s="26">
        <v>9</v>
      </c>
      <c r="B54" s="31"/>
      <c r="C54" s="79" t="s">
        <v>39</v>
      </c>
      <c r="D54" s="80"/>
      <c r="E54" s="148">
        <f>E46*0.18</f>
        <v>22.29102</v>
      </c>
      <c r="F54" s="148">
        <f>F46*0.18</f>
        <v>77.753879999999995</v>
      </c>
      <c r="G54" s="148">
        <f>G50*0.18</f>
        <v>0</v>
      </c>
      <c r="H54" s="148">
        <f>H50*0.18</f>
        <v>8.3166471690984007</v>
      </c>
      <c r="I54" s="148">
        <f>I46*0.18</f>
        <v>108.36154716909842</v>
      </c>
      <c r="J54" s="87"/>
    </row>
    <row r="55" spans="1:19" x14ac:dyDescent="0.25">
      <c r="A55" s="26"/>
      <c r="B55" s="27"/>
      <c r="C55" s="81" t="s">
        <v>27</v>
      </c>
      <c r="D55" s="82"/>
      <c r="E55" s="149">
        <f>E46+E54</f>
        <v>146.13002</v>
      </c>
      <c r="F55" s="149">
        <f>F46+F54</f>
        <v>509.71987999999999</v>
      </c>
      <c r="G55" s="149">
        <f>G50+G54</f>
        <v>0</v>
      </c>
      <c r="H55" s="149">
        <f>H50+H54</f>
        <v>54.520242552978409</v>
      </c>
      <c r="I55" s="149">
        <f>I46+I54</f>
        <v>710.37014255297856</v>
      </c>
    </row>
    <row r="56" spans="1:19" x14ac:dyDescent="0.25">
      <c r="A56" s="46"/>
      <c r="B56" s="47"/>
      <c r="C56" s="48"/>
      <c r="D56" s="48"/>
      <c r="E56" s="49"/>
      <c r="F56" s="49"/>
      <c r="G56" s="49"/>
      <c r="H56" s="49"/>
      <c r="I56" s="50"/>
    </row>
    <row r="57" spans="1:19" x14ac:dyDescent="0.25">
      <c r="A57" s="46"/>
      <c r="B57" s="47"/>
      <c r="C57" s="48"/>
      <c r="D57" s="48"/>
      <c r="E57" s="49"/>
      <c r="F57" s="151"/>
      <c r="G57" s="49"/>
      <c r="H57" s="151"/>
      <c r="I57" s="50"/>
    </row>
    <row r="58" spans="1:19" x14ac:dyDescent="0.25">
      <c r="A58" s="46"/>
      <c r="C58" s="47"/>
      <c r="D58" s="47"/>
      <c r="E58" s="51"/>
      <c r="F58" s="150"/>
      <c r="G58" s="20"/>
      <c r="H58" s="20"/>
      <c r="I58" s="20"/>
    </row>
    <row r="59" spans="1:19" x14ac:dyDescent="0.25">
      <c r="A59" s="46"/>
      <c r="B59" s="47"/>
      <c r="C59" s="51"/>
      <c r="D59" s="51"/>
      <c r="E59" s="20"/>
      <c r="F59" s="20"/>
      <c r="G59" s="20"/>
      <c r="H59" s="20"/>
      <c r="I59" s="20"/>
    </row>
    <row r="60" spans="1:19" x14ac:dyDescent="0.25">
      <c r="C60" s="203" t="s">
        <v>174</v>
      </c>
      <c r="D60" s="203" t="s">
        <v>175</v>
      </c>
      <c r="E60" s="20"/>
      <c r="F60" s="20"/>
      <c r="G60" s="20"/>
      <c r="H60" s="20"/>
      <c r="I60" s="20"/>
      <c r="J60" s="52"/>
      <c r="K60" s="52"/>
      <c r="L60" s="52"/>
    </row>
    <row r="61" spans="1:19" ht="21" customHeight="1" x14ac:dyDescent="0.25">
      <c r="A61" s="98"/>
      <c r="B61" s="119"/>
      <c r="C61" s="295"/>
      <c r="D61" s="286"/>
      <c r="E61" s="286"/>
      <c r="F61" s="286"/>
      <c r="G61" s="286"/>
      <c r="H61" s="286"/>
      <c r="I61" s="286"/>
      <c r="J61" s="52"/>
      <c r="K61" s="52"/>
      <c r="L61" s="52"/>
      <c r="M61" s="52"/>
    </row>
    <row r="62" spans="1:19" ht="24.75" customHeight="1" x14ac:dyDescent="0.25">
      <c r="A62" s="98"/>
      <c r="B62" s="119"/>
      <c r="C62" s="295"/>
      <c r="D62" s="120"/>
      <c r="E62" s="120"/>
      <c r="F62" s="196"/>
      <c r="G62" s="120"/>
      <c r="H62" s="120"/>
      <c r="I62" s="286"/>
      <c r="J62" s="52"/>
      <c r="K62" s="52"/>
      <c r="L62" s="52"/>
      <c r="M62" s="52"/>
    </row>
    <row r="63" spans="1:19" x14ac:dyDescent="0.25">
      <c r="A63" s="98"/>
      <c r="B63" s="119"/>
      <c r="C63" s="203"/>
      <c r="D63" s="203"/>
      <c r="E63" s="122"/>
      <c r="F63" s="122"/>
      <c r="G63" s="122"/>
      <c r="H63" s="122"/>
      <c r="I63" s="122"/>
      <c r="J63" s="52"/>
      <c r="K63" s="52"/>
      <c r="L63" s="52"/>
      <c r="M63" s="52"/>
    </row>
    <row r="64" spans="1:19" x14ac:dyDescent="0.25">
      <c r="A64" s="98"/>
      <c r="B64" s="119"/>
      <c r="C64" s="123"/>
      <c r="D64" s="124"/>
      <c r="E64" s="125"/>
      <c r="F64" s="125"/>
      <c r="G64" s="126"/>
      <c r="H64" s="126"/>
      <c r="I64" s="125"/>
      <c r="J64" s="52"/>
      <c r="K64" s="52"/>
      <c r="L64" s="52"/>
      <c r="M64" s="52"/>
    </row>
    <row r="65" spans="3:12" x14ac:dyDescent="0.25">
      <c r="C65" s="51"/>
      <c r="D65" s="131"/>
      <c r="E65" s="131"/>
      <c r="F65" s="131"/>
      <c r="G65" s="131"/>
      <c r="H65" s="131"/>
      <c r="I65" s="131"/>
      <c r="J65" s="52"/>
      <c r="K65" s="52"/>
      <c r="L65" s="52"/>
    </row>
    <row r="66" spans="3:12" x14ac:dyDescent="0.25">
      <c r="C66" s="46"/>
      <c r="D66" s="46"/>
      <c r="E66" s="46"/>
      <c r="F66" s="46"/>
      <c r="G66" s="46"/>
      <c r="H66" s="46"/>
      <c r="I66" s="20"/>
      <c r="J66" s="52"/>
      <c r="K66" s="52"/>
      <c r="L66" s="52"/>
    </row>
    <row r="67" spans="3:12" x14ac:dyDescent="0.25">
      <c r="C67" s="51"/>
      <c r="D67" s="128"/>
      <c r="E67" s="20"/>
      <c r="F67" s="129"/>
      <c r="G67" s="20"/>
      <c r="H67" s="20"/>
      <c r="I67" s="20"/>
      <c r="J67" s="52"/>
      <c r="K67" s="52"/>
      <c r="L67" s="52"/>
    </row>
    <row r="68" spans="3:12" x14ac:dyDescent="0.25">
      <c r="C68" s="51"/>
      <c r="D68" s="51"/>
      <c r="E68" s="20"/>
      <c r="F68" s="20"/>
      <c r="G68" s="20"/>
      <c r="H68" s="20"/>
      <c r="I68" s="130"/>
      <c r="J68" s="52"/>
      <c r="K68" s="52"/>
      <c r="L68" s="52"/>
    </row>
    <row r="69" spans="3:12" x14ac:dyDescent="0.25">
      <c r="C69" s="51"/>
      <c r="D69" s="51"/>
      <c r="E69" s="20"/>
      <c r="F69" s="20"/>
      <c r="G69" s="20"/>
      <c r="H69" s="20"/>
      <c r="I69" s="20"/>
      <c r="J69" s="52"/>
      <c r="K69" s="52"/>
      <c r="L69" s="52"/>
    </row>
    <row r="70" spans="3:12" x14ac:dyDescent="0.25">
      <c r="C70" s="294"/>
      <c r="D70" s="294"/>
      <c r="E70" s="294"/>
      <c r="F70" s="294"/>
      <c r="G70" s="294"/>
      <c r="H70" s="294"/>
      <c r="I70" s="294"/>
      <c r="J70" s="52"/>
      <c r="K70" s="52"/>
      <c r="L70" s="52"/>
    </row>
    <row r="71" spans="3:12" x14ac:dyDescent="0.25">
      <c r="C71" s="46"/>
      <c r="D71" s="132"/>
      <c r="E71" s="132"/>
      <c r="F71" s="99"/>
      <c r="G71" s="132"/>
      <c r="H71" s="132"/>
      <c r="I71" s="132"/>
      <c r="J71" s="52"/>
      <c r="K71" s="52"/>
      <c r="L71" s="52"/>
    </row>
    <row r="72" spans="3:12" x14ac:dyDescent="0.25">
      <c r="C72" s="131"/>
      <c r="D72" s="132"/>
      <c r="E72" s="99"/>
      <c r="F72" s="99"/>
      <c r="G72" s="99"/>
      <c r="H72" s="99"/>
      <c r="I72" s="99"/>
      <c r="J72" s="52"/>
      <c r="K72" s="52"/>
      <c r="L72" s="52"/>
    </row>
    <row r="73" spans="3:12" x14ac:dyDescent="0.25">
      <c r="C73" s="119"/>
      <c r="D73" s="133"/>
      <c r="E73" s="134"/>
      <c r="F73" s="99"/>
      <c r="G73" s="135"/>
      <c r="H73" s="99"/>
      <c r="I73" s="99"/>
      <c r="J73" s="52"/>
      <c r="K73" s="52"/>
      <c r="L73" s="52"/>
    </row>
    <row r="74" spans="3:12" x14ac:dyDescent="0.25">
      <c r="C74" s="119"/>
      <c r="D74" s="136"/>
      <c r="E74" s="224"/>
      <c r="F74" s="224"/>
      <c r="G74" s="225"/>
      <c r="H74" s="226"/>
      <c r="I74" s="227"/>
      <c r="J74" s="52"/>
      <c r="K74" s="52"/>
      <c r="L74" s="52"/>
    </row>
    <row r="75" spans="3:12" x14ac:dyDescent="0.25">
      <c r="C75" s="51"/>
      <c r="D75" s="51"/>
      <c r="E75" s="129"/>
      <c r="F75" s="20"/>
      <c r="G75" s="20"/>
      <c r="H75" s="20"/>
      <c r="I75" s="20"/>
      <c r="J75" s="52"/>
      <c r="K75" s="52"/>
      <c r="L75" s="52"/>
    </row>
    <row r="76" spans="3:12" x14ac:dyDescent="0.25">
      <c r="C76" s="51"/>
      <c r="D76" s="51"/>
      <c r="E76" s="129"/>
      <c r="F76" s="129"/>
      <c r="G76" s="129"/>
      <c r="H76" s="129"/>
      <c r="I76" s="20"/>
      <c r="J76" s="52"/>
      <c r="K76" s="52"/>
      <c r="L76" s="52"/>
    </row>
    <row r="77" spans="3:12" x14ac:dyDescent="0.25">
      <c r="C77" s="51"/>
      <c r="D77" s="51"/>
      <c r="E77" s="20"/>
      <c r="F77" s="130"/>
      <c r="G77" s="129"/>
      <c r="H77" s="129"/>
      <c r="I77" s="129"/>
      <c r="J77" s="52"/>
      <c r="K77" s="52"/>
      <c r="L77" s="52"/>
    </row>
    <row r="78" spans="3:12" x14ac:dyDescent="0.25">
      <c r="C78" s="51"/>
      <c r="D78" s="51"/>
      <c r="E78" s="20"/>
      <c r="F78" s="20"/>
      <c r="G78" s="20"/>
      <c r="H78" s="20"/>
      <c r="I78" s="20"/>
      <c r="J78" s="52"/>
      <c r="K78" s="52"/>
      <c r="L78" s="52"/>
    </row>
    <row r="79" spans="3:12" x14ac:dyDescent="0.25">
      <c r="C79" s="100"/>
      <c r="D79" s="100"/>
      <c r="E79" s="101"/>
    </row>
    <row r="81" spans="19:19" x14ac:dyDescent="0.25">
      <c r="S81" s="87">
        <f>+S50</f>
        <v>0</v>
      </c>
    </row>
  </sheetData>
  <mergeCells count="34">
    <mergeCell ref="C12:H12"/>
    <mergeCell ref="G4:I4"/>
    <mergeCell ref="F5:I5"/>
    <mergeCell ref="F7:I7"/>
    <mergeCell ref="A10:I10"/>
    <mergeCell ref="A11:I11"/>
    <mergeCell ref="G16:G18"/>
    <mergeCell ref="H16:H18"/>
    <mergeCell ref="A20:I20"/>
    <mergeCell ref="A23:I23"/>
    <mergeCell ref="A26:I26"/>
    <mergeCell ref="A15:A18"/>
    <mergeCell ref="B15:B18"/>
    <mergeCell ref="C15:D18"/>
    <mergeCell ref="E15:H15"/>
    <mergeCell ref="I15:I18"/>
    <mergeCell ref="E16:E18"/>
    <mergeCell ref="F16:F18"/>
    <mergeCell ref="C24:D24"/>
    <mergeCell ref="C34:D34"/>
    <mergeCell ref="A32:I32"/>
    <mergeCell ref="C21:D21"/>
    <mergeCell ref="C70:I70"/>
    <mergeCell ref="A40:I40"/>
    <mergeCell ref="A45:I45"/>
    <mergeCell ref="C48:D48"/>
    <mergeCell ref="C61:C62"/>
    <mergeCell ref="D61:H61"/>
    <mergeCell ref="I61:I62"/>
    <mergeCell ref="C37:D37"/>
    <mergeCell ref="C36:D36"/>
    <mergeCell ref="A35:I35"/>
    <mergeCell ref="C44:D44"/>
    <mergeCell ref="C33:D33"/>
  </mergeCells>
  <pageMargins left="0.19685039370078741" right="0" top="0.19685039370078741" bottom="0.19685039370078741" header="0.19685039370078741" footer="0.19685039370078741"/>
  <pageSetup paperSize="9" scale="98" orientation="landscape" r:id="rId1"/>
  <headerFooter alignWithMargins="0">
    <oddHeader>&amp;LГранд-СМЕТА</oddHeader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"/>
  <sheetViews>
    <sheetView workbookViewId="0">
      <selection activeCell="E6" sqref="E6"/>
    </sheetView>
  </sheetViews>
  <sheetFormatPr defaultRowHeight="13.2" x14ac:dyDescent="0.25"/>
  <cols>
    <col min="1" max="1" width="3.21875" customWidth="1"/>
    <col min="2" max="2" width="13.33203125" customWidth="1"/>
    <col min="3" max="3" width="27.5546875" customWidth="1"/>
    <col min="5" max="5" width="8" customWidth="1"/>
  </cols>
  <sheetData>
    <row r="1" spans="1:17" x14ac:dyDescent="0.25">
      <c r="A1" s="174"/>
      <c r="B1" s="175"/>
      <c r="C1" s="176"/>
      <c r="D1" s="177"/>
      <c r="E1" s="178"/>
      <c r="F1" s="179"/>
      <c r="G1" s="179"/>
      <c r="H1" s="180"/>
      <c r="I1" s="180"/>
      <c r="J1" s="179"/>
      <c r="K1" s="179"/>
      <c r="L1" s="179"/>
      <c r="M1" s="179"/>
      <c r="N1" s="179"/>
      <c r="O1" s="179"/>
      <c r="P1" s="179"/>
      <c r="Q1" s="179"/>
    </row>
    <row r="2" spans="1:17" x14ac:dyDescent="0.25">
      <c r="A2" s="181"/>
      <c r="B2" s="182"/>
      <c r="C2" s="183"/>
      <c r="D2" s="184"/>
      <c r="E2" s="185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</row>
    <row r="3" spans="1:17" x14ac:dyDescent="0.25">
      <c r="A3" s="181"/>
      <c r="B3" s="182"/>
      <c r="C3" s="183"/>
      <c r="D3" s="184"/>
      <c r="E3" s="185"/>
      <c r="F3" s="186"/>
      <c r="G3" s="186"/>
      <c r="H3" s="187" t="s">
        <v>102</v>
      </c>
      <c r="I3" s="187"/>
      <c r="J3" s="186"/>
      <c r="K3" s="186"/>
      <c r="L3" s="186"/>
      <c r="M3" s="186"/>
      <c r="N3" s="186"/>
      <c r="O3" s="186"/>
      <c r="P3" s="186"/>
      <c r="Q3" s="186"/>
    </row>
    <row r="4" spans="1:17" x14ac:dyDescent="0.25">
      <c r="A4" s="181"/>
      <c r="B4" s="182"/>
      <c r="C4" s="183"/>
      <c r="D4" s="184"/>
      <c r="E4" s="185"/>
      <c r="F4" s="186"/>
      <c r="G4" s="186"/>
      <c r="H4" s="187" t="s">
        <v>103</v>
      </c>
      <c r="I4" s="188"/>
      <c r="J4" s="186"/>
      <c r="K4" s="186"/>
      <c r="L4" s="186"/>
      <c r="M4" s="186"/>
      <c r="N4" s="186"/>
      <c r="O4" s="186"/>
      <c r="P4" s="186"/>
      <c r="Q4" s="186"/>
    </row>
    <row r="5" spans="1:17" x14ac:dyDescent="0.25">
      <c r="A5" s="181"/>
      <c r="B5" s="182"/>
      <c r="C5" s="183"/>
      <c r="D5" s="184"/>
      <c r="E5" s="185"/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</row>
    <row r="6" spans="1:17" x14ac:dyDescent="0.25">
      <c r="A6" s="181"/>
      <c r="B6" s="182"/>
      <c r="C6" s="200" t="s">
        <v>104</v>
      </c>
      <c r="D6" s="189" t="s">
        <v>200</v>
      </c>
      <c r="E6" s="201"/>
      <c r="F6" s="191"/>
      <c r="G6" s="191"/>
      <c r="H6" s="202"/>
      <c r="I6" s="191"/>
      <c r="J6" s="191"/>
      <c r="K6" s="191"/>
      <c r="L6" s="191"/>
      <c r="M6" s="191"/>
      <c r="N6" s="191"/>
      <c r="O6" s="191"/>
      <c r="P6" s="191"/>
      <c r="Q6" s="186"/>
    </row>
    <row r="7" spans="1:17" x14ac:dyDescent="0.25">
      <c r="A7" s="181"/>
      <c r="B7" s="182"/>
      <c r="C7" s="183"/>
      <c r="D7" s="184"/>
      <c r="E7" s="198"/>
      <c r="F7" s="192"/>
      <c r="G7" s="192"/>
      <c r="H7" s="199" t="s">
        <v>105</v>
      </c>
      <c r="I7" s="199"/>
      <c r="J7" s="192"/>
      <c r="K7" s="192"/>
      <c r="L7" s="193"/>
      <c r="M7" s="193"/>
      <c r="N7" s="186"/>
      <c r="O7" s="186"/>
      <c r="P7" s="186"/>
      <c r="Q7" s="186"/>
    </row>
    <row r="8" spans="1:17" x14ac:dyDescent="0.25">
      <c r="A8" s="194"/>
      <c r="B8" s="195"/>
      <c r="C8" s="183"/>
      <c r="D8" s="184"/>
      <c r="E8" s="185"/>
      <c r="F8" s="186"/>
      <c r="G8" s="186"/>
      <c r="H8" s="186"/>
      <c r="I8" s="186"/>
      <c r="J8" s="186"/>
      <c r="K8" s="186"/>
      <c r="L8" s="186"/>
      <c r="M8" s="186"/>
      <c r="N8" s="186"/>
      <c r="O8" s="186"/>
      <c r="P8" s="186"/>
      <c r="Q8" s="186"/>
    </row>
    <row r="9" spans="1:17" x14ac:dyDescent="0.25">
      <c r="A9" s="181"/>
      <c r="B9" s="182"/>
      <c r="C9" s="183"/>
      <c r="D9" s="190" t="s">
        <v>106</v>
      </c>
      <c r="E9" s="305" t="s">
        <v>172</v>
      </c>
      <c r="F9" s="305"/>
      <c r="G9" s="186"/>
      <c r="H9" s="186"/>
      <c r="I9" s="190"/>
      <c r="J9" s="190"/>
      <c r="K9" s="186"/>
      <c r="L9" s="186"/>
      <c r="M9" s="186"/>
      <c r="N9" s="186"/>
      <c r="O9" s="186"/>
      <c r="P9" s="186"/>
      <c r="Q9" s="186"/>
    </row>
    <row r="10" spans="1:17" x14ac:dyDescent="0.25">
      <c r="A10" s="210"/>
      <c r="B10" s="204"/>
      <c r="C10" s="205"/>
      <c r="D10" s="211" t="s">
        <v>107</v>
      </c>
      <c r="E10" s="207"/>
      <c r="F10" s="208"/>
      <c r="G10" s="208"/>
      <c r="H10" s="208"/>
      <c r="I10" s="211"/>
      <c r="J10" s="310" t="s">
        <v>179</v>
      </c>
      <c r="K10" s="311"/>
      <c r="L10" s="209" t="s">
        <v>108</v>
      </c>
      <c r="M10" s="208"/>
      <c r="N10" s="208"/>
      <c r="O10" s="208"/>
      <c r="P10" s="208"/>
      <c r="Q10" s="208"/>
    </row>
    <row r="11" spans="1:17" x14ac:dyDescent="0.25">
      <c r="A11" s="210"/>
      <c r="B11" s="204"/>
      <c r="C11" s="205"/>
      <c r="D11" s="211" t="s">
        <v>109</v>
      </c>
      <c r="E11" s="207"/>
      <c r="F11" s="208"/>
      <c r="G11" s="208"/>
      <c r="H11" s="208"/>
      <c r="I11" s="211"/>
      <c r="J11" s="310" t="s">
        <v>180</v>
      </c>
      <c r="K11" s="311"/>
      <c r="L11" s="209" t="s">
        <v>108</v>
      </c>
      <c r="M11" s="208"/>
      <c r="N11" s="208"/>
      <c r="O11" s="208"/>
      <c r="P11" s="208"/>
      <c r="Q11" s="208"/>
    </row>
    <row r="12" spans="1:17" x14ac:dyDescent="0.25">
      <c r="A12" s="210"/>
      <c r="B12" s="204"/>
      <c r="C12" s="205"/>
      <c r="D12" s="211" t="s">
        <v>110</v>
      </c>
      <c r="E12" s="207"/>
      <c r="F12" s="208"/>
      <c r="G12" s="208"/>
      <c r="H12" s="208"/>
      <c r="I12" s="211"/>
      <c r="J12" s="310" t="s">
        <v>181</v>
      </c>
      <c r="K12" s="311"/>
      <c r="L12" s="209" t="s">
        <v>108</v>
      </c>
      <c r="M12" s="208"/>
      <c r="N12" s="208"/>
      <c r="O12" s="208"/>
      <c r="P12" s="208"/>
      <c r="Q12" s="208"/>
    </row>
    <row r="13" spans="1:17" x14ac:dyDescent="0.25">
      <c r="A13" s="210"/>
      <c r="B13" s="204"/>
      <c r="C13" s="205"/>
      <c r="D13" s="211" t="s">
        <v>111</v>
      </c>
      <c r="E13" s="207"/>
      <c r="F13" s="208"/>
      <c r="G13" s="208"/>
      <c r="H13" s="208"/>
      <c r="I13" s="211"/>
      <c r="J13" s="310" t="s">
        <v>182</v>
      </c>
      <c r="K13" s="311"/>
      <c r="L13" s="209" t="s">
        <v>108</v>
      </c>
      <c r="M13" s="208"/>
      <c r="N13" s="208"/>
      <c r="O13" s="208"/>
      <c r="P13" s="208"/>
      <c r="Q13" s="208"/>
    </row>
    <row r="14" spans="1:17" x14ac:dyDescent="0.25">
      <c r="A14" s="210"/>
      <c r="B14" s="204"/>
      <c r="C14" s="205"/>
      <c r="D14" s="211" t="s">
        <v>112</v>
      </c>
      <c r="E14" s="207"/>
      <c r="F14" s="208"/>
      <c r="G14" s="208"/>
      <c r="H14" s="208"/>
      <c r="I14" s="211"/>
      <c r="J14" s="310" t="s">
        <v>183</v>
      </c>
      <c r="K14" s="311"/>
      <c r="L14" s="209" t="s">
        <v>108</v>
      </c>
      <c r="M14" s="208"/>
      <c r="N14" s="208"/>
      <c r="O14" s="208"/>
      <c r="P14" s="208"/>
      <c r="Q14" s="208"/>
    </row>
    <row r="15" spans="1:17" x14ac:dyDescent="0.25">
      <c r="A15" s="210"/>
      <c r="B15" s="204"/>
      <c r="C15" s="205"/>
      <c r="D15" s="211" t="s">
        <v>113</v>
      </c>
      <c r="E15" s="207"/>
      <c r="F15" s="208"/>
      <c r="G15" s="208"/>
      <c r="H15" s="208"/>
      <c r="I15" s="211"/>
      <c r="J15" s="310" t="s">
        <v>184</v>
      </c>
      <c r="K15" s="311"/>
      <c r="L15" s="209" t="s">
        <v>114</v>
      </c>
      <c r="M15" s="208"/>
      <c r="N15" s="208"/>
      <c r="O15" s="208"/>
      <c r="P15" s="208"/>
      <c r="Q15" s="208"/>
    </row>
    <row r="16" spans="1:17" x14ac:dyDescent="0.25">
      <c r="A16" s="210"/>
      <c r="B16" s="204"/>
      <c r="C16" s="205"/>
      <c r="D16" s="212" t="s">
        <v>115</v>
      </c>
      <c r="E16" s="207"/>
      <c r="F16" s="208"/>
      <c r="G16" s="208"/>
      <c r="H16" s="208"/>
      <c r="I16" s="208"/>
      <c r="J16" s="208"/>
      <c r="K16" s="208"/>
      <c r="L16" s="208"/>
      <c r="M16" s="208"/>
      <c r="N16" s="208"/>
      <c r="O16" s="208"/>
      <c r="P16" s="208"/>
      <c r="Q16" s="208"/>
    </row>
    <row r="17" spans="1:17" x14ac:dyDescent="0.25">
      <c r="A17" s="210"/>
      <c r="B17" s="204"/>
      <c r="C17" s="205"/>
      <c r="D17" s="206"/>
      <c r="E17" s="207"/>
      <c r="F17" s="208"/>
      <c r="G17" s="208"/>
      <c r="H17" s="208"/>
      <c r="I17" s="208"/>
      <c r="J17" s="208"/>
      <c r="K17" s="208"/>
      <c r="L17" s="208"/>
      <c r="M17" s="208"/>
      <c r="N17" s="208"/>
      <c r="O17" s="208"/>
      <c r="P17" s="208"/>
      <c r="Q17" s="208"/>
    </row>
    <row r="18" spans="1:17" x14ac:dyDescent="0.25">
      <c r="A18" s="210"/>
      <c r="B18" s="204"/>
      <c r="C18" s="205"/>
      <c r="D18" s="206"/>
      <c r="E18" s="207"/>
      <c r="F18" s="208"/>
      <c r="G18" s="208"/>
      <c r="H18" s="208"/>
      <c r="I18" s="208"/>
      <c r="J18" s="208"/>
      <c r="K18" s="208"/>
      <c r="L18" s="208"/>
      <c r="M18" s="208"/>
      <c r="N18" s="208"/>
      <c r="O18" s="208"/>
      <c r="P18" s="208"/>
      <c r="Q18" s="208"/>
    </row>
    <row r="19" spans="1:17" ht="13.2" customHeight="1" x14ac:dyDescent="0.25">
      <c r="A19" s="313" t="s">
        <v>2</v>
      </c>
      <c r="B19" s="313" t="s">
        <v>116</v>
      </c>
      <c r="C19" s="306" t="s">
        <v>117</v>
      </c>
      <c r="D19" s="306" t="s">
        <v>118</v>
      </c>
      <c r="E19" s="306" t="s">
        <v>119</v>
      </c>
      <c r="F19" s="306" t="s">
        <v>120</v>
      </c>
      <c r="G19" s="312"/>
      <c r="H19" s="312"/>
      <c r="I19" s="312"/>
      <c r="J19" s="306" t="s">
        <v>121</v>
      </c>
      <c r="K19" s="312"/>
      <c r="L19" s="312"/>
      <c r="M19" s="312"/>
      <c r="N19" s="306" t="s">
        <v>122</v>
      </c>
      <c r="O19" s="306" t="s">
        <v>123</v>
      </c>
      <c r="P19" s="306" t="s">
        <v>124</v>
      </c>
      <c r="Q19" s="306" t="s">
        <v>125</v>
      </c>
    </row>
    <row r="20" spans="1:17" ht="13.2" customHeight="1" x14ac:dyDescent="0.25">
      <c r="A20" s="314"/>
      <c r="B20" s="314"/>
      <c r="C20" s="306"/>
      <c r="D20" s="306"/>
      <c r="E20" s="312"/>
      <c r="F20" s="306" t="s">
        <v>126</v>
      </c>
      <c r="G20" s="306" t="s">
        <v>127</v>
      </c>
      <c r="H20" s="312"/>
      <c r="I20" s="312"/>
      <c r="J20" s="306" t="s">
        <v>126</v>
      </c>
      <c r="K20" s="306" t="s">
        <v>127</v>
      </c>
      <c r="L20" s="312"/>
      <c r="M20" s="312"/>
      <c r="N20" s="306"/>
      <c r="O20" s="306"/>
      <c r="P20" s="306"/>
      <c r="Q20" s="306"/>
    </row>
    <row r="21" spans="1:17" x14ac:dyDescent="0.25">
      <c r="A21" s="314"/>
      <c r="B21" s="314"/>
      <c r="C21" s="306"/>
      <c r="D21" s="306"/>
      <c r="E21" s="312"/>
      <c r="F21" s="312"/>
      <c r="G21" s="213" t="s">
        <v>128</v>
      </c>
      <c r="H21" s="213" t="s">
        <v>129</v>
      </c>
      <c r="I21" s="213" t="s">
        <v>130</v>
      </c>
      <c r="J21" s="312"/>
      <c r="K21" s="213" t="s">
        <v>128</v>
      </c>
      <c r="L21" s="213" t="s">
        <v>129</v>
      </c>
      <c r="M21" s="213" t="s">
        <v>130</v>
      </c>
      <c r="N21" s="306"/>
      <c r="O21" s="306"/>
      <c r="P21" s="306"/>
      <c r="Q21" s="306"/>
    </row>
    <row r="22" spans="1:17" x14ac:dyDescent="0.25">
      <c r="A22" s="216">
        <v>1</v>
      </c>
      <c r="B22" s="215">
        <v>2</v>
      </c>
      <c r="C22" s="213">
        <v>3</v>
      </c>
      <c r="D22" s="213">
        <v>4</v>
      </c>
      <c r="E22" s="217">
        <v>5</v>
      </c>
      <c r="F22" s="214">
        <v>6</v>
      </c>
      <c r="G22" s="214">
        <v>7</v>
      </c>
      <c r="H22" s="214">
        <v>8</v>
      </c>
      <c r="I22" s="214">
        <v>9</v>
      </c>
      <c r="J22" s="214">
        <v>10</v>
      </c>
      <c r="K22" s="214">
        <v>11</v>
      </c>
      <c r="L22" s="214">
        <v>12</v>
      </c>
      <c r="M22" s="214">
        <v>13</v>
      </c>
      <c r="N22" s="214">
        <v>14</v>
      </c>
      <c r="O22" s="214">
        <v>15</v>
      </c>
      <c r="P22" s="214">
        <v>16</v>
      </c>
      <c r="Q22" s="214">
        <v>17</v>
      </c>
    </row>
    <row r="23" spans="1:17" ht="13.2" customHeight="1" x14ac:dyDescent="0.25">
      <c r="A23" s="309" t="s">
        <v>131</v>
      </c>
      <c r="B23" s="308"/>
      <c r="C23" s="308"/>
      <c r="D23" s="308"/>
      <c r="E23" s="308"/>
      <c r="F23" s="308"/>
      <c r="G23" s="308"/>
      <c r="H23" s="308"/>
      <c r="I23" s="308"/>
      <c r="J23" s="308"/>
      <c r="K23" s="308"/>
      <c r="L23" s="308"/>
      <c r="M23" s="308"/>
      <c r="N23" s="308"/>
      <c r="O23" s="308"/>
      <c r="P23" s="308"/>
      <c r="Q23" s="308"/>
    </row>
    <row r="24" spans="1:17" ht="25.8" customHeight="1" x14ac:dyDescent="0.25">
      <c r="A24" s="216">
        <v>1</v>
      </c>
      <c r="B24" s="218" t="s">
        <v>176</v>
      </c>
      <c r="C24" s="219" t="s">
        <v>177</v>
      </c>
      <c r="D24" s="220" t="s">
        <v>132</v>
      </c>
      <c r="E24" s="220">
        <v>0.58499999999999996</v>
      </c>
      <c r="F24" s="221">
        <v>2230.8000000000002</v>
      </c>
      <c r="G24" s="221">
        <v>2230.8000000000002</v>
      </c>
      <c r="H24" s="222"/>
      <c r="I24" s="222"/>
      <c r="J24" s="222">
        <v>1305.02</v>
      </c>
      <c r="K24" s="222">
        <v>1305.02</v>
      </c>
      <c r="L24" s="222"/>
      <c r="M24" s="222"/>
      <c r="N24" s="222">
        <v>264</v>
      </c>
      <c r="O24" s="222">
        <v>154.44</v>
      </c>
      <c r="P24" s="222"/>
      <c r="Q24" s="222"/>
    </row>
    <row r="25" spans="1:17" ht="37.799999999999997" customHeight="1" x14ac:dyDescent="0.25">
      <c r="A25" s="216">
        <v>2</v>
      </c>
      <c r="B25" s="218" t="s">
        <v>133</v>
      </c>
      <c r="C25" s="219" t="s">
        <v>134</v>
      </c>
      <c r="D25" s="220" t="s">
        <v>135</v>
      </c>
      <c r="E25" s="220">
        <v>1</v>
      </c>
      <c r="F25" s="221">
        <v>416.58</v>
      </c>
      <c r="G25" s="221">
        <v>51.41</v>
      </c>
      <c r="H25" s="221">
        <v>364.14</v>
      </c>
      <c r="I25" s="222"/>
      <c r="J25" s="222">
        <v>416.58</v>
      </c>
      <c r="K25" s="222">
        <v>51.41</v>
      </c>
      <c r="L25" s="222">
        <v>364.14</v>
      </c>
      <c r="M25" s="222"/>
      <c r="N25" s="222">
        <v>5.3</v>
      </c>
      <c r="O25" s="222">
        <v>5.3</v>
      </c>
      <c r="P25" s="222"/>
      <c r="Q25" s="222"/>
    </row>
    <row r="26" spans="1:17" ht="25.2" customHeight="1" x14ac:dyDescent="0.25">
      <c r="A26" s="216">
        <v>3</v>
      </c>
      <c r="B26" s="218" t="s">
        <v>136</v>
      </c>
      <c r="C26" s="219" t="s">
        <v>178</v>
      </c>
      <c r="D26" s="220" t="s">
        <v>135</v>
      </c>
      <c r="E26" s="220">
        <v>1</v>
      </c>
      <c r="F26" s="221">
        <v>54.32</v>
      </c>
      <c r="G26" s="221">
        <v>38.6</v>
      </c>
      <c r="H26" s="221">
        <v>14.94</v>
      </c>
      <c r="I26" s="222"/>
      <c r="J26" s="222">
        <v>54.32</v>
      </c>
      <c r="K26" s="222">
        <v>38.6</v>
      </c>
      <c r="L26" s="222">
        <v>14.94</v>
      </c>
      <c r="M26" s="222"/>
      <c r="N26" s="222">
        <v>3.98</v>
      </c>
      <c r="O26" s="222">
        <v>3.98</v>
      </c>
      <c r="P26" s="222"/>
      <c r="Q26" s="222"/>
    </row>
    <row r="27" spans="1:17" ht="28.2" customHeight="1" x14ac:dyDescent="0.25">
      <c r="A27" s="216">
        <v>4</v>
      </c>
      <c r="B27" s="218" t="s">
        <v>137</v>
      </c>
      <c r="C27" s="219" t="s">
        <v>138</v>
      </c>
      <c r="D27" s="220" t="s">
        <v>135</v>
      </c>
      <c r="E27" s="220">
        <v>3</v>
      </c>
      <c r="F27" s="221">
        <v>286.89999999999998</v>
      </c>
      <c r="G27" s="221">
        <v>106.31</v>
      </c>
      <c r="H27" s="221">
        <v>105.64</v>
      </c>
      <c r="I27" s="221">
        <v>6.12</v>
      </c>
      <c r="J27" s="222">
        <v>860.7</v>
      </c>
      <c r="K27" s="222">
        <v>318.93</v>
      </c>
      <c r="L27" s="222">
        <v>316.92</v>
      </c>
      <c r="M27" s="222">
        <v>18.36</v>
      </c>
      <c r="N27" s="222">
        <v>10.96</v>
      </c>
      <c r="O27" s="222">
        <v>32.880000000000003</v>
      </c>
      <c r="P27" s="222">
        <v>0.45</v>
      </c>
      <c r="Q27" s="222">
        <v>1.35</v>
      </c>
    </row>
    <row r="28" spans="1:17" ht="24.6" customHeight="1" x14ac:dyDescent="0.25">
      <c r="A28" s="216">
        <v>5</v>
      </c>
      <c r="B28" s="218" t="s">
        <v>140</v>
      </c>
      <c r="C28" s="219" t="s">
        <v>141</v>
      </c>
      <c r="D28" s="220" t="s">
        <v>135</v>
      </c>
      <c r="E28" s="220">
        <v>1</v>
      </c>
      <c r="F28" s="221">
        <v>409.97</v>
      </c>
      <c r="G28" s="221">
        <v>50.54</v>
      </c>
      <c r="H28" s="221">
        <v>358.42</v>
      </c>
      <c r="I28" s="221">
        <v>23.55</v>
      </c>
      <c r="J28" s="222">
        <v>409.97</v>
      </c>
      <c r="K28" s="222">
        <v>50.54</v>
      </c>
      <c r="L28" s="222">
        <v>358.42</v>
      </c>
      <c r="M28" s="222">
        <v>23.55</v>
      </c>
      <c r="N28" s="222">
        <v>5.21</v>
      </c>
      <c r="O28" s="222">
        <v>5.21</v>
      </c>
      <c r="P28" s="222">
        <v>1.73</v>
      </c>
      <c r="Q28" s="222">
        <v>1.73</v>
      </c>
    </row>
    <row r="29" spans="1:17" ht="38.4" customHeight="1" x14ac:dyDescent="0.25">
      <c r="A29" s="216">
        <v>6</v>
      </c>
      <c r="B29" s="218" t="s">
        <v>142</v>
      </c>
      <c r="C29" s="219" t="s">
        <v>143</v>
      </c>
      <c r="D29" s="220" t="s">
        <v>135</v>
      </c>
      <c r="E29" s="220">
        <v>1</v>
      </c>
      <c r="F29" s="221">
        <v>215.44</v>
      </c>
      <c r="G29" s="221">
        <v>26.38</v>
      </c>
      <c r="H29" s="221">
        <v>188.53</v>
      </c>
      <c r="I29" s="221">
        <v>12.39</v>
      </c>
      <c r="J29" s="222">
        <v>215.44</v>
      </c>
      <c r="K29" s="222">
        <v>26.38</v>
      </c>
      <c r="L29" s="222">
        <v>188.53</v>
      </c>
      <c r="M29" s="222">
        <v>12.39</v>
      </c>
      <c r="N29" s="222">
        <v>2.72</v>
      </c>
      <c r="O29" s="222">
        <v>2.72</v>
      </c>
      <c r="P29" s="222">
        <v>0.91</v>
      </c>
      <c r="Q29" s="222">
        <v>0.91</v>
      </c>
    </row>
    <row r="30" spans="1:17" ht="26.4" customHeight="1" x14ac:dyDescent="0.25">
      <c r="A30" s="216">
        <v>7</v>
      </c>
      <c r="B30" s="218" t="s">
        <v>144</v>
      </c>
      <c r="C30" s="219" t="s">
        <v>145</v>
      </c>
      <c r="D30" s="220" t="s">
        <v>132</v>
      </c>
      <c r="E30" s="220">
        <v>0.55300000000000005</v>
      </c>
      <c r="F30" s="221">
        <v>734.83</v>
      </c>
      <c r="G30" s="221">
        <v>734.83</v>
      </c>
      <c r="H30" s="222"/>
      <c r="I30" s="222"/>
      <c r="J30" s="222">
        <v>406.36</v>
      </c>
      <c r="K30" s="222">
        <v>406.36</v>
      </c>
      <c r="L30" s="222"/>
      <c r="M30" s="222"/>
      <c r="N30" s="222">
        <v>97.2</v>
      </c>
      <c r="O30" s="222">
        <v>53.75</v>
      </c>
      <c r="P30" s="222"/>
      <c r="Q30" s="222"/>
    </row>
    <row r="31" spans="1:17" ht="28.2" customHeight="1" x14ac:dyDescent="0.25">
      <c r="A31" s="216">
        <v>8</v>
      </c>
      <c r="B31" s="218" t="s">
        <v>185</v>
      </c>
      <c r="C31" s="219" t="s">
        <v>186</v>
      </c>
      <c r="D31" s="220" t="s">
        <v>139</v>
      </c>
      <c r="E31" s="217">
        <v>2</v>
      </c>
      <c r="F31" s="221">
        <v>27.5</v>
      </c>
      <c r="G31" s="221">
        <v>4.95</v>
      </c>
      <c r="H31" s="222"/>
      <c r="I31" s="222"/>
      <c r="J31" s="222">
        <v>55</v>
      </c>
      <c r="K31" s="222">
        <v>9.9</v>
      </c>
      <c r="L31" s="222"/>
      <c r="M31" s="222"/>
      <c r="N31" s="222">
        <v>0.51</v>
      </c>
      <c r="O31" s="222">
        <v>1.02</v>
      </c>
      <c r="P31" s="222"/>
      <c r="Q31" s="222"/>
    </row>
    <row r="32" spans="1:17" ht="15" customHeight="1" x14ac:dyDescent="0.25">
      <c r="A32" s="216">
        <v>9</v>
      </c>
      <c r="B32" s="218" t="s">
        <v>146</v>
      </c>
      <c r="C32" s="219" t="s">
        <v>147</v>
      </c>
      <c r="D32" s="220" t="s">
        <v>139</v>
      </c>
      <c r="E32" s="217">
        <v>6</v>
      </c>
      <c r="F32" s="221">
        <v>715.98</v>
      </c>
      <c r="G32" s="221">
        <v>59.07</v>
      </c>
      <c r="H32" s="221">
        <v>653.73</v>
      </c>
      <c r="I32" s="221">
        <v>67.099999999999994</v>
      </c>
      <c r="J32" s="222">
        <v>4295.88</v>
      </c>
      <c r="K32" s="222">
        <v>354.42</v>
      </c>
      <c r="L32" s="222">
        <v>3922.38</v>
      </c>
      <c r="M32" s="222">
        <v>402.6</v>
      </c>
      <c r="N32" s="222">
        <v>6.09</v>
      </c>
      <c r="O32" s="222">
        <v>36.54</v>
      </c>
      <c r="P32" s="222">
        <v>4.93</v>
      </c>
      <c r="Q32" s="222">
        <v>29.58</v>
      </c>
    </row>
    <row r="33" spans="1:17" ht="28.2" customHeight="1" x14ac:dyDescent="0.25">
      <c r="A33" s="216">
        <v>10</v>
      </c>
      <c r="B33" s="218" t="s">
        <v>187</v>
      </c>
      <c r="C33" s="219" t="s">
        <v>188</v>
      </c>
      <c r="D33" s="220" t="s">
        <v>135</v>
      </c>
      <c r="E33" s="220">
        <v>0.318</v>
      </c>
      <c r="F33" s="221">
        <v>204.44</v>
      </c>
      <c r="G33" s="221">
        <v>119.5</v>
      </c>
      <c r="H33" s="221">
        <v>55.29</v>
      </c>
      <c r="I33" s="221">
        <v>2.72</v>
      </c>
      <c r="J33" s="222">
        <v>65.010000000000005</v>
      </c>
      <c r="K33" s="222">
        <v>38</v>
      </c>
      <c r="L33" s="222">
        <v>17.579999999999998</v>
      </c>
      <c r="M33" s="222">
        <v>0.87</v>
      </c>
      <c r="N33" s="222">
        <v>12.32</v>
      </c>
      <c r="O33" s="222">
        <v>3.92</v>
      </c>
      <c r="P33" s="222">
        <v>0.2</v>
      </c>
      <c r="Q33" s="222">
        <v>0.06</v>
      </c>
    </row>
    <row r="34" spans="1:17" ht="14.4" customHeight="1" x14ac:dyDescent="0.25">
      <c r="A34" s="216">
        <v>11</v>
      </c>
      <c r="B34" s="218" t="s">
        <v>189</v>
      </c>
      <c r="C34" s="219" t="s">
        <v>190</v>
      </c>
      <c r="D34" s="220" t="s">
        <v>191</v>
      </c>
      <c r="E34" s="220">
        <v>7.2374999999999995E-2</v>
      </c>
      <c r="F34" s="221">
        <v>769.97</v>
      </c>
      <c r="G34" s="221">
        <v>523.79999999999995</v>
      </c>
      <c r="H34" s="221">
        <v>153.18</v>
      </c>
      <c r="I34" s="221">
        <v>2.72</v>
      </c>
      <c r="J34" s="222">
        <v>55.73</v>
      </c>
      <c r="K34" s="222">
        <v>37.909999999999997</v>
      </c>
      <c r="L34" s="222">
        <v>11.09</v>
      </c>
      <c r="M34" s="222">
        <v>0.2</v>
      </c>
      <c r="N34" s="222">
        <v>54</v>
      </c>
      <c r="O34" s="222">
        <v>3.91</v>
      </c>
      <c r="P34" s="222">
        <v>0.2</v>
      </c>
      <c r="Q34" s="222">
        <v>0.01</v>
      </c>
    </row>
    <row r="35" spans="1:17" ht="15" customHeight="1" x14ac:dyDescent="0.25">
      <c r="A35" s="309" t="s">
        <v>192</v>
      </c>
      <c r="B35" s="308"/>
      <c r="C35" s="308"/>
      <c r="D35" s="308"/>
      <c r="E35" s="308"/>
      <c r="F35" s="308"/>
      <c r="G35" s="308"/>
      <c r="H35" s="308"/>
      <c r="I35" s="308"/>
      <c r="J35" s="308"/>
      <c r="K35" s="308"/>
      <c r="L35" s="308"/>
      <c r="M35" s="308"/>
      <c r="N35" s="308"/>
      <c r="O35" s="308"/>
      <c r="P35" s="308"/>
      <c r="Q35" s="308"/>
    </row>
    <row r="36" spans="1:17" ht="27.6" customHeight="1" x14ac:dyDescent="0.25">
      <c r="A36" s="216">
        <v>12</v>
      </c>
      <c r="B36" s="218" t="s">
        <v>148</v>
      </c>
      <c r="C36" s="219" t="s">
        <v>149</v>
      </c>
      <c r="D36" s="220" t="s">
        <v>150</v>
      </c>
      <c r="E36" s="217">
        <v>3</v>
      </c>
      <c r="F36" s="221">
        <v>56.19</v>
      </c>
      <c r="G36" s="221">
        <v>56.19</v>
      </c>
      <c r="H36" s="222"/>
      <c r="I36" s="222"/>
      <c r="J36" s="222">
        <v>168.57</v>
      </c>
      <c r="K36" s="222">
        <v>168.57</v>
      </c>
      <c r="L36" s="222"/>
      <c r="M36" s="222"/>
      <c r="N36" s="222">
        <v>4.8600000000000003</v>
      </c>
      <c r="O36" s="222">
        <v>14.58</v>
      </c>
      <c r="P36" s="222"/>
      <c r="Q36" s="222"/>
    </row>
    <row r="37" spans="1:17" ht="15.6" customHeight="1" x14ac:dyDescent="0.25">
      <c r="A37" s="309" t="s">
        <v>151</v>
      </c>
      <c r="B37" s="308"/>
      <c r="C37" s="308"/>
      <c r="D37" s="308"/>
      <c r="E37" s="308"/>
      <c r="F37" s="308"/>
      <c r="G37" s="308"/>
      <c r="H37" s="308"/>
      <c r="I37" s="308"/>
      <c r="J37" s="308"/>
      <c r="K37" s="308"/>
      <c r="L37" s="308"/>
      <c r="M37" s="308"/>
      <c r="N37" s="308"/>
      <c r="O37" s="308"/>
      <c r="P37" s="308"/>
      <c r="Q37" s="308"/>
    </row>
    <row r="38" spans="1:17" ht="33" customHeight="1" x14ac:dyDescent="0.25">
      <c r="A38" s="216">
        <v>13</v>
      </c>
      <c r="B38" s="218" t="s">
        <v>152</v>
      </c>
      <c r="C38" s="219" t="s">
        <v>153</v>
      </c>
      <c r="D38" s="220" t="s">
        <v>154</v>
      </c>
      <c r="E38" s="220">
        <v>349.8</v>
      </c>
      <c r="F38" s="221">
        <v>127.06</v>
      </c>
      <c r="G38" s="222"/>
      <c r="H38" s="222"/>
      <c r="I38" s="222"/>
      <c r="J38" s="222">
        <v>44445.59</v>
      </c>
      <c r="K38" s="222"/>
      <c r="L38" s="222"/>
      <c r="M38" s="222"/>
      <c r="N38" s="222"/>
      <c r="O38" s="222"/>
      <c r="P38" s="222"/>
      <c r="Q38" s="222"/>
    </row>
    <row r="39" spans="1:17" ht="13.2" customHeight="1" x14ac:dyDescent="0.25">
      <c r="A39" s="216">
        <v>14</v>
      </c>
      <c r="B39" s="218" t="s">
        <v>155</v>
      </c>
      <c r="C39" s="219" t="s">
        <v>156</v>
      </c>
      <c r="D39" s="220" t="s">
        <v>157</v>
      </c>
      <c r="E39" s="217">
        <v>6</v>
      </c>
      <c r="F39" s="221">
        <v>481.25</v>
      </c>
      <c r="G39" s="222"/>
      <c r="H39" s="222"/>
      <c r="I39" s="222"/>
      <c r="J39" s="222">
        <v>2887.5</v>
      </c>
      <c r="K39" s="222"/>
      <c r="L39" s="222"/>
      <c r="M39" s="222"/>
      <c r="N39" s="222"/>
      <c r="O39" s="222"/>
      <c r="P39" s="222"/>
      <c r="Q39" s="222"/>
    </row>
    <row r="40" spans="1:17" ht="14.4" customHeight="1" x14ac:dyDescent="0.25">
      <c r="A40" s="216">
        <v>15</v>
      </c>
      <c r="B40" s="218" t="s">
        <v>193</v>
      </c>
      <c r="C40" s="219" t="s">
        <v>194</v>
      </c>
      <c r="D40" s="220" t="s">
        <v>162</v>
      </c>
      <c r="E40" s="220">
        <v>6.3E-3</v>
      </c>
      <c r="F40" s="221">
        <v>16455.060000000001</v>
      </c>
      <c r="G40" s="222"/>
      <c r="H40" s="222"/>
      <c r="I40" s="222"/>
      <c r="J40" s="222">
        <v>103.67</v>
      </c>
      <c r="K40" s="222"/>
      <c r="L40" s="222"/>
      <c r="M40" s="222"/>
      <c r="N40" s="222"/>
      <c r="O40" s="222"/>
      <c r="P40" s="222"/>
      <c r="Q40" s="222"/>
    </row>
    <row r="41" spans="1:17" ht="37.799999999999997" customHeight="1" x14ac:dyDescent="0.25">
      <c r="A41" s="216">
        <v>16</v>
      </c>
      <c r="B41" s="218" t="s">
        <v>158</v>
      </c>
      <c r="C41" s="219" t="s">
        <v>159</v>
      </c>
      <c r="D41" s="220" t="s">
        <v>157</v>
      </c>
      <c r="E41" s="220">
        <v>1600</v>
      </c>
      <c r="F41" s="221">
        <v>2.4500000000000002</v>
      </c>
      <c r="G41" s="222"/>
      <c r="H41" s="222"/>
      <c r="I41" s="222"/>
      <c r="J41" s="222">
        <v>3920</v>
      </c>
      <c r="K41" s="222"/>
      <c r="L41" s="222"/>
      <c r="M41" s="222"/>
      <c r="N41" s="222"/>
      <c r="O41" s="222"/>
      <c r="P41" s="222"/>
      <c r="Q41" s="222"/>
    </row>
    <row r="42" spans="1:17" ht="36.6" customHeight="1" x14ac:dyDescent="0.25">
      <c r="A42" s="216">
        <v>17</v>
      </c>
      <c r="B42" s="218" t="s">
        <v>160</v>
      </c>
      <c r="C42" s="219" t="s">
        <v>161</v>
      </c>
      <c r="D42" s="220" t="s">
        <v>162</v>
      </c>
      <c r="E42" s="220">
        <v>11.76</v>
      </c>
      <c r="F42" s="221">
        <v>66.180000000000007</v>
      </c>
      <c r="G42" s="222"/>
      <c r="H42" s="222"/>
      <c r="I42" s="222"/>
      <c r="J42" s="222">
        <v>778.28</v>
      </c>
      <c r="K42" s="222"/>
      <c r="L42" s="222"/>
      <c r="M42" s="222"/>
      <c r="N42" s="222"/>
      <c r="O42" s="222"/>
      <c r="P42" s="222"/>
      <c r="Q42" s="222"/>
    </row>
    <row r="43" spans="1:17" ht="35.4" customHeight="1" x14ac:dyDescent="0.25">
      <c r="A43" s="216">
        <v>18</v>
      </c>
      <c r="B43" s="218" t="s">
        <v>195</v>
      </c>
      <c r="C43" s="219" t="s">
        <v>196</v>
      </c>
      <c r="D43" s="220" t="s">
        <v>157</v>
      </c>
      <c r="E43" s="217">
        <v>27</v>
      </c>
      <c r="F43" s="221">
        <v>2.17</v>
      </c>
      <c r="G43" s="222"/>
      <c r="H43" s="222"/>
      <c r="I43" s="222"/>
      <c r="J43" s="222">
        <v>58.59</v>
      </c>
      <c r="K43" s="222"/>
      <c r="L43" s="222"/>
      <c r="M43" s="222"/>
      <c r="N43" s="222"/>
      <c r="O43" s="222"/>
      <c r="P43" s="222"/>
      <c r="Q43" s="222"/>
    </row>
    <row r="44" spans="1:17" ht="21" customHeight="1" x14ac:dyDescent="0.25">
      <c r="A44" s="216">
        <v>19</v>
      </c>
      <c r="B44" s="218" t="s">
        <v>197</v>
      </c>
      <c r="C44" s="219" t="s">
        <v>198</v>
      </c>
      <c r="D44" s="220" t="s">
        <v>157</v>
      </c>
      <c r="E44" s="217">
        <v>2</v>
      </c>
      <c r="F44" s="221">
        <v>110.21</v>
      </c>
      <c r="G44" s="222"/>
      <c r="H44" s="222"/>
      <c r="I44" s="222"/>
      <c r="J44" s="222">
        <v>220.42</v>
      </c>
      <c r="K44" s="222"/>
      <c r="L44" s="222"/>
      <c r="M44" s="222"/>
      <c r="N44" s="222"/>
      <c r="O44" s="222"/>
      <c r="P44" s="222"/>
      <c r="Q44" s="222"/>
    </row>
    <row r="45" spans="1:17" ht="13.2" customHeight="1" x14ac:dyDescent="0.25">
      <c r="A45" s="307" t="s">
        <v>163</v>
      </c>
      <c r="B45" s="308"/>
      <c r="C45" s="308"/>
      <c r="D45" s="308"/>
      <c r="E45" s="308"/>
      <c r="F45" s="308"/>
      <c r="G45" s="308"/>
      <c r="H45" s="308"/>
      <c r="I45" s="308"/>
      <c r="J45" s="221">
        <v>60722.63</v>
      </c>
      <c r="K45" s="221">
        <v>2806.04</v>
      </c>
      <c r="L45" s="221">
        <v>5194</v>
      </c>
      <c r="M45" s="221">
        <v>457.97</v>
      </c>
      <c r="N45" s="222"/>
      <c r="O45" s="221">
        <v>318.25</v>
      </c>
      <c r="P45" s="222"/>
      <c r="Q45" s="221">
        <v>33.64</v>
      </c>
    </row>
    <row r="46" spans="1:17" ht="13.2" customHeight="1" x14ac:dyDescent="0.25">
      <c r="A46" s="307" t="s">
        <v>199</v>
      </c>
      <c r="B46" s="308"/>
      <c r="C46" s="308"/>
      <c r="D46" s="308"/>
      <c r="E46" s="308"/>
      <c r="F46" s="308"/>
      <c r="G46" s="308"/>
      <c r="H46" s="308"/>
      <c r="I46" s="308"/>
      <c r="J46" s="221">
        <v>65467.49</v>
      </c>
      <c r="K46" s="221">
        <v>3367.25</v>
      </c>
      <c r="L46" s="221">
        <v>6232.8</v>
      </c>
      <c r="M46" s="221">
        <v>549.55999999999995</v>
      </c>
      <c r="N46" s="222"/>
      <c r="O46" s="221">
        <v>381.91</v>
      </c>
      <c r="P46" s="222"/>
      <c r="Q46" s="221">
        <v>40.369999999999997</v>
      </c>
    </row>
    <row r="47" spans="1:17" ht="13.2" customHeight="1" x14ac:dyDescent="0.25">
      <c r="A47" s="307" t="s">
        <v>164</v>
      </c>
      <c r="B47" s="308"/>
      <c r="C47" s="308"/>
      <c r="D47" s="308"/>
      <c r="E47" s="308"/>
      <c r="F47" s="308"/>
      <c r="G47" s="308"/>
      <c r="H47" s="308"/>
      <c r="I47" s="308"/>
      <c r="J47" s="221">
        <v>3352.24</v>
      </c>
      <c r="K47" s="222"/>
      <c r="L47" s="222"/>
      <c r="M47" s="222"/>
      <c r="N47" s="222"/>
      <c r="O47" s="222"/>
      <c r="P47" s="222"/>
      <c r="Q47" s="222"/>
    </row>
    <row r="48" spans="1:17" ht="13.2" customHeight="1" x14ac:dyDescent="0.25">
      <c r="A48" s="307" t="s">
        <v>165</v>
      </c>
      <c r="B48" s="308"/>
      <c r="C48" s="308"/>
      <c r="D48" s="308"/>
      <c r="E48" s="308"/>
      <c r="F48" s="308"/>
      <c r="G48" s="308"/>
      <c r="H48" s="308"/>
      <c r="I48" s="308"/>
      <c r="J48" s="221">
        <v>2084.63</v>
      </c>
      <c r="K48" s="222"/>
      <c r="L48" s="222"/>
      <c r="M48" s="222"/>
      <c r="N48" s="222"/>
      <c r="O48" s="222"/>
      <c r="P48" s="222"/>
      <c r="Q48" s="222"/>
    </row>
    <row r="49" spans="1:17" ht="13.2" customHeight="1" x14ac:dyDescent="0.25">
      <c r="A49" s="309" t="s">
        <v>166</v>
      </c>
      <c r="B49" s="308"/>
      <c r="C49" s="308"/>
      <c r="D49" s="308"/>
      <c r="E49" s="308"/>
      <c r="F49" s="308"/>
      <c r="G49" s="308"/>
      <c r="H49" s="308"/>
      <c r="I49" s="308"/>
      <c r="J49" s="222"/>
      <c r="K49" s="222"/>
      <c r="L49" s="222"/>
      <c r="M49" s="222"/>
      <c r="N49" s="222"/>
      <c r="O49" s="222"/>
      <c r="P49" s="222"/>
      <c r="Q49" s="222"/>
    </row>
    <row r="50" spans="1:17" ht="13.2" customHeight="1" x14ac:dyDescent="0.25">
      <c r="A50" s="307" t="s">
        <v>167</v>
      </c>
      <c r="B50" s="308"/>
      <c r="C50" s="308"/>
      <c r="D50" s="308"/>
      <c r="E50" s="308"/>
      <c r="F50" s="308"/>
      <c r="G50" s="308"/>
      <c r="H50" s="308"/>
      <c r="I50" s="308"/>
      <c r="J50" s="221">
        <v>60007.64</v>
      </c>
      <c r="K50" s="222"/>
      <c r="L50" s="222"/>
      <c r="M50" s="222"/>
      <c r="N50" s="222"/>
      <c r="O50" s="221">
        <v>249.83</v>
      </c>
      <c r="P50" s="222"/>
      <c r="Q50" s="222"/>
    </row>
    <row r="51" spans="1:17" ht="13.2" customHeight="1" x14ac:dyDescent="0.25">
      <c r="A51" s="307" t="s">
        <v>168</v>
      </c>
      <c r="B51" s="308"/>
      <c r="C51" s="308"/>
      <c r="D51" s="308"/>
      <c r="E51" s="308"/>
      <c r="F51" s="308"/>
      <c r="G51" s="308"/>
      <c r="H51" s="308"/>
      <c r="I51" s="308"/>
      <c r="J51" s="221">
        <v>10482.049999999999</v>
      </c>
      <c r="K51" s="222"/>
      <c r="L51" s="222"/>
      <c r="M51" s="222"/>
      <c r="N51" s="222"/>
      <c r="O51" s="221">
        <v>114.58</v>
      </c>
      <c r="P51" s="222"/>
      <c r="Q51" s="221">
        <v>40.369999999999997</v>
      </c>
    </row>
    <row r="52" spans="1:17" ht="13.2" customHeight="1" x14ac:dyDescent="0.25">
      <c r="A52" s="307" t="s">
        <v>169</v>
      </c>
      <c r="B52" s="308"/>
      <c r="C52" s="308"/>
      <c r="D52" s="308"/>
      <c r="E52" s="308"/>
      <c r="F52" s="308"/>
      <c r="G52" s="308"/>
      <c r="H52" s="308"/>
      <c r="I52" s="308"/>
      <c r="J52" s="221">
        <v>414.67</v>
      </c>
      <c r="K52" s="222"/>
      <c r="L52" s="222"/>
      <c r="M52" s="222"/>
      <c r="N52" s="222"/>
      <c r="O52" s="221">
        <v>17.5</v>
      </c>
      <c r="P52" s="222"/>
      <c r="Q52" s="222"/>
    </row>
    <row r="53" spans="1:17" ht="13.2" customHeight="1" x14ac:dyDescent="0.25">
      <c r="A53" s="307" t="s">
        <v>170</v>
      </c>
      <c r="B53" s="308"/>
      <c r="C53" s="308"/>
      <c r="D53" s="308"/>
      <c r="E53" s="308"/>
      <c r="F53" s="308"/>
      <c r="G53" s="308"/>
      <c r="H53" s="308"/>
      <c r="I53" s="308"/>
      <c r="J53" s="221">
        <v>70904.36</v>
      </c>
      <c r="K53" s="222"/>
      <c r="L53" s="222"/>
      <c r="M53" s="222"/>
      <c r="N53" s="222"/>
      <c r="O53" s="221">
        <v>381.91</v>
      </c>
      <c r="P53" s="222"/>
      <c r="Q53" s="221">
        <v>40.369999999999997</v>
      </c>
    </row>
    <row r="54" spans="1:17" ht="13.2" customHeight="1" x14ac:dyDescent="0.25">
      <c r="A54" s="309" t="s">
        <v>171</v>
      </c>
      <c r="B54" s="308"/>
      <c r="C54" s="308"/>
      <c r="D54" s="308"/>
      <c r="E54" s="308"/>
      <c r="F54" s="308"/>
      <c r="G54" s="308"/>
      <c r="H54" s="308"/>
      <c r="I54" s="308"/>
      <c r="J54" s="223">
        <v>70904.36</v>
      </c>
      <c r="K54" s="222"/>
      <c r="L54" s="222"/>
      <c r="M54" s="222"/>
      <c r="N54" s="222"/>
      <c r="O54" s="223">
        <v>381.91</v>
      </c>
      <c r="P54" s="222"/>
      <c r="Q54" s="223">
        <v>40.369999999999997</v>
      </c>
    </row>
    <row r="59" spans="1:17" x14ac:dyDescent="0.25">
      <c r="C59" s="203" t="s">
        <v>174</v>
      </c>
      <c r="D59" s="203" t="s">
        <v>175</v>
      </c>
      <c r="E59" s="20"/>
      <c r="F59" s="20"/>
      <c r="G59" s="20"/>
      <c r="H59" s="20"/>
    </row>
    <row r="60" spans="1:17" ht="13.8" x14ac:dyDescent="0.25">
      <c r="C60" s="295"/>
      <c r="D60" s="286"/>
      <c r="E60" s="286"/>
      <c r="F60" s="286"/>
      <c r="G60" s="286"/>
      <c r="H60" s="286"/>
    </row>
    <row r="61" spans="1:17" ht="13.8" x14ac:dyDescent="0.25">
      <c r="C61" s="295"/>
      <c r="D61" s="120"/>
      <c r="E61" s="120"/>
      <c r="F61" s="196"/>
      <c r="G61" s="120"/>
      <c r="H61" s="120"/>
    </row>
    <row r="62" spans="1:17" x14ac:dyDescent="0.25">
      <c r="C62" s="203"/>
      <c r="D62" s="203"/>
      <c r="E62" s="122"/>
      <c r="F62" s="122"/>
      <c r="G62" s="122"/>
      <c r="H62" s="122"/>
    </row>
    <row r="63" spans="1:17" x14ac:dyDescent="0.25">
      <c r="C63" s="123"/>
      <c r="D63" s="124"/>
      <c r="E63" s="125"/>
      <c r="F63" s="125"/>
      <c r="G63" s="126"/>
      <c r="H63" s="126"/>
    </row>
  </sheetData>
  <mergeCells count="37">
    <mergeCell ref="A19:A21"/>
    <mergeCell ref="B19:B21"/>
    <mergeCell ref="C19:C21"/>
    <mergeCell ref="D19:D21"/>
    <mergeCell ref="E19:E21"/>
    <mergeCell ref="J19:M19"/>
    <mergeCell ref="N19:N21"/>
    <mergeCell ref="O19:O21"/>
    <mergeCell ref="P19:P21"/>
    <mergeCell ref="F20:F21"/>
    <mergeCell ref="G20:I20"/>
    <mergeCell ref="J20:J21"/>
    <mergeCell ref="K20:M20"/>
    <mergeCell ref="F19:I19"/>
    <mergeCell ref="A51:I51"/>
    <mergeCell ref="A52:I52"/>
    <mergeCell ref="A53:I53"/>
    <mergeCell ref="A23:Q23"/>
    <mergeCell ref="A35:Q35"/>
    <mergeCell ref="A37:Q37"/>
    <mergeCell ref="A47:I47"/>
    <mergeCell ref="E9:F9"/>
    <mergeCell ref="C60:C61"/>
    <mergeCell ref="D60:H60"/>
    <mergeCell ref="Q19:Q21"/>
    <mergeCell ref="A45:I45"/>
    <mergeCell ref="A46:I46"/>
    <mergeCell ref="A54:I54"/>
    <mergeCell ref="J10:K10"/>
    <mergeCell ref="J14:K14"/>
    <mergeCell ref="J15:K15"/>
    <mergeCell ref="J13:K13"/>
    <mergeCell ref="J12:K12"/>
    <mergeCell ref="J11:K11"/>
    <mergeCell ref="A48:I48"/>
    <mergeCell ref="A49:I49"/>
    <mergeCell ref="A50:I50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59"/>
  <sheetViews>
    <sheetView topLeftCell="A34" workbookViewId="0">
      <selection activeCell="J55" sqref="J55:J58"/>
    </sheetView>
  </sheetViews>
  <sheetFormatPr defaultRowHeight="13.2" x14ac:dyDescent="0.25"/>
  <cols>
    <col min="1" max="1" width="5.5546875" customWidth="1"/>
    <col min="2" max="2" width="14.44140625" customWidth="1"/>
    <col min="3" max="3" width="45.21875" customWidth="1"/>
    <col min="4" max="4" width="14.6640625" hidden="1" customWidth="1"/>
    <col min="5" max="5" width="9.77734375" customWidth="1"/>
    <col min="6" max="6" width="13.6640625" customWidth="1"/>
    <col min="7" max="7" width="11.44140625" customWidth="1"/>
  </cols>
  <sheetData>
    <row r="2" spans="1:13" x14ac:dyDescent="0.25">
      <c r="C2" s="317" t="s">
        <v>237</v>
      </c>
      <c r="D2" s="317"/>
      <c r="E2" s="317"/>
      <c r="F2" s="317"/>
      <c r="G2" s="317"/>
      <c r="H2" s="317"/>
      <c r="I2" s="317"/>
      <c r="J2" s="317"/>
    </row>
    <row r="3" spans="1:13" x14ac:dyDescent="0.25">
      <c r="E3" s="318" t="s">
        <v>103</v>
      </c>
      <c r="F3" s="318"/>
    </row>
    <row r="4" spans="1:13" x14ac:dyDescent="0.25">
      <c r="A4" s="210"/>
      <c r="B4" s="204"/>
      <c r="C4" s="236"/>
      <c r="D4" s="207"/>
      <c r="E4" s="237"/>
      <c r="F4" s="238"/>
      <c r="G4" s="238"/>
      <c r="H4" s="208"/>
      <c r="I4" s="207"/>
      <c r="J4" s="208"/>
      <c r="K4" s="208"/>
      <c r="L4" s="208"/>
      <c r="M4" s="208"/>
    </row>
    <row r="5" spans="1:13" ht="13.8" x14ac:dyDescent="0.25">
      <c r="A5" s="210"/>
      <c r="B5" s="238" t="s">
        <v>104</v>
      </c>
      <c r="C5" s="319" t="s">
        <v>234</v>
      </c>
      <c r="D5" s="319"/>
      <c r="E5" s="319"/>
      <c r="F5" s="319"/>
      <c r="G5" s="319"/>
      <c r="H5" s="319"/>
      <c r="I5" s="319"/>
      <c r="J5" s="319"/>
      <c r="K5" s="208"/>
      <c r="L5" s="208"/>
      <c r="M5" s="208"/>
    </row>
    <row r="6" spans="1:13" x14ac:dyDescent="0.25">
      <c r="A6" s="210"/>
      <c r="B6" s="204"/>
      <c r="C6" s="239"/>
      <c r="D6" s="207"/>
      <c r="E6" s="180" t="s">
        <v>105</v>
      </c>
      <c r="F6" s="208"/>
      <c r="G6" s="179"/>
      <c r="H6" s="207"/>
      <c r="I6" s="179"/>
      <c r="J6" s="179"/>
      <c r="K6" s="208"/>
      <c r="L6" s="208"/>
      <c r="M6" s="208"/>
    </row>
    <row r="7" spans="1:13" x14ac:dyDescent="0.25">
      <c r="A7" s="194"/>
      <c r="B7" s="195"/>
      <c r="C7" s="232"/>
      <c r="D7" s="207"/>
      <c r="E7" s="212"/>
      <c r="F7" s="208"/>
      <c r="G7" s="208"/>
      <c r="H7" s="208"/>
      <c r="I7" s="208"/>
      <c r="J7" s="208"/>
      <c r="K7" s="208"/>
      <c r="L7" s="208"/>
      <c r="M7" s="208"/>
    </row>
    <row r="8" spans="1:13" x14ac:dyDescent="0.25">
      <c r="A8" s="210"/>
      <c r="B8" s="204"/>
      <c r="C8" s="211" t="s">
        <v>233</v>
      </c>
      <c r="D8" s="207"/>
      <c r="E8" s="207"/>
      <c r="F8" s="208"/>
      <c r="G8" s="208"/>
      <c r="H8" s="208"/>
      <c r="I8" s="211"/>
      <c r="J8" s="211"/>
      <c r="K8" s="208"/>
      <c r="L8" s="208"/>
      <c r="M8" s="208"/>
    </row>
    <row r="9" spans="1:13" x14ac:dyDescent="0.25">
      <c r="A9" s="210"/>
      <c r="B9" s="204"/>
      <c r="C9" s="257" t="s">
        <v>107</v>
      </c>
      <c r="D9" s="253"/>
      <c r="E9" s="310" t="s">
        <v>256</v>
      </c>
      <c r="F9" s="311"/>
      <c r="G9" s="254" t="s">
        <v>108</v>
      </c>
      <c r="H9" s="208"/>
      <c r="I9" s="211"/>
      <c r="J9" s="211"/>
      <c r="K9" s="208"/>
      <c r="L9" s="208"/>
      <c r="M9" s="208"/>
    </row>
    <row r="10" spans="1:13" x14ac:dyDescent="0.25">
      <c r="A10" s="210"/>
      <c r="B10" s="204"/>
      <c r="C10" s="257" t="s">
        <v>109</v>
      </c>
      <c r="D10" s="253"/>
      <c r="E10" s="310" t="s">
        <v>257</v>
      </c>
      <c r="F10" s="311"/>
      <c r="G10" s="254" t="s">
        <v>108</v>
      </c>
      <c r="H10" s="208"/>
      <c r="I10" s="211"/>
      <c r="J10" s="211"/>
      <c r="K10" s="208"/>
      <c r="L10" s="208"/>
      <c r="M10" s="208"/>
    </row>
    <row r="11" spans="1:13" x14ac:dyDescent="0.25">
      <c r="A11" s="210"/>
      <c r="B11" s="204"/>
      <c r="C11" s="257" t="s">
        <v>110</v>
      </c>
      <c r="D11" s="253"/>
      <c r="E11" s="310" t="s">
        <v>258</v>
      </c>
      <c r="F11" s="311"/>
      <c r="G11" s="254" t="s">
        <v>108</v>
      </c>
      <c r="H11" s="208"/>
      <c r="I11" s="211"/>
      <c r="J11" s="211"/>
      <c r="K11" s="208"/>
      <c r="L11" s="208"/>
      <c r="M11" s="208"/>
    </row>
    <row r="12" spans="1:13" x14ac:dyDescent="0.25">
      <c r="A12" s="210"/>
      <c r="B12" s="204"/>
      <c r="C12" s="257" t="s">
        <v>111</v>
      </c>
      <c r="D12" s="253"/>
      <c r="E12" s="310" t="s">
        <v>182</v>
      </c>
      <c r="F12" s="311"/>
      <c r="G12" s="254" t="s">
        <v>108</v>
      </c>
      <c r="H12" s="208"/>
      <c r="I12" s="211"/>
      <c r="J12" s="211"/>
      <c r="K12" s="208"/>
      <c r="L12" s="208"/>
      <c r="M12" s="208"/>
    </row>
    <row r="13" spans="1:13" x14ac:dyDescent="0.25">
      <c r="A13" s="210"/>
      <c r="B13" s="204"/>
      <c r="C13" s="257" t="s">
        <v>112</v>
      </c>
      <c r="D13" s="255"/>
      <c r="E13" s="310" t="s">
        <v>259</v>
      </c>
      <c r="F13" s="311"/>
      <c r="G13" s="254" t="s">
        <v>108</v>
      </c>
      <c r="H13" s="208"/>
      <c r="I13" s="211"/>
      <c r="J13" s="211"/>
      <c r="K13" s="208"/>
      <c r="L13" s="208"/>
      <c r="M13" s="208"/>
    </row>
    <row r="14" spans="1:13" x14ac:dyDescent="0.25">
      <c r="A14" s="210"/>
      <c r="B14" s="204"/>
      <c r="C14" s="257" t="s">
        <v>113</v>
      </c>
      <c r="D14" s="255"/>
      <c r="E14" s="310" t="s">
        <v>260</v>
      </c>
      <c r="F14" s="311"/>
      <c r="G14" s="254" t="s">
        <v>114</v>
      </c>
      <c r="H14" s="208"/>
      <c r="I14" s="211"/>
      <c r="J14" s="211"/>
      <c r="K14" s="208"/>
      <c r="L14" s="208"/>
      <c r="M14" s="208"/>
    </row>
    <row r="15" spans="1:13" x14ac:dyDescent="0.25">
      <c r="A15" s="210"/>
      <c r="B15" s="204"/>
      <c r="C15" s="256" t="s">
        <v>115</v>
      </c>
      <c r="D15" s="255"/>
      <c r="E15" s="255"/>
      <c r="F15" s="253"/>
      <c r="G15" s="253"/>
      <c r="H15" s="208"/>
      <c r="I15" s="208"/>
      <c r="J15" s="208"/>
      <c r="K15" s="208"/>
      <c r="L15" s="208"/>
      <c r="M15" s="208"/>
    </row>
    <row r="16" spans="1:13" ht="13.2" customHeight="1" x14ac:dyDescent="0.25">
      <c r="A16" s="313" t="s">
        <v>2</v>
      </c>
      <c r="B16" s="313" t="s">
        <v>207</v>
      </c>
      <c r="C16" s="306" t="s">
        <v>117</v>
      </c>
      <c r="D16" s="306" t="s">
        <v>118</v>
      </c>
      <c r="E16" s="306" t="s">
        <v>119</v>
      </c>
      <c r="F16" s="306" t="s">
        <v>120</v>
      </c>
      <c r="G16" s="312"/>
      <c r="H16" s="312"/>
      <c r="I16" s="312"/>
      <c r="J16" s="306" t="s">
        <v>121</v>
      </c>
      <c r="K16" s="312"/>
      <c r="L16" s="312"/>
      <c r="M16" s="312"/>
    </row>
    <row r="17" spans="1:13" ht="13.2" customHeight="1" x14ac:dyDescent="0.25">
      <c r="A17" s="314"/>
      <c r="B17" s="314"/>
      <c r="C17" s="306"/>
      <c r="D17" s="306"/>
      <c r="E17" s="306"/>
      <c r="F17" s="306" t="s">
        <v>126</v>
      </c>
      <c r="G17" s="306" t="s">
        <v>127</v>
      </c>
      <c r="H17" s="312"/>
      <c r="I17" s="312"/>
      <c r="J17" s="306" t="s">
        <v>126</v>
      </c>
      <c r="K17" s="306" t="s">
        <v>127</v>
      </c>
      <c r="L17" s="312"/>
      <c r="M17" s="312"/>
    </row>
    <row r="18" spans="1:13" x14ac:dyDescent="0.25">
      <c r="A18" s="314"/>
      <c r="B18" s="314"/>
      <c r="C18" s="306"/>
      <c r="D18" s="306"/>
      <c r="E18" s="306"/>
      <c r="F18" s="312"/>
      <c r="G18" s="242" t="s">
        <v>128</v>
      </c>
      <c r="H18" s="242" t="s">
        <v>208</v>
      </c>
      <c r="I18" s="242" t="s">
        <v>130</v>
      </c>
      <c r="J18" s="312"/>
      <c r="K18" s="242" t="s">
        <v>128</v>
      </c>
      <c r="L18" s="242" t="s">
        <v>208</v>
      </c>
      <c r="M18" s="242" t="s">
        <v>130</v>
      </c>
    </row>
    <row r="19" spans="1:13" ht="13.2" customHeight="1" x14ac:dyDescent="0.25">
      <c r="A19" s="245">
        <v>1</v>
      </c>
      <c r="B19" s="244">
        <v>2</v>
      </c>
      <c r="C19" s="242">
        <v>3</v>
      </c>
      <c r="D19" s="242">
        <v>4</v>
      </c>
      <c r="E19" s="246">
        <v>5</v>
      </c>
      <c r="F19" s="243">
        <v>6</v>
      </c>
      <c r="G19" s="243">
        <v>7</v>
      </c>
      <c r="H19" s="243">
        <v>8</v>
      </c>
      <c r="I19" s="243">
        <v>9</v>
      </c>
      <c r="J19" s="243">
        <v>10</v>
      </c>
      <c r="K19" s="243">
        <v>11</v>
      </c>
      <c r="L19" s="243">
        <v>12</v>
      </c>
      <c r="M19" s="243">
        <v>13</v>
      </c>
    </row>
    <row r="20" spans="1:13" ht="13.2" customHeight="1" x14ac:dyDescent="0.25">
      <c r="A20" s="309" t="s">
        <v>209</v>
      </c>
      <c r="B20" s="308"/>
      <c r="C20" s="308"/>
      <c r="D20" s="308"/>
      <c r="E20" s="308"/>
      <c r="F20" s="308"/>
      <c r="G20" s="308"/>
      <c r="H20" s="308"/>
      <c r="I20" s="308"/>
      <c r="J20" s="308"/>
      <c r="K20" s="308"/>
      <c r="L20" s="308"/>
      <c r="M20" s="308"/>
    </row>
    <row r="21" spans="1:13" ht="24" x14ac:dyDescent="0.25">
      <c r="A21" s="245">
        <v>1</v>
      </c>
      <c r="B21" s="247" t="s">
        <v>210</v>
      </c>
      <c r="C21" s="248" t="s">
        <v>211</v>
      </c>
      <c r="D21" s="246" t="s">
        <v>212</v>
      </c>
      <c r="E21" s="249">
        <v>1</v>
      </c>
      <c r="F21" s="250">
        <v>1966.83</v>
      </c>
      <c r="G21" s="250">
        <v>127.16</v>
      </c>
      <c r="H21" s="250">
        <v>1658.46</v>
      </c>
      <c r="I21" s="250">
        <v>86.15</v>
      </c>
      <c r="J21" s="251">
        <v>1966.83</v>
      </c>
      <c r="K21" s="251">
        <v>127.16</v>
      </c>
      <c r="L21" s="251">
        <v>1658.46</v>
      </c>
      <c r="M21" s="251">
        <v>86.15</v>
      </c>
    </row>
    <row r="22" spans="1:13" ht="36" x14ac:dyDescent="0.25">
      <c r="A22" s="245">
        <v>2</v>
      </c>
      <c r="B22" s="247" t="s">
        <v>213</v>
      </c>
      <c r="C22" s="248" t="s">
        <v>214</v>
      </c>
      <c r="D22" s="246" t="s">
        <v>212</v>
      </c>
      <c r="E22" s="249">
        <v>18</v>
      </c>
      <c r="F22" s="250">
        <v>795.73</v>
      </c>
      <c r="G22" s="250">
        <v>46.35</v>
      </c>
      <c r="H22" s="250">
        <v>649.76</v>
      </c>
      <c r="I22" s="250">
        <v>33.75</v>
      </c>
      <c r="J22" s="251">
        <v>14323.14</v>
      </c>
      <c r="K22" s="251">
        <v>834.3</v>
      </c>
      <c r="L22" s="251">
        <v>11695.68</v>
      </c>
      <c r="M22" s="251">
        <v>607.5</v>
      </c>
    </row>
    <row r="23" spans="1:13" ht="24" x14ac:dyDescent="0.25">
      <c r="A23" s="245">
        <v>3</v>
      </c>
      <c r="B23" s="247" t="s">
        <v>215</v>
      </c>
      <c r="C23" s="248" t="s">
        <v>216</v>
      </c>
      <c r="D23" s="246" t="s">
        <v>135</v>
      </c>
      <c r="E23" s="246">
        <v>3</v>
      </c>
      <c r="F23" s="250">
        <v>186.77</v>
      </c>
      <c r="G23" s="250">
        <v>96.22</v>
      </c>
      <c r="H23" s="250">
        <v>52.98</v>
      </c>
      <c r="I23" s="250">
        <v>2.72</v>
      </c>
      <c r="J23" s="251">
        <v>560.30999999999995</v>
      </c>
      <c r="K23" s="251">
        <v>288.66000000000003</v>
      </c>
      <c r="L23" s="251">
        <v>158.94</v>
      </c>
      <c r="M23" s="251">
        <v>8.16</v>
      </c>
    </row>
    <row r="24" spans="1:13" ht="34.200000000000003" customHeight="1" x14ac:dyDescent="0.25">
      <c r="A24" s="245">
        <v>4</v>
      </c>
      <c r="B24" s="247" t="s">
        <v>217</v>
      </c>
      <c r="C24" s="248" t="s">
        <v>218</v>
      </c>
      <c r="D24" s="246" t="s">
        <v>135</v>
      </c>
      <c r="E24" s="246">
        <v>0.9</v>
      </c>
      <c r="F24" s="250">
        <v>171.78</v>
      </c>
      <c r="G24" s="250">
        <v>90.02</v>
      </c>
      <c r="H24" s="250">
        <v>52.02</v>
      </c>
      <c r="I24" s="250">
        <v>2.72</v>
      </c>
      <c r="J24" s="251">
        <v>154.6</v>
      </c>
      <c r="K24" s="251">
        <v>81.02</v>
      </c>
      <c r="L24" s="251">
        <v>46.82</v>
      </c>
      <c r="M24" s="251">
        <v>2.4500000000000002</v>
      </c>
    </row>
    <row r="25" spans="1:13" ht="22.8" x14ac:dyDescent="0.25">
      <c r="A25" s="245">
        <v>5</v>
      </c>
      <c r="B25" s="247" t="s">
        <v>189</v>
      </c>
      <c r="C25" s="248" t="s">
        <v>219</v>
      </c>
      <c r="D25" s="246" t="s">
        <v>191</v>
      </c>
      <c r="E25" s="249">
        <v>0.04</v>
      </c>
      <c r="F25" s="250">
        <v>769.97</v>
      </c>
      <c r="G25" s="250">
        <v>523.79999999999995</v>
      </c>
      <c r="H25" s="250">
        <v>153.18</v>
      </c>
      <c r="I25" s="250">
        <v>2.72</v>
      </c>
      <c r="J25" s="251">
        <v>30.8</v>
      </c>
      <c r="K25" s="251">
        <v>20.95</v>
      </c>
      <c r="L25" s="251">
        <v>6.13</v>
      </c>
      <c r="M25" s="251">
        <v>0.11</v>
      </c>
    </row>
    <row r="26" spans="1:13" ht="24" x14ac:dyDescent="0.25">
      <c r="A26" s="245">
        <v>6</v>
      </c>
      <c r="B26" s="247" t="s">
        <v>220</v>
      </c>
      <c r="C26" s="248" t="s">
        <v>221</v>
      </c>
      <c r="D26" s="246" t="s">
        <v>139</v>
      </c>
      <c r="E26" s="249">
        <v>6</v>
      </c>
      <c r="F26" s="250">
        <v>610.34</v>
      </c>
      <c r="G26" s="250">
        <v>51.6</v>
      </c>
      <c r="H26" s="250">
        <v>555.71</v>
      </c>
      <c r="I26" s="250">
        <v>57.03</v>
      </c>
      <c r="J26" s="251">
        <v>3662.04</v>
      </c>
      <c r="K26" s="251">
        <v>309.60000000000002</v>
      </c>
      <c r="L26" s="251">
        <v>3334.26</v>
      </c>
      <c r="M26" s="251">
        <v>342.18</v>
      </c>
    </row>
    <row r="27" spans="1:13" x14ac:dyDescent="0.25">
      <c r="A27" s="245">
        <v>7</v>
      </c>
      <c r="B27" s="247" t="s">
        <v>193</v>
      </c>
      <c r="C27" s="248" t="s">
        <v>222</v>
      </c>
      <c r="D27" s="246" t="s">
        <v>162</v>
      </c>
      <c r="E27" s="249">
        <v>6.3E-3</v>
      </c>
      <c r="F27" s="250">
        <v>16455.060000000001</v>
      </c>
      <c r="G27" s="251"/>
      <c r="H27" s="251"/>
      <c r="I27" s="251"/>
      <c r="J27" s="251">
        <v>103.67</v>
      </c>
      <c r="K27" s="251"/>
      <c r="L27" s="251"/>
      <c r="M27" s="251"/>
    </row>
    <row r="28" spans="1:13" ht="13.2" customHeight="1" x14ac:dyDescent="0.25">
      <c r="A28" s="245">
        <v>15</v>
      </c>
      <c r="B28" s="247" t="s">
        <v>185</v>
      </c>
      <c r="C28" s="248" t="s">
        <v>240</v>
      </c>
      <c r="D28" s="246" t="s">
        <v>139</v>
      </c>
      <c r="E28" s="249">
        <v>2</v>
      </c>
      <c r="F28" s="250">
        <v>4.95</v>
      </c>
      <c r="G28" s="250">
        <v>4.95</v>
      </c>
      <c r="H28" s="251"/>
      <c r="I28" s="251"/>
      <c r="J28" s="251">
        <v>9.9</v>
      </c>
      <c r="K28" s="251">
        <v>9.9</v>
      </c>
      <c r="L28" s="251"/>
      <c r="M28" s="251"/>
    </row>
    <row r="29" spans="1:13" x14ac:dyDescent="0.25">
      <c r="A29" s="307" t="s">
        <v>223</v>
      </c>
      <c r="B29" s="308"/>
      <c r="C29" s="308"/>
      <c r="D29" s="308"/>
      <c r="E29" s="308"/>
      <c r="F29" s="308"/>
      <c r="G29" s="308"/>
      <c r="H29" s="308"/>
      <c r="I29" s="308"/>
      <c r="J29" s="308"/>
      <c r="K29" s="308"/>
      <c r="L29" s="308"/>
      <c r="M29" s="308"/>
    </row>
    <row r="30" spans="1:13" ht="36" x14ac:dyDescent="0.25">
      <c r="A30" s="245">
        <v>13</v>
      </c>
      <c r="B30" s="247" t="s">
        <v>241</v>
      </c>
      <c r="C30" s="248" t="s">
        <v>242</v>
      </c>
      <c r="D30" s="246"/>
      <c r="E30" s="249">
        <v>6</v>
      </c>
      <c r="F30" s="250" t="s">
        <v>243</v>
      </c>
      <c r="G30" s="251"/>
      <c r="H30" s="251"/>
      <c r="I30" s="251"/>
      <c r="J30" s="251">
        <v>2093.8200000000002</v>
      </c>
      <c r="K30" s="251"/>
      <c r="L30" s="251"/>
      <c r="M30" s="251"/>
    </row>
    <row r="31" spans="1:13" ht="28.2" customHeight="1" x14ac:dyDescent="0.25">
      <c r="A31" s="245">
        <v>9</v>
      </c>
      <c r="B31" s="247" t="s">
        <v>224</v>
      </c>
      <c r="C31" s="248" t="s">
        <v>225</v>
      </c>
      <c r="D31" s="246" t="s">
        <v>154</v>
      </c>
      <c r="E31" s="246">
        <v>110</v>
      </c>
      <c r="F31" s="250" t="s">
        <v>226</v>
      </c>
      <c r="G31" s="251"/>
      <c r="H31" s="251"/>
      <c r="I31" s="251"/>
      <c r="J31" s="251">
        <v>10738.2</v>
      </c>
      <c r="K31" s="251"/>
      <c r="L31" s="251"/>
      <c r="M31" s="251"/>
    </row>
    <row r="32" spans="1:13" ht="36" x14ac:dyDescent="0.25">
      <c r="A32" s="245">
        <v>10</v>
      </c>
      <c r="B32" s="247" t="s">
        <v>244</v>
      </c>
      <c r="C32" s="248" t="s">
        <v>245</v>
      </c>
      <c r="D32" s="246" t="s">
        <v>154</v>
      </c>
      <c r="E32" s="246">
        <v>413.4</v>
      </c>
      <c r="F32" s="250" t="s">
        <v>246</v>
      </c>
      <c r="G32" s="251"/>
      <c r="H32" s="251"/>
      <c r="I32" s="251"/>
      <c r="J32" s="251">
        <v>58421.69</v>
      </c>
      <c r="K32" s="251"/>
      <c r="L32" s="251"/>
      <c r="M32" s="251"/>
    </row>
    <row r="33" spans="1:13" ht="13.2" customHeight="1" x14ac:dyDescent="0.25">
      <c r="A33" s="245">
        <v>11</v>
      </c>
      <c r="B33" s="247" t="s">
        <v>227</v>
      </c>
      <c r="C33" s="248" t="s">
        <v>228</v>
      </c>
      <c r="D33" s="246" t="s">
        <v>162</v>
      </c>
      <c r="E33" s="249">
        <v>0.04</v>
      </c>
      <c r="F33" s="250" t="s">
        <v>247</v>
      </c>
      <c r="G33" s="251"/>
      <c r="H33" s="251"/>
      <c r="I33" s="251"/>
      <c r="J33" s="251">
        <v>327.86</v>
      </c>
      <c r="K33" s="251"/>
      <c r="L33" s="251"/>
      <c r="M33" s="251"/>
    </row>
    <row r="34" spans="1:13" ht="13.2" customHeight="1" x14ac:dyDescent="0.25">
      <c r="A34" s="245">
        <v>14</v>
      </c>
      <c r="B34" s="247" t="s">
        <v>248</v>
      </c>
      <c r="C34" s="248" t="s">
        <v>249</v>
      </c>
      <c r="D34" s="246" t="s">
        <v>157</v>
      </c>
      <c r="E34" s="249">
        <v>2</v>
      </c>
      <c r="F34" s="250" t="s">
        <v>250</v>
      </c>
      <c r="G34" s="251"/>
      <c r="H34" s="251"/>
      <c r="I34" s="251"/>
      <c r="J34" s="251">
        <v>216.6</v>
      </c>
      <c r="K34" s="251"/>
      <c r="L34" s="251"/>
      <c r="M34" s="251"/>
    </row>
    <row r="35" spans="1:13" ht="13.2" customHeight="1" x14ac:dyDescent="0.25">
      <c r="A35" s="307" t="s">
        <v>229</v>
      </c>
      <c r="B35" s="308"/>
      <c r="C35" s="308"/>
      <c r="D35" s="308"/>
      <c r="E35" s="308"/>
      <c r="F35" s="308"/>
      <c r="G35" s="308"/>
      <c r="H35" s="308"/>
      <c r="I35" s="308"/>
      <c r="J35" s="250">
        <v>92609.46</v>
      </c>
      <c r="K35" s="250">
        <v>1671.59</v>
      </c>
      <c r="L35" s="250">
        <v>16900.29</v>
      </c>
      <c r="M35" s="250">
        <v>1046.55</v>
      </c>
    </row>
    <row r="36" spans="1:13" ht="13.2" customHeight="1" x14ac:dyDescent="0.25">
      <c r="A36" s="307" t="s">
        <v>251</v>
      </c>
      <c r="B36" s="308"/>
      <c r="C36" s="308"/>
      <c r="D36" s="308"/>
      <c r="E36" s="308"/>
      <c r="F36" s="308"/>
      <c r="G36" s="308"/>
      <c r="H36" s="308"/>
      <c r="I36" s="308"/>
      <c r="J36" s="250">
        <v>96323.839999999997</v>
      </c>
      <c r="K36" s="250">
        <v>2005.91</v>
      </c>
      <c r="L36" s="250">
        <v>20280.349999999999</v>
      </c>
      <c r="M36" s="250">
        <v>1255.8599999999999</v>
      </c>
    </row>
    <row r="37" spans="1:13" ht="13.2" customHeight="1" x14ac:dyDescent="0.25">
      <c r="A37" s="307" t="s">
        <v>164</v>
      </c>
      <c r="B37" s="308"/>
      <c r="C37" s="308"/>
      <c r="D37" s="308"/>
      <c r="E37" s="308"/>
      <c r="F37" s="308"/>
      <c r="G37" s="308"/>
      <c r="H37" s="308"/>
      <c r="I37" s="308"/>
      <c r="J37" s="250">
        <v>3197.99</v>
      </c>
      <c r="K37" s="251"/>
      <c r="L37" s="251"/>
      <c r="M37" s="251"/>
    </row>
    <row r="38" spans="1:13" ht="13.2" customHeight="1" x14ac:dyDescent="0.25">
      <c r="A38" s="307" t="s">
        <v>165</v>
      </c>
      <c r="B38" s="308"/>
      <c r="C38" s="308"/>
      <c r="D38" s="308"/>
      <c r="E38" s="308"/>
      <c r="F38" s="308"/>
      <c r="G38" s="308"/>
      <c r="H38" s="308"/>
      <c r="I38" s="308"/>
      <c r="J38" s="250">
        <v>2120.15</v>
      </c>
      <c r="K38" s="251"/>
      <c r="L38" s="251"/>
      <c r="M38" s="251"/>
    </row>
    <row r="39" spans="1:13" ht="13.2" customHeight="1" x14ac:dyDescent="0.25">
      <c r="A39" s="309" t="s">
        <v>252</v>
      </c>
      <c r="B39" s="308"/>
      <c r="C39" s="308"/>
      <c r="D39" s="308"/>
      <c r="E39" s="308"/>
      <c r="F39" s="308"/>
      <c r="G39" s="308"/>
      <c r="H39" s="308"/>
      <c r="I39" s="308"/>
      <c r="J39" s="252">
        <v>101641.98</v>
      </c>
      <c r="K39" s="251"/>
      <c r="L39" s="251"/>
      <c r="M39" s="251"/>
    </row>
    <row r="40" spans="1:13" ht="13.2" customHeight="1" x14ac:dyDescent="0.25">
      <c r="A40" s="309" t="s">
        <v>230</v>
      </c>
      <c r="B40" s="308"/>
      <c r="C40" s="308"/>
      <c r="D40" s="308"/>
      <c r="E40" s="308"/>
      <c r="F40" s="308"/>
      <c r="G40" s="308"/>
      <c r="H40" s="308"/>
      <c r="I40" s="308"/>
      <c r="J40" s="308"/>
      <c r="K40" s="308"/>
      <c r="L40" s="308"/>
      <c r="M40" s="308"/>
    </row>
    <row r="41" spans="1:13" ht="13.2" customHeight="1" x14ac:dyDescent="0.25">
      <c r="A41" s="245">
        <v>12</v>
      </c>
      <c r="B41" s="247" t="s">
        <v>148</v>
      </c>
      <c r="C41" s="248" t="s">
        <v>149</v>
      </c>
      <c r="D41" s="246" t="s">
        <v>150</v>
      </c>
      <c r="E41" s="249">
        <v>3</v>
      </c>
      <c r="F41" s="250">
        <v>56.19</v>
      </c>
      <c r="G41" s="250">
        <v>56.19</v>
      </c>
      <c r="H41" s="251"/>
      <c r="I41" s="251"/>
      <c r="J41" s="251">
        <v>168.57</v>
      </c>
      <c r="K41" s="251">
        <v>168.57</v>
      </c>
      <c r="L41" s="251"/>
      <c r="M41" s="251"/>
    </row>
    <row r="42" spans="1:13" ht="13.2" customHeight="1" x14ac:dyDescent="0.25">
      <c r="A42" s="307" t="s">
        <v>229</v>
      </c>
      <c r="B42" s="308"/>
      <c r="C42" s="308"/>
      <c r="D42" s="308"/>
      <c r="E42" s="308"/>
      <c r="F42" s="308"/>
      <c r="G42" s="308"/>
      <c r="H42" s="308"/>
      <c r="I42" s="308"/>
      <c r="J42" s="250">
        <v>168.57</v>
      </c>
      <c r="K42" s="250">
        <v>168.57</v>
      </c>
      <c r="L42" s="251"/>
      <c r="M42" s="251"/>
    </row>
    <row r="43" spans="1:13" ht="13.2" customHeight="1" x14ac:dyDescent="0.25">
      <c r="A43" s="307" t="s">
        <v>253</v>
      </c>
      <c r="B43" s="308"/>
      <c r="C43" s="308"/>
      <c r="D43" s="308"/>
      <c r="E43" s="308"/>
      <c r="F43" s="308"/>
      <c r="G43" s="308"/>
      <c r="H43" s="308"/>
      <c r="I43" s="308"/>
      <c r="J43" s="250">
        <v>202.28</v>
      </c>
      <c r="K43" s="250">
        <v>202.28</v>
      </c>
      <c r="L43" s="251"/>
      <c r="M43" s="251"/>
    </row>
    <row r="44" spans="1:13" ht="13.2" customHeight="1" x14ac:dyDescent="0.25">
      <c r="A44" s="307" t="s">
        <v>164</v>
      </c>
      <c r="B44" s="308"/>
      <c r="C44" s="308"/>
      <c r="D44" s="308"/>
      <c r="E44" s="308"/>
      <c r="F44" s="308"/>
      <c r="G44" s="308"/>
      <c r="H44" s="308"/>
      <c r="I44" s="308"/>
      <c r="J44" s="250">
        <v>131.47999999999999</v>
      </c>
      <c r="K44" s="251"/>
      <c r="L44" s="251"/>
      <c r="M44" s="251"/>
    </row>
    <row r="45" spans="1:13" ht="13.2" customHeight="1" x14ac:dyDescent="0.25">
      <c r="A45" s="307" t="s">
        <v>165</v>
      </c>
      <c r="B45" s="308"/>
      <c r="C45" s="308"/>
      <c r="D45" s="308"/>
      <c r="E45" s="308"/>
      <c r="F45" s="308"/>
      <c r="G45" s="308"/>
      <c r="H45" s="308"/>
      <c r="I45" s="308"/>
      <c r="J45" s="250">
        <v>80.91</v>
      </c>
      <c r="K45" s="251"/>
      <c r="L45" s="251"/>
      <c r="M45" s="251"/>
    </row>
    <row r="46" spans="1:13" ht="13.2" customHeight="1" x14ac:dyDescent="0.25">
      <c r="A46" s="309" t="s">
        <v>231</v>
      </c>
      <c r="B46" s="308"/>
      <c r="C46" s="308"/>
      <c r="D46" s="308"/>
      <c r="E46" s="308"/>
      <c r="F46" s="308"/>
      <c r="G46" s="308"/>
      <c r="H46" s="308"/>
      <c r="I46" s="308"/>
      <c r="J46" s="252">
        <v>414.67</v>
      </c>
      <c r="K46" s="251"/>
      <c r="L46" s="251"/>
      <c r="M46" s="251"/>
    </row>
    <row r="47" spans="1:13" x14ac:dyDescent="0.25">
      <c r="A47" s="315" t="s">
        <v>232</v>
      </c>
      <c r="B47" s="316"/>
      <c r="C47" s="316"/>
      <c r="D47" s="316"/>
      <c r="E47" s="316"/>
      <c r="F47" s="316"/>
      <c r="G47" s="316"/>
      <c r="H47" s="316"/>
      <c r="I47" s="316"/>
      <c r="J47" s="316"/>
      <c r="K47" s="316"/>
      <c r="L47" s="316"/>
      <c r="M47" s="316"/>
    </row>
    <row r="48" spans="1:13" ht="13.2" customHeight="1" x14ac:dyDescent="0.25">
      <c r="A48" s="307" t="s">
        <v>163</v>
      </c>
      <c r="B48" s="308"/>
      <c r="C48" s="308"/>
      <c r="D48" s="308"/>
      <c r="E48" s="308"/>
      <c r="F48" s="308"/>
      <c r="G48" s="308"/>
      <c r="H48" s="308"/>
      <c r="I48" s="308"/>
      <c r="J48" s="250">
        <v>92778.03</v>
      </c>
      <c r="K48" s="250">
        <v>1840.16</v>
      </c>
      <c r="L48" s="250">
        <v>16900.29</v>
      </c>
      <c r="M48" s="250">
        <v>1046.55</v>
      </c>
    </row>
    <row r="49" spans="1:13" ht="13.2" customHeight="1" x14ac:dyDescent="0.25">
      <c r="A49" s="307" t="s">
        <v>199</v>
      </c>
      <c r="B49" s="308"/>
      <c r="C49" s="308"/>
      <c r="D49" s="308"/>
      <c r="E49" s="308"/>
      <c r="F49" s="308"/>
      <c r="G49" s="308"/>
      <c r="H49" s="308"/>
      <c r="I49" s="308"/>
      <c r="J49" s="250">
        <v>96526.12</v>
      </c>
      <c r="K49" s="250">
        <v>2208.19</v>
      </c>
      <c r="L49" s="250">
        <v>20280.349999999999</v>
      </c>
      <c r="M49" s="250">
        <v>1255.8599999999999</v>
      </c>
    </row>
    <row r="50" spans="1:13" ht="13.2" customHeight="1" x14ac:dyDescent="0.25">
      <c r="A50" s="307" t="s">
        <v>254</v>
      </c>
      <c r="B50" s="308"/>
      <c r="C50" s="308"/>
      <c r="D50" s="308"/>
      <c r="E50" s="308"/>
      <c r="F50" s="308"/>
      <c r="G50" s="308"/>
      <c r="H50" s="308"/>
      <c r="I50" s="308"/>
      <c r="J50" s="251"/>
      <c r="K50" s="251"/>
      <c r="L50" s="251"/>
      <c r="M50" s="251"/>
    </row>
    <row r="51" spans="1:13" ht="13.2" customHeight="1" x14ac:dyDescent="0.25">
      <c r="A51" s="307" t="s">
        <v>255</v>
      </c>
      <c r="B51" s="308"/>
      <c r="C51" s="308"/>
      <c r="D51" s="308"/>
      <c r="E51" s="308"/>
      <c r="F51" s="308"/>
      <c r="G51" s="308"/>
      <c r="H51" s="308"/>
      <c r="I51" s="308"/>
      <c r="J51" s="250">
        <v>3748.09</v>
      </c>
      <c r="K51" s="250">
        <v>368.03</v>
      </c>
      <c r="L51" s="250">
        <v>3380.06</v>
      </c>
      <c r="M51" s="250">
        <v>209.31</v>
      </c>
    </row>
    <row r="52" spans="1:13" ht="13.2" customHeight="1" x14ac:dyDescent="0.25">
      <c r="A52" s="307" t="s">
        <v>164</v>
      </c>
      <c r="B52" s="308"/>
      <c r="C52" s="308"/>
      <c r="D52" s="308"/>
      <c r="E52" s="308"/>
      <c r="F52" s="308"/>
      <c r="G52" s="308"/>
      <c r="H52" s="308"/>
      <c r="I52" s="308"/>
      <c r="J52" s="250">
        <v>3329.47</v>
      </c>
      <c r="K52" s="251"/>
      <c r="L52" s="251"/>
      <c r="M52" s="251"/>
    </row>
    <row r="53" spans="1:13" ht="13.2" customHeight="1" x14ac:dyDescent="0.25">
      <c r="A53" s="307" t="s">
        <v>165</v>
      </c>
      <c r="B53" s="308"/>
      <c r="C53" s="308"/>
      <c r="D53" s="308"/>
      <c r="E53" s="308"/>
      <c r="F53" s="308"/>
      <c r="G53" s="308"/>
      <c r="H53" s="308"/>
      <c r="I53" s="308"/>
      <c r="J53" s="250">
        <v>2201.06</v>
      </c>
      <c r="K53" s="251"/>
      <c r="L53" s="251"/>
      <c r="M53" s="251"/>
    </row>
    <row r="54" spans="1:13" ht="13.2" customHeight="1" x14ac:dyDescent="0.25">
      <c r="A54" s="309" t="s">
        <v>166</v>
      </c>
      <c r="B54" s="308"/>
      <c r="C54" s="308"/>
      <c r="D54" s="308"/>
      <c r="E54" s="308"/>
      <c r="F54" s="308"/>
      <c r="G54" s="308"/>
      <c r="H54" s="308"/>
      <c r="I54" s="308"/>
      <c r="J54" s="251"/>
      <c r="K54" s="251"/>
      <c r="L54" s="251"/>
      <c r="M54" s="251"/>
    </row>
    <row r="55" spans="1:13" ht="13.2" customHeight="1" x14ac:dyDescent="0.25">
      <c r="A55" s="307" t="s">
        <v>167</v>
      </c>
      <c r="B55" s="308"/>
      <c r="C55" s="308"/>
      <c r="D55" s="308"/>
      <c r="E55" s="308"/>
      <c r="F55" s="308"/>
      <c r="G55" s="308"/>
      <c r="H55" s="308"/>
      <c r="I55" s="308"/>
      <c r="J55" s="250">
        <v>22646.799999999999</v>
      </c>
      <c r="K55" s="251"/>
      <c r="L55" s="251"/>
      <c r="M55" s="251"/>
    </row>
    <row r="56" spans="1:13" ht="13.2" customHeight="1" x14ac:dyDescent="0.25">
      <c r="A56" s="307" t="s">
        <v>168</v>
      </c>
      <c r="B56" s="308"/>
      <c r="C56" s="308"/>
      <c r="D56" s="308"/>
      <c r="E56" s="308"/>
      <c r="F56" s="308"/>
      <c r="G56" s="308"/>
      <c r="H56" s="308"/>
      <c r="I56" s="308"/>
      <c r="J56" s="250">
        <v>78995.179999999993</v>
      </c>
      <c r="K56" s="251"/>
      <c r="L56" s="251"/>
      <c r="M56" s="251"/>
    </row>
    <row r="57" spans="1:13" x14ac:dyDescent="0.25">
      <c r="A57" s="307" t="s">
        <v>169</v>
      </c>
      <c r="B57" s="308"/>
      <c r="C57" s="308"/>
      <c r="D57" s="308"/>
      <c r="E57" s="308"/>
      <c r="F57" s="308"/>
      <c r="G57" s="308"/>
      <c r="H57" s="308"/>
      <c r="I57" s="308"/>
      <c r="J57" s="250">
        <v>414.67</v>
      </c>
      <c r="K57" s="251"/>
      <c r="L57" s="251"/>
      <c r="M57" s="251"/>
    </row>
    <row r="58" spans="1:13" x14ac:dyDescent="0.25">
      <c r="A58" s="307" t="s">
        <v>170</v>
      </c>
      <c r="B58" s="308"/>
      <c r="C58" s="308"/>
      <c r="D58" s="308"/>
      <c r="E58" s="308"/>
      <c r="F58" s="308"/>
      <c r="G58" s="308"/>
      <c r="H58" s="308"/>
      <c r="I58" s="308"/>
      <c r="J58" s="250">
        <v>102056.65</v>
      </c>
      <c r="K58" s="251"/>
      <c r="L58" s="251"/>
      <c r="M58" s="251"/>
    </row>
    <row r="59" spans="1:13" x14ac:dyDescent="0.25">
      <c r="A59" s="309" t="s">
        <v>171</v>
      </c>
      <c r="B59" s="308"/>
      <c r="C59" s="308"/>
      <c r="D59" s="308"/>
      <c r="E59" s="308"/>
      <c r="F59" s="308"/>
      <c r="G59" s="308"/>
      <c r="H59" s="308"/>
      <c r="I59" s="308"/>
      <c r="J59" s="252">
        <v>102056.65</v>
      </c>
      <c r="K59" s="251"/>
      <c r="L59" s="251"/>
      <c r="M59" s="251"/>
    </row>
  </sheetData>
  <mergeCells count="46">
    <mergeCell ref="C2:J2"/>
    <mergeCell ref="E3:F3"/>
    <mergeCell ref="C5:J5"/>
    <mergeCell ref="A59:I59"/>
    <mergeCell ref="A53:I53"/>
    <mergeCell ref="A54:I54"/>
    <mergeCell ref="A55:I55"/>
    <mergeCell ref="A56:I56"/>
    <mergeCell ref="A57:I57"/>
    <mergeCell ref="A58:I58"/>
    <mergeCell ref="A51:I51"/>
    <mergeCell ref="A52:I52"/>
    <mergeCell ref="A40:M40"/>
    <mergeCell ref="A42:I42"/>
    <mergeCell ref="A43:I43"/>
    <mergeCell ref="A20:M20"/>
    <mergeCell ref="A47:M47"/>
    <mergeCell ref="A48:I48"/>
    <mergeCell ref="A49:I49"/>
    <mergeCell ref="A50:I50"/>
    <mergeCell ref="J16:M16"/>
    <mergeCell ref="F17:F18"/>
    <mergeCell ref="G17:I17"/>
    <mergeCell ref="J17:J18"/>
    <mergeCell ref="K17:M17"/>
    <mergeCell ref="A44:I44"/>
    <mergeCell ref="A45:I45"/>
    <mergeCell ref="A46:I46"/>
    <mergeCell ref="A29:M29"/>
    <mergeCell ref="A35:I35"/>
    <mergeCell ref="A36:I36"/>
    <mergeCell ref="A37:I37"/>
    <mergeCell ref="A38:I38"/>
    <mergeCell ref="A39:I39"/>
    <mergeCell ref="A16:A18"/>
    <mergeCell ref="B16:B18"/>
    <mergeCell ref="C16:C18"/>
    <mergeCell ref="D16:D18"/>
    <mergeCell ref="E16:E18"/>
    <mergeCell ref="F16:I16"/>
    <mergeCell ref="E9:F9"/>
    <mergeCell ref="E13:F13"/>
    <mergeCell ref="E14:F14"/>
    <mergeCell ref="E12:F12"/>
    <mergeCell ref="E11:F11"/>
    <mergeCell ref="E10:F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18</vt:i4>
      </vt:variant>
    </vt:vector>
  </HeadingPairs>
  <TitlesOfParts>
    <vt:vector size="23" baseType="lpstr">
      <vt:lpstr>4 КВ 2010</vt:lpstr>
      <vt:lpstr>Свод</vt:lpstr>
      <vt:lpstr>ССР</vt:lpstr>
      <vt:lpstr>ЛСР</vt:lpstr>
      <vt:lpstr>ПРОКОЛ-100м</vt:lpstr>
      <vt:lpstr>'4 КВ 2010'!Constr</vt:lpstr>
      <vt:lpstr>Свод!Constr</vt:lpstr>
      <vt:lpstr>ССР!Constr</vt:lpstr>
      <vt:lpstr>'4 КВ 2010'!FOT</vt:lpstr>
      <vt:lpstr>Свод!FOT</vt:lpstr>
      <vt:lpstr>ССР!FOT</vt:lpstr>
      <vt:lpstr>'4 КВ 2010'!Ind</vt:lpstr>
      <vt:lpstr>Свод!Ind</vt:lpstr>
      <vt:lpstr>ССР!Ind</vt:lpstr>
      <vt:lpstr>'4 КВ 2010'!Obj</vt:lpstr>
      <vt:lpstr>Свод!Obj</vt:lpstr>
      <vt:lpstr>ССР!Obj</vt:lpstr>
      <vt:lpstr>'4 КВ 2010'!Obosn</vt:lpstr>
      <vt:lpstr>Свод!Obosn</vt:lpstr>
      <vt:lpstr>ССР!Obosn</vt:lpstr>
      <vt:lpstr>'4 КВ 2010'!Область_печати</vt:lpstr>
      <vt:lpstr>Свод!Область_печати</vt:lpstr>
      <vt:lpstr>ССР!Область_печати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Bahmutova.NA</dc:creator>
  <cp:lastModifiedBy>volodina.ea</cp:lastModifiedBy>
  <cp:lastPrinted>2014-02-06T05:32:04Z</cp:lastPrinted>
  <dcterms:created xsi:type="dcterms:W3CDTF">2011-09-12T10:28:51Z</dcterms:created>
  <dcterms:modified xsi:type="dcterms:W3CDTF">2016-08-11T07:11:57Z</dcterms:modified>
</cp:coreProperties>
</file>