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56" windowHeight="11196" firstSheet="4" activeTab="4"/>
  </bookViews>
  <sheets>
    <sheet name="4 КВ 2010" sheetId="5" state="hidden" r:id="rId1"/>
    <sheet name="Свод" sheetId="4" state="hidden" r:id="rId2"/>
    <sheet name="ССР-СТП-25кВА" sheetId="6" state="hidden" r:id="rId3"/>
    <sheet name="ЛСР. СТП-25кВА" sheetId="7" state="hidden" r:id="rId4"/>
    <sheet name="ССР-РЛК-10кВ-2шт" sheetId="8" r:id="rId5"/>
    <sheet name="ЛСР РЛК-10кВ-1шт" sheetId="9" r:id="rId6"/>
    <sheet name="ССР.ВЛ-10кВ-0,6км" sheetId="10" state="hidden" r:id="rId7"/>
    <sheet name="ЛСР№2.  ВЛ-10кВ-0,6км" sheetId="11" state="hidden" r:id="rId8"/>
    <sheet name="Сводный расчет " sheetId="12" state="hidden" r:id="rId9"/>
    <sheet name="ССР-КЛ-10кВ" sheetId="13" state="hidden" r:id="rId10"/>
    <sheet name="ЛСР. КЛ-10кВ" sheetId="14" state="hidden" r:id="rId11"/>
    <sheet name="Лист3" sheetId="15" state="hidden" r:id="rId12"/>
    <sheet name="Лист1" sheetId="16" state="hidden" r:id="rId13"/>
  </sheets>
  <definedNames>
    <definedName name="Constr" localSheetId="0">'4 КВ 2010'!$A$2</definedName>
    <definedName name="Constr" localSheetId="1">Свод!$A$2</definedName>
    <definedName name="Constr" localSheetId="2">'ССР-СТП-25кВА'!$A$2</definedName>
    <definedName name="FOT" localSheetId="0">'4 КВ 2010'!$E$14</definedName>
    <definedName name="FOT" localSheetId="1">Свод!$E$14</definedName>
    <definedName name="FOT" localSheetId="2">'ССР-СТП-25кВА'!$E$14</definedName>
    <definedName name="Ind" localSheetId="0">'4 КВ 2010'!$I$4</definedName>
    <definedName name="Ind" localSheetId="1">Свод!$I$4</definedName>
    <definedName name="Ind" localSheetId="2">'ССР-СТП-25кВА'!$I$4</definedName>
    <definedName name="Obj" localSheetId="0">'4 КВ 2010'!$F$7</definedName>
    <definedName name="Obj" localSheetId="1">Свод!$F$7</definedName>
    <definedName name="Obj" localSheetId="2">'ССР-СТП-25кВА'!$F$7</definedName>
    <definedName name="Obosn" localSheetId="0">'4 КВ 2010'!$A$10</definedName>
    <definedName name="Obosn" localSheetId="1">Свод!$A$10</definedName>
    <definedName name="Obosn" localSheetId="2">'ССР-СТП-25кВА'!$A$10</definedName>
    <definedName name="SmPr" localSheetId="0">'4 КВ 2010'!#REF!</definedName>
    <definedName name="SmPr" localSheetId="1">Свод!#REF!</definedName>
    <definedName name="SmPr" localSheetId="2">'ССР-СТП-25кВА'!#REF!</definedName>
    <definedName name="_xlnm.Print_Area" localSheetId="0">'4 КВ 2010'!$A$1:$I$58</definedName>
    <definedName name="_xlnm.Print_Area" localSheetId="1">Свод!$A$1:$I$57</definedName>
    <definedName name="_xlnm.Print_Area" localSheetId="2">'ССР-СТП-25кВА'!$A$1:$I$60</definedName>
  </definedNames>
  <calcPr calcId="145621"/>
</workbook>
</file>

<file path=xl/calcChain.xml><?xml version="1.0" encoding="utf-8"?>
<calcChain xmlns="http://schemas.openxmlformats.org/spreadsheetml/2006/main">
  <c r="H22" i="8" l="1"/>
  <c r="G22" i="8"/>
  <c r="F22" i="8"/>
  <c r="E22" i="8"/>
  <c r="J39" i="9" l="1"/>
  <c r="G21" i="6" l="1"/>
  <c r="E45" i="13" l="1"/>
  <c r="E28" i="13"/>
  <c r="E25" i="13"/>
  <c r="H36" i="13"/>
  <c r="E22" i="13" l="1"/>
  <c r="I21" i="6" l="1"/>
  <c r="H35" i="6" s="1"/>
  <c r="H47" i="6" s="1"/>
  <c r="G22" i="6"/>
  <c r="G25" i="6" s="1"/>
  <c r="G30" i="6" s="1"/>
  <c r="G40" i="6" s="1"/>
  <c r="F22" i="6"/>
  <c r="F24" i="6" s="1"/>
  <c r="F25" i="6" s="1"/>
  <c r="F27" i="6" s="1"/>
  <c r="E22" i="6"/>
  <c r="H36" i="6"/>
  <c r="I36" i="6" s="1"/>
  <c r="H29" i="6"/>
  <c r="G29" i="6"/>
  <c r="H22" i="6"/>
  <c r="H46" i="6" s="1"/>
  <c r="H37" i="6" l="1"/>
  <c r="I35" i="6"/>
  <c r="I37" i="6" s="1"/>
  <c r="F29" i="6"/>
  <c r="F30" i="6" s="1"/>
  <c r="F38" i="6" s="1"/>
  <c r="F40" i="6" s="1"/>
  <c r="G38" i="6"/>
  <c r="E24" i="6"/>
  <c r="I24" i="6" s="1"/>
  <c r="H25" i="6"/>
  <c r="H30" i="6" s="1"/>
  <c r="I22" i="6"/>
  <c r="F42" i="6" l="1"/>
  <c r="F45" i="6" s="1"/>
  <c r="I25" i="6"/>
  <c r="G42" i="6"/>
  <c r="G49" i="6" s="1"/>
  <c r="E25" i="6"/>
  <c r="E27" i="6" s="1"/>
  <c r="I21" i="12"/>
  <c r="H21" i="12"/>
  <c r="G21" i="12"/>
  <c r="F21" i="12"/>
  <c r="E21" i="12"/>
  <c r="E22" i="12" s="1"/>
  <c r="I36" i="13"/>
  <c r="G29" i="13"/>
  <c r="H23" i="13"/>
  <c r="H46" i="13" s="1"/>
  <c r="G23" i="13"/>
  <c r="G26" i="13" s="1"/>
  <c r="G30" i="13" s="1"/>
  <c r="F23" i="13"/>
  <c r="E23" i="13"/>
  <c r="I22" i="13"/>
  <c r="I23" i="13" s="1"/>
  <c r="H35" i="13" s="1"/>
  <c r="H47" i="13" s="1"/>
  <c r="J18" i="12"/>
  <c r="F25" i="13" l="1"/>
  <c r="F26" i="13" s="1"/>
  <c r="F28" i="13" s="1"/>
  <c r="F29" i="13" s="1"/>
  <c r="F30" i="13" s="1"/>
  <c r="F38" i="13" s="1"/>
  <c r="F52" i="6"/>
  <c r="F53" i="6" s="1"/>
  <c r="G52" i="6"/>
  <c r="G53" i="6" s="1"/>
  <c r="G38" i="13"/>
  <c r="G40" i="13"/>
  <c r="H37" i="13"/>
  <c r="I35" i="13"/>
  <c r="I37" i="13" s="1"/>
  <c r="E26" i="13"/>
  <c r="H26" i="13"/>
  <c r="H30" i="13" s="1"/>
  <c r="I25" i="13" l="1"/>
  <c r="I26" i="13" s="1"/>
  <c r="E29" i="6"/>
  <c r="I27" i="6"/>
  <c r="F40" i="13"/>
  <c r="F42" i="13" s="1"/>
  <c r="F45" i="13" s="1"/>
  <c r="G42" i="13"/>
  <c r="G49" i="13" s="1"/>
  <c r="I29" i="6" l="1"/>
  <c r="I30" i="6" s="1"/>
  <c r="E30" i="6"/>
  <c r="E38" i="6" s="1"/>
  <c r="E40" i="6" s="1"/>
  <c r="F52" i="13"/>
  <c r="F53" i="13" s="1"/>
  <c r="G52" i="13"/>
  <c r="G53" i="13" s="1"/>
  <c r="I28" i="13"/>
  <c r="E29" i="13"/>
  <c r="H32" i="6" l="1"/>
  <c r="J39" i="6"/>
  <c r="I29" i="13"/>
  <c r="I30" i="13" s="1"/>
  <c r="H32" i="13" s="1"/>
  <c r="H48" i="13" s="1"/>
  <c r="E30" i="13"/>
  <c r="E38" i="13" s="1"/>
  <c r="H48" i="6" l="1"/>
  <c r="H49" i="6" s="1"/>
  <c r="H33" i="6"/>
  <c r="I33" i="6" s="1"/>
  <c r="I38" i="6" s="1"/>
  <c r="I32" i="6"/>
  <c r="H38" i="6"/>
  <c r="H40" i="6" s="1"/>
  <c r="E42" i="6"/>
  <c r="E45" i="6" s="1"/>
  <c r="E40" i="13"/>
  <c r="E52" i="6" l="1"/>
  <c r="E53" i="6" s="1"/>
  <c r="I45" i="6"/>
  <c r="I40" i="6"/>
  <c r="I42" i="6" s="1"/>
  <c r="H52" i="6"/>
  <c r="H53" i="6" s="1"/>
  <c r="H49" i="13"/>
  <c r="H33" i="13"/>
  <c r="I33" i="13" s="1"/>
  <c r="I38" i="13" s="1"/>
  <c r="I32" i="13"/>
  <c r="H38" i="13"/>
  <c r="E42" i="13"/>
  <c r="H42" i="6" l="1"/>
  <c r="I52" i="6"/>
  <c r="I53" i="6" s="1"/>
  <c r="B5" i="6" s="1"/>
  <c r="E52" i="13"/>
  <c r="E53" i="13" s="1"/>
  <c r="I45" i="13"/>
  <c r="H40" i="13"/>
  <c r="I40" i="13" s="1"/>
  <c r="I42" i="13" s="1"/>
  <c r="H52" i="13"/>
  <c r="H53" i="13" s="1"/>
  <c r="H42" i="13" l="1"/>
  <c r="I52" i="13"/>
  <c r="I53" i="13" s="1"/>
  <c r="B5" i="13" s="1"/>
  <c r="F45" i="10" l="1"/>
  <c r="H46" i="10" l="1"/>
  <c r="H36" i="10"/>
  <c r="I36" i="10"/>
  <c r="G29" i="10"/>
  <c r="G23" i="10"/>
  <c r="G26" i="10" s="1"/>
  <c r="G30" i="10" s="1"/>
  <c r="H23" i="10"/>
  <c r="F23" i="10"/>
  <c r="F25" i="10" s="1"/>
  <c r="F26" i="10" s="1"/>
  <c r="F28" i="10" l="1"/>
  <c r="F29" i="10" s="1"/>
  <c r="F30" i="10" s="1"/>
  <c r="F38" i="10" s="1"/>
  <c r="G38" i="10"/>
  <c r="G40" i="10"/>
  <c r="H26" i="10"/>
  <c r="H30" i="10" s="1"/>
  <c r="E23" i="10"/>
  <c r="I22" i="10"/>
  <c r="I23" i="10" s="1"/>
  <c r="H35" i="10" s="1"/>
  <c r="H47" i="10" s="1"/>
  <c r="F40" i="10" l="1"/>
  <c r="F42" i="10" s="1"/>
  <c r="H37" i="10"/>
  <c r="I35" i="10"/>
  <c r="I37" i="10" s="1"/>
  <c r="E25" i="10"/>
  <c r="I25" i="10" s="1"/>
  <c r="I26" i="10" s="1"/>
  <c r="G42" i="10"/>
  <c r="G49" i="10" s="1"/>
  <c r="J19" i="12"/>
  <c r="J17" i="12"/>
  <c r="E26" i="10" l="1"/>
  <c r="E28" i="10" s="1"/>
  <c r="F53" i="10"/>
  <c r="F54" i="10" s="1"/>
  <c r="G53" i="10"/>
  <c r="G54" i="10" s="1"/>
  <c r="H36" i="8"/>
  <c r="E23" i="8"/>
  <c r="E25" i="8" s="1"/>
  <c r="I22" i="8"/>
  <c r="H35" i="8" s="1"/>
  <c r="H47" i="8" s="1"/>
  <c r="E29" i="10" l="1"/>
  <c r="I28" i="10"/>
  <c r="I36" i="8"/>
  <c r="G29" i="8"/>
  <c r="H23" i="8"/>
  <c r="H46" i="8" s="1"/>
  <c r="G23" i="8"/>
  <c r="G26" i="8" s="1"/>
  <c r="G30" i="8" s="1"/>
  <c r="F23" i="8"/>
  <c r="F25" i="8" s="1"/>
  <c r="F26" i="8" l="1"/>
  <c r="F28" i="8" s="1"/>
  <c r="F29" i="8" s="1"/>
  <c r="F30" i="8" s="1"/>
  <c r="F38" i="8" s="1"/>
  <c r="I29" i="10"/>
  <c r="I30" i="10" s="1"/>
  <c r="H32" i="10" s="1"/>
  <c r="H48" i="10" s="1"/>
  <c r="E30" i="10"/>
  <c r="E38" i="10" s="1"/>
  <c r="H22" i="12"/>
  <c r="H23" i="12" s="1"/>
  <c r="G22" i="12"/>
  <c r="G23" i="12" s="1"/>
  <c r="F22" i="12"/>
  <c r="F23" i="12" s="1"/>
  <c r="H37" i="8"/>
  <c r="I35" i="8"/>
  <c r="I37" i="8" s="1"/>
  <c r="G38" i="8"/>
  <c r="G40" i="8"/>
  <c r="I23" i="8"/>
  <c r="E26" i="8"/>
  <c r="H26" i="8"/>
  <c r="H29" i="8" s="1"/>
  <c r="H30" i="8" s="1"/>
  <c r="I25" i="8" l="1"/>
  <c r="I26" i="8" s="1"/>
  <c r="E40" i="10"/>
  <c r="F40" i="8"/>
  <c r="F42" i="8" s="1"/>
  <c r="E28" i="8"/>
  <c r="G42" i="8"/>
  <c r="F45" i="8" l="1"/>
  <c r="F50" i="8" s="1"/>
  <c r="G49" i="8"/>
  <c r="G50" i="8" s="1"/>
  <c r="H49" i="10"/>
  <c r="H33" i="10"/>
  <c r="I33" i="10" s="1"/>
  <c r="I38" i="10" s="1"/>
  <c r="I32" i="10"/>
  <c r="H38" i="10"/>
  <c r="E42" i="10"/>
  <c r="E45" i="10" s="1"/>
  <c r="E29" i="8"/>
  <c r="I28" i="8"/>
  <c r="S81" i="6"/>
  <c r="F51" i="8" l="1"/>
  <c r="G51" i="8"/>
  <c r="I45" i="10"/>
  <c r="E53" i="10"/>
  <c r="E54" i="10" s="1"/>
  <c r="H40" i="10"/>
  <c r="I40" i="10" s="1"/>
  <c r="I42" i="10" s="1"/>
  <c r="H53" i="10"/>
  <c r="H54" i="10" s="1"/>
  <c r="I29" i="8"/>
  <c r="I30" i="8" s="1"/>
  <c r="H32" i="8" s="1"/>
  <c r="H38" i="8" s="1"/>
  <c r="E30" i="8"/>
  <c r="E38" i="8" s="1"/>
  <c r="H42" i="10" l="1"/>
  <c r="I53" i="10"/>
  <c r="I54" i="10" s="1"/>
  <c r="B5" i="10" s="1"/>
  <c r="E40" i="8"/>
  <c r="H48" i="8" l="1"/>
  <c r="H49" i="8" s="1"/>
  <c r="H50" i="8" s="1"/>
  <c r="H33" i="8"/>
  <c r="I33" i="8" s="1"/>
  <c r="I38" i="8" s="1"/>
  <c r="I32" i="8"/>
  <c r="E42" i="8"/>
  <c r="E45" i="8" s="1"/>
  <c r="H47" i="4"/>
  <c r="E50" i="8" l="1"/>
  <c r="I45" i="8"/>
  <c r="I50" i="8" s="1"/>
  <c r="E51" i="8"/>
  <c r="H40" i="8"/>
  <c r="I40" i="8" s="1"/>
  <c r="I42" i="8" s="1"/>
  <c r="H51" i="8"/>
  <c r="H45" i="4"/>
  <c r="H42" i="8" l="1"/>
  <c r="I51" i="8"/>
  <c r="B5" i="8" s="1"/>
  <c r="H33" i="4" l="1"/>
  <c r="G23" i="4"/>
  <c r="H23" i="4" l="1"/>
  <c r="H44" i="4" s="1"/>
  <c r="I21" i="4" l="1"/>
  <c r="H27" i="4" l="1"/>
  <c r="G29" i="4"/>
  <c r="G30" i="4" s="1"/>
  <c r="G38" i="4" s="1"/>
  <c r="G36" i="4" l="1"/>
  <c r="G40" i="4" s="1"/>
  <c r="G47" i="4" s="1"/>
  <c r="G51" i="4" l="1"/>
  <c r="G52" i="4" s="1"/>
  <c r="H35" i="5"/>
  <c r="F21" i="5" l="1"/>
  <c r="E21" i="5"/>
  <c r="I37" i="5"/>
  <c r="H36" i="5"/>
  <c r="H38" i="5" s="1"/>
  <c r="E25" i="5" l="1"/>
  <c r="F24" i="5"/>
  <c r="I24" i="5" s="1"/>
  <c r="F23" i="5" l="1"/>
  <c r="E23" i="5"/>
  <c r="F22" i="5"/>
  <c r="F26" i="5" s="1"/>
  <c r="E22" i="5"/>
  <c r="H26" i="5" l="1"/>
  <c r="G26" i="5"/>
  <c r="I25" i="5"/>
  <c r="I23" i="5"/>
  <c r="I22" i="5"/>
  <c r="F29" i="5"/>
  <c r="I21" i="5"/>
  <c r="I26" i="5" l="1"/>
  <c r="E26" i="5"/>
  <c r="E29" i="5" s="1"/>
  <c r="I29" i="5" s="1"/>
  <c r="I35" i="5" l="1"/>
  <c r="I38" i="5" s="1"/>
  <c r="I36" i="5"/>
  <c r="G31" i="5" l="1"/>
  <c r="G32" i="5" s="1"/>
  <c r="H30" i="5"/>
  <c r="I30" i="5" s="1"/>
  <c r="A30" i="5"/>
  <c r="J62" i="5" l="1"/>
  <c r="F31" i="5"/>
  <c r="H31" i="5"/>
  <c r="H32" i="5" s="1"/>
  <c r="G41" i="5"/>
  <c r="H47" i="5" l="1"/>
  <c r="H39" i="5"/>
  <c r="F32" i="5"/>
  <c r="E31" i="5"/>
  <c r="E32" i="5" s="1"/>
  <c r="G39" i="5"/>
  <c r="F39" i="5" l="1"/>
  <c r="F41" i="5"/>
  <c r="H41" i="5"/>
  <c r="H43" i="5" s="1"/>
  <c r="I31" i="5"/>
  <c r="E41" i="5"/>
  <c r="G43" i="5"/>
  <c r="G47" i="5" s="1"/>
  <c r="F43" i="5" l="1"/>
  <c r="F46" i="5" s="1"/>
  <c r="F52" i="5" s="1"/>
  <c r="F53" i="5" s="1"/>
  <c r="H52" i="5"/>
  <c r="H53" i="5" s="1"/>
  <c r="I32" i="5"/>
  <c r="I41" i="5"/>
  <c r="E39" i="5"/>
  <c r="G52" i="5"/>
  <c r="G53" i="5" s="1"/>
  <c r="I39" i="5" l="1"/>
  <c r="I43" i="5" s="1"/>
  <c r="E43" i="5"/>
  <c r="E46" i="5" s="1"/>
  <c r="I46" i="5" s="1"/>
  <c r="I50" i="5" l="1"/>
  <c r="E52" i="5"/>
  <c r="E53" i="5" s="1"/>
  <c r="A27" i="4"/>
  <c r="I27" i="4"/>
  <c r="I52" i="5" l="1"/>
  <c r="I53" i="5" s="1"/>
  <c r="B5" i="5" s="1"/>
  <c r="E23" i="4"/>
  <c r="E26" i="4" s="1"/>
  <c r="F23" i="4"/>
  <c r="I23" i="4"/>
  <c r="H28" i="4" s="1"/>
  <c r="I28" i="4" s="1"/>
  <c r="F26" i="4" l="1"/>
  <c r="F29" i="4" s="1"/>
  <c r="F30" i="4" s="1"/>
  <c r="F38" i="4" s="1"/>
  <c r="H35" i="4"/>
  <c r="E29" i="4"/>
  <c r="E30" i="4" s="1"/>
  <c r="I26" i="4" l="1"/>
  <c r="E38" i="4"/>
  <c r="E36" i="4"/>
  <c r="F36" i="4"/>
  <c r="F40" i="4" s="1"/>
  <c r="F43" i="4" s="1"/>
  <c r="E40" i="4"/>
  <c r="E43" i="4" s="1"/>
  <c r="H29" i="4"/>
  <c r="H30" i="4" s="1"/>
  <c r="I29" i="4"/>
  <c r="I30" i="4" s="1"/>
  <c r="I33" i="4"/>
  <c r="I35" i="4" s="1"/>
  <c r="H36" i="4" l="1"/>
  <c r="H46" i="4"/>
  <c r="F51" i="4"/>
  <c r="F52" i="4" s="1"/>
  <c r="I36" i="4"/>
  <c r="J36" i="4" l="1"/>
  <c r="H38" i="4"/>
  <c r="H40" i="4" s="1"/>
  <c r="E51" i="4"/>
  <c r="E52" i="4" s="1"/>
  <c r="I38" i="4"/>
  <c r="I40" i="4" s="1"/>
  <c r="I43" i="4" l="1"/>
  <c r="H51" i="4" l="1"/>
  <c r="H52" i="4" s="1"/>
  <c r="I51" i="4" l="1"/>
  <c r="I52" i="4" s="1"/>
  <c r="B5" i="4" s="1"/>
  <c r="I22" i="12" l="1"/>
  <c r="I23" i="12" l="1"/>
  <c r="J20" i="12"/>
  <c r="J21" i="12" s="1"/>
  <c r="J22" i="12" s="1"/>
  <c r="J23" i="12" l="1"/>
  <c r="E23" i="12"/>
</calcChain>
</file>

<file path=xl/sharedStrings.xml><?xml version="1.0" encoding="utf-8"?>
<sst xmlns="http://schemas.openxmlformats.org/spreadsheetml/2006/main" count="864" uniqueCount="424">
  <si>
    <t>Сводный сметный расчет в сумме, тыс. руб.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</si>
  <si>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</si>
  <si>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</si>
  <si>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</si>
  <si>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</si>
  <si>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</si>
  <si>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</si>
  <si>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</si>
  <si>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</si>
  <si>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</si>
  <si>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</si>
  <si>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</si>
  <si>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Итого по Главе 2</t>
  </si>
  <si>
    <t>Глава 8. Временные здания и сооружения</t>
  </si>
  <si>
    <t>Глава 9. Прочие работы и затраты</t>
  </si>
  <si>
    <t>ГСН 81-05-02-2007
т. 4 п.2.6.</t>
  </si>
  <si>
    <t>Письмо ФСК 
МА 22/118 от 10.04.06</t>
  </si>
  <si>
    <t>Пуско-наладочные работы (КТП)</t>
  </si>
  <si>
    <t>Итого по Главе 9</t>
  </si>
  <si>
    <t>Итого по Главам 1-9</t>
  </si>
  <si>
    <t>Глава 10. Содержание дирекции</t>
  </si>
  <si>
    <t>Глава 12. Проектные и изыскательские работы</t>
  </si>
  <si>
    <t>Непредвиденные затраты</t>
  </si>
  <si>
    <t>Всего по сводному расчету</t>
  </si>
  <si>
    <t>Итого в текущих ценах</t>
  </si>
  <si>
    <t>Письмо Минрегиона</t>
  </si>
  <si>
    <t>Всего по сводному расчету в текущих ценах</t>
  </si>
  <si>
    <t>Всего с НДС</t>
  </si>
  <si>
    <t>Наименование объекта</t>
  </si>
  <si>
    <t>Итого 
тыс. руб.
с НДС:</t>
  </si>
  <si>
    <t xml:space="preserve"> ВЛ 6-10 кВ</t>
  </si>
  <si>
    <t>ВЛ 0,4 кВ</t>
  </si>
  <si>
    <t xml:space="preserve"> с НДС-18% </t>
  </si>
  <si>
    <t>СВОДНЫЙ СМЕТНЫЙ РАСЧЕТ СТОИМОСТИ СТРОИТЕЛЬСТВА</t>
  </si>
  <si>
    <t>ВЛЗ-10 кВ</t>
  </si>
  <si>
    <t>ВЛИ-0,4 кВ</t>
  </si>
  <si>
    <t>Удорожание работ в зимнее время 1,8%</t>
  </si>
  <si>
    <t>МДС 81-35.2004 п.4.96</t>
  </si>
  <si>
    <t>Непредвиденные затраты 2 %</t>
  </si>
  <si>
    <t>НДС  18%</t>
  </si>
  <si>
    <t>Составил:</t>
  </si>
  <si>
    <t>Составлен в ценах по состоянию на  01.01.2001г. (в редакции 2010 года) с переводом в текущие цены по  состоянию 4 квартал  2010г.</t>
  </si>
  <si>
    <t>СМР с К=  5,43</t>
  </si>
  <si>
    <t>Строка по ИП</t>
  </si>
  <si>
    <t>№1927</t>
  </si>
  <si>
    <t>№1930</t>
  </si>
  <si>
    <t>№1942</t>
  </si>
  <si>
    <t xml:space="preserve">Аналог (шифр 171-11) </t>
  </si>
  <si>
    <t>Стоимость проектных работ</t>
  </si>
  <si>
    <t>СБЦ Объекты энергетики табл.11</t>
  </si>
  <si>
    <t>Итого по Главе 12</t>
  </si>
  <si>
    <t>Итого по Главам 1-12</t>
  </si>
  <si>
    <t>Е.А. Володина</t>
  </si>
  <si>
    <t xml:space="preserve">Аналог (шифр 895-11) </t>
  </si>
  <si>
    <t>Оборудование с К=3,27, прочие с К=6,03, ПИР с К=3,13</t>
  </si>
  <si>
    <t>России от 18.11.2010г.</t>
  </si>
  <si>
    <t>№39160-кк/08</t>
  </si>
  <si>
    <t xml:space="preserve">Итого 
тыс. руб.
</t>
  </si>
  <si>
    <t xml:space="preserve">Аналог </t>
  </si>
  <si>
    <t>ВЛИ-0,23 кВ</t>
  </si>
  <si>
    <t xml:space="preserve">Аналог (шифр 148-11) </t>
  </si>
  <si>
    <t>ВЛ 0,23 кВ</t>
  </si>
  <si>
    <t>Установка ячейки</t>
  </si>
  <si>
    <t>СТП 160кВА</t>
  </si>
  <si>
    <t>Ячейка</t>
  </si>
  <si>
    <t>Установка двухстолбовой СТП 160 кВА</t>
  </si>
  <si>
    <t xml:space="preserve">Сметная стоимость, тыс. руб. </t>
  </si>
  <si>
    <t>№1938</t>
  </si>
  <si>
    <t>Расчет №1</t>
  </si>
  <si>
    <t>Расчет №2</t>
  </si>
  <si>
    <t>Топосъемка 3,476т.р.х 5,1км</t>
  </si>
  <si>
    <t>2381,167,</t>
  </si>
  <si>
    <t>Топосъемка 7,533т.р.</t>
  </si>
  <si>
    <t xml:space="preserve">Внешнее электроснабжение  16 объектов
</t>
  </si>
  <si>
    <t>Внешнее электроснабжение  16 объектов</t>
  </si>
  <si>
    <t xml:space="preserve">МДС81-35.2004г </t>
  </si>
  <si>
    <t>Удорожание работ в зимнее время 1,9%</t>
  </si>
  <si>
    <t>Средства на покрытие затрат строительных организаций по добровольному страхованию работников и имущества, оборудования, в том числе строительных рисков -1% от СМР  глав 1-8</t>
  </si>
  <si>
    <t>Стоимость проектных работ 8%</t>
  </si>
  <si>
    <t>Непредвиденные затраты 3 %</t>
  </si>
  <si>
    <t>СМ -1</t>
  </si>
  <si>
    <t>СМР с К=  4,25</t>
  </si>
  <si>
    <t xml:space="preserve">ВЛ-10кВ </t>
  </si>
  <si>
    <t>России от 12.11.2013.</t>
  </si>
  <si>
    <t>№21331-СД/10</t>
  </si>
  <si>
    <t>Составлен в ценах по состоянию на  01.01.2001г. (в редакции 2010 года) с переводом в текущие цены по  состоянию IV квартал  2013г.</t>
  </si>
  <si>
    <t>Сметная стоимость, руб.</t>
  </si>
  <si>
    <t>Реконструкция ВЛ-10 кВ в Орловской оюласти (е.п.Мезенцево) для нужд ОАО МРСК Центра" (филиала "Орелэнерго")</t>
  </si>
  <si>
    <t>Сводный сметный расчет в сумме,  руб.</t>
  </si>
  <si>
    <t>ПНР с К=10,45</t>
  </si>
  <si>
    <t xml:space="preserve"> прочие с К=7,74</t>
  </si>
  <si>
    <t xml:space="preserve"> Проек.раб.  с К=3,64</t>
  </si>
  <si>
    <t xml:space="preserve"> Оборудование с К=3,94,</t>
  </si>
  <si>
    <t xml:space="preserve">Стоимость проектных работ </t>
  </si>
  <si>
    <t xml:space="preserve"> Проек.раб.  с К=3,84, изыскательские работы с К=3,9</t>
  </si>
  <si>
    <r>
      <t>Составлен в ценах по состоянию на  01.01.2001г. (в редакции 2010 года) с переводом в текущие цены по  состоянию</t>
    </r>
    <r>
      <rPr>
        <b/>
        <sz val="10"/>
        <rFont val="Times New Roman"/>
        <family val="1"/>
        <charset val="204"/>
      </rPr>
      <t xml:space="preserve"> 3квартал  2015г.</t>
    </r>
  </si>
  <si>
    <t>Временные здания и сооружения 2,5%</t>
  </si>
  <si>
    <t xml:space="preserve">ГСН 81-05-01-2001
</t>
  </si>
  <si>
    <t>Итого по Главам 1-8</t>
  </si>
  <si>
    <t>Расчёт №2</t>
  </si>
  <si>
    <t>МДС 81-35.2004</t>
  </si>
  <si>
    <t>Технический надзор  -2,14%</t>
  </si>
  <si>
    <t>Итого по Главе 10</t>
  </si>
  <si>
    <t>Стоимость изыскательских работ.Топографическая съемка   7,533т.руб-1км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</si>
  <si>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</si>
  <si>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</si>
  <si>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</si>
  <si>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</si>
  <si>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</si>
  <si>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</si>
  <si>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</si>
  <si>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</si>
  <si>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</si>
  <si>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</si>
  <si>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Составлен(а) в текущих (прогнозных) ценах по состоянию на 01.01.2001г.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</si>
  <si>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</si>
  <si>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</si>
  <si>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</si>
  <si>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</si>
  <si>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</si>
  <si>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</si>
  <si>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</si>
  <si>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</si>
  <si>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</si>
  <si>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 xml:space="preserve">                           Раздел 1. Строительно-монтажные работы</t>
  </si>
  <si>
    <t>1 шт.</t>
  </si>
  <si>
    <t>м</t>
  </si>
  <si>
    <t>шт</t>
  </si>
  <si>
    <t>т</t>
  </si>
  <si>
    <t>Итого прямые затраты по смете в ценах 2001г.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</si>
  <si>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</si>
  <si>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</si>
  <si>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</si>
  <si>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</si>
  <si>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</si>
  <si>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</si>
  <si>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</si>
  <si>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ВСЕГО по смете</t>
  </si>
  <si>
    <t>ЛСР (ориентировочный)</t>
  </si>
  <si>
    <t>Составил ________________________________________________</t>
  </si>
  <si>
    <t>Володина Е.А.</t>
  </si>
  <si>
    <t>Начальник УИ ___________________________________________ Фомин В.А.</t>
  </si>
  <si>
    <t xml:space="preserve">Итого 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</si>
  <si>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</si>
  <si>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</si>
  <si>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</si>
  <si>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ТЕР33-04-016-06</t>
  </si>
  <si>
    <t>Развозка конструкций и материалов опор ВЛ 0,38-10 кВ по трассе: материалов оснастки сложных опор</t>
  </si>
  <si>
    <t>ТЕР33-04-003-02</t>
  </si>
  <si>
    <t>ТЕР33-04-007-01</t>
  </si>
  <si>
    <t>Установка железобетонных плит для опор ВЛ 35 кВ: анкерных объемом до 0,2 м3</t>
  </si>
  <si>
    <t>ТЕР01-02-011-01</t>
  </si>
  <si>
    <t>Устройство непросадочного основания из грунтоцементной смеси с послойным трамбованием</t>
  </si>
  <si>
    <t>1 м3</t>
  </si>
  <si>
    <t>1 км линии (3 провода) при 10 опорах</t>
  </si>
  <si>
    <t xml:space="preserve">                           Заземление</t>
  </si>
  <si>
    <t>ТЕР33-03-004-01</t>
  </si>
  <si>
    <t>Забивка вертикальных заземлителей механизированная на глубину до 5 м</t>
  </si>
  <si>
    <t>1 заземлитель</t>
  </si>
  <si>
    <t xml:space="preserve">                           Измерения на ВЛЗ-10кВ</t>
  </si>
  <si>
    <t>ТЕРп01-11-010-01</t>
  </si>
  <si>
    <t>Измерение сопротивления растеканию тока: заземлителя</t>
  </si>
  <si>
    <t>1 измерение</t>
  </si>
  <si>
    <t>ТЕРп01-11-011-01</t>
  </si>
  <si>
    <t>Проверка наличия цепи между заземлителями и заземленными элементами</t>
  </si>
  <si>
    <t>100 точек</t>
  </si>
  <si>
    <t xml:space="preserve">                           Раздел 2. Материалы</t>
  </si>
  <si>
    <t>Справочник МРСК п.2122932</t>
  </si>
  <si>
    <t>Стойка СВ 110-5</t>
  </si>
  <si>
    <t>Справочник МРСК п.2075308</t>
  </si>
  <si>
    <t>Плита П-3и</t>
  </si>
  <si>
    <t>Справочник МРСК п.2322173</t>
  </si>
  <si>
    <t>Стяжка Г1</t>
  </si>
  <si>
    <t>Справочник МРСК п.2117004</t>
  </si>
  <si>
    <t>Хомут Х51</t>
  </si>
  <si>
    <t>Колпачок К-9</t>
  </si>
  <si>
    <t xml:space="preserve">      оборудования _______________________________________________________________________________________________</t>
  </si>
  <si>
    <t>ТЕР33-04-030-03</t>
  </si>
  <si>
    <t>Установка разъединителей: с помощью механизмов</t>
  </si>
  <si>
    <t>1 компл.</t>
  </si>
  <si>
    <t>ТЕРм08-01-061-01</t>
  </si>
  <si>
    <t>ТЕРп01-03-005-01</t>
  </si>
  <si>
    <t>Разъединитель трехполюсный напряжением: до 20 кВ</t>
  </si>
  <si>
    <t xml:space="preserve">  Итого Оборудование</t>
  </si>
  <si>
    <t>Стоимость проектных работ (СК=0,35)</t>
  </si>
  <si>
    <t>СБЦ на проектные работы т.11. тех.часть п.1.8.4</t>
  </si>
  <si>
    <t>ТЕР33-04-003-01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</si>
  <si>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</si>
  <si>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</si>
  <si>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ПНР</t>
  </si>
  <si>
    <t>ПИР</t>
  </si>
  <si>
    <t>СМР</t>
  </si>
  <si>
    <t>Оборудование</t>
  </si>
  <si>
    <t>Прочие</t>
  </si>
  <si>
    <t xml:space="preserve">                                                                                                                      СВОД</t>
  </si>
  <si>
    <t>ЛСР№2 (ориентировочный)</t>
  </si>
  <si>
    <t>СМР с К= 4,59 (ВЛ)</t>
  </si>
  <si>
    <t>Итого в текущих ценах на 4кв. 2015г.</t>
  </si>
  <si>
    <t>ПНР с К=11,3</t>
  </si>
  <si>
    <t xml:space="preserve"> прочие с К=8,36</t>
  </si>
  <si>
    <t xml:space="preserve"> Оборудование с К=4,25</t>
  </si>
  <si>
    <t>Стоимость изыскательских работ.Топографическая съемка   3,476т.руб-1км</t>
  </si>
  <si>
    <t xml:space="preserve">Строительство ВЛЗ-10кВ -0,6км </t>
  </si>
  <si>
    <t>СБЦ на проектные работы т.11.прим.2 К=2,1</t>
  </si>
  <si>
    <t>ЛОКАЛЬНЫЙ СМЕТНЫЙ РАСЧЕТ № 2</t>
  </si>
  <si>
    <t>(ориентировочная смета)</t>
  </si>
  <si>
    <t>Орловская область, Орловский р-он, с/п Большекуликовское, ОАО "Пшеница", филиал "Пшеница Орловская" СП "Куликовский".  АО «Орелоблэнерго»</t>
  </si>
  <si>
    <t>Основание: ТУ</t>
  </si>
  <si>
    <t>_______________________________________________________________________________________________136,735</t>
  </si>
  <si>
    <t>_______________________________________________________________________________________________0,536</t>
  </si>
  <si>
    <t>Обоснование</t>
  </si>
  <si>
    <t>Эк.Маш.</t>
  </si>
  <si>
    <t>ТЕР33-04-003-03</t>
  </si>
  <si>
    <t>ТЕР33-03-008-01</t>
  </si>
  <si>
    <t>Окраска за один раз установленных стальных конструкций: ОРУ 35-220 кВ массой до 0,2 т лаком</t>
  </si>
  <si>
    <t>1 т конструкций</t>
  </si>
  <si>
    <t>ТЕР33-04-009-05</t>
  </si>
  <si>
    <t>Подвеска проводов ВЛ 6-10 кВ в населенной местности сечением: до 35 мм2 с помощью механизмов</t>
  </si>
  <si>
    <t>ТЕР33-04-009-13</t>
  </si>
  <si>
    <t>При увеличении количества опор на 1 км ВЛ добавлять: к расценке 33-04-009-05</t>
  </si>
  <si>
    <t>ТЕР33-04-011-06</t>
  </si>
  <si>
    <t>Подвеска проводов ВЛ 10 кВ на переходах через препятствия: автомобильные дороги</t>
  </si>
  <si>
    <t>1 переход</t>
  </si>
  <si>
    <t>ТЕР33-04-030-01</t>
  </si>
  <si>
    <t>Установка разрядников: с помощью механизмов</t>
  </si>
  <si>
    <t>Итого прямые затраты по разделу в ценах 2001г.</t>
  </si>
  <si>
    <t>Справочник МРСК 2116916</t>
  </si>
  <si>
    <t>Траверса ТМ  63</t>
  </si>
  <si>
    <t>Справочник МРСК п.2116918</t>
  </si>
  <si>
    <t>Траверса ТМ  64</t>
  </si>
  <si>
    <t>Справочник МРСК п.2116920</t>
  </si>
  <si>
    <t>Траверса ТМ  65</t>
  </si>
  <si>
    <t>Справочник МРСК п.2116921</t>
  </si>
  <si>
    <t>Траверса ТМ  66</t>
  </si>
  <si>
    <t>Справочник МРСК п.2116922</t>
  </si>
  <si>
    <t>Траверса ТМ  67</t>
  </si>
  <si>
    <t>Справочник МРСК п.2116923</t>
  </si>
  <si>
    <t>Траверса ТМ  68</t>
  </si>
  <si>
    <t>ТССЦ-502-0866</t>
  </si>
  <si>
    <t>Провода самонесущие изолированные для воздушных линий электропередачи с алюминиевыми жилами марки СИП-3 1х35</t>
  </si>
  <si>
    <t>1000 м</t>
  </si>
  <si>
    <t>Справочник МРСК п.2117001</t>
  </si>
  <si>
    <t>Подкос У52</t>
  </si>
  <si>
    <t>Справочник МРСК п. 2076252</t>
  </si>
  <si>
    <t>Заземляющий проводник ЗП1</t>
  </si>
  <si>
    <t>Изолятор штыревой IF-27</t>
  </si>
  <si>
    <t>Изоляторы подвесной IS-70E</t>
  </si>
  <si>
    <t>Ушко FIS 1-7-16</t>
  </si>
  <si>
    <t>Вязка спиральная СВ 35</t>
  </si>
  <si>
    <t>Зажим анкерный марки PAZ 3</t>
  </si>
  <si>
    <t>Звено промежуточное S 7-1</t>
  </si>
  <si>
    <t>Зажим плашечный CD35</t>
  </si>
  <si>
    <t>Длинно-искровой разрядник петлевой PDR</t>
  </si>
  <si>
    <t>ИТОГИ ПО СМЕТЕ:</t>
  </si>
  <si>
    <t>Прайс-лист ООО "НИЛЕД"</t>
  </si>
  <si>
    <t>Составил _______________________________________________ Володина Е.А.</t>
  </si>
  <si>
    <t>Итого по разделу 1 Строительно-монтажные работы</t>
  </si>
  <si>
    <t>Ответвительный герметичный_x000D_
прокалывающий зажим RP 150* для_x000D_
ответвления СИП-3 от ВЛЗ</t>
  </si>
  <si>
    <t>Итого по разделу 2 Материалы</t>
  </si>
  <si>
    <t>Строительство ВЛЗ-10кВ от опоры №283, ВЛ-10кВ №3, ПС-110/10кВ «Становой Колодезь»  (ориентировочно 0,6 км)</t>
  </si>
  <si>
    <t>Строительство ВЛЗ-10кВ от опоры №283, ВЛ-10кВ №3, ПС-110/10кВ «Становой Колодезь» (ориентировочно 0,6 км),   (СИП3 1х35)</t>
  </si>
  <si>
    <t>Строительство ВЛЗ-10 кВ -2км</t>
  </si>
  <si>
    <t>Строительство ВЛЗ-10 кВ-0,6м</t>
  </si>
  <si>
    <t xml:space="preserve">Строительство ВЛЗ -10 кВ , установка разъединителей  РЛК -10кВ  </t>
  </si>
  <si>
    <t xml:space="preserve"> Установка РЛК-10кВ  -2шт</t>
  </si>
  <si>
    <t>ЛСР №1</t>
  </si>
  <si>
    <t>ЛСР №2</t>
  </si>
  <si>
    <t>ЛСР №3</t>
  </si>
  <si>
    <t>ЛСР№4(ориентировочный)</t>
  </si>
  <si>
    <t xml:space="preserve">Строительство КЛ-10кВ -0,1км </t>
  </si>
  <si>
    <t>Стоимость изыскательских работ. Топографическая съемка   3,476т.руб-1км</t>
  </si>
  <si>
    <t>___________________________154,811</t>
  </si>
  <si>
    <t>_______________________________________________________________________________________________17,540</t>
  </si>
  <si>
    <t>___________________________2,926</t>
  </si>
  <si>
    <t>_______________________________________________________________________________________________230,98</t>
  </si>
  <si>
    <r>
      <t>Установка железобетонных опор ВЛ 0,38; 6-10 кВ с траверсами без приставок: одностоечных</t>
    </r>
    <r>
      <rPr>
        <i/>
        <sz val="7"/>
        <rFont val="Times New Roman"/>
        <family val="1"/>
        <charset val="204"/>
      </rPr>
      <t xml:space="preserve">
(3.6.ТЧ При бурении котлованов для опор ВЛ 0,38-10 кВ на глубину более 2х м к затратам на бурение (с последующим уточнением норм) (табл. 1 т.ч. раз. 04) ОЗП=1,25; ЭМ=1,25 к расх.; ЗПМ=1,25; ТЗ=1,25; ТЗМ=1,25)</t>
    </r>
  </si>
  <si>
    <r>
      <t>Установка железобетонных опор ВЛ 0,38; 6-10 кВ с траверсами без приставок: одностоечных с одним подкосом</t>
    </r>
    <r>
      <rPr>
        <i/>
        <sz val="7"/>
        <rFont val="Times New Roman"/>
        <family val="1"/>
        <charset val="204"/>
      </rPr>
      <t xml:space="preserve">
(3.6.ТЧ При бурении котлованов для опор ВЛ 0,38-10 кВ на глубину более 2х м к затратам на бурение (с последующим уточнением норм) (табл. 1 т.ч. раз. 04) ОЗП=1,25; ЭМ=1,25 к расх.; ЗПМ=1,25; ТЗ=1,25; ТЗМ=1,25)</t>
    </r>
  </si>
  <si>
    <r>
      <t>Установка железобетонных опор ВЛ 0,38; 6-10 кВ с траверсами без приставок: одностоечных с двумя подкосами</t>
    </r>
    <r>
      <rPr>
        <i/>
        <sz val="7"/>
        <rFont val="Times New Roman"/>
        <family val="1"/>
        <charset val="204"/>
      </rPr>
      <t xml:space="preserve">
(3.6.ТЧ При бурении котлованов для опор ВЛ 0,38-10 кВ на глубину более 2х м к затратам на бурение (с последующим уточнением норм) (табл. 1 т.ч. раз. 04) ОЗП=1,25; ЭМ=1,25 к расх.; ЗПМ=1,25; ТЗ=1,25; ТЗМ=1,25)</t>
    </r>
  </si>
  <si>
    <t>ЛСР №4</t>
  </si>
  <si>
    <t xml:space="preserve">Строительство КЛ-10кВ  (ориентировочно 0,1 км),  </t>
  </si>
  <si>
    <t xml:space="preserve"> Строительство КЛ-10кВ -0,1км </t>
  </si>
  <si>
    <t>_______________________________________________________________________________________________0,115</t>
  </si>
  <si>
    <t>Составлен(а) в текущих (прогнозных) ценах по состоянию на _01.01.2001г.</t>
  </si>
  <si>
    <t xml:space="preserve">                           Раздел 1. Прокладка кабеля  методом прокола</t>
  </si>
  <si>
    <t>ТЕР34-02-017-01</t>
  </si>
  <si>
    <t>Устройство переходов подземных методом горизонтального прокола: первой трубой до 10 м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</si>
  <si>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</si>
  <si>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</t>
  </si>
  <si>
    <t>ТЕРм08-02-148-03</t>
  </si>
  <si>
    <t>Кабель до 35 кВ в проложенных трубах, блоках и коробах, масса 1 м кабеля: до 3 кг</t>
  </si>
  <si>
    <t>100 м кабеля</t>
  </si>
  <si>
    <t>ТЕРм08-02-147-03</t>
  </si>
  <si>
    <t>Кабель до 35 кВ по установленным конструкциям, масса 1 м кабеля: до 3 кг (Подъем кабеля на опоры)</t>
  </si>
  <si>
    <t>ТЕРм08-02-152-02</t>
  </si>
  <si>
    <t>Скоба П-образная из полосовой или угловой стали. Защита кабеля уголком</t>
  </si>
  <si>
    <t>1 т</t>
  </si>
  <si>
    <t>ТЕРм08-02-165-06</t>
  </si>
  <si>
    <t>Муфта концевая эпоксидная для 3-жильного кабеля напряжением: до 10 кВ, сечение одной жилы до 70 мм2</t>
  </si>
  <si>
    <t>ТССЦ-301-0039</t>
  </si>
  <si>
    <t>Хомуты для крепления</t>
  </si>
  <si>
    <t xml:space="preserve">                           Материалы</t>
  </si>
  <si>
    <t>Муфты  кабельная термоусаживаемые  концевые  наружние  на напряжение до 10 кВ. 3КНТпЛ- 10-3х35-50</t>
  </si>
  <si>
    <t>1 к-т на 3 фазы</t>
  </si>
  <si>
    <t>Справочник МРСК поз 2296528</t>
  </si>
  <si>
    <t>Столбик опознав. для каб. линий СОС-2,5 564,26/5,21</t>
  </si>
  <si>
    <t>Справочник МРСК п. 2003465</t>
  </si>
  <si>
    <t>Уголок 80*80*6</t>
  </si>
  <si>
    <t xml:space="preserve">                           Раздел 2. Измерения</t>
  </si>
  <si>
    <t>ТЕРп01-12-027-01</t>
  </si>
  <si>
    <t>Испытание кабеля силового длиной до 500 м напряжением: до 10 кВ</t>
  </si>
  <si>
    <t>1 испытание</t>
  </si>
  <si>
    <t>Справочник МРСК п.2062572</t>
  </si>
  <si>
    <t>СМР с К= 6,17 (Прочие)</t>
  </si>
  <si>
    <t xml:space="preserve">ЛОКАЛЬНЫЙ СМЕТНЫЙ РАСЧЕТ </t>
  </si>
  <si>
    <t xml:space="preserve">СМР с К= 6,17 </t>
  </si>
  <si>
    <t>СБЦ на проектные работы т.11. тех.ч. К=0,35</t>
  </si>
  <si>
    <t>1 подстанция</t>
  </si>
  <si>
    <t>ТЕРм08-02-471-04</t>
  </si>
  <si>
    <t>Заземлитель вертикальный из круглой стали диаметром: 16 мм</t>
  </si>
  <si>
    <t>10 шт.</t>
  </si>
  <si>
    <t>ТЕР01-02-057-02</t>
  </si>
  <si>
    <t>Разработка грунта вручную в траншеях глубиной до 2 м без креплений с откосами, группа грунтов: 2</t>
  </si>
  <si>
    <t>100 м3 грунта</t>
  </si>
  <si>
    <t>ТЕРм08-02-472-02</t>
  </si>
  <si>
    <t>100 м</t>
  </si>
  <si>
    <t>Итого прямые затраты по разделу с учетом коэффициентов к итогам</t>
  </si>
  <si>
    <t>Итого прямые затраты по смете с учетом коэффициентов к итогам</t>
  </si>
  <si>
    <t>ТЕРп01-02-002-01</t>
  </si>
  <si>
    <t>Трансформатор силовой трехфазный масляный двухобмоточный напряжением: до 11 кВ</t>
  </si>
  <si>
    <t>(ориентировочный)</t>
  </si>
  <si>
    <t xml:space="preserve">на </t>
  </si>
  <si>
    <t xml:space="preserve">Установка разъединителя РЛК-10кВ (1шт). </t>
  </si>
  <si>
    <t>Приложение к ТУ</t>
  </si>
  <si>
    <t>_______________________________________________________________________________________________0,446</t>
  </si>
  <si>
    <t xml:space="preserve">                           Раздел 1. Установка РЛК-10кВ</t>
  </si>
  <si>
    <t>Справочник МРСК п. 2068504</t>
  </si>
  <si>
    <t>Ограничитель перенапряжения ОПН-10</t>
  </si>
  <si>
    <t>ТЕРм08-02-472-06</t>
  </si>
  <si>
    <t>Проводник заземляющий  из полосовой стали сечением  до 100 мм2</t>
  </si>
  <si>
    <t>Заземлитель горизонтальный из стали: полосовой</t>
  </si>
  <si>
    <t>ТССЦ-101-2548</t>
  </si>
  <si>
    <t>Сталь полосовая 40х4 мм</t>
  </si>
  <si>
    <t xml:space="preserve">                           Оборудование</t>
  </si>
  <si>
    <t>Разъединитель  РЛК-10кВ  в комплекте</t>
  </si>
  <si>
    <t xml:space="preserve">                           ПНР</t>
  </si>
  <si>
    <t>ТЕРп01-11-024-02</t>
  </si>
  <si>
    <t>Фазировка электрической линии или трансформатора с сетью напряжением: свыше 1 кВ</t>
  </si>
  <si>
    <t>1 фазировка</t>
  </si>
  <si>
    <t xml:space="preserve">  Итого по разделу 1 Установка РЛК-10кВ</t>
  </si>
  <si>
    <r>
      <t>Предохранитель</t>
    </r>
    <r>
      <rPr>
        <i/>
        <sz val="9"/>
        <rFont val="Times New Roman"/>
        <family val="1"/>
        <charset val="204"/>
      </rPr>
      <t xml:space="preserve">
(0.6 При производстве работ на высоте свыше расстояний, указанных в вводных указаниях к разделам: св.2 до 8м ОЗП=1,05; ТЗ=1,05)</t>
    </r>
  </si>
  <si>
    <t>Справочник МРСК п. 2265559</t>
  </si>
  <si>
    <t>_______________________________________________________________________________________________1,468</t>
  </si>
  <si>
    <t>Итого в текущих ценах на 1кв. 2016г.</t>
  </si>
  <si>
    <t xml:space="preserve"> Проек.раб.  с К=3,92, изыскательские работы с К=3,93</t>
  </si>
  <si>
    <t xml:space="preserve"> прочие с К=8,42</t>
  </si>
  <si>
    <t xml:space="preserve"> Оборудование с К=4,28</t>
  </si>
  <si>
    <r>
      <t>Составлен в ценах по состоянию на  01.01.2001г. (в редакции 2010 года) с переводом в текущие цены по  состоянию</t>
    </r>
    <r>
      <rPr>
        <b/>
        <sz val="10"/>
        <rFont val="Times New Roman"/>
        <family val="1"/>
        <charset val="204"/>
      </rPr>
      <t xml:space="preserve"> 1квартал  2016г.</t>
    </r>
  </si>
  <si>
    <t>Установка ТП СТП-25-10/0,4 У1 с ТС ТМГ</t>
  </si>
  <si>
    <t xml:space="preserve">                                        (наименование работ и затрат, наименование объекта)</t>
  </si>
  <si>
    <t>_______________________________________________________________________________________________0,558</t>
  </si>
  <si>
    <t xml:space="preserve">                           Раздел 1. СТП-25/10/0,4 кВ.</t>
  </si>
  <si>
    <t>ТЕР33-04-027-02</t>
  </si>
  <si>
    <t>ТЕР33-04-015-01</t>
  </si>
  <si>
    <t>Устройство заземления опор ВЛ и подстанций</t>
  </si>
  <si>
    <t>10 м шин заземления</t>
  </si>
  <si>
    <t>ТЕР01-02-061-01</t>
  </si>
  <si>
    <t>Засыпка вручную траншей, пазух котлованов и ям, группа грунтов: 1</t>
  </si>
  <si>
    <t>Справочник МРСК п2231852</t>
  </si>
  <si>
    <r>
      <t xml:space="preserve">ЛСР№1 </t>
    </r>
    <r>
      <rPr>
        <b/>
        <sz val="8"/>
        <rFont val="Times New Roman"/>
        <family val="1"/>
        <charset val="204"/>
      </rPr>
      <t>(ориентировочный)</t>
    </r>
  </si>
  <si>
    <t>Установка ТП СТП-25-10/0,4 У1 с ТС ТМГ (без установки опоры)</t>
  </si>
  <si>
    <t>ТЕРм08-02-472-09</t>
  </si>
  <si>
    <t>Проводник заземляющий открыто по строительным основаниям: из круглой стали диаметром 18 мм</t>
  </si>
  <si>
    <t>Проводник заземляющий открыто по строительным основаниям: из полосовой стали сечением до 100 мм2</t>
  </si>
  <si>
    <t>Итоги по разделу 1 СТП-25/10/0,4 кВ. :</t>
  </si>
  <si>
    <t xml:space="preserve">  Итого по разделу 1 СТП-25/10/0,4 кВ.</t>
  </si>
  <si>
    <t xml:space="preserve">                           Раздел 2. Материалы, не учтенные ценником.</t>
  </si>
  <si>
    <t>Итого прямые затраты по разделу в текущих ценах</t>
  </si>
  <si>
    <t xml:space="preserve">                           Раздел 3. Оборудование.</t>
  </si>
  <si>
    <t xml:space="preserve">                           Раздел 4. ПНР</t>
  </si>
  <si>
    <t>Итого по разделу 4 ПНР</t>
  </si>
  <si>
    <t>Строительство КЛ-10кВ  (ориентировочно 0,05 км)</t>
  </si>
  <si>
    <t>СМР с К= 5,21(КЛ)</t>
  </si>
  <si>
    <t>Справочник МРСК п.  2328303</t>
  </si>
  <si>
    <t>Труба ПНД техническая 160 Т</t>
  </si>
  <si>
    <t>Итоги по разделу 1 Прокладка кабеля  методом прокола :</t>
  </si>
  <si>
    <t xml:space="preserve">  Итого по разделу 1 Прокладка кабеля  методом прокола</t>
  </si>
  <si>
    <t>Итоги по разделу 2 Измерения :</t>
  </si>
  <si>
    <t xml:space="preserve">  Пусконаладочные работы: 'вхолостую' - 80%, 'под нагрузкой' - 20%</t>
  </si>
  <si>
    <t xml:space="preserve">  Итого по разделу 2 Измерения</t>
  </si>
  <si>
    <t>Справочник МРСК 2329651</t>
  </si>
  <si>
    <t>Кабель силовой АПвП 3x50/16-10</t>
  </si>
  <si>
    <t>___________________________25,842</t>
  </si>
  <si>
    <t>_______________________________________________________________________________________________9,742</t>
  </si>
  <si>
    <t>_______________________________________________________________________________________________15,985</t>
  </si>
  <si>
    <t>___________________________1,266</t>
  </si>
  <si>
    <t>_______________________________________________________________________________________________77,3</t>
  </si>
  <si>
    <t>Основание: приложение к ТЗ</t>
  </si>
  <si>
    <t>ЛОКАЛЬНЫЙ СМЕТНЫЙ РАСЧЕТ</t>
  </si>
  <si>
    <r>
      <t>370,79</t>
    </r>
    <r>
      <rPr>
        <i/>
        <sz val="9"/>
        <rFont val="Times New Roman"/>
        <family val="1"/>
        <charset val="204"/>
      </rPr>
      <t xml:space="preserve">
</t>
    </r>
    <r>
      <rPr>
        <i/>
        <sz val="6"/>
        <rFont val="Times New Roman"/>
        <family val="1"/>
        <charset val="204"/>
      </rPr>
      <t>2115,96/6,17*1,02*1,06</t>
    </r>
  </si>
  <si>
    <r>
      <t>8</t>
    </r>
    <r>
      <rPr>
        <i/>
        <sz val="9"/>
        <rFont val="Times New Roman"/>
        <family val="1"/>
        <charset val="204"/>
      </rPr>
      <t xml:space="preserve">
О</t>
    </r>
  </si>
  <si>
    <t>_______________________________________________________________________________________________0,490</t>
  </si>
  <si>
    <t>___________________________0,347</t>
  </si>
  <si>
    <t>_______________________________________________________________________________________________31,01</t>
  </si>
  <si>
    <t>Установка столбовых трансформаторных подстанций мощностью до 100 кВ·А: установка оборудования</t>
  </si>
  <si>
    <t>Итоги по разделу 2 Материалы, не учтенные ценником. :</t>
  </si>
  <si>
    <t xml:space="preserve">  Итого по разделу 2 Материалы, не учтенные ценником.</t>
  </si>
  <si>
    <r>
      <t>Трансформаторная подстанция столбового типа ТП СТП-25-6/0,4 У1 с ТС ТМГ</t>
    </r>
    <r>
      <rPr>
        <i/>
        <sz val="9"/>
        <rFont val="Times New Roman"/>
        <family val="1"/>
        <charset val="204"/>
      </rPr>
      <t xml:space="preserve">
ПЗ=161860,2/4,28</t>
    </r>
  </si>
  <si>
    <r>
      <t>37817,8</t>
    </r>
    <r>
      <rPr>
        <i/>
        <sz val="9"/>
        <rFont val="Times New Roman"/>
        <family val="1"/>
        <charset val="204"/>
      </rPr>
      <t xml:space="preserve">
161860,2/4,28</t>
    </r>
  </si>
  <si>
    <t>Итоги по разделу 3 Оборудование. :</t>
  </si>
  <si>
    <t xml:space="preserve">  Оборудование</t>
  </si>
  <si>
    <t xml:space="preserve">  Итого по разделу 3 Оборудование.</t>
  </si>
  <si>
    <t>___________________________44,664</t>
  </si>
  <si>
    <t>_______________________________________________________________________________________________2,347</t>
  </si>
  <si>
    <t>_______________________________________________________________________________________________0,171</t>
  </si>
  <si>
    <t>_______________________________________________________________________________________________41,588</t>
  </si>
  <si>
    <t>___________________________0,915</t>
  </si>
  <si>
    <t>_______________________________________________________________________________________________88,85</t>
  </si>
  <si>
    <t>Итого в текущих ценах на 2кв. 2016г.</t>
  </si>
  <si>
    <r>
      <t>Составлен в ценах по состоянию на  01.01.2001г. (в редакции 2010 года) с переводом в текущие цены по  состоянию</t>
    </r>
    <r>
      <rPr>
        <b/>
        <sz val="10"/>
        <rFont val="Times New Roman"/>
        <family val="1"/>
        <charset val="204"/>
      </rPr>
      <t xml:space="preserve"> 2квартал  2016г.</t>
    </r>
  </si>
  <si>
    <r>
      <t>12680,79</t>
    </r>
    <r>
      <rPr>
        <i/>
        <sz val="9"/>
        <rFont val="Times New Roman"/>
        <family val="1"/>
        <charset val="204"/>
      </rPr>
      <t xml:space="preserve">
</t>
    </r>
    <r>
      <rPr>
        <i/>
        <sz val="6"/>
        <rFont val="Times New Roman"/>
        <family val="1"/>
        <charset val="204"/>
      </rPr>
      <t>50594,55/4,28*1,012*1,06</t>
    </r>
  </si>
  <si>
    <t>_______________________________________________________________________________________________12,681</t>
  </si>
  <si>
    <t>___________________________15,086</t>
  </si>
  <si>
    <t>Установка РЛК-10кВ  (2шт)</t>
  </si>
  <si>
    <t>Установка разъединителя РЛК-10кВ (2шт)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</si>
</sst>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00"/>
    <numFmt numFmtId="165" formatCode="0.000"/>
    <numFmt numFmtId="166" formatCode="#,##0.0"/>
    <numFmt numFmtId="167" formatCode="#,##0.0000"/>
    <numFmt numFmtId="168" formatCode="_-* #,##0.000_р_._-;\-* #,##0.000_р_._-;_-* &quot;-&quot;??_р_._-;_-@_-"/>
    <numFmt numFmtId="169" formatCode="_-* #,##0.000_р_._-;\-* #,##0.000_р_._-;_-* &quot;-&quot;???_р_._-;_-@_-"/>
    <numFmt numFmtId="170" formatCode="_-* #,##0.00000_р_._-;\-* #,##0.00000_р_._-;_-* &quot;-&quot;???_р_._-;_-@_-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b/>
      <sz val="7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name val="Arial Cyr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Calibri"/>
      <family val="2"/>
      <charset val="204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6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9" fillId="0" borderId="0"/>
    <xf numFmtId="0" fontId="20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90">
    <xf numFmtId="0" fontId="0" fillId="0" borderId="0" xfId="0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64" fontId="5" fillId="0" borderId="0" xfId="0" applyNumberFormat="1" applyFont="1" applyAlignment="1">
      <alignment horizontal="right" vertical="top" indent="1"/>
    </xf>
    <xf numFmtId="0" fontId="5" fillId="0" borderId="0" xfId="0" applyFont="1" applyAlignment="1">
      <alignment horizontal="right" vertical="top"/>
    </xf>
    <xf numFmtId="49" fontId="9" fillId="0" borderId="0" xfId="0" applyNumberFormat="1" applyFont="1" applyFill="1" applyAlignment="1">
      <alignment horizontal="left" vertical="top"/>
    </xf>
    <xf numFmtId="164" fontId="10" fillId="0" borderId="0" xfId="0" applyNumberFormat="1" applyFont="1" applyAlignment="1">
      <alignment horizontal="left" vertical="top"/>
    </xf>
    <xf numFmtId="164" fontId="9" fillId="0" borderId="0" xfId="0" applyNumberFormat="1" applyFont="1" applyAlignment="1">
      <alignment horizontal="right" vertical="top" indent="1"/>
    </xf>
    <xf numFmtId="0" fontId="9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right" vertical="top" wrapText="1"/>
    </xf>
    <xf numFmtId="165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13" fillId="0" borderId="1" xfId="0" applyNumberFormat="1" applyFont="1" applyBorder="1" applyAlignment="1">
      <alignment horizontal="left" vertical="top"/>
    </xf>
    <xf numFmtId="0" fontId="15" fillId="0" borderId="1" xfId="0" applyFont="1" applyBorder="1" applyAlignment="1">
      <alignment horizontal="left" vertical="top" wrapText="1"/>
    </xf>
    <xf numFmtId="165" fontId="15" fillId="0" borderId="1" xfId="0" applyNumberFormat="1" applyFont="1" applyBorder="1" applyAlignment="1">
      <alignment horizontal="right" vertical="top" wrapText="1"/>
    </xf>
    <xf numFmtId="164" fontId="15" fillId="0" borderId="1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164" fontId="6" fillId="0" borderId="4" xfId="0" applyNumberFormat="1" applyFont="1" applyBorder="1" applyAlignment="1">
      <alignment horizontal="right" vertical="top"/>
    </xf>
    <xf numFmtId="49" fontId="16" fillId="0" borderId="1" xfId="0" applyNumberFormat="1" applyFont="1" applyBorder="1" applyAlignment="1">
      <alignment horizontal="left" vertical="top" wrapText="1"/>
    </xf>
    <xf numFmtId="166" fontId="5" fillId="0" borderId="1" xfId="0" applyNumberFormat="1" applyFont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/>
    <xf numFmtId="0" fontId="23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5" fillId="0" borderId="0" xfId="0" applyFont="1" applyBorder="1"/>
    <xf numFmtId="0" fontId="4" fillId="0" borderId="0" xfId="0" applyFont="1" applyFill="1" applyBorder="1"/>
    <xf numFmtId="0" fontId="22" fillId="0" borderId="0" xfId="0" applyFont="1" applyBorder="1" applyAlignment="1">
      <alignment horizontal="right" vertical="top"/>
    </xf>
    <xf numFmtId="0" fontId="21" fillId="0" borderId="0" xfId="0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24" fillId="0" borderId="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65" fontId="4" fillId="0" borderId="0" xfId="0" applyNumberFormat="1" applyFont="1"/>
    <xf numFmtId="164" fontId="4" fillId="0" borderId="0" xfId="0" applyNumberFormat="1" applyFont="1" applyBorder="1"/>
    <xf numFmtId="165" fontId="4" fillId="0" borderId="0" xfId="0" applyNumberFormat="1" applyFont="1" applyBorder="1"/>
    <xf numFmtId="165" fontId="26" fillId="0" borderId="9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right" vertical="top" wrapText="1"/>
    </xf>
    <xf numFmtId="165" fontId="24" fillId="0" borderId="9" xfId="0" applyNumberFormat="1" applyFont="1" applyFill="1" applyBorder="1" applyAlignment="1">
      <alignment horizontal="center" vertical="center"/>
    </xf>
    <xf numFmtId="165" fontId="24" fillId="3" borderId="9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right" vertical="top" wrapText="1"/>
    </xf>
    <xf numFmtId="164" fontId="4" fillId="0" borderId="0" xfId="0" applyNumberFormat="1" applyFont="1"/>
    <xf numFmtId="0" fontId="6" fillId="0" borderId="4" xfId="0" applyFont="1" applyBorder="1" applyAlignment="1">
      <alignment horizontal="left" vertical="top" wrapText="1"/>
    </xf>
    <xf numFmtId="165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27" fillId="0" borderId="0" xfId="0" applyFont="1" applyBorder="1" applyAlignment="1">
      <alignment horizontal="center" vertical="top"/>
    </xf>
    <xf numFmtId="49" fontId="16" fillId="0" borderId="0" xfId="0" applyNumberFormat="1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165" fontId="1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/>
    </xf>
    <xf numFmtId="49" fontId="16" fillId="3" borderId="1" xfId="0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/>
    </xf>
    <xf numFmtId="0" fontId="5" fillId="0" borderId="0" xfId="0" applyFont="1" applyBorder="1" applyAlignment="1">
      <alignment vertical="top"/>
    </xf>
    <xf numFmtId="0" fontId="2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164" fontId="26" fillId="0" borderId="0" xfId="0" applyNumberFormat="1" applyFont="1" applyFill="1" applyBorder="1" applyAlignment="1">
      <alignment horizontal="center" vertical="center" wrapText="1"/>
    </xf>
    <xf numFmtId="164" fontId="26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left" vertical="top"/>
    </xf>
    <xf numFmtId="165" fontId="5" fillId="0" borderId="0" xfId="0" applyNumberFormat="1" applyFont="1" applyBorder="1" applyAlignment="1">
      <alignment horizontal="right" vertical="top"/>
    </xf>
    <xf numFmtId="164" fontId="5" fillId="0" borderId="0" xfId="0" applyNumberFormat="1" applyFont="1" applyBorder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 vertical="top"/>
    </xf>
    <xf numFmtId="0" fontId="28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4" fontId="5" fillId="4" borderId="0" xfId="0" applyNumberFormat="1" applyFont="1" applyFill="1" applyBorder="1" applyAlignment="1">
      <alignment horizontal="center" vertical="top"/>
    </xf>
    <xf numFmtId="4" fontId="5" fillId="4" borderId="0" xfId="0" applyNumberFormat="1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center" vertical="top"/>
    </xf>
    <xf numFmtId="49" fontId="12" fillId="0" borderId="0" xfId="0" applyNumberFormat="1" applyFont="1" applyBorder="1" applyAlignment="1">
      <alignment horizontal="left" vertical="top"/>
    </xf>
    <xf numFmtId="0" fontId="4" fillId="0" borderId="1" xfId="0" applyFont="1" applyBorder="1"/>
    <xf numFmtId="2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3" xfId="0" applyNumberFormat="1" applyFont="1" applyBorder="1" applyAlignment="1">
      <alignment horizontal="right" vertical="top" wrapText="1"/>
    </xf>
    <xf numFmtId="2" fontId="1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/>
    </xf>
    <xf numFmtId="2" fontId="6" fillId="0" borderId="1" xfId="0" applyNumberFormat="1" applyFont="1" applyBorder="1" applyAlignment="1">
      <alignment horizontal="right" vertical="top"/>
    </xf>
    <xf numFmtId="2" fontId="5" fillId="0" borderId="0" xfId="0" applyNumberFormat="1" applyFont="1" applyBorder="1" applyAlignment="1">
      <alignment horizontal="right" vertical="top"/>
    </xf>
    <xf numFmtId="165" fontId="6" fillId="0" borderId="0" xfId="0" applyNumberFormat="1" applyFont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 wrapText="1"/>
    </xf>
    <xf numFmtId="0" fontId="31" fillId="0" borderId="0" xfId="0" applyFont="1" applyAlignment="1"/>
    <xf numFmtId="0" fontId="0" fillId="0" borderId="0" xfId="0" applyFont="1" applyFill="1"/>
    <xf numFmtId="0" fontId="0" fillId="0" borderId="0" xfId="0" applyFont="1"/>
    <xf numFmtId="0" fontId="32" fillId="0" borderId="0" xfId="0" applyFont="1"/>
    <xf numFmtId="2" fontId="32" fillId="0" borderId="0" xfId="0" applyNumberFormat="1" applyFont="1"/>
    <xf numFmtId="0" fontId="32" fillId="0" borderId="0" xfId="0" applyFont="1" applyBorder="1"/>
    <xf numFmtId="0" fontId="32" fillId="0" borderId="0" xfId="0" applyFont="1" applyBorder="1" applyAlignment="1">
      <alignment horizontal="left"/>
    </xf>
    <xf numFmtId="165" fontId="6" fillId="0" borderId="0" xfId="0" applyNumberFormat="1" applyFont="1" applyBorder="1"/>
    <xf numFmtId="0" fontId="30" fillId="3" borderId="0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32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top" wrapText="1"/>
    </xf>
    <xf numFmtId="0" fontId="33" fillId="0" borderId="0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center" wrapText="1"/>
    </xf>
    <xf numFmtId="0" fontId="13" fillId="0" borderId="0" xfId="1" applyFont="1" applyBorder="1" applyAlignment="1">
      <alignment horizontal="right" vertical="top"/>
    </xf>
    <xf numFmtId="0" fontId="23" fillId="0" borderId="0" xfId="0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top"/>
    </xf>
    <xf numFmtId="0" fontId="16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top" wrapText="1"/>
    </xf>
    <xf numFmtId="0" fontId="16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right" vertical="top"/>
    </xf>
    <xf numFmtId="0" fontId="6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5" fillId="0" borderId="0" xfId="0" applyNumberFormat="1" applyFont="1" applyBorder="1" applyAlignment="1">
      <alignment horizontal="right" vertical="top" inden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23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0" xfId="1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left" vertical="top"/>
    </xf>
    <xf numFmtId="2" fontId="15" fillId="0" borderId="4" xfId="0" applyNumberFormat="1" applyFont="1" applyBorder="1" applyAlignment="1">
      <alignment horizontal="right" vertical="top" wrapText="1"/>
    </xf>
    <xf numFmtId="0" fontId="5" fillId="0" borderId="15" xfId="0" applyFont="1" applyBorder="1" applyAlignment="1">
      <alignment vertical="top"/>
    </xf>
    <xf numFmtId="0" fontId="5" fillId="0" borderId="16" xfId="0" applyFont="1" applyBorder="1" applyAlignment="1">
      <alignment vertical="top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0" fillId="0" borderId="0" xfId="0" applyBorder="1"/>
    <xf numFmtId="0" fontId="16" fillId="0" borderId="0" xfId="1" applyFont="1" applyBorder="1" applyAlignment="1">
      <alignment horizontal="center" vertical="center"/>
    </xf>
    <xf numFmtId="0" fontId="32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vertical="center" wrapText="1"/>
    </xf>
    <xf numFmtId="49" fontId="32" fillId="0" borderId="0" xfId="1" applyNumberFormat="1" applyFont="1" applyBorder="1" applyAlignment="1">
      <alignment vertical="top" wrapText="1"/>
    </xf>
    <xf numFmtId="49" fontId="16" fillId="0" borderId="0" xfId="1" applyNumberFormat="1" applyFont="1" applyBorder="1" applyAlignment="1">
      <alignment vertical="top" wrapText="1"/>
    </xf>
    <xf numFmtId="0" fontId="1" fillId="0" borderId="0" xfId="13"/>
    <xf numFmtId="0" fontId="36" fillId="0" borderId="0" xfId="1" applyFont="1" applyAlignment="1">
      <alignment horizontal="right" vertical="top"/>
    </xf>
    <xf numFmtId="49" fontId="16" fillId="0" borderId="0" xfId="1" applyNumberFormat="1" applyFont="1" applyAlignment="1">
      <alignment horizontal="left" vertical="top"/>
    </xf>
    <xf numFmtId="0" fontId="16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left" vertical="top"/>
    </xf>
    <xf numFmtId="49" fontId="16" fillId="0" borderId="0" xfId="1" applyNumberFormat="1" applyFont="1" applyAlignment="1">
      <alignment horizontal="center" vertical="top"/>
    </xf>
    <xf numFmtId="0" fontId="16" fillId="0" borderId="0" xfId="1" applyFont="1" applyAlignment="1">
      <alignment horizontal="center" vertical="top"/>
    </xf>
    <xf numFmtId="0" fontId="11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horizontal="right" vertical="top"/>
    </xf>
    <xf numFmtId="0" fontId="32" fillId="0" borderId="0" xfId="1" applyFont="1" applyAlignment="1">
      <alignment horizontal="center" vertical="top"/>
    </xf>
    <xf numFmtId="0" fontId="16" fillId="0" borderId="0" xfId="1" applyFont="1" applyFill="1" applyBorder="1" applyAlignment="1">
      <alignment horizontal="left" vertical="top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Fill="1" applyBorder="1" applyAlignment="1">
      <alignment horizontal="right" vertical="top"/>
    </xf>
    <xf numFmtId="0" fontId="16" fillId="0" borderId="0" xfId="1" applyFont="1" applyBorder="1" applyAlignment="1">
      <alignment horizontal="left" vertical="top"/>
    </xf>
    <xf numFmtId="49" fontId="11" fillId="0" borderId="0" xfId="1" applyNumberFormat="1" applyFont="1" applyAlignment="1">
      <alignment horizontal="center" vertical="top"/>
    </xf>
    <xf numFmtId="49" fontId="11" fillId="0" borderId="0" xfId="1" applyNumberFormat="1" applyFont="1" applyAlignment="1">
      <alignment horizontal="left" vertical="top"/>
    </xf>
    <xf numFmtId="0" fontId="16" fillId="0" borderId="0" xfId="1" applyFont="1" applyAlignment="1"/>
    <xf numFmtId="49" fontId="16" fillId="0" borderId="0" xfId="1" applyNumberFormat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center" vertical="top" wrapText="1"/>
    </xf>
    <xf numFmtId="49" fontId="16" fillId="0" borderId="0" xfId="1" applyNumberFormat="1" applyFont="1" applyBorder="1" applyAlignment="1">
      <alignment horizontal="center" vertical="top"/>
    </xf>
    <xf numFmtId="0" fontId="16" fillId="0" borderId="0" xfId="1" applyFont="1" applyBorder="1" applyAlignment="1">
      <alignment horizontal="center" vertical="top"/>
    </xf>
    <xf numFmtId="0" fontId="6" fillId="0" borderId="21" xfId="1" applyFont="1" applyBorder="1" applyAlignment="1">
      <alignment vertical="top"/>
    </xf>
    <xf numFmtId="0" fontId="23" fillId="0" borderId="0" xfId="0" applyFont="1" applyBorder="1" applyAlignment="1">
      <alignment vertical="center"/>
    </xf>
    <xf numFmtId="0" fontId="26" fillId="0" borderId="0" xfId="12" applyFont="1" applyBorder="1" applyAlignment="1">
      <alignment vertical="top" wrapText="1"/>
    </xf>
    <xf numFmtId="167" fontId="6" fillId="0" borderId="1" xfId="0" applyNumberFormat="1" applyFont="1" applyFill="1" applyBorder="1" applyAlignment="1">
      <alignment horizontal="right" vertical="top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26" fillId="0" borderId="0" xfId="13" applyFont="1" applyBorder="1" applyAlignment="1">
      <alignment vertical="top" wrapText="1"/>
    </xf>
    <xf numFmtId="49" fontId="16" fillId="0" borderId="0" xfId="1" applyNumberFormat="1" applyFont="1" applyAlignment="1">
      <alignment horizontal="left" vertical="top"/>
    </xf>
    <xf numFmtId="0" fontId="16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left" vertical="top"/>
    </xf>
    <xf numFmtId="49" fontId="16" fillId="0" borderId="0" xfId="1" applyNumberFormat="1" applyFont="1" applyAlignment="1">
      <alignment horizontal="center" vertical="top"/>
    </xf>
    <xf numFmtId="0" fontId="16" fillId="0" borderId="0" xfId="1" applyFont="1" applyAlignment="1">
      <alignment horizontal="center" vertical="top"/>
    </xf>
    <xf numFmtId="0" fontId="16" fillId="0" borderId="0" xfId="1" applyFont="1" applyBorder="1" applyAlignment="1">
      <alignment horizontal="right" vertical="top"/>
    </xf>
    <xf numFmtId="0" fontId="16" fillId="0" borderId="0" xfId="1" applyFont="1" applyAlignment="1"/>
    <xf numFmtId="0" fontId="16" fillId="0" borderId="0" xfId="1" applyFont="1" applyAlignment="1">
      <alignment horizontal="left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top"/>
    </xf>
    <xf numFmtId="0" fontId="16" fillId="0" borderId="1" xfId="1" applyFont="1" applyBorder="1" applyAlignment="1">
      <alignment horizontal="center" vertical="top" wrapText="1"/>
    </xf>
    <xf numFmtId="49" fontId="32" fillId="0" borderId="1" xfId="1" applyNumberFormat="1" applyFont="1" applyBorder="1" applyAlignment="1">
      <alignment horizontal="left" vertical="top" wrapText="1"/>
    </xf>
    <xf numFmtId="0" fontId="16" fillId="0" borderId="1" xfId="1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/>
    </xf>
    <xf numFmtId="0" fontId="26" fillId="0" borderId="0" xfId="13" applyFont="1"/>
    <xf numFmtId="0" fontId="13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right" vertical="top" wrapText="1"/>
    </xf>
    <xf numFmtId="0" fontId="13" fillId="0" borderId="1" xfId="1" applyFont="1" applyBorder="1" applyAlignment="1">
      <alignment horizontal="right" vertical="top"/>
    </xf>
    <xf numFmtId="0" fontId="13" fillId="0" borderId="1" xfId="1" applyFont="1" applyBorder="1" applyAlignment="1">
      <alignment horizontal="center" vertical="top"/>
    </xf>
    <xf numFmtId="0" fontId="27" fillId="0" borderId="1" xfId="1" applyFont="1" applyBorder="1" applyAlignment="1">
      <alignment horizontal="right" vertical="top" wrapText="1"/>
    </xf>
    <xf numFmtId="49" fontId="32" fillId="0" borderId="1" xfId="1" applyNumberFormat="1" applyFont="1" applyBorder="1" applyAlignment="1">
      <alignment horizontal="left" vertical="center" wrapText="1"/>
    </xf>
    <xf numFmtId="0" fontId="36" fillId="0" borderId="0" xfId="1" applyFont="1" applyAlignment="1">
      <alignment horizontal="right" vertical="top"/>
    </xf>
    <xf numFmtId="0" fontId="36" fillId="0" borderId="0" xfId="1" applyFont="1"/>
    <xf numFmtId="49" fontId="16" fillId="0" borderId="0" xfId="1" applyNumberFormat="1" applyFont="1" applyAlignment="1">
      <alignment horizontal="center" vertical="top"/>
    </xf>
    <xf numFmtId="49" fontId="16" fillId="0" borderId="0" xfId="1" applyNumberFormat="1" applyFont="1" applyAlignment="1">
      <alignment horizontal="left" vertical="top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center" vertical="top" wrapText="1"/>
    </xf>
    <xf numFmtId="0" fontId="16" fillId="0" borderId="0" xfId="1" applyFont="1" applyAlignment="1"/>
    <xf numFmtId="0" fontId="16" fillId="0" borderId="0" xfId="1" applyFont="1" applyAlignment="1">
      <alignment horizontal="left"/>
    </xf>
    <xf numFmtId="0" fontId="16" fillId="0" borderId="0" xfId="1" applyFont="1" applyBorder="1" applyAlignment="1">
      <alignment horizontal="right" vertical="top"/>
    </xf>
    <xf numFmtId="0" fontId="1" fillId="0" borderId="0" xfId="13"/>
    <xf numFmtId="0" fontId="11" fillId="0" borderId="0" xfId="1" applyFont="1" applyBorder="1" applyAlignment="1">
      <alignment horizontal="center" vertical="top"/>
    </xf>
    <xf numFmtId="0" fontId="32" fillId="0" borderId="0" xfId="1" applyFont="1" applyAlignment="1">
      <alignment horizontal="center" vertical="top"/>
    </xf>
    <xf numFmtId="0" fontId="16" fillId="0" borderId="0" xfId="1" applyFont="1" applyFill="1" applyBorder="1" applyAlignment="1">
      <alignment horizontal="left" vertical="top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Fill="1" applyBorder="1" applyAlignment="1">
      <alignment horizontal="right" vertical="top"/>
    </xf>
    <xf numFmtId="0" fontId="16" fillId="0" borderId="0" xfId="1" applyFont="1" applyBorder="1" applyAlignment="1">
      <alignment horizontal="left" vertical="top"/>
    </xf>
    <xf numFmtId="49" fontId="16" fillId="0" borderId="0" xfId="1" applyNumberFormat="1" applyFont="1" applyBorder="1" applyAlignment="1">
      <alignment horizontal="left" vertical="top"/>
    </xf>
    <xf numFmtId="0" fontId="16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center" vertical="top" wrapText="1"/>
    </xf>
    <xf numFmtId="49" fontId="16" fillId="0" borderId="0" xfId="1" applyNumberFormat="1" applyFont="1" applyBorder="1" applyAlignment="1">
      <alignment horizontal="center" vertical="top"/>
    </xf>
    <xf numFmtId="0" fontId="16" fillId="0" borderId="0" xfId="1" applyFont="1" applyBorder="1" applyAlignment="1">
      <alignment horizontal="center" vertical="top"/>
    </xf>
    <xf numFmtId="0" fontId="6" fillId="0" borderId="21" xfId="1" applyFont="1" applyBorder="1" applyAlignment="1">
      <alignment vertical="top"/>
    </xf>
    <xf numFmtId="0" fontId="1" fillId="0" borderId="0" xfId="13" applyBorder="1"/>
    <xf numFmtId="0" fontId="36" fillId="0" borderId="0" xfId="1" applyFont="1" applyBorder="1" applyAlignment="1">
      <alignment horizontal="right" vertical="top"/>
    </xf>
    <xf numFmtId="0" fontId="6" fillId="0" borderId="0" xfId="1" applyFont="1" applyFill="1" applyBorder="1" applyAlignment="1">
      <alignment vertical="top"/>
    </xf>
    <xf numFmtId="0" fontId="16" fillId="0" borderId="0" xfId="1" applyFont="1" applyFill="1" applyBorder="1" applyAlignment="1">
      <alignment horizontal="left" vertical="top"/>
    </xf>
    <xf numFmtId="0" fontId="16" fillId="0" borderId="0" xfId="1" applyFont="1" applyFill="1" applyBorder="1" applyAlignment="1">
      <alignment horizontal="center" vertical="top"/>
    </xf>
    <xf numFmtId="49" fontId="11" fillId="0" borderId="0" xfId="1" applyNumberFormat="1" applyFont="1" applyAlignment="1">
      <alignment horizontal="center" vertical="top"/>
    </xf>
    <xf numFmtId="49" fontId="11" fillId="0" borderId="0" xfId="1" applyNumberFormat="1" applyFont="1" applyAlignment="1">
      <alignment horizontal="left" vertical="top"/>
    </xf>
    <xf numFmtId="0" fontId="11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horizontal="right" vertical="top"/>
    </xf>
    <xf numFmtId="0" fontId="32" fillId="0" borderId="0" xfId="1" applyFont="1" applyAlignment="1">
      <alignment horizontal="center" vertical="top"/>
    </xf>
    <xf numFmtId="0" fontId="16" fillId="0" borderId="0" xfId="1" applyFont="1" applyFill="1" applyBorder="1" applyAlignment="1">
      <alignment horizontal="right" vertical="top"/>
    </xf>
    <xf numFmtId="49" fontId="16" fillId="0" borderId="0" xfId="1" applyNumberFormat="1" applyFont="1" applyAlignment="1">
      <alignment horizontal="left" vertical="top"/>
    </xf>
    <xf numFmtId="0" fontId="16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left" vertical="top"/>
    </xf>
    <xf numFmtId="49" fontId="16" fillId="0" borderId="0" xfId="1" applyNumberFormat="1" applyFont="1" applyAlignment="1">
      <alignment horizontal="center" vertical="top"/>
    </xf>
    <xf numFmtId="0" fontId="16" fillId="0" borderId="0" xfId="1" applyFont="1" applyAlignment="1">
      <alignment horizontal="center" vertical="top"/>
    </xf>
    <xf numFmtId="0" fontId="16" fillId="0" borderId="0" xfId="1" applyFont="1" applyAlignment="1"/>
    <xf numFmtId="0" fontId="16" fillId="0" borderId="0" xfId="1" applyFont="1" applyAlignment="1">
      <alignment horizontal="left"/>
    </xf>
    <xf numFmtId="0" fontId="16" fillId="0" borderId="0" xfId="1" applyFont="1" applyBorder="1"/>
    <xf numFmtId="0" fontId="16" fillId="0" borderId="0" xfId="1" applyFont="1"/>
    <xf numFmtId="0" fontId="16" fillId="0" borderId="0" xfId="1" applyFont="1" applyBorder="1" applyAlignment="1">
      <alignment horizontal="right" wrapText="1"/>
    </xf>
    <xf numFmtId="0" fontId="13" fillId="0" borderId="0" xfId="1" applyFont="1" applyBorder="1"/>
    <xf numFmtId="0" fontId="13" fillId="0" borderId="0" xfId="1" applyFont="1" applyAlignment="1">
      <alignment horizontal="right" vertical="top"/>
    </xf>
    <xf numFmtId="167" fontId="0" fillId="0" borderId="0" xfId="0" applyNumberFormat="1"/>
    <xf numFmtId="0" fontId="6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6" fillId="0" borderId="0" xfId="13" applyFont="1" applyBorder="1" applyAlignment="1">
      <alignment vertical="top"/>
    </xf>
    <xf numFmtId="0" fontId="16" fillId="0" borderId="0" xfId="1" applyFont="1" applyAlignment="1">
      <alignment horizontal="center" vertical="top"/>
    </xf>
    <xf numFmtId="0" fontId="16" fillId="0" borderId="0" xfId="1" applyFont="1" applyAlignment="1">
      <alignment horizontal="left"/>
    </xf>
    <xf numFmtId="0" fontId="16" fillId="3" borderId="1" xfId="0" applyFont="1" applyFill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right" vertical="top" wrapText="1"/>
    </xf>
    <xf numFmtId="2" fontId="5" fillId="3" borderId="3" xfId="0" applyNumberFormat="1" applyFont="1" applyFill="1" applyBorder="1" applyAlignment="1">
      <alignment horizontal="right" vertical="top" wrapText="1"/>
    </xf>
    <xf numFmtId="49" fontId="16" fillId="0" borderId="0" xfId="1" applyNumberFormat="1" applyFont="1" applyAlignment="1">
      <alignment horizontal="center" vertical="top"/>
    </xf>
    <xf numFmtId="49" fontId="16" fillId="0" borderId="0" xfId="1" applyNumberFormat="1" applyFont="1" applyAlignment="1">
      <alignment horizontal="left" vertical="top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center" vertical="top" wrapText="1"/>
    </xf>
    <xf numFmtId="168" fontId="6" fillId="0" borderId="1" xfId="16" applyNumberFormat="1" applyFont="1" applyBorder="1" applyAlignment="1">
      <alignment horizontal="right" vertical="top" wrapText="1"/>
    </xf>
    <xf numFmtId="0" fontId="16" fillId="0" borderId="0" xfId="1" applyFont="1" applyAlignment="1">
      <alignment horizontal="left" vertical="top"/>
    </xf>
    <xf numFmtId="165" fontId="6" fillId="3" borderId="1" xfId="0" applyNumberFormat="1" applyFont="1" applyFill="1" applyBorder="1" applyAlignment="1">
      <alignment horizontal="right" vertical="top" wrapText="1"/>
    </xf>
    <xf numFmtId="169" fontId="0" fillId="0" borderId="0" xfId="0" applyNumberFormat="1"/>
    <xf numFmtId="0" fontId="23" fillId="0" borderId="0" xfId="0" applyFont="1" applyFill="1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top"/>
    </xf>
    <xf numFmtId="0" fontId="16" fillId="0" borderId="1" xfId="1" applyFont="1" applyBorder="1" applyAlignment="1">
      <alignment horizontal="center" vertical="top" wrapText="1"/>
    </xf>
    <xf numFmtId="49" fontId="32" fillId="0" borderId="1" xfId="1" applyNumberFormat="1" applyFont="1" applyBorder="1" applyAlignment="1">
      <alignment horizontal="left" vertical="top" wrapText="1"/>
    </xf>
    <xf numFmtId="0" fontId="16" fillId="0" borderId="1" xfId="1" applyFont="1" applyBorder="1" applyAlignment="1">
      <alignment horizontal="left" vertical="top" wrapText="1"/>
    </xf>
    <xf numFmtId="0" fontId="16" fillId="0" borderId="1" xfId="1" applyFont="1" applyBorder="1" applyAlignment="1">
      <alignment horizontal="center" vertical="top"/>
    </xf>
    <xf numFmtId="0" fontId="16" fillId="0" borderId="1" xfId="1" applyFont="1" applyBorder="1" applyAlignment="1">
      <alignment horizontal="right" vertical="top" wrapText="1"/>
    </xf>
    <xf numFmtId="0" fontId="16" fillId="0" borderId="1" xfId="1" applyFont="1" applyBorder="1" applyAlignment="1">
      <alignment horizontal="right" vertical="top"/>
    </xf>
    <xf numFmtId="0" fontId="32" fillId="0" borderId="1" xfId="1" applyFont="1" applyBorder="1" applyAlignment="1">
      <alignment horizontal="right" vertical="top" wrapText="1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left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top"/>
    </xf>
    <xf numFmtId="0" fontId="16" fillId="0" borderId="1" xfId="1" applyFont="1" applyBorder="1" applyAlignment="1">
      <alignment horizontal="center" vertical="top" wrapText="1"/>
    </xf>
    <xf numFmtId="49" fontId="32" fillId="0" borderId="1" xfId="1" applyNumberFormat="1" applyFont="1" applyBorder="1" applyAlignment="1">
      <alignment horizontal="left" vertical="top" wrapText="1"/>
    </xf>
    <xf numFmtId="0" fontId="16" fillId="0" borderId="1" xfId="1" applyFont="1" applyBorder="1" applyAlignment="1">
      <alignment horizontal="left" vertical="top" wrapText="1"/>
    </xf>
    <xf numFmtId="0" fontId="16" fillId="0" borderId="1" xfId="1" applyFont="1" applyBorder="1" applyAlignment="1">
      <alignment horizontal="center" vertical="top"/>
    </xf>
    <xf numFmtId="0" fontId="16" fillId="0" borderId="1" xfId="1" applyFont="1" applyBorder="1" applyAlignment="1">
      <alignment horizontal="right" vertical="top" wrapText="1"/>
    </xf>
    <xf numFmtId="0" fontId="16" fillId="0" borderId="1" xfId="1" applyFont="1" applyBorder="1" applyAlignment="1">
      <alignment horizontal="right" vertical="top"/>
    </xf>
    <xf numFmtId="49" fontId="16" fillId="0" borderId="1" xfId="1" applyNumberFormat="1" applyFont="1" applyBorder="1" applyAlignment="1">
      <alignment horizontal="center" vertical="top" wrapText="1"/>
    </xf>
    <xf numFmtId="0" fontId="32" fillId="0" borderId="1" xfId="1" applyFont="1" applyBorder="1" applyAlignment="1">
      <alignment horizontal="right" vertical="top" wrapText="1"/>
    </xf>
    <xf numFmtId="1" fontId="32" fillId="0" borderId="1" xfId="1" applyNumberFormat="1" applyFont="1" applyBorder="1" applyAlignment="1">
      <alignment horizontal="right" vertical="top" wrapText="1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/>
    </xf>
    <xf numFmtId="0" fontId="16" fillId="0" borderId="0" xfId="1" applyFont="1" applyAlignment="1"/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left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top"/>
    </xf>
    <xf numFmtId="0" fontId="16" fillId="0" borderId="1" xfId="1" applyFont="1" applyBorder="1" applyAlignment="1">
      <alignment horizontal="center" vertical="top" wrapText="1"/>
    </xf>
    <xf numFmtId="49" fontId="32" fillId="0" borderId="1" xfId="1" applyNumberFormat="1" applyFont="1" applyBorder="1" applyAlignment="1">
      <alignment horizontal="left" vertical="top" wrapText="1"/>
    </xf>
    <xf numFmtId="0" fontId="16" fillId="0" borderId="1" xfId="1" applyFont="1" applyBorder="1" applyAlignment="1">
      <alignment horizontal="left" vertical="top" wrapText="1"/>
    </xf>
    <xf numFmtId="0" fontId="16" fillId="0" borderId="1" xfId="1" applyFont="1" applyBorder="1" applyAlignment="1">
      <alignment horizontal="center" vertical="top"/>
    </xf>
    <xf numFmtId="0" fontId="16" fillId="0" borderId="1" xfId="1" applyFont="1" applyBorder="1" applyAlignment="1">
      <alignment horizontal="right" vertical="top" wrapText="1"/>
    </xf>
    <xf numFmtId="0" fontId="16" fillId="0" borderId="1" xfId="1" applyFont="1" applyBorder="1" applyAlignment="1">
      <alignment horizontal="right" vertical="top"/>
    </xf>
    <xf numFmtId="0" fontId="32" fillId="0" borderId="1" xfId="1" applyFont="1" applyBorder="1" applyAlignment="1">
      <alignment horizontal="right" vertical="top" wrapText="1"/>
    </xf>
    <xf numFmtId="49" fontId="16" fillId="0" borderId="1" xfId="1" applyNumberFormat="1" applyFont="1" applyBorder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/>
    </xf>
    <xf numFmtId="0" fontId="16" fillId="0" borderId="0" xfId="1" applyFont="1" applyAlignment="1">
      <alignment horizontal="left"/>
    </xf>
    <xf numFmtId="170" fontId="0" fillId="0" borderId="0" xfId="0" applyNumberFormat="1"/>
    <xf numFmtId="0" fontId="40" fillId="0" borderId="0" xfId="0" applyFont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6" fillId="0" borderId="0" xfId="1" applyFont="1" applyAlignment="1">
      <alignment horizontal="right"/>
    </xf>
    <xf numFmtId="0" fontId="26" fillId="0" borderId="0" xfId="14" applyFont="1" applyAlignment="1">
      <alignment horizontal="right"/>
    </xf>
    <xf numFmtId="49" fontId="32" fillId="0" borderId="1" xfId="1" applyNumberFormat="1" applyFont="1" applyBorder="1" applyAlignment="1">
      <alignment horizontal="left" vertical="top" wrapText="1"/>
    </xf>
    <xf numFmtId="0" fontId="26" fillId="0" borderId="1" xfId="14" applyFont="1" applyBorder="1" applyAlignment="1">
      <alignment vertical="top" wrapText="1"/>
    </xf>
    <xf numFmtId="49" fontId="16" fillId="0" borderId="1" xfId="1" applyNumberFormat="1" applyFont="1" applyBorder="1" applyAlignment="1">
      <alignment horizontal="left" vertical="top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 vertical="center" wrapText="1"/>
    </xf>
    <xf numFmtId="49" fontId="16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top"/>
    </xf>
    <xf numFmtId="0" fontId="26" fillId="0" borderId="1" xfId="14" applyFont="1" applyBorder="1" applyAlignment="1">
      <alignment vertical="top"/>
    </xf>
    <xf numFmtId="0" fontId="35" fillId="0" borderId="0" xfId="1" applyFont="1" applyBorder="1" applyAlignment="1">
      <alignment horizontal="center" vertical="top" wrapText="1"/>
    </xf>
    <xf numFmtId="0" fontId="15" fillId="0" borderId="0" xfId="1" applyFont="1" applyBorder="1" applyAlignment="1">
      <alignment horizontal="center" vertical="top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34" fillId="0" borderId="3" xfId="0" applyFont="1" applyBorder="1" applyAlignment="1">
      <alignment horizontal="center" wrapText="1"/>
    </xf>
    <xf numFmtId="0" fontId="26" fillId="0" borderId="0" xfId="13" applyFont="1" applyAlignment="1">
      <alignment horizontal="right"/>
    </xf>
    <xf numFmtId="0" fontId="6" fillId="0" borderId="21" xfId="1" applyFont="1" applyBorder="1" applyAlignment="1">
      <alignment horizontal="center" vertical="top"/>
    </xf>
    <xf numFmtId="0" fontId="16" fillId="0" borderId="0" xfId="1" applyFont="1" applyAlignment="1">
      <alignment horizontal="left" vertical="top"/>
    </xf>
    <xf numFmtId="0" fontId="6" fillId="0" borderId="3" xfId="0" applyFont="1" applyBorder="1" applyAlignment="1">
      <alignment horizontal="center" wrapText="1"/>
    </xf>
    <xf numFmtId="0" fontId="37" fillId="0" borderId="1" xfId="13" applyFont="1" applyBorder="1" applyAlignment="1">
      <alignment vertical="top" wrapText="1"/>
    </xf>
    <xf numFmtId="0" fontId="6" fillId="0" borderId="21" xfId="1" applyFont="1" applyBorder="1" applyAlignment="1">
      <alignment horizontal="left" vertical="top"/>
    </xf>
    <xf numFmtId="0" fontId="16" fillId="0" borderId="0" xfId="0" applyFont="1" applyAlignment="1">
      <alignment horizontal="left"/>
    </xf>
    <xf numFmtId="49" fontId="6" fillId="0" borderId="1" xfId="1" applyNumberFormat="1" applyFont="1" applyBorder="1" applyAlignment="1">
      <alignment horizontal="left" vertical="top" wrapText="1"/>
    </xf>
    <xf numFmtId="0" fontId="37" fillId="0" borderId="1" xfId="13" applyFont="1" applyBorder="1" applyAlignment="1">
      <alignment vertical="top"/>
    </xf>
    <xf numFmtId="0" fontId="5" fillId="0" borderId="1" xfId="1" applyFont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top"/>
    </xf>
  </cellXfs>
  <cellStyles count="18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Обычный 6" xfId="11"/>
    <cellStyle name="Обычный 6 2" xfId="14"/>
    <cellStyle name="Обычный 7" xfId="12"/>
    <cellStyle name="Обычный 7 2" xfId="15"/>
    <cellStyle name="Обычный 8" xfId="13"/>
    <cellStyle name="Стиль 1" xfId="7"/>
    <cellStyle name="Стиль 1 2" xfId="8"/>
    <cellStyle name="Финансовый" xfId="16" builtinId="3"/>
    <cellStyle name="Финансовый 2" xfId="17"/>
    <cellStyle name="Финансовый 2 2" xfId="9"/>
    <cellStyle name="Финансовый 2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69"/>
  <sheetViews>
    <sheetView showGridLines="0" topLeftCell="B25" zoomScale="90" zoomScaleNormal="90" zoomScaleSheetLayoutView="100" workbookViewId="0">
      <selection activeCell="H41" sqref="H41"/>
    </sheetView>
  </sheetViews>
  <sheetFormatPr defaultColWidth="9.109375" defaultRowHeight="13.2" x14ac:dyDescent="0.25"/>
  <cols>
    <col min="1" max="1" width="5" style="66" customWidth="1"/>
    <col min="2" max="2" width="18.5546875" style="1" customWidth="1"/>
    <col min="3" max="3" width="52" style="2" customWidth="1"/>
    <col min="4" max="4" width="12.33203125" style="2" customWidth="1"/>
    <col min="5" max="5" width="12.33203125" style="13" customWidth="1"/>
    <col min="6" max="6" width="13" style="13" customWidth="1"/>
    <col min="7" max="7" width="13.44140625" style="13" customWidth="1"/>
    <col min="8" max="8" width="12.5546875" style="13" customWidth="1"/>
    <col min="9" max="9" width="15.44140625" style="13" customWidth="1"/>
    <col min="10" max="10" width="13.44140625" style="5" customWidth="1"/>
    <col min="11" max="16384" width="9.109375" style="5"/>
  </cols>
  <sheetData>
    <row r="1" spans="1:13" x14ac:dyDescent="0.25">
      <c r="E1" s="3"/>
      <c r="F1" s="3"/>
      <c r="G1" s="3"/>
      <c r="H1" s="3"/>
      <c r="I1" s="4"/>
    </row>
    <row r="2" spans="1:13" ht="13.8" x14ac:dyDescent="0.25">
      <c r="C2" s="6"/>
      <c r="D2" s="6"/>
      <c r="E2" s="3"/>
      <c r="F2" s="7"/>
      <c r="G2" s="8"/>
      <c r="H2" s="7"/>
      <c r="I2" s="68"/>
    </row>
    <row r="3" spans="1:13" ht="13.8" x14ac:dyDescent="0.25">
      <c r="E3" s="3"/>
      <c r="F3" s="9"/>
      <c r="G3" s="9"/>
      <c r="H3" s="68"/>
      <c r="I3" s="68"/>
    </row>
    <row r="4" spans="1:13" ht="13.8" x14ac:dyDescent="0.25">
      <c r="B4" s="10" t="s">
        <v>0</v>
      </c>
      <c r="C4" s="11"/>
      <c r="D4" s="11"/>
      <c r="E4" s="69"/>
      <c r="F4" s="68"/>
      <c r="G4" s="410"/>
      <c r="H4" s="410"/>
      <c r="I4" s="410"/>
    </row>
    <row r="5" spans="1:13" ht="13.8" x14ac:dyDescent="0.25">
      <c r="B5" s="12">
        <f>I53</f>
        <v>11453.300718879998</v>
      </c>
      <c r="C5" s="2" t="s">
        <v>32</v>
      </c>
      <c r="E5" s="3"/>
      <c r="F5" s="410"/>
      <c r="G5" s="410"/>
      <c r="H5" s="410"/>
      <c r="I5" s="410"/>
    </row>
    <row r="6" spans="1:13" ht="13.8" x14ac:dyDescent="0.25">
      <c r="F6" s="8"/>
      <c r="G6" s="8"/>
      <c r="H6" s="7"/>
      <c r="I6" s="7"/>
    </row>
    <row r="7" spans="1:13" ht="13.8" x14ac:dyDescent="0.25">
      <c r="B7" s="14"/>
      <c r="C7" s="15"/>
      <c r="D7" s="15"/>
      <c r="E7" s="3"/>
      <c r="F7" s="410"/>
      <c r="G7" s="410"/>
      <c r="H7" s="410"/>
      <c r="I7" s="410"/>
    </row>
    <row r="8" spans="1:13" x14ac:dyDescent="0.25">
      <c r="B8" s="16"/>
      <c r="C8" s="17"/>
      <c r="D8" s="17"/>
      <c r="H8" s="3"/>
      <c r="I8" s="3"/>
    </row>
    <row r="9" spans="1:13" x14ac:dyDescent="0.25">
      <c r="B9" s="12"/>
      <c r="F9" s="18"/>
      <c r="H9" s="3"/>
      <c r="I9" s="3"/>
    </row>
    <row r="10" spans="1:13" x14ac:dyDescent="0.25">
      <c r="A10" s="411" t="s">
        <v>33</v>
      </c>
      <c r="B10" s="411"/>
      <c r="C10" s="411"/>
      <c r="D10" s="411"/>
      <c r="E10" s="411"/>
      <c r="F10" s="411"/>
      <c r="G10" s="411"/>
      <c r="H10" s="411"/>
      <c r="I10" s="411"/>
    </row>
    <row r="11" spans="1:13" ht="12.75" customHeight="1" x14ac:dyDescent="0.25">
      <c r="A11" s="412" t="s">
        <v>73</v>
      </c>
      <c r="B11" s="412"/>
      <c r="C11" s="412"/>
      <c r="D11" s="412"/>
      <c r="E11" s="412"/>
      <c r="F11" s="412"/>
      <c r="G11" s="412"/>
      <c r="H11" s="412"/>
      <c r="I11" s="412"/>
      <c r="J11" s="13"/>
      <c r="K11" s="13"/>
      <c r="L11" s="13"/>
      <c r="M11" s="13"/>
    </row>
    <row r="12" spans="1:13" x14ac:dyDescent="0.25">
      <c r="B12" s="12"/>
      <c r="C12" s="409" t="s">
        <v>1</v>
      </c>
      <c r="D12" s="409"/>
      <c r="E12" s="409"/>
      <c r="F12" s="409"/>
      <c r="G12" s="409"/>
      <c r="H12" s="409"/>
      <c r="I12" s="19"/>
    </row>
    <row r="13" spans="1:13" x14ac:dyDescent="0.25">
      <c r="E13" s="20"/>
      <c r="F13" s="20"/>
      <c r="G13" s="20"/>
      <c r="H13" s="20"/>
      <c r="I13" s="19"/>
    </row>
    <row r="14" spans="1:13" x14ac:dyDescent="0.25">
      <c r="B14" s="1" t="s">
        <v>41</v>
      </c>
      <c r="E14" s="21"/>
      <c r="F14" s="3"/>
      <c r="G14" s="3"/>
      <c r="H14" s="3"/>
      <c r="I14" s="3"/>
    </row>
    <row r="15" spans="1:13" ht="13.2" customHeight="1" x14ac:dyDescent="0.25">
      <c r="A15" s="416" t="s">
        <v>2</v>
      </c>
      <c r="B15" s="417" t="s">
        <v>3</v>
      </c>
      <c r="C15" s="418" t="s">
        <v>4</v>
      </c>
      <c r="D15" s="419"/>
      <c r="E15" s="424" t="s">
        <v>5</v>
      </c>
      <c r="F15" s="424"/>
      <c r="G15" s="424"/>
      <c r="H15" s="424"/>
      <c r="I15" s="416" t="s">
        <v>6</v>
      </c>
    </row>
    <row r="16" spans="1:13" ht="13.2" customHeight="1" x14ac:dyDescent="0.25">
      <c r="A16" s="416"/>
      <c r="B16" s="417"/>
      <c r="C16" s="420"/>
      <c r="D16" s="421"/>
      <c r="E16" s="416" t="s">
        <v>7</v>
      </c>
      <c r="F16" s="416" t="s">
        <v>8</v>
      </c>
      <c r="G16" s="416" t="s">
        <v>9</v>
      </c>
      <c r="H16" s="416" t="s">
        <v>10</v>
      </c>
      <c r="I16" s="416"/>
    </row>
    <row r="17" spans="1:17" ht="12.75" customHeight="1" x14ac:dyDescent="0.25">
      <c r="A17" s="416"/>
      <c r="B17" s="417"/>
      <c r="C17" s="420"/>
      <c r="D17" s="421"/>
      <c r="E17" s="416"/>
      <c r="F17" s="416"/>
      <c r="G17" s="416"/>
      <c r="H17" s="416"/>
      <c r="I17" s="416"/>
    </row>
    <row r="18" spans="1:17" ht="13.2" customHeight="1" x14ac:dyDescent="0.25">
      <c r="A18" s="416"/>
      <c r="B18" s="417"/>
      <c r="C18" s="422"/>
      <c r="D18" s="423"/>
      <c r="E18" s="416"/>
      <c r="F18" s="416"/>
      <c r="G18" s="416"/>
      <c r="H18" s="416"/>
      <c r="I18" s="416"/>
    </row>
    <row r="19" spans="1:17" x14ac:dyDescent="0.25">
      <c r="A19" s="67">
        <v>1</v>
      </c>
      <c r="B19" s="22">
        <v>2</v>
      </c>
      <c r="C19" s="71">
        <v>3</v>
      </c>
      <c r="D19" s="72"/>
      <c r="E19" s="67">
        <v>4</v>
      </c>
      <c r="F19" s="67">
        <v>5</v>
      </c>
      <c r="G19" s="67">
        <v>6</v>
      </c>
      <c r="H19" s="67">
        <v>7</v>
      </c>
      <c r="I19" s="67">
        <v>8</v>
      </c>
    </row>
    <row r="20" spans="1:17" ht="15" customHeight="1" x14ac:dyDescent="0.25">
      <c r="A20" s="425" t="s">
        <v>11</v>
      </c>
      <c r="B20" s="426"/>
      <c r="C20" s="426"/>
      <c r="D20" s="426"/>
      <c r="E20" s="426"/>
      <c r="F20" s="426"/>
      <c r="G20" s="426"/>
      <c r="H20" s="426"/>
      <c r="I20" s="426"/>
      <c r="J20" s="59"/>
      <c r="K20" s="52"/>
      <c r="L20" s="52"/>
      <c r="M20" s="52"/>
      <c r="N20" s="52"/>
      <c r="O20" s="52"/>
      <c r="P20" s="52"/>
      <c r="Q20" s="52"/>
    </row>
    <row r="21" spans="1:17" s="25" customFormat="1" ht="12.75" customHeight="1" x14ac:dyDescent="0.25">
      <c r="A21" s="23">
        <v>1</v>
      </c>
      <c r="B21" s="70" t="s">
        <v>53</v>
      </c>
      <c r="C21" s="73" t="s">
        <v>34</v>
      </c>
      <c r="D21" s="74"/>
      <c r="E21" s="24">
        <f>28.96/0.456*(4.165-1.2)</f>
        <v>188.30350877192981</v>
      </c>
      <c r="F21" s="24">
        <f>134.287/0.456*(4.165-1.2)</f>
        <v>873.15998903508762</v>
      </c>
      <c r="G21" s="24">
        <v>0</v>
      </c>
      <c r="H21" s="24">
        <v>0</v>
      </c>
      <c r="I21" s="24">
        <f>SUM(E21:H21)</f>
        <v>1061.4634978070173</v>
      </c>
      <c r="J21" s="60"/>
      <c r="K21" s="61"/>
      <c r="L21" s="62"/>
      <c r="M21" s="60"/>
      <c r="N21" s="60"/>
      <c r="O21" s="60"/>
      <c r="P21" s="60"/>
      <c r="Q21" s="60"/>
    </row>
    <row r="22" spans="1:17" s="25" customFormat="1" ht="12.75" customHeight="1" x14ac:dyDescent="0.25">
      <c r="A22" s="23">
        <v>2</v>
      </c>
      <c r="B22" s="70" t="s">
        <v>47</v>
      </c>
      <c r="C22" s="75" t="s">
        <v>35</v>
      </c>
      <c r="D22" s="76"/>
      <c r="E22" s="24">
        <f>(26.625+0.181)/0.16*1.86</f>
        <v>311.61975000000001</v>
      </c>
      <c r="F22" s="24">
        <f>6.548/0.16*1.86</f>
        <v>76.120499999999993</v>
      </c>
      <c r="G22" s="24">
        <v>0</v>
      </c>
      <c r="H22" s="24">
        <v>0</v>
      </c>
      <c r="I22" s="24">
        <f>SUM(E22:H22)</f>
        <v>387.74025</v>
      </c>
      <c r="J22" s="60"/>
      <c r="K22" s="61"/>
      <c r="L22" s="62"/>
      <c r="M22" s="60"/>
      <c r="N22" s="60"/>
      <c r="O22" s="60"/>
      <c r="P22" s="60"/>
      <c r="Q22" s="60"/>
    </row>
    <row r="23" spans="1:17" s="25" customFormat="1" ht="12.75" customHeight="1" x14ac:dyDescent="0.25">
      <c r="A23" s="23">
        <v>3</v>
      </c>
      <c r="B23" s="70" t="s">
        <v>60</v>
      </c>
      <c r="C23" s="75" t="s">
        <v>59</v>
      </c>
      <c r="D23" s="76"/>
      <c r="E23" s="24">
        <f>1.654/0.11*0.275</f>
        <v>4.1349999999999998</v>
      </c>
      <c r="F23" s="24">
        <f>4.198/0.11*0.275</f>
        <v>10.495000000000001</v>
      </c>
      <c r="G23" s="24">
        <v>0</v>
      </c>
      <c r="H23" s="24">
        <v>0</v>
      </c>
      <c r="I23" s="24">
        <f>E23+F23+G23+H23</f>
        <v>14.63</v>
      </c>
      <c r="J23" s="62"/>
      <c r="K23" s="61"/>
      <c r="L23" s="62"/>
      <c r="M23" s="60"/>
      <c r="N23" s="60"/>
      <c r="O23" s="60"/>
      <c r="P23" s="60"/>
      <c r="Q23" s="60"/>
    </row>
    <row r="24" spans="1:17" s="25" customFormat="1" ht="12.75" customHeight="1" x14ac:dyDescent="0.25">
      <c r="A24" s="23">
        <v>4</v>
      </c>
      <c r="B24" s="70" t="s">
        <v>53</v>
      </c>
      <c r="C24" s="75" t="s">
        <v>62</v>
      </c>
      <c r="D24" s="76"/>
      <c r="E24" s="24"/>
      <c r="F24" s="24">
        <f>158.972-G24</f>
        <v>12.129999999999995</v>
      </c>
      <c r="G24" s="94">
        <v>146.84200000000001</v>
      </c>
      <c r="H24" s="24">
        <v>6.8369999999999997</v>
      </c>
      <c r="I24" s="24">
        <f>E24+F24+G24+H24</f>
        <v>165.809</v>
      </c>
      <c r="J24" s="62"/>
      <c r="K24" s="61"/>
      <c r="L24" s="62"/>
      <c r="M24" s="60"/>
      <c r="N24" s="60"/>
      <c r="O24" s="60"/>
      <c r="P24" s="60"/>
      <c r="Q24" s="60"/>
    </row>
    <row r="25" spans="1:17" s="25" customFormat="1" ht="12.75" customHeight="1" x14ac:dyDescent="0.25">
      <c r="A25" s="23">
        <v>5</v>
      </c>
      <c r="B25" s="70" t="s">
        <v>58</v>
      </c>
      <c r="C25" s="75" t="s">
        <v>65</v>
      </c>
      <c r="D25" s="76"/>
      <c r="E25" s="24">
        <f>78.458-72.737</f>
        <v>5.7210000000000036</v>
      </c>
      <c r="F25" s="24">
        <v>2.4380000000000002</v>
      </c>
      <c r="G25" s="94">
        <v>72.736999999999995</v>
      </c>
      <c r="H25" s="24">
        <v>0.38200000000000001</v>
      </c>
      <c r="I25" s="24">
        <f>SUM(E25:H25)</f>
        <v>81.278000000000006</v>
      </c>
      <c r="J25" s="62"/>
      <c r="K25" s="61"/>
      <c r="L25" s="62"/>
      <c r="M25" s="60"/>
      <c r="N25" s="60"/>
      <c r="O25" s="60"/>
      <c r="P25" s="60"/>
      <c r="Q25" s="60"/>
    </row>
    <row r="26" spans="1:17" ht="13.2" customHeight="1" x14ac:dyDescent="0.25">
      <c r="A26" s="26"/>
      <c r="B26" s="27"/>
      <c r="C26" s="73" t="s">
        <v>12</v>
      </c>
      <c r="D26" s="74"/>
      <c r="E26" s="29">
        <f>SUM(E21:E25)</f>
        <v>509.77925877192979</v>
      </c>
      <c r="F26" s="29">
        <f>SUM(F21:F25)</f>
        <v>974.3434890350876</v>
      </c>
      <c r="G26" s="29">
        <f>SUM(G21:G25)</f>
        <v>219.57900000000001</v>
      </c>
      <c r="H26" s="29">
        <f>SUM(H21:H25)</f>
        <v>7.2189999999999994</v>
      </c>
      <c r="I26" s="29">
        <f>SUM(I21:I25)</f>
        <v>1710.9207478070175</v>
      </c>
      <c r="J26" s="88"/>
      <c r="K26" s="52"/>
      <c r="L26" s="52"/>
      <c r="M26" s="52"/>
      <c r="N26" s="52"/>
      <c r="O26" s="52"/>
      <c r="P26" s="52"/>
      <c r="Q26" s="52"/>
    </row>
    <row r="27" spans="1:17" ht="13.2" customHeight="1" x14ac:dyDescent="0.25">
      <c r="A27" s="425" t="s">
        <v>13</v>
      </c>
      <c r="B27" s="426"/>
      <c r="C27" s="426"/>
      <c r="D27" s="426"/>
      <c r="E27" s="426"/>
      <c r="F27" s="426"/>
      <c r="G27" s="426"/>
      <c r="H27" s="426"/>
      <c r="I27" s="426"/>
      <c r="J27" s="52"/>
      <c r="K27" s="52"/>
      <c r="L27" s="52"/>
      <c r="M27" s="52"/>
      <c r="N27" s="52"/>
      <c r="O27" s="52"/>
      <c r="P27" s="52"/>
      <c r="Q27" s="52"/>
    </row>
    <row r="28" spans="1:17" ht="13.2" customHeight="1" x14ac:dyDescent="0.25">
      <c r="A28" s="427" t="s">
        <v>14</v>
      </c>
      <c r="B28" s="428"/>
      <c r="C28" s="428"/>
      <c r="D28" s="428"/>
      <c r="E28" s="428"/>
      <c r="F28" s="428"/>
      <c r="G28" s="428"/>
      <c r="H28" s="428"/>
      <c r="I28" s="428"/>
      <c r="J28" s="52"/>
      <c r="K28" s="52"/>
      <c r="L28" s="52"/>
      <c r="M28" s="52"/>
      <c r="N28" s="63"/>
      <c r="O28" s="64"/>
      <c r="P28" s="63"/>
      <c r="Q28" s="52"/>
    </row>
    <row r="29" spans="1:17" ht="20.399999999999999" x14ac:dyDescent="0.25">
      <c r="A29" s="30">
        <v>6</v>
      </c>
      <c r="B29" s="31" t="s">
        <v>15</v>
      </c>
      <c r="C29" s="77" t="s">
        <v>36</v>
      </c>
      <c r="D29" s="78"/>
      <c r="E29" s="32">
        <f>E26*1.8%</f>
        <v>9.176026657894738</v>
      </c>
      <c r="F29" s="32">
        <f>F26*1.8%</f>
        <v>17.538182802631578</v>
      </c>
      <c r="G29" s="32">
        <v>0</v>
      </c>
      <c r="H29" s="32">
        <v>0</v>
      </c>
      <c r="I29" s="32">
        <f>E29+F29+G29+H29</f>
        <v>26.714209460526316</v>
      </c>
      <c r="J29" s="89"/>
      <c r="K29" s="52"/>
      <c r="L29" s="52"/>
      <c r="M29" s="52"/>
      <c r="N29" s="63"/>
      <c r="O29" s="64"/>
      <c r="P29" s="63"/>
      <c r="Q29" s="52"/>
    </row>
    <row r="30" spans="1:17" ht="20.399999999999999" hidden="1" x14ac:dyDescent="0.25">
      <c r="A30" s="30">
        <f>A29+1</f>
        <v>7</v>
      </c>
      <c r="B30" s="31" t="s">
        <v>16</v>
      </c>
      <c r="C30" s="28" t="s">
        <v>17</v>
      </c>
      <c r="D30" s="28"/>
      <c r="E30" s="34"/>
      <c r="F30" s="34"/>
      <c r="G30" s="34"/>
      <c r="H30" s="32">
        <f>0*0.07</f>
        <v>0</v>
      </c>
      <c r="I30" s="32">
        <f>E30+F30+G30+H30</f>
        <v>0</v>
      </c>
      <c r="J30" s="52"/>
      <c r="K30" s="52"/>
      <c r="L30" s="52"/>
      <c r="M30" s="52"/>
      <c r="N30" s="63"/>
      <c r="O30" s="64"/>
      <c r="P30" s="63"/>
      <c r="Q30" s="52"/>
    </row>
    <row r="31" spans="1:17" x14ac:dyDescent="0.25">
      <c r="A31" s="26"/>
      <c r="B31" s="36"/>
      <c r="C31" s="73" t="s">
        <v>18</v>
      </c>
      <c r="D31" s="74"/>
      <c r="E31" s="32">
        <f>SUM(E29:E30)</f>
        <v>9.176026657894738</v>
      </c>
      <c r="F31" s="32">
        <f>SUM(F29:F30)</f>
        <v>17.538182802631578</v>
      </c>
      <c r="G31" s="32">
        <f>SUM(G29:G30)</f>
        <v>0</v>
      </c>
      <c r="H31" s="32">
        <f>SUM(H29:H30)</f>
        <v>0</v>
      </c>
      <c r="I31" s="32">
        <f>E31+F31+G31+H31</f>
        <v>26.714209460526316</v>
      </c>
      <c r="J31" s="52"/>
      <c r="K31" s="52"/>
      <c r="L31" s="52"/>
      <c r="M31" s="52"/>
      <c r="N31" s="52"/>
      <c r="O31" s="52"/>
      <c r="P31" s="52"/>
      <c r="Q31" s="52"/>
    </row>
    <row r="32" spans="1:17" ht="13.2" customHeight="1" x14ac:dyDescent="0.25">
      <c r="A32" s="26"/>
      <c r="B32" s="36"/>
      <c r="C32" s="73" t="s">
        <v>19</v>
      </c>
      <c r="D32" s="74"/>
      <c r="E32" s="32">
        <f>E31+E26</f>
        <v>518.95528542982447</v>
      </c>
      <c r="F32" s="32">
        <f>F31+F26</f>
        <v>991.88167183771918</v>
      </c>
      <c r="G32" s="32">
        <f>G31+G26</f>
        <v>219.57900000000001</v>
      </c>
      <c r="H32" s="32">
        <f>H31+H26</f>
        <v>7.2189999999999994</v>
      </c>
      <c r="I32" s="32">
        <f>I31+I26</f>
        <v>1737.6349572675438</v>
      </c>
      <c r="J32" s="87"/>
    </row>
    <row r="33" spans="1:11" ht="13.2" customHeight="1" x14ac:dyDescent="0.25">
      <c r="A33" s="413" t="s">
        <v>20</v>
      </c>
      <c r="B33" s="414"/>
      <c r="C33" s="414"/>
      <c r="D33" s="414"/>
      <c r="E33" s="414"/>
      <c r="F33" s="414"/>
      <c r="G33" s="414"/>
      <c r="H33" s="414"/>
      <c r="I33" s="415"/>
    </row>
    <row r="34" spans="1:11" ht="13.2" customHeight="1" x14ac:dyDescent="0.25">
      <c r="A34" s="413" t="s">
        <v>21</v>
      </c>
      <c r="B34" s="414"/>
      <c r="C34" s="414"/>
      <c r="D34" s="414"/>
      <c r="E34" s="414"/>
      <c r="F34" s="414"/>
      <c r="G34" s="414"/>
      <c r="H34" s="414"/>
      <c r="I34" s="415"/>
    </row>
    <row r="35" spans="1:11" ht="30" customHeight="1" x14ac:dyDescent="0.25">
      <c r="A35" s="30">
        <v>7</v>
      </c>
      <c r="B35" s="28" t="s">
        <v>49</v>
      </c>
      <c r="C35" s="86" t="s">
        <v>48</v>
      </c>
      <c r="D35" s="84"/>
      <c r="E35" s="32">
        <v>0</v>
      </c>
      <c r="F35" s="32">
        <v>0</v>
      </c>
      <c r="G35" s="32">
        <v>8.8260000000000005</v>
      </c>
      <c r="H35" s="91">
        <f>84.38+54.48+2.8+8.826+7.315</f>
        <v>157.80099999999999</v>
      </c>
      <c r="I35" s="32">
        <f>H35</f>
        <v>157.80099999999999</v>
      </c>
    </row>
    <row r="36" spans="1:11" ht="15" customHeight="1" x14ac:dyDescent="0.25">
      <c r="A36" s="30">
        <v>8</v>
      </c>
      <c r="B36" s="28" t="s">
        <v>68</v>
      </c>
      <c r="C36" s="86" t="s">
        <v>70</v>
      </c>
      <c r="D36" s="84"/>
      <c r="E36" s="32">
        <v>0</v>
      </c>
      <c r="F36" s="32">
        <v>0</v>
      </c>
      <c r="G36" s="32">
        <v>0</v>
      </c>
      <c r="H36" s="91">
        <f>3.476*5.1</f>
        <v>17.727599999999999</v>
      </c>
      <c r="I36" s="32">
        <f>H36</f>
        <v>17.727599999999999</v>
      </c>
    </row>
    <row r="37" spans="1:11" ht="15" customHeight="1" x14ac:dyDescent="0.25">
      <c r="A37" s="30">
        <v>9</v>
      </c>
      <c r="B37" s="28" t="s">
        <v>69</v>
      </c>
      <c r="C37" s="86" t="s">
        <v>72</v>
      </c>
      <c r="D37" s="96"/>
      <c r="E37" s="32">
        <v>0</v>
      </c>
      <c r="F37" s="32">
        <v>0</v>
      </c>
      <c r="G37" s="32">
        <v>0</v>
      </c>
      <c r="H37" s="91">
        <v>0</v>
      </c>
      <c r="I37" s="32">
        <f>H37</f>
        <v>0</v>
      </c>
    </row>
    <row r="38" spans="1:11" ht="13.2" customHeight="1" x14ac:dyDescent="0.25">
      <c r="A38" s="85"/>
      <c r="B38" s="85"/>
      <c r="C38" s="73" t="s">
        <v>50</v>
      </c>
      <c r="D38" s="84"/>
      <c r="E38" s="32">
        <v>0</v>
      </c>
      <c r="F38" s="32">
        <v>0</v>
      </c>
      <c r="G38" s="32">
        <v>0</v>
      </c>
      <c r="H38" s="91">
        <f>H35+H36+H37</f>
        <v>175.52859999999998</v>
      </c>
      <c r="I38" s="32">
        <f>I35+I36+I37</f>
        <v>175.52859999999998</v>
      </c>
    </row>
    <row r="39" spans="1:11" ht="13.2" customHeight="1" x14ac:dyDescent="0.25">
      <c r="A39" s="85"/>
      <c r="B39" s="85"/>
      <c r="C39" s="73" t="s">
        <v>51</v>
      </c>
      <c r="D39" s="84"/>
      <c r="E39" s="32">
        <f>E32</f>
        <v>518.95528542982447</v>
      </c>
      <c r="F39" s="32">
        <f>F32</f>
        <v>991.88167183771918</v>
      </c>
      <c r="G39" s="32">
        <f>G32</f>
        <v>219.57900000000001</v>
      </c>
      <c r="H39" s="91">
        <f>H32+H38</f>
        <v>182.74759999999998</v>
      </c>
      <c r="I39" s="32">
        <f>I32+I38</f>
        <v>1913.1635572675436</v>
      </c>
    </row>
    <row r="40" spans="1:11" ht="13.2" customHeight="1" x14ac:dyDescent="0.25">
      <c r="A40" s="413" t="s">
        <v>22</v>
      </c>
      <c r="B40" s="414"/>
      <c r="C40" s="414"/>
      <c r="D40" s="414"/>
      <c r="E40" s="414"/>
      <c r="F40" s="414"/>
      <c r="G40" s="414"/>
      <c r="H40" s="414"/>
      <c r="I40" s="415"/>
    </row>
    <row r="41" spans="1:11" ht="13.2" customHeight="1" x14ac:dyDescent="0.25">
      <c r="A41" s="30">
        <v>10</v>
      </c>
      <c r="B41" s="31" t="s">
        <v>37</v>
      </c>
      <c r="C41" s="77" t="s">
        <v>38</v>
      </c>
      <c r="D41" s="78"/>
      <c r="E41" s="32">
        <f>ROUND(E32*0.02,3)</f>
        <v>10.379</v>
      </c>
      <c r="F41" s="32">
        <f>ROUND(F32*0.02,3)</f>
        <v>19.838000000000001</v>
      </c>
      <c r="G41" s="32">
        <f>ROUND(G32*0.02,3)</f>
        <v>4.3920000000000003</v>
      </c>
      <c r="H41" s="32">
        <f>H39*2%</f>
        <v>3.6549519999999998</v>
      </c>
      <c r="I41" s="32">
        <f>E41+F41+G41+H41</f>
        <v>38.263952000000003</v>
      </c>
      <c r="J41" s="87"/>
      <c r="K41" s="87"/>
    </row>
    <row r="42" spans="1:11" ht="13.2" customHeight="1" x14ac:dyDescent="0.25">
      <c r="A42" s="26"/>
      <c r="B42" s="36"/>
      <c r="C42" s="73"/>
      <c r="D42" s="74"/>
      <c r="E42" s="32"/>
      <c r="F42" s="32"/>
      <c r="G42" s="32"/>
      <c r="H42" s="32"/>
      <c r="I42" s="32"/>
    </row>
    <row r="43" spans="1:11" x14ac:dyDescent="0.25">
      <c r="A43" s="26"/>
      <c r="B43" s="36"/>
      <c r="C43" s="73" t="s">
        <v>23</v>
      </c>
      <c r="D43" s="74"/>
      <c r="E43" s="32">
        <f>E41+E39</f>
        <v>529.33428542982449</v>
      </c>
      <c r="F43" s="32">
        <f>F41+F39</f>
        <v>1011.7196718377191</v>
      </c>
      <c r="G43" s="32">
        <f>G41+G39</f>
        <v>223.971</v>
      </c>
      <c r="H43" s="32">
        <f>H41+H39</f>
        <v>186.40255199999999</v>
      </c>
      <c r="I43" s="32">
        <f>I39+I41</f>
        <v>1951.4275092675437</v>
      </c>
      <c r="J43" s="87"/>
    </row>
    <row r="44" spans="1:11" ht="13.2" customHeight="1" x14ac:dyDescent="0.25">
      <c r="A44" s="26"/>
      <c r="B44" s="27"/>
      <c r="C44" s="73"/>
      <c r="D44" s="74"/>
      <c r="E44" s="35"/>
      <c r="F44" s="35"/>
      <c r="G44" s="35"/>
      <c r="H44" s="35"/>
      <c r="I44" s="35"/>
    </row>
    <row r="45" spans="1:11" ht="13.2" customHeight="1" x14ac:dyDescent="0.25">
      <c r="A45" s="413" t="s">
        <v>24</v>
      </c>
      <c r="B45" s="414"/>
      <c r="C45" s="414"/>
      <c r="D45" s="414"/>
      <c r="E45" s="414"/>
      <c r="F45" s="414"/>
      <c r="G45" s="414"/>
      <c r="H45" s="414"/>
      <c r="I45" s="415"/>
    </row>
    <row r="46" spans="1:11" x14ac:dyDescent="0.25">
      <c r="A46" s="26">
        <v>11</v>
      </c>
      <c r="B46" s="36" t="s">
        <v>25</v>
      </c>
      <c r="C46" s="73" t="s">
        <v>42</v>
      </c>
      <c r="D46" s="74"/>
      <c r="E46" s="32">
        <f>ROUND(E43*5.43,3)</f>
        <v>2874.2849999999999</v>
      </c>
      <c r="F46" s="32">
        <f>ROUND(F43*5.43,3)</f>
        <v>5493.6379999999999</v>
      </c>
      <c r="G46" s="32"/>
      <c r="H46" s="32"/>
      <c r="I46" s="29">
        <f>E46+F46+G47+H47</f>
        <v>9706.1867188799988</v>
      </c>
    </row>
    <row r="47" spans="1:11" x14ac:dyDescent="0.25">
      <c r="A47" s="26"/>
      <c r="B47" s="36" t="s">
        <v>55</v>
      </c>
      <c r="C47" s="73" t="s">
        <v>54</v>
      </c>
      <c r="D47" s="74"/>
      <c r="E47" s="32"/>
      <c r="F47" s="32"/>
      <c r="G47" s="32">
        <f>ROUND(G43*3.27,3)</f>
        <v>732.38499999999999</v>
      </c>
      <c r="H47" s="32">
        <f>H32*1.02*6.03+H35*1.02*3.13+H36*3.19*1.02+H37*1.02*3.19</f>
        <v>605.87871887999995</v>
      </c>
      <c r="I47" s="29"/>
      <c r="J47" s="87"/>
    </row>
    <row r="48" spans="1:11" hidden="1" x14ac:dyDescent="0.25">
      <c r="A48" s="26"/>
      <c r="B48" s="36"/>
      <c r="C48" s="37"/>
      <c r="D48" s="37"/>
      <c r="E48" s="38"/>
      <c r="F48" s="38"/>
      <c r="G48" s="38"/>
      <c r="H48" s="38"/>
      <c r="I48" s="39"/>
    </row>
    <row r="49" spans="1:20" x14ac:dyDescent="0.25">
      <c r="A49" s="26"/>
      <c r="B49" s="36" t="s">
        <v>56</v>
      </c>
      <c r="C49" s="79"/>
      <c r="D49" s="80"/>
      <c r="E49" s="33"/>
      <c r="F49" s="33"/>
      <c r="G49" s="33"/>
      <c r="H49" s="33"/>
      <c r="I49" s="33"/>
    </row>
    <row r="50" spans="1:20" x14ac:dyDescent="0.25">
      <c r="A50" s="40" t="s">
        <v>26</v>
      </c>
      <c r="B50" s="41"/>
      <c r="C50" s="41"/>
      <c r="D50" s="41"/>
      <c r="E50" s="41"/>
      <c r="F50" s="41"/>
      <c r="G50" s="41"/>
      <c r="H50" s="41"/>
      <c r="I50" s="42">
        <f>I46+I47</f>
        <v>9706.1867188799988</v>
      </c>
      <c r="J50" s="95"/>
    </row>
    <row r="51" spans="1:20" x14ac:dyDescent="0.25">
      <c r="A51" s="26"/>
      <c r="B51" s="43"/>
      <c r="C51" s="79"/>
      <c r="D51" s="80"/>
      <c r="E51" s="34"/>
      <c r="F51" s="34"/>
      <c r="G51" s="34"/>
      <c r="H51" s="34"/>
      <c r="I51" s="44"/>
    </row>
    <row r="52" spans="1:20" x14ac:dyDescent="0.25">
      <c r="A52" s="26">
        <v>12</v>
      </c>
      <c r="B52" s="31"/>
      <c r="C52" s="79" t="s">
        <v>39</v>
      </c>
      <c r="D52" s="80"/>
      <c r="E52" s="33">
        <f>ROUND(E46*0.18,3)</f>
        <v>517.37099999999998</v>
      </c>
      <c r="F52" s="33">
        <f>ROUND(F46*0.18,3)</f>
        <v>988.85500000000002</v>
      </c>
      <c r="G52" s="33">
        <f>ROUND(G47*0.18,3)</f>
        <v>131.82900000000001</v>
      </c>
      <c r="H52" s="33">
        <f>ROUND(H47*0.18,3)</f>
        <v>109.05800000000001</v>
      </c>
      <c r="I52" s="33">
        <f>ROUND(I50*0.18,3)</f>
        <v>1747.114</v>
      </c>
    </row>
    <row r="53" spans="1:20" x14ac:dyDescent="0.25">
      <c r="A53" s="26"/>
      <c r="B53" s="27"/>
      <c r="C53" s="81" t="s">
        <v>27</v>
      </c>
      <c r="D53" s="82"/>
      <c r="E53" s="45">
        <f>E46+E52</f>
        <v>3391.6559999999999</v>
      </c>
      <c r="F53" s="45">
        <f>F46+F52</f>
        <v>6482.4930000000004</v>
      </c>
      <c r="G53" s="45">
        <f>G47+G52</f>
        <v>864.21399999999994</v>
      </c>
      <c r="H53" s="45">
        <f>H47+H52</f>
        <v>714.93671887999994</v>
      </c>
      <c r="I53" s="45">
        <f>I50+I52</f>
        <v>11453.300718879998</v>
      </c>
    </row>
    <row r="54" spans="1:20" x14ac:dyDescent="0.25">
      <c r="A54" s="46"/>
      <c r="B54" s="47"/>
      <c r="C54" s="48"/>
      <c r="D54" s="48"/>
      <c r="E54" s="49"/>
      <c r="F54" s="49"/>
      <c r="G54" s="49"/>
      <c r="H54" s="49"/>
      <c r="I54" s="50"/>
    </row>
    <row r="55" spans="1:20" x14ac:dyDescent="0.25">
      <c r="A55" s="46"/>
      <c r="B55" s="47"/>
      <c r="C55" s="48"/>
      <c r="D55" s="48"/>
      <c r="E55" s="49"/>
      <c r="F55" s="49"/>
      <c r="G55" s="49"/>
      <c r="H55" s="49"/>
      <c r="I55" s="50"/>
    </row>
    <row r="56" spans="1:20" x14ac:dyDescent="0.25">
      <c r="A56" s="46"/>
      <c r="C56" s="47" t="s">
        <v>40</v>
      </c>
      <c r="D56" s="51" t="s">
        <v>52</v>
      </c>
      <c r="E56" s="51"/>
      <c r="F56" s="20"/>
      <c r="G56" s="20"/>
      <c r="H56" s="20"/>
      <c r="I56" s="20"/>
    </row>
    <row r="57" spans="1:20" x14ac:dyDescent="0.25">
      <c r="A57" s="46"/>
      <c r="B57" s="47"/>
      <c r="C57" s="51"/>
      <c r="D57" s="51"/>
      <c r="E57" s="20"/>
      <c r="F57" s="20"/>
      <c r="G57" s="20"/>
      <c r="H57" s="20"/>
      <c r="I57" s="20"/>
    </row>
    <row r="58" spans="1:20" ht="13.8" thickBot="1" x14ac:dyDescent="0.3"/>
    <row r="59" spans="1:20" ht="21" customHeight="1" thickBot="1" x14ac:dyDescent="0.3">
      <c r="A59" s="429"/>
      <c r="B59" s="430"/>
      <c r="C59" s="431" t="s">
        <v>28</v>
      </c>
      <c r="D59" s="433" t="s">
        <v>66</v>
      </c>
      <c r="E59" s="434"/>
      <c r="F59" s="434"/>
      <c r="G59" s="434"/>
      <c r="H59" s="434"/>
      <c r="I59" s="407" t="s">
        <v>57</v>
      </c>
      <c r="J59" s="407" t="s">
        <v>29</v>
      </c>
      <c r="N59" s="52"/>
      <c r="O59" s="52"/>
      <c r="P59" s="52"/>
      <c r="Q59" s="52"/>
      <c r="R59" s="52"/>
      <c r="S59" s="52"/>
      <c r="T59" s="52"/>
    </row>
    <row r="60" spans="1:20" ht="24.75" customHeight="1" thickBot="1" x14ac:dyDescent="0.3">
      <c r="A60" s="429"/>
      <c r="B60" s="430"/>
      <c r="C60" s="432"/>
      <c r="D60" s="53" t="s">
        <v>30</v>
      </c>
      <c r="E60" s="53" t="s">
        <v>31</v>
      </c>
      <c r="F60" s="53" t="s">
        <v>61</v>
      </c>
      <c r="G60" s="53" t="s">
        <v>64</v>
      </c>
      <c r="H60" s="53" t="s">
        <v>63</v>
      </c>
      <c r="I60" s="408"/>
      <c r="J60" s="408"/>
      <c r="N60" s="52"/>
      <c r="O60" s="52"/>
      <c r="P60" s="52"/>
      <c r="Q60" s="52"/>
      <c r="R60" s="52"/>
      <c r="S60" s="52"/>
      <c r="T60" s="52"/>
    </row>
    <row r="61" spans="1:20" ht="13.8" thickBot="1" x14ac:dyDescent="0.3">
      <c r="A61" s="429"/>
      <c r="B61" s="430"/>
      <c r="C61" s="54">
        <v>1</v>
      </c>
      <c r="D61" s="54">
        <v>2</v>
      </c>
      <c r="E61" s="54">
        <v>3</v>
      </c>
      <c r="F61" s="54">
        <v>4</v>
      </c>
      <c r="G61" s="54">
        <v>5</v>
      </c>
      <c r="H61" s="54">
        <v>6</v>
      </c>
      <c r="I61" s="54">
        <v>7</v>
      </c>
      <c r="J61" s="54">
        <v>8</v>
      </c>
      <c r="N61" s="52"/>
      <c r="O61" s="52"/>
      <c r="P61" s="52"/>
      <c r="Q61" s="52"/>
      <c r="R61" s="52"/>
      <c r="S61" s="52"/>
      <c r="T61" s="52"/>
    </row>
    <row r="62" spans="1:20" ht="13.8" thickBot="1" x14ac:dyDescent="0.3">
      <c r="A62" s="429"/>
      <c r="B62" s="430"/>
      <c r="C62" s="55" t="s">
        <v>74</v>
      </c>
      <c r="D62" s="83">
        <v>6287.768</v>
      </c>
      <c r="E62" s="92" t="s">
        <v>71</v>
      </c>
      <c r="F62" s="92">
        <v>94.539000000000001</v>
      </c>
      <c r="G62" s="92">
        <v>628.4</v>
      </c>
      <c r="H62" s="93">
        <v>314.31299999999999</v>
      </c>
      <c r="I62" s="92">
        <v>9706.1869999999999</v>
      </c>
      <c r="J62" s="90">
        <f>I62*1.18</f>
        <v>11453.300659999999</v>
      </c>
      <c r="N62" s="52"/>
      <c r="O62" s="52"/>
      <c r="P62" s="52"/>
      <c r="Q62" s="52"/>
      <c r="R62" s="52"/>
      <c r="S62" s="52"/>
      <c r="T62" s="52"/>
    </row>
    <row r="63" spans="1:20" x14ac:dyDescent="0.25">
      <c r="E63" s="2"/>
    </row>
    <row r="64" spans="1:20" x14ac:dyDescent="0.25">
      <c r="C64" s="26" t="s">
        <v>43</v>
      </c>
      <c r="D64" s="26" t="s">
        <v>44</v>
      </c>
      <c r="E64" s="26" t="s">
        <v>45</v>
      </c>
      <c r="F64" s="26" t="s">
        <v>45</v>
      </c>
      <c r="G64" s="26" t="s">
        <v>67</v>
      </c>
      <c r="H64" s="26" t="s">
        <v>46</v>
      </c>
      <c r="I64" s="34"/>
    </row>
    <row r="66" spans="4:9" x14ac:dyDescent="0.25">
      <c r="D66" s="97"/>
      <c r="I66" s="18"/>
    </row>
    <row r="67" spans="4:9" x14ac:dyDescent="0.25">
      <c r="D67" s="97"/>
    </row>
    <row r="69" spans="4:9" x14ac:dyDescent="0.25">
      <c r="I69" s="18"/>
    </row>
  </sheetData>
  <mergeCells count="27">
    <mergeCell ref="A34:I34"/>
    <mergeCell ref="A45:I45"/>
    <mergeCell ref="A59:B62"/>
    <mergeCell ref="C59:C60"/>
    <mergeCell ref="D59:H59"/>
    <mergeCell ref="I59:I60"/>
    <mergeCell ref="H16:H18"/>
    <mergeCell ref="A20:I20"/>
    <mergeCell ref="A27:I27"/>
    <mergeCell ref="A28:I28"/>
    <mergeCell ref="A33:I33"/>
    <mergeCell ref="J59:J60"/>
    <mergeCell ref="C12:H12"/>
    <mergeCell ref="G4:I4"/>
    <mergeCell ref="F5:I5"/>
    <mergeCell ref="F7:I7"/>
    <mergeCell ref="A10:I10"/>
    <mergeCell ref="A11:I11"/>
    <mergeCell ref="A40:I40"/>
    <mergeCell ref="A15:A18"/>
    <mergeCell ref="B15:B18"/>
    <mergeCell ref="C15:D18"/>
    <mergeCell ref="E15:H15"/>
    <mergeCell ref="I15:I18"/>
    <mergeCell ref="E16:E18"/>
    <mergeCell ref="F16:F18"/>
    <mergeCell ref="G16:G18"/>
  </mergeCells>
  <pageMargins left="0.39370078740157483" right="0.39370078740157483" top="0.39370078740157483" bottom="0.39370078740157483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46" workbookViewId="0">
      <selection activeCell="C61" sqref="C61:F61"/>
    </sheetView>
  </sheetViews>
  <sheetFormatPr defaultRowHeight="13.2" x14ac:dyDescent="0.25"/>
  <cols>
    <col min="1" max="1" width="6.109375" customWidth="1"/>
    <col min="2" max="2" width="19.21875" customWidth="1"/>
    <col min="4" max="4" width="30.88671875" customWidth="1"/>
    <col min="5" max="5" width="11.88671875" customWidth="1"/>
    <col min="6" max="6" width="12.6640625" customWidth="1"/>
    <col min="7" max="7" width="14.33203125" customWidth="1"/>
    <col min="9" max="9" width="15.21875" customWidth="1"/>
  </cols>
  <sheetData>
    <row r="1" spans="1:9" x14ac:dyDescent="0.25">
      <c r="A1" s="205"/>
      <c r="B1" s="1"/>
      <c r="C1" s="2"/>
      <c r="D1" s="2"/>
      <c r="E1" s="3"/>
      <c r="F1" s="3"/>
      <c r="G1" s="3"/>
      <c r="H1" s="3"/>
      <c r="I1" s="4"/>
    </row>
    <row r="2" spans="1:9" ht="13.8" x14ac:dyDescent="0.25">
      <c r="A2" s="205"/>
      <c r="B2" s="1"/>
      <c r="C2" s="6"/>
      <c r="D2" s="6"/>
      <c r="E2" s="3"/>
      <c r="F2" s="7"/>
      <c r="G2" s="8"/>
      <c r="H2" s="7"/>
      <c r="I2" s="207"/>
    </row>
    <row r="3" spans="1:9" ht="13.8" x14ac:dyDescent="0.25">
      <c r="A3" s="205"/>
      <c r="B3" s="1"/>
      <c r="C3" s="2"/>
      <c r="D3" s="2"/>
      <c r="E3" s="3"/>
      <c r="F3" s="9"/>
      <c r="G3" s="9"/>
      <c r="H3" s="207"/>
      <c r="I3" s="207"/>
    </row>
    <row r="4" spans="1:9" ht="13.8" x14ac:dyDescent="0.25">
      <c r="A4" s="205"/>
      <c r="B4" s="10" t="s">
        <v>88</v>
      </c>
      <c r="C4" s="11"/>
      <c r="D4" s="11"/>
      <c r="E4" s="208"/>
      <c r="F4" s="207"/>
      <c r="G4" s="410"/>
      <c r="H4" s="410"/>
      <c r="I4" s="410"/>
    </row>
    <row r="5" spans="1:9" ht="13.8" x14ac:dyDescent="0.25">
      <c r="A5" s="205"/>
      <c r="B5" s="12">
        <f>I53</f>
        <v>180.35571670821233</v>
      </c>
      <c r="C5" s="2" t="s">
        <v>32</v>
      </c>
      <c r="D5" s="2"/>
      <c r="E5" s="3"/>
      <c r="F5" s="410"/>
      <c r="G5" s="410"/>
      <c r="H5" s="410"/>
      <c r="I5" s="410"/>
    </row>
    <row r="6" spans="1:9" ht="13.8" x14ac:dyDescent="0.25">
      <c r="A6" s="205"/>
      <c r="B6" s="1"/>
      <c r="C6" s="2"/>
      <c r="D6" s="2"/>
      <c r="E6" s="13"/>
      <c r="F6" s="8"/>
      <c r="G6" s="8"/>
      <c r="H6" s="7"/>
      <c r="I6" s="7"/>
    </row>
    <row r="7" spans="1:9" ht="13.8" x14ac:dyDescent="0.25">
      <c r="A7" s="205"/>
      <c r="B7" s="14"/>
      <c r="C7" s="15"/>
      <c r="D7" s="15"/>
      <c r="E7" s="3"/>
      <c r="F7" s="410"/>
      <c r="G7" s="410"/>
      <c r="H7" s="410"/>
      <c r="I7" s="410"/>
    </row>
    <row r="8" spans="1:9" x14ac:dyDescent="0.25">
      <c r="A8" s="205"/>
      <c r="B8" s="16"/>
      <c r="C8" s="17"/>
      <c r="D8" s="17"/>
      <c r="E8" s="13"/>
      <c r="F8" s="13"/>
      <c r="G8" s="13"/>
      <c r="H8" s="3"/>
      <c r="I8" s="3"/>
    </row>
    <row r="9" spans="1:9" x14ac:dyDescent="0.25">
      <c r="A9" s="205"/>
      <c r="B9" s="12"/>
      <c r="C9" s="2"/>
      <c r="D9" s="2"/>
      <c r="E9" s="13"/>
      <c r="F9" s="18"/>
      <c r="G9" s="13"/>
      <c r="H9" s="3"/>
      <c r="I9" s="3"/>
    </row>
    <row r="10" spans="1:9" x14ac:dyDescent="0.25">
      <c r="A10" s="411" t="s">
        <v>33</v>
      </c>
      <c r="B10" s="411"/>
      <c r="C10" s="411"/>
      <c r="D10" s="411"/>
      <c r="E10" s="411"/>
      <c r="F10" s="411"/>
      <c r="G10" s="411"/>
      <c r="H10" s="411"/>
      <c r="I10" s="411"/>
    </row>
    <row r="11" spans="1:9" x14ac:dyDescent="0.25">
      <c r="A11" s="448" t="s">
        <v>279</v>
      </c>
      <c r="B11" s="448"/>
      <c r="C11" s="448"/>
      <c r="D11" s="448"/>
      <c r="E11" s="448"/>
      <c r="F11" s="448"/>
      <c r="G11" s="448"/>
      <c r="H11" s="448"/>
      <c r="I11" s="448"/>
    </row>
    <row r="12" spans="1:9" x14ac:dyDescent="0.25">
      <c r="A12" s="474" t="s">
        <v>206</v>
      </c>
      <c r="B12" s="474"/>
      <c r="C12" s="474"/>
      <c r="D12" s="474"/>
      <c r="E12" s="474"/>
      <c r="F12" s="474"/>
      <c r="G12" s="474"/>
      <c r="H12" s="474"/>
      <c r="I12" s="474"/>
    </row>
    <row r="13" spans="1:9" x14ac:dyDescent="0.25">
      <c r="A13" s="205"/>
      <c r="B13" s="12"/>
      <c r="C13" s="447" t="s">
        <v>1</v>
      </c>
      <c r="D13" s="447"/>
      <c r="E13" s="447"/>
      <c r="F13" s="447"/>
      <c r="G13" s="447"/>
      <c r="H13" s="447"/>
      <c r="I13" s="19"/>
    </row>
    <row r="14" spans="1:9" x14ac:dyDescent="0.25">
      <c r="A14" s="205"/>
      <c r="B14" s="1"/>
      <c r="C14" s="2"/>
      <c r="D14" s="2"/>
      <c r="E14" s="20"/>
      <c r="F14" s="20"/>
      <c r="G14" s="20"/>
      <c r="H14" s="20"/>
      <c r="I14" s="19"/>
    </row>
    <row r="15" spans="1:9" x14ac:dyDescent="0.25">
      <c r="A15" s="205"/>
      <c r="B15" s="1" t="s">
        <v>356</v>
      </c>
      <c r="C15" s="2"/>
      <c r="D15" s="2"/>
      <c r="E15" s="21"/>
      <c r="F15" s="3"/>
      <c r="G15" s="3"/>
      <c r="H15" s="3"/>
      <c r="I15" s="3"/>
    </row>
    <row r="16" spans="1:9" x14ac:dyDescent="0.25">
      <c r="A16" s="416" t="s">
        <v>2</v>
      </c>
      <c r="B16" s="417" t="s">
        <v>3</v>
      </c>
      <c r="C16" s="418" t="s">
        <v>4</v>
      </c>
      <c r="D16" s="419"/>
      <c r="E16" s="424" t="s">
        <v>86</v>
      </c>
      <c r="F16" s="424"/>
      <c r="G16" s="424"/>
      <c r="H16" s="424"/>
      <c r="I16" s="416" t="s">
        <v>6</v>
      </c>
    </row>
    <row r="17" spans="1:12" x14ac:dyDescent="0.25">
      <c r="A17" s="416"/>
      <c r="B17" s="417"/>
      <c r="C17" s="420"/>
      <c r="D17" s="421"/>
      <c r="E17" s="416" t="s">
        <v>7</v>
      </c>
      <c r="F17" s="416" t="s">
        <v>8</v>
      </c>
      <c r="G17" s="438" t="s">
        <v>9</v>
      </c>
      <c r="H17" s="438" t="s">
        <v>10</v>
      </c>
      <c r="I17" s="416"/>
    </row>
    <row r="18" spans="1:12" x14ac:dyDescent="0.25">
      <c r="A18" s="416"/>
      <c r="B18" s="417"/>
      <c r="C18" s="420"/>
      <c r="D18" s="421"/>
      <c r="E18" s="416"/>
      <c r="F18" s="416"/>
      <c r="G18" s="439"/>
      <c r="H18" s="439"/>
      <c r="I18" s="416"/>
    </row>
    <row r="19" spans="1:12" x14ac:dyDescent="0.25">
      <c r="A19" s="416"/>
      <c r="B19" s="417"/>
      <c r="C19" s="422"/>
      <c r="D19" s="423"/>
      <c r="E19" s="416"/>
      <c r="F19" s="416"/>
      <c r="G19" s="440"/>
      <c r="H19" s="440"/>
      <c r="I19" s="416"/>
    </row>
    <row r="20" spans="1:12" x14ac:dyDescent="0.25">
      <c r="A20" s="209">
        <v>1</v>
      </c>
      <c r="B20" s="22">
        <v>2</v>
      </c>
      <c r="C20" s="71">
        <v>3</v>
      </c>
      <c r="D20" s="72"/>
      <c r="E20" s="209">
        <v>4</v>
      </c>
      <c r="F20" s="209">
        <v>5</v>
      </c>
      <c r="G20" s="209">
        <v>6</v>
      </c>
      <c r="H20" s="209">
        <v>7</v>
      </c>
      <c r="I20" s="209">
        <v>8</v>
      </c>
    </row>
    <row r="21" spans="1:12" x14ac:dyDescent="0.25">
      <c r="A21" s="425" t="s">
        <v>11</v>
      </c>
      <c r="B21" s="426"/>
      <c r="C21" s="426"/>
      <c r="D21" s="426"/>
      <c r="E21" s="426"/>
      <c r="F21" s="426"/>
      <c r="G21" s="426"/>
      <c r="H21" s="426"/>
      <c r="I21" s="426"/>
    </row>
    <row r="22" spans="1:12" ht="21" customHeight="1" x14ac:dyDescent="0.25">
      <c r="A22" s="23">
        <v>1</v>
      </c>
      <c r="B22" s="163" t="s">
        <v>268</v>
      </c>
      <c r="C22" s="441" t="s">
        <v>269</v>
      </c>
      <c r="D22" s="442"/>
      <c r="E22" s="24">
        <f>19.021*0+9.74195</f>
        <v>9.7419499999999992</v>
      </c>
      <c r="F22" s="24">
        <v>15.984719999999999</v>
      </c>
      <c r="G22" s="24">
        <v>0</v>
      </c>
      <c r="H22" s="24">
        <v>0.115</v>
      </c>
      <c r="I22" s="24">
        <f>E22+F22+G22+H22</f>
        <v>25.841669999999997</v>
      </c>
      <c r="L22" s="183"/>
    </row>
    <row r="23" spans="1:12" ht="15" customHeight="1" x14ac:dyDescent="0.25">
      <c r="A23" s="26"/>
      <c r="B23" s="27"/>
      <c r="C23" s="73" t="s">
        <v>12</v>
      </c>
      <c r="D23" s="74"/>
      <c r="E23" s="139">
        <f>SUM(E22:E22)</f>
        <v>9.7419499999999992</v>
      </c>
      <c r="F23" s="139">
        <f>SUM(F22:F22)</f>
        <v>15.984719999999999</v>
      </c>
      <c r="G23" s="139">
        <f>SUM(G22:G22)</f>
        <v>0</v>
      </c>
      <c r="H23" s="32">
        <f>SUM(H22:H22)</f>
        <v>0.115</v>
      </c>
      <c r="I23" s="24">
        <f>SUM(I22:I22)</f>
        <v>25.841669999999997</v>
      </c>
      <c r="L23" s="183"/>
    </row>
    <row r="24" spans="1:12" x14ac:dyDescent="0.25">
      <c r="A24" s="425" t="s">
        <v>13</v>
      </c>
      <c r="B24" s="426"/>
      <c r="C24" s="426"/>
      <c r="D24" s="426"/>
      <c r="E24" s="426"/>
      <c r="F24" s="426"/>
      <c r="G24" s="426"/>
      <c r="H24" s="426"/>
      <c r="I24" s="426"/>
      <c r="L24" s="183"/>
    </row>
    <row r="25" spans="1:12" ht="21" customHeight="1" x14ac:dyDescent="0.25">
      <c r="A25" s="30">
        <v>2</v>
      </c>
      <c r="B25" s="162" t="s">
        <v>97</v>
      </c>
      <c r="C25" s="441" t="s">
        <v>96</v>
      </c>
      <c r="D25" s="449"/>
      <c r="E25" s="141">
        <f>E23*0.025*0</f>
        <v>0</v>
      </c>
      <c r="F25" s="141">
        <f>F23*0.025*0</f>
        <v>0</v>
      </c>
      <c r="G25" s="141">
        <v>0</v>
      </c>
      <c r="H25" s="141">
        <v>0</v>
      </c>
      <c r="I25" s="141">
        <f>E25+F25</f>
        <v>0</v>
      </c>
      <c r="L25" s="183"/>
    </row>
    <row r="26" spans="1:12" ht="18" customHeight="1" x14ac:dyDescent="0.25">
      <c r="A26" s="206"/>
      <c r="B26" s="162"/>
      <c r="C26" s="441" t="s">
        <v>98</v>
      </c>
      <c r="D26" s="442"/>
      <c r="E26" s="141">
        <f>E23+E25</f>
        <v>9.7419499999999992</v>
      </c>
      <c r="F26" s="141">
        <f>F25+F23</f>
        <v>15.984719999999999</v>
      </c>
      <c r="G26" s="141">
        <f>G25+G23</f>
        <v>0</v>
      </c>
      <c r="H26" s="141">
        <f>H25+H23</f>
        <v>0.115</v>
      </c>
      <c r="I26" s="141">
        <f>I25+I23</f>
        <v>25.841669999999997</v>
      </c>
    </row>
    <row r="27" spans="1:12" x14ac:dyDescent="0.25">
      <c r="A27" s="427" t="s">
        <v>14</v>
      </c>
      <c r="B27" s="428"/>
      <c r="C27" s="428"/>
      <c r="D27" s="428"/>
      <c r="E27" s="428"/>
      <c r="F27" s="428"/>
      <c r="G27" s="428"/>
      <c r="H27" s="428"/>
      <c r="I27" s="428"/>
    </row>
    <row r="28" spans="1:12" ht="17.399999999999999" customHeight="1" x14ac:dyDescent="0.25">
      <c r="A28" s="30">
        <v>3</v>
      </c>
      <c r="B28" s="31" t="s">
        <v>15</v>
      </c>
      <c r="C28" s="487" t="s">
        <v>76</v>
      </c>
      <c r="D28" s="488"/>
      <c r="E28" s="141">
        <f>E26*1.9%</f>
        <v>0.18509704999999999</v>
      </c>
      <c r="F28" s="141">
        <f>F26*1.9%</f>
        <v>0.30370967999999998</v>
      </c>
      <c r="G28" s="141">
        <v>0</v>
      </c>
      <c r="H28" s="141">
        <v>0</v>
      </c>
      <c r="I28" s="141">
        <f>E28+F28</f>
        <v>0.48880672999999997</v>
      </c>
    </row>
    <row r="29" spans="1:12" ht="19.8" customHeight="1" x14ac:dyDescent="0.25">
      <c r="A29" s="26"/>
      <c r="B29" s="36"/>
      <c r="C29" s="441" t="s">
        <v>18</v>
      </c>
      <c r="D29" s="442"/>
      <c r="E29" s="141">
        <f>SUM(E28:E28)</f>
        <v>0.18509704999999999</v>
      </c>
      <c r="F29" s="141">
        <f>SUM(F28:F28)</f>
        <v>0.30370967999999998</v>
      </c>
      <c r="G29" s="141">
        <f>SUM(G28:G28)</f>
        <v>0</v>
      </c>
      <c r="H29" s="141">
        <v>0</v>
      </c>
      <c r="I29" s="141">
        <f>SUM(E29:H29)</f>
        <v>0.48880672999999997</v>
      </c>
    </row>
    <row r="30" spans="1:12" ht="22.2" customHeight="1" x14ac:dyDescent="0.25">
      <c r="A30" s="26"/>
      <c r="B30" s="36"/>
      <c r="C30" s="441" t="s">
        <v>19</v>
      </c>
      <c r="D30" s="442"/>
      <c r="E30" s="141">
        <f>E26+E29</f>
        <v>9.9270470499999988</v>
      </c>
      <c r="F30" s="141">
        <f>F26+F29</f>
        <v>16.28842968</v>
      </c>
      <c r="G30" s="141">
        <f>G26+G29</f>
        <v>0</v>
      </c>
      <c r="H30" s="141">
        <f>H26+H29</f>
        <v>0.115</v>
      </c>
      <c r="I30" s="141">
        <f>I26+I29</f>
        <v>26.330476729999997</v>
      </c>
    </row>
    <row r="31" spans="1:12" x14ac:dyDescent="0.25">
      <c r="A31" s="413" t="s">
        <v>20</v>
      </c>
      <c r="B31" s="414"/>
      <c r="C31" s="414"/>
      <c r="D31" s="414"/>
      <c r="E31" s="414"/>
      <c r="F31" s="414"/>
      <c r="G31" s="414"/>
      <c r="H31" s="414"/>
      <c r="I31" s="415"/>
    </row>
    <row r="32" spans="1:12" x14ac:dyDescent="0.25">
      <c r="A32" s="30">
        <v>4</v>
      </c>
      <c r="B32" s="161" t="s">
        <v>100</v>
      </c>
      <c r="C32" s="445" t="s">
        <v>101</v>
      </c>
      <c r="D32" s="445"/>
      <c r="E32" s="206"/>
      <c r="F32" s="206"/>
      <c r="G32" s="206"/>
      <c r="H32" s="164">
        <f>I30*0.0214*0</f>
        <v>0</v>
      </c>
      <c r="I32" s="164">
        <f>H32</f>
        <v>0</v>
      </c>
    </row>
    <row r="33" spans="1:9" x14ac:dyDescent="0.25">
      <c r="A33" s="206"/>
      <c r="B33" s="206"/>
      <c r="C33" s="441" t="s">
        <v>102</v>
      </c>
      <c r="D33" s="442"/>
      <c r="E33" s="206"/>
      <c r="F33" s="206"/>
      <c r="G33" s="206"/>
      <c r="H33" s="164">
        <f>H32</f>
        <v>0</v>
      </c>
      <c r="I33" s="164">
        <f>H33</f>
        <v>0</v>
      </c>
    </row>
    <row r="34" spans="1:9" x14ac:dyDescent="0.25">
      <c r="A34" s="413" t="s">
        <v>21</v>
      </c>
      <c r="B34" s="414"/>
      <c r="C34" s="414"/>
      <c r="D34" s="414"/>
      <c r="E34" s="414"/>
      <c r="F34" s="414"/>
      <c r="G34" s="414"/>
      <c r="H34" s="414"/>
      <c r="I34" s="415"/>
    </row>
    <row r="35" spans="1:9" ht="30.6" customHeight="1" x14ac:dyDescent="0.25">
      <c r="A35" s="30">
        <v>5</v>
      </c>
      <c r="B35" s="161" t="s">
        <v>203</v>
      </c>
      <c r="C35" s="453" t="s">
        <v>93</v>
      </c>
      <c r="D35" s="454"/>
      <c r="E35" s="141">
        <v>0</v>
      </c>
      <c r="F35" s="141">
        <v>0</v>
      </c>
      <c r="G35" s="141">
        <v>0</v>
      </c>
      <c r="H35" s="204">
        <f>97/1000*I23</f>
        <v>2.5066419899999999</v>
      </c>
      <c r="I35" s="141">
        <f>H35</f>
        <v>2.5066419899999999</v>
      </c>
    </row>
    <row r="36" spans="1:9" ht="24.6" customHeight="1" x14ac:dyDescent="0.25">
      <c r="A36" s="30">
        <v>6</v>
      </c>
      <c r="B36" s="211" t="s">
        <v>99</v>
      </c>
      <c r="C36" s="441" t="s">
        <v>270</v>
      </c>
      <c r="D36" s="442"/>
      <c r="E36" s="141"/>
      <c r="F36" s="141"/>
      <c r="G36" s="141"/>
      <c r="H36" s="142">
        <f>3.476*0.05</f>
        <v>0.17380000000000001</v>
      </c>
      <c r="I36" s="141">
        <f>H36</f>
        <v>0.17380000000000001</v>
      </c>
    </row>
    <row r="37" spans="1:9" ht="15" customHeight="1" x14ac:dyDescent="0.25">
      <c r="A37" s="206"/>
      <c r="B37" s="206"/>
      <c r="C37" s="441" t="s">
        <v>50</v>
      </c>
      <c r="D37" s="442"/>
      <c r="E37" s="141">
        <v>0</v>
      </c>
      <c r="F37" s="141">
        <v>0</v>
      </c>
      <c r="G37" s="141">
        <v>0</v>
      </c>
      <c r="H37" s="142">
        <f>H35+H36</f>
        <v>2.6804419899999998</v>
      </c>
      <c r="I37" s="141">
        <f>I35+I36</f>
        <v>2.6804419899999998</v>
      </c>
    </row>
    <row r="38" spans="1:9" ht="15.6" customHeight="1" x14ac:dyDescent="0.25">
      <c r="A38" s="206"/>
      <c r="B38" s="206"/>
      <c r="C38" s="441" t="s">
        <v>51</v>
      </c>
      <c r="D38" s="442"/>
      <c r="E38" s="141">
        <f>E30</f>
        <v>9.9270470499999988</v>
      </c>
      <c r="F38" s="141">
        <f>F30</f>
        <v>16.28842968</v>
      </c>
      <c r="G38" s="141">
        <f>G30</f>
        <v>0</v>
      </c>
      <c r="H38" s="142">
        <f>H30+H37+H32</f>
        <v>2.79544199</v>
      </c>
      <c r="I38" s="141">
        <f>I30+I37+I33</f>
        <v>29.010918719999996</v>
      </c>
    </row>
    <row r="39" spans="1:9" x14ac:dyDescent="0.25">
      <c r="A39" s="413" t="s">
        <v>22</v>
      </c>
      <c r="B39" s="414"/>
      <c r="C39" s="414"/>
      <c r="D39" s="414"/>
      <c r="E39" s="414"/>
      <c r="F39" s="414"/>
      <c r="G39" s="414"/>
      <c r="H39" s="414"/>
      <c r="I39" s="415"/>
    </row>
    <row r="40" spans="1:9" ht="18" customHeight="1" x14ac:dyDescent="0.25">
      <c r="A40" s="30">
        <v>7</v>
      </c>
      <c r="B40" s="31" t="s">
        <v>37</v>
      </c>
      <c r="C40" s="487" t="s">
        <v>79</v>
      </c>
      <c r="D40" s="488"/>
      <c r="E40" s="141">
        <f>E38*0.03</f>
        <v>0.29781141149999996</v>
      </c>
      <c r="F40" s="141">
        <f>F38*0.03</f>
        <v>0.48865289039999998</v>
      </c>
      <c r="G40" s="141">
        <f>ROUND(G30*0.03,3)</f>
        <v>0</v>
      </c>
      <c r="H40" s="141">
        <f>H38*3%</f>
        <v>8.3863259699999998E-2</v>
      </c>
      <c r="I40" s="141">
        <f>E40+F40+G40+H40</f>
        <v>0.87032756159999991</v>
      </c>
    </row>
    <row r="41" spans="1:9" x14ac:dyDescent="0.25">
      <c r="A41" s="26"/>
      <c r="B41" s="36"/>
      <c r="C41" s="73"/>
      <c r="D41" s="74"/>
      <c r="E41" s="32"/>
      <c r="F41" s="32"/>
      <c r="G41" s="32"/>
      <c r="H41" s="32"/>
      <c r="I41" s="32"/>
    </row>
    <row r="42" spans="1:9" ht="15.6" customHeight="1" x14ac:dyDescent="0.25">
      <c r="A42" s="26"/>
      <c r="B42" s="36"/>
      <c r="C42" s="441" t="s">
        <v>23</v>
      </c>
      <c r="D42" s="442"/>
      <c r="E42" s="141">
        <f>E38+E40</f>
        <v>10.224858461499998</v>
      </c>
      <c r="F42" s="141">
        <f>F38+F40</f>
        <v>16.777082570400001</v>
      </c>
      <c r="G42" s="141">
        <f>G38+G40</f>
        <v>0</v>
      </c>
      <c r="H42" s="141">
        <f>H38+H40</f>
        <v>2.8793052497000002</v>
      </c>
      <c r="I42" s="141">
        <f>I38+I40</f>
        <v>29.881246281599996</v>
      </c>
    </row>
    <row r="43" spans="1:9" x14ac:dyDescent="0.25">
      <c r="A43" s="26"/>
      <c r="B43" s="27"/>
      <c r="C43" s="441"/>
      <c r="D43" s="442"/>
      <c r="E43" s="35"/>
      <c r="F43" s="35"/>
      <c r="G43" s="35"/>
      <c r="H43" s="35"/>
      <c r="I43" s="35"/>
    </row>
    <row r="44" spans="1:9" x14ac:dyDescent="0.25">
      <c r="A44" s="450" t="s">
        <v>352</v>
      </c>
      <c r="B44" s="451"/>
      <c r="C44" s="451"/>
      <c r="D44" s="451"/>
      <c r="E44" s="451"/>
      <c r="F44" s="451"/>
      <c r="G44" s="451"/>
      <c r="H44" s="451"/>
      <c r="I44" s="452"/>
    </row>
    <row r="45" spans="1:9" ht="15" customHeight="1" x14ac:dyDescent="0.25">
      <c r="A45" s="26">
        <v>8</v>
      </c>
      <c r="B45" s="109"/>
      <c r="C45" s="441" t="s">
        <v>381</v>
      </c>
      <c r="D45" s="442"/>
      <c r="E45" s="158">
        <f>ROUND(E42*5.21,3)</f>
        <v>53.271999999999998</v>
      </c>
      <c r="F45" s="158">
        <f>ROUND(F42*5.21,3)</f>
        <v>87.409000000000006</v>
      </c>
      <c r="G45" s="159"/>
      <c r="H45" s="159"/>
      <c r="I45" s="158">
        <f>E45+F45+H49</f>
        <v>152.843827718824</v>
      </c>
    </row>
    <row r="46" spans="1:9" ht="12" customHeight="1" x14ac:dyDescent="0.25">
      <c r="A46" s="26"/>
      <c r="B46" s="109"/>
      <c r="C46" s="443" t="s">
        <v>198</v>
      </c>
      <c r="D46" s="444"/>
      <c r="E46" s="160"/>
      <c r="F46" s="160"/>
      <c r="G46" s="160"/>
      <c r="H46" s="148">
        <f>H23*11.3*1.03</f>
        <v>1.3384850000000001</v>
      </c>
      <c r="I46" s="160"/>
    </row>
    <row r="47" spans="1:9" x14ac:dyDescent="0.25">
      <c r="A47" s="26"/>
      <c r="B47" s="109"/>
      <c r="C47" s="443" t="s">
        <v>353</v>
      </c>
      <c r="D47" s="444"/>
      <c r="E47" s="138"/>
      <c r="F47" s="138"/>
      <c r="G47" s="138"/>
      <c r="H47" s="182">
        <f>(H35*3.92+H36*3.93)*1.03</f>
        <v>10.824342718823999</v>
      </c>
      <c r="I47" s="138"/>
    </row>
    <row r="48" spans="1:9" ht="13.8" customHeight="1" x14ac:dyDescent="0.25">
      <c r="A48" s="26"/>
      <c r="B48" s="136"/>
      <c r="C48" s="443" t="s">
        <v>354</v>
      </c>
      <c r="D48" s="444"/>
      <c r="E48" s="138"/>
      <c r="F48" s="138"/>
      <c r="G48" s="138"/>
      <c r="H48" s="251">
        <f>(H32)*8.36*1.03</f>
        <v>0</v>
      </c>
      <c r="I48" s="138"/>
    </row>
    <row r="49" spans="1:9" x14ac:dyDescent="0.25">
      <c r="A49" s="26"/>
      <c r="B49" s="137"/>
      <c r="C49" s="5"/>
      <c r="D49" s="5"/>
      <c r="E49" s="141"/>
      <c r="F49" s="141"/>
      <c r="G49" s="32">
        <f>ROUND(G42*4.02,3)</f>
        <v>0</v>
      </c>
      <c r="H49" s="140">
        <f>H46+H47+H48</f>
        <v>12.162827718823999</v>
      </c>
      <c r="I49" s="141"/>
    </row>
    <row r="50" spans="1:9" x14ac:dyDescent="0.25">
      <c r="A50" s="26"/>
      <c r="B50" s="137"/>
      <c r="C50" s="214" t="s">
        <v>355</v>
      </c>
      <c r="D50" s="215"/>
      <c r="E50" s="144"/>
      <c r="F50" s="144"/>
      <c r="G50" s="144"/>
      <c r="H50" s="144"/>
      <c r="I50" s="144"/>
    </row>
    <row r="51" spans="1:9" x14ac:dyDescent="0.25">
      <c r="A51" s="26"/>
      <c r="B51" s="43"/>
      <c r="C51" s="73"/>
      <c r="D51" s="80"/>
      <c r="E51" s="144"/>
      <c r="F51" s="144"/>
      <c r="G51" s="144"/>
      <c r="H51" s="144"/>
      <c r="I51" s="144"/>
    </row>
    <row r="52" spans="1:9" x14ac:dyDescent="0.25">
      <c r="A52" s="26">
        <v>9</v>
      </c>
      <c r="B52" s="31"/>
      <c r="C52" s="79" t="s">
        <v>39</v>
      </c>
      <c r="D52" s="80"/>
      <c r="E52" s="144">
        <f>E45*0.18</f>
        <v>9.5889600000000002</v>
      </c>
      <c r="F52" s="144">
        <f>F45*0.18</f>
        <v>15.73362</v>
      </c>
      <c r="G52" s="144">
        <f>G49*0.18</f>
        <v>0</v>
      </c>
      <c r="H52" s="144">
        <f>H49*0.18</f>
        <v>2.1893089893883197</v>
      </c>
      <c r="I52" s="144">
        <f>I45*0.18</f>
        <v>27.511888989388318</v>
      </c>
    </row>
    <row r="53" spans="1:9" x14ac:dyDescent="0.25">
      <c r="A53" s="26"/>
      <c r="B53" s="27"/>
      <c r="C53" s="81" t="s">
        <v>27</v>
      </c>
      <c r="D53" s="82"/>
      <c r="E53" s="145">
        <f>E45+E52</f>
        <v>62.860959999999999</v>
      </c>
      <c r="F53" s="145">
        <f>F45+F52</f>
        <v>103.14262000000001</v>
      </c>
      <c r="G53" s="145">
        <f>G49+G52</f>
        <v>0</v>
      </c>
      <c r="H53" s="145">
        <f>H49+H52</f>
        <v>14.352136708212319</v>
      </c>
      <c r="I53" s="145">
        <f>I45+I52</f>
        <v>180.35571670821233</v>
      </c>
    </row>
    <row r="54" spans="1:9" x14ac:dyDescent="0.25">
      <c r="A54" s="46"/>
      <c r="B54" s="47"/>
      <c r="C54" s="48"/>
      <c r="D54" s="48"/>
      <c r="E54" s="49"/>
      <c r="F54" s="49"/>
      <c r="G54" s="49"/>
      <c r="H54" s="49"/>
      <c r="I54" s="50"/>
    </row>
    <row r="55" spans="1:9" x14ac:dyDescent="0.25">
      <c r="A55" s="46"/>
      <c r="B55" s="47"/>
      <c r="C55" s="48"/>
      <c r="D55" s="48"/>
      <c r="E55" s="49"/>
      <c r="F55" s="147"/>
      <c r="G55" s="49"/>
      <c r="H55" s="147"/>
      <c r="I55" s="50"/>
    </row>
    <row r="56" spans="1:9" x14ac:dyDescent="0.25">
      <c r="A56" s="46"/>
      <c r="B56" s="1"/>
      <c r="C56" s="47"/>
      <c r="D56" s="47"/>
      <c r="E56" s="51"/>
      <c r="F56" s="146"/>
      <c r="G56" s="20"/>
      <c r="H56" s="20"/>
      <c r="I56" s="20"/>
    </row>
    <row r="57" spans="1:9" x14ac:dyDescent="0.25">
      <c r="A57" s="46"/>
      <c r="B57" s="47"/>
      <c r="C57" s="51"/>
      <c r="D57" s="51"/>
      <c r="E57" s="20"/>
      <c r="F57" s="20"/>
      <c r="G57" s="20"/>
      <c r="H57" s="20"/>
      <c r="I57" s="20"/>
    </row>
    <row r="58" spans="1:9" x14ac:dyDescent="0.25">
      <c r="A58" s="205"/>
      <c r="B58" s="1"/>
      <c r="C58" s="170" t="s">
        <v>139</v>
      </c>
      <c r="D58" s="170"/>
      <c r="E58" s="20"/>
      <c r="F58" s="101" t="s">
        <v>140</v>
      </c>
      <c r="G58" s="20"/>
      <c r="H58" s="20"/>
      <c r="I58" s="20"/>
    </row>
    <row r="59" spans="1:9" ht="13.8" x14ac:dyDescent="0.25">
      <c r="A59" s="98"/>
      <c r="B59" s="115"/>
      <c r="C59" s="436"/>
      <c r="D59" s="437"/>
      <c r="E59" s="437"/>
      <c r="F59" s="437"/>
      <c r="G59" s="437"/>
      <c r="H59" s="437"/>
      <c r="I59" s="437"/>
    </row>
    <row r="60" spans="1:9" ht="13.8" x14ac:dyDescent="0.25">
      <c r="A60" s="98"/>
      <c r="B60" s="115"/>
      <c r="C60" s="436"/>
      <c r="D60" s="116"/>
      <c r="E60" s="116"/>
      <c r="F60" s="210"/>
      <c r="G60" s="116"/>
      <c r="H60" s="116"/>
      <c r="I60" s="437"/>
    </row>
    <row r="61" spans="1:9" x14ac:dyDescent="0.25">
      <c r="A61" s="98"/>
      <c r="B61" s="115"/>
      <c r="C61" s="170"/>
      <c r="D61" s="170"/>
      <c r="E61" s="118"/>
      <c r="F61" s="118"/>
      <c r="G61" s="118"/>
      <c r="H61" s="118"/>
      <c r="I61" s="118"/>
    </row>
  </sheetData>
  <mergeCells count="45">
    <mergeCell ref="C47:D47"/>
    <mergeCell ref="C59:C60"/>
    <mergeCell ref="D59:H59"/>
    <mergeCell ref="I59:I60"/>
    <mergeCell ref="C46:D46"/>
    <mergeCell ref="C48:D48"/>
    <mergeCell ref="C32:D32"/>
    <mergeCell ref="C33:D33"/>
    <mergeCell ref="A34:I34"/>
    <mergeCell ref="C35:D35"/>
    <mergeCell ref="C36:D36"/>
    <mergeCell ref="A39:I39"/>
    <mergeCell ref="C37:D37"/>
    <mergeCell ref="C38:D38"/>
    <mergeCell ref="C42:D42"/>
    <mergeCell ref="C45:D45"/>
    <mergeCell ref="C40:D40"/>
    <mergeCell ref="C43:D43"/>
    <mergeCell ref="A44:I44"/>
    <mergeCell ref="A21:I21"/>
    <mergeCell ref="C22:D22"/>
    <mergeCell ref="A24:I24"/>
    <mergeCell ref="C25:D25"/>
    <mergeCell ref="A27:I27"/>
    <mergeCell ref="A31:I31"/>
    <mergeCell ref="C26:D26"/>
    <mergeCell ref="C29:D29"/>
    <mergeCell ref="C30:D30"/>
    <mergeCell ref="C28:D28"/>
    <mergeCell ref="C13:H13"/>
    <mergeCell ref="A16:A19"/>
    <mergeCell ref="B16:B19"/>
    <mergeCell ref="C16:D19"/>
    <mergeCell ref="E16:H16"/>
    <mergeCell ref="I16:I19"/>
    <mergeCell ref="E17:E19"/>
    <mergeCell ref="F17:F19"/>
    <mergeCell ref="G17:G19"/>
    <mergeCell ref="H17:H19"/>
    <mergeCell ref="A12:I12"/>
    <mergeCell ref="G4:I4"/>
    <mergeCell ref="F5:I5"/>
    <mergeCell ref="F7:I7"/>
    <mergeCell ref="A10:I10"/>
    <mergeCell ref="A11:I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opLeftCell="A37" workbookViewId="0">
      <selection activeCell="E11" sqref="E11:F11"/>
    </sheetView>
  </sheetViews>
  <sheetFormatPr defaultRowHeight="13.2" x14ac:dyDescent="0.25"/>
  <cols>
    <col min="1" max="1" width="4.6640625" customWidth="1"/>
    <col min="2" max="2" width="14.6640625" customWidth="1"/>
    <col min="3" max="3" width="41.88671875" customWidth="1"/>
    <col min="4" max="4" width="10" customWidth="1"/>
  </cols>
  <sheetData>
    <row r="1" spans="1:14" ht="14.4" x14ac:dyDescent="0.3">
      <c r="A1" s="298"/>
      <c r="B1" s="298"/>
      <c r="C1" s="299"/>
      <c r="D1" s="300"/>
      <c r="E1" s="300"/>
      <c r="F1" s="290"/>
      <c r="G1" s="290"/>
      <c r="H1" s="290"/>
      <c r="I1" s="290"/>
      <c r="J1" s="297"/>
      <c r="K1" s="290"/>
      <c r="L1" s="290"/>
      <c r="M1" s="290"/>
      <c r="N1" s="291"/>
    </row>
    <row r="2" spans="1:14" ht="14.4" x14ac:dyDescent="0.3">
      <c r="A2" s="301"/>
      <c r="B2" s="298"/>
      <c r="C2" s="297"/>
      <c r="D2" s="302"/>
      <c r="E2" s="302"/>
      <c r="F2" s="290"/>
      <c r="G2" s="290"/>
      <c r="H2" s="302"/>
      <c r="I2" s="290"/>
      <c r="J2" s="290"/>
      <c r="K2" s="290"/>
      <c r="L2" s="290"/>
      <c r="M2" s="290"/>
      <c r="N2" s="291"/>
    </row>
    <row r="3" spans="1:14" ht="14.4" x14ac:dyDescent="0.3">
      <c r="A3" s="301"/>
      <c r="B3" s="298"/>
      <c r="C3" s="297"/>
      <c r="D3" s="302"/>
      <c r="E3" s="292"/>
      <c r="F3" s="290"/>
      <c r="G3" s="290"/>
      <c r="H3" s="290"/>
      <c r="I3" s="292"/>
      <c r="J3" s="290"/>
      <c r="K3" s="290"/>
      <c r="L3" s="290"/>
      <c r="M3" s="290"/>
      <c r="N3" s="291"/>
    </row>
    <row r="4" spans="1:14" ht="14.4" x14ac:dyDescent="0.3">
      <c r="A4" s="282"/>
      <c r="B4" s="283"/>
      <c r="C4" s="284"/>
      <c r="D4" s="285"/>
      <c r="E4" s="292"/>
      <c r="F4" s="290"/>
      <c r="G4" s="290"/>
      <c r="H4" s="286"/>
      <c r="I4" s="292"/>
      <c r="J4" s="286"/>
      <c r="K4" s="286"/>
      <c r="L4" s="286"/>
      <c r="M4" s="286"/>
      <c r="N4" s="291"/>
    </row>
    <row r="5" spans="1:14" ht="14.4" x14ac:dyDescent="0.3">
      <c r="A5" s="282"/>
      <c r="B5" s="283"/>
      <c r="C5" s="284"/>
      <c r="D5" s="293" t="s">
        <v>397</v>
      </c>
      <c r="E5" s="287"/>
      <c r="F5" s="286"/>
      <c r="G5" s="286"/>
      <c r="H5" s="286"/>
      <c r="I5" s="286"/>
      <c r="J5" s="286"/>
      <c r="K5" s="286"/>
      <c r="L5" s="286"/>
      <c r="M5" s="286"/>
      <c r="N5" s="291"/>
    </row>
    <row r="6" spans="1:14" ht="14.4" x14ac:dyDescent="0.3">
      <c r="A6" s="282"/>
      <c r="B6" s="283"/>
      <c r="C6" s="284"/>
      <c r="D6" s="293" t="s">
        <v>205</v>
      </c>
      <c r="E6" s="287"/>
      <c r="F6" s="286"/>
      <c r="G6" s="286"/>
      <c r="H6" s="286"/>
      <c r="I6" s="293"/>
      <c r="J6" s="286"/>
      <c r="K6" s="286"/>
      <c r="L6" s="286"/>
      <c r="M6" s="286"/>
      <c r="N6" s="291"/>
    </row>
    <row r="7" spans="1:14" ht="14.4" x14ac:dyDescent="0.3">
      <c r="A7" s="282"/>
      <c r="B7" s="283"/>
      <c r="C7" s="294"/>
      <c r="D7" s="285"/>
      <c r="E7" s="295"/>
      <c r="F7" s="296"/>
      <c r="G7" s="296"/>
      <c r="H7" s="286"/>
      <c r="I7" s="285"/>
      <c r="J7" s="286"/>
      <c r="K7" s="286"/>
      <c r="L7" s="286"/>
      <c r="M7" s="286"/>
      <c r="N7" s="291"/>
    </row>
    <row r="8" spans="1:14" ht="14.4" x14ac:dyDescent="0.3">
      <c r="A8" s="282"/>
      <c r="B8" s="472" t="s">
        <v>380</v>
      </c>
      <c r="C8" s="472"/>
      <c r="D8" s="472"/>
      <c r="E8" s="472"/>
      <c r="F8" s="472"/>
      <c r="G8" s="472"/>
      <c r="H8" s="472"/>
      <c r="I8" s="472"/>
      <c r="J8" s="472"/>
      <c r="K8" s="303"/>
      <c r="L8" s="303"/>
      <c r="M8" s="303"/>
      <c r="N8" s="291"/>
    </row>
    <row r="9" spans="1:14" ht="14.4" x14ac:dyDescent="0.3">
      <c r="A9" s="282"/>
      <c r="B9" s="283"/>
      <c r="C9" s="489" t="s">
        <v>104</v>
      </c>
      <c r="D9" s="489"/>
      <c r="E9" s="489"/>
      <c r="F9" s="489"/>
      <c r="G9" s="489"/>
      <c r="H9" s="489"/>
      <c r="I9" s="290"/>
      <c r="J9" s="290"/>
      <c r="K9" s="286"/>
      <c r="L9" s="286"/>
      <c r="M9" s="286"/>
      <c r="N9" s="291"/>
    </row>
    <row r="10" spans="1:14" ht="13.8" x14ac:dyDescent="0.25">
      <c r="A10" s="282"/>
      <c r="B10" s="283"/>
      <c r="C10" s="289" t="s">
        <v>396</v>
      </c>
      <c r="D10" s="285"/>
      <c r="E10" s="285"/>
      <c r="F10" s="286"/>
      <c r="G10" s="286"/>
      <c r="H10" s="286"/>
      <c r="I10" s="289"/>
      <c r="J10" s="289"/>
      <c r="K10" s="286"/>
      <c r="L10" s="286"/>
      <c r="M10" s="286"/>
      <c r="N10" s="280"/>
    </row>
    <row r="11" spans="1:14" ht="13.8" x14ac:dyDescent="0.25">
      <c r="A11" s="282"/>
      <c r="B11" s="283"/>
      <c r="C11" s="370" t="s">
        <v>106</v>
      </c>
      <c r="D11" s="369"/>
      <c r="E11" s="455" t="s">
        <v>391</v>
      </c>
      <c r="F11" s="456"/>
      <c r="G11" s="367" t="s">
        <v>107</v>
      </c>
      <c r="H11" s="286"/>
      <c r="I11" s="289"/>
      <c r="J11" s="289"/>
      <c r="K11" s="286"/>
      <c r="L11" s="286"/>
      <c r="M11" s="286"/>
      <c r="N11" s="281"/>
    </row>
    <row r="12" spans="1:14" ht="13.8" x14ac:dyDescent="0.25">
      <c r="A12" s="282"/>
      <c r="B12" s="283"/>
      <c r="C12" s="370" t="s">
        <v>108</v>
      </c>
      <c r="D12" s="369"/>
      <c r="E12" s="455" t="s">
        <v>392</v>
      </c>
      <c r="F12" s="456"/>
      <c r="G12" s="367" t="s">
        <v>107</v>
      </c>
      <c r="H12" s="286"/>
      <c r="I12" s="289"/>
      <c r="J12" s="289"/>
      <c r="K12" s="286"/>
      <c r="L12" s="286"/>
      <c r="M12" s="286"/>
      <c r="N12" s="281"/>
    </row>
    <row r="13" spans="1:14" ht="13.8" x14ac:dyDescent="0.25">
      <c r="A13" s="282"/>
      <c r="B13" s="283"/>
      <c r="C13" s="370" t="s">
        <v>109</v>
      </c>
      <c r="D13" s="369"/>
      <c r="E13" s="455" t="s">
        <v>393</v>
      </c>
      <c r="F13" s="456"/>
      <c r="G13" s="367" t="s">
        <v>107</v>
      </c>
      <c r="H13" s="286"/>
      <c r="I13" s="289"/>
      <c r="J13" s="289"/>
      <c r="K13" s="286"/>
      <c r="L13" s="286"/>
      <c r="M13" s="286"/>
      <c r="N13" s="281"/>
    </row>
    <row r="14" spans="1:14" ht="13.8" x14ac:dyDescent="0.25">
      <c r="A14" s="282"/>
      <c r="B14" s="283"/>
      <c r="C14" s="370" t="s">
        <v>110</v>
      </c>
      <c r="D14" s="369"/>
      <c r="E14" s="455" t="s">
        <v>281</v>
      </c>
      <c r="F14" s="456"/>
      <c r="G14" s="367" t="s">
        <v>107</v>
      </c>
      <c r="H14" s="286"/>
      <c r="I14" s="289"/>
      <c r="J14" s="289"/>
      <c r="K14" s="286"/>
      <c r="L14" s="286"/>
      <c r="M14" s="286"/>
      <c r="N14" s="281"/>
    </row>
    <row r="15" spans="1:14" ht="13.8" x14ac:dyDescent="0.25">
      <c r="A15" s="282"/>
      <c r="B15" s="283"/>
      <c r="C15" s="370" t="s">
        <v>111</v>
      </c>
      <c r="D15" s="368"/>
      <c r="E15" s="455" t="s">
        <v>394</v>
      </c>
      <c r="F15" s="456"/>
      <c r="G15" s="367" t="s">
        <v>107</v>
      </c>
      <c r="H15" s="286"/>
      <c r="I15" s="289"/>
      <c r="J15" s="289"/>
      <c r="K15" s="286"/>
      <c r="L15" s="286"/>
      <c r="M15" s="286"/>
      <c r="N15" s="281"/>
    </row>
    <row r="16" spans="1:14" x14ac:dyDescent="0.25">
      <c r="A16" s="282"/>
      <c r="B16" s="283"/>
      <c r="C16" s="370" t="s">
        <v>112</v>
      </c>
      <c r="D16" s="368"/>
      <c r="E16" s="455" t="s">
        <v>395</v>
      </c>
      <c r="F16" s="456"/>
      <c r="G16" s="367" t="s">
        <v>113</v>
      </c>
      <c r="H16" s="286"/>
      <c r="I16" s="289"/>
      <c r="J16" s="289"/>
      <c r="K16" s="286"/>
      <c r="L16" s="286"/>
      <c r="M16" s="286"/>
    </row>
    <row r="17" spans="1:13" x14ac:dyDescent="0.25">
      <c r="A17" s="282"/>
      <c r="B17" s="283"/>
      <c r="C17" s="288" t="s">
        <v>282</v>
      </c>
      <c r="D17" s="285"/>
      <c r="E17" s="285"/>
      <c r="F17" s="286"/>
      <c r="G17" s="286"/>
      <c r="H17" s="286"/>
      <c r="I17" s="286"/>
      <c r="J17" s="286"/>
      <c r="K17" s="286"/>
      <c r="L17" s="286"/>
      <c r="M17" s="286"/>
    </row>
    <row r="18" spans="1:13" ht="13.2" customHeight="1" x14ac:dyDescent="0.25">
      <c r="A18" s="462" t="s">
        <v>2</v>
      </c>
      <c r="B18" s="462" t="s">
        <v>210</v>
      </c>
      <c r="C18" s="460" t="s">
        <v>115</v>
      </c>
      <c r="D18" s="460" t="s">
        <v>116</v>
      </c>
      <c r="E18" s="460" t="s">
        <v>117</v>
      </c>
      <c r="F18" s="460" t="s">
        <v>118</v>
      </c>
      <c r="G18" s="461"/>
      <c r="H18" s="461"/>
      <c r="I18" s="461"/>
      <c r="J18" s="460" t="s">
        <v>119</v>
      </c>
      <c r="K18" s="461"/>
      <c r="L18" s="461"/>
      <c r="M18" s="461"/>
    </row>
    <row r="19" spans="1:13" ht="13.2" customHeight="1" x14ac:dyDescent="0.25">
      <c r="A19" s="463"/>
      <c r="B19" s="463"/>
      <c r="C19" s="460"/>
      <c r="D19" s="460"/>
      <c r="E19" s="460"/>
      <c r="F19" s="460" t="s">
        <v>120</v>
      </c>
      <c r="G19" s="460" t="s">
        <v>121</v>
      </c>
      <c r="H19" s="461"/>
      <c r="I19" s="461"/>
      <c r="J19" s="460" t="s">
        <v>120</v>
      </c>
      <c r="K19" s="460" t="s">
        <v>121</v>
      </c>
      <c r="L19" s="461"/>
      <c r="M19" s="461"/>
    </row>
    <row r="20" spans="1:13" x14ac:dyDescent="0.25">
      <c r="A20" s="463"/>
      <c r="B20" s="463"/>
      <c r="C20" s="460"/>
      <c r="D20" s="460"/>
      <c r="E20" s="460"/>
      <c r="F20" s="461"/>
      <c r="G20" s="356" t="s">
        <v>122</v>
      </c>
      <c r="H20" s="356" t="s">
        <v>211</v>
      </c>
      <c r="I20" s="356" t="s">
        <v>123</v>
      </c>
      <c r="J20" s="461"/>
      <c r="K20" s="356" t="s">
        <v>122</v>
      </c>
      <c r="L20" s="356" t="s">
        <v>211</v>
      </c>
      <c r="M20" s="356" t="s">
        <v>123</v>
      </c>
    </row>
    <row r="21" spans="1:13" x14ac:dyDescent="0.25">
      <c r="A21" s="359">
        <v>1</v>
      </c>
      <c r="B21" s="358">
        <v>2</v>
      </c>
      <c r="C21" s="356">
        <v>3</v>
      </c>
      <c r="D21" s="356">
        <v>4</v>
      </c>
      <c r="E21" s="360">
        <v>5</v>
      </c>
      <c r="F21" s="357">
        <v>6</v>
      </c>
      <c r="G21" s="357">
        <v>7</v>
      </c>
      <c r="H21" s="357">
        <v>8</v>
      </c>
      <c r="I21" s="357">
        <v>9</v>
      </c>
      <c r="J21" s="357">
        <v>10</v>
      </c>
      <c r="K21" s="357">
        <v>11</v>
      </c>
      <c r="L21" s="357">
        <v>12</v>
      </c>
      <c r="M21" s="357">
        <v>13</v>
      </c>
    </row>
    <row r="22" spans="1:13" ht="13.2" customHeight="1" x14ac:dyDescent="0.25">
      <c r="A22" s="457" t="s">
        <v>283</v>
      </c>
      <c r="B22" s="458"/>
      <c r="C22" s="458"/>
      <c r="D22" s="458"/>
      <c r="E22" s="458"/>
      <c r="F22" s="458"/>
      <c r="G22" s="458"/>
      <c r="H22" s="458"/>
      <c r="I22" s="458"/>
      <c r="J22" s="458"/>
      <c r="K22" s="458"/>
      <c r="L22" s="458"/>
      <c r="M22" s="458"/>
    </row>
    <row r="23" spans="1:13" ht="24" x14ac:dyDescent="0.25">
      <c r="A23" s="359">
        <v>1</v>
      </c>
      <c r="B23" s="361" t="s">
        <v>284</v>
      </c>
      <c r="C23" s="362" t="s">
        <v>285</v>
      </c>
      <c r="D23" s="360" t="s">
        <v>222</v>
      </c>
      <c r="E23" s="363">
        <v>1</v>
      </c>
      <c r="F23" s="364">
        <v>1966.83</v>
      </c>
      <c r="G23" s="364">
        <v>127.16</v>
      </c>
      <c r="H23" s="364">
        <v>1658.46</v>
      </c>
      <c r="I23" s="364">
        <v>86.15</v>
      </c>
      <c r="J23" s="365">
        <v>1966.83</v>
      </c>
      <c r="K23" s="365">
        <v>127.16</v>
      </c>
      <c r="L23" s="365">
        <v>1658.46</v>
      </c>
      <c r="M23" s="365">
        <v>86.15</v>
      </c>
    </row>
    <row r="24" spans="1:13" ht="36" x14ac:dyDescent="0.25">
      <c r="A24" s="359">
        <v>2</v>
      </c>
      <c r="B24" s="361" t="s">
        <v>286</v>
      </c>
      <c r="C24" s="362" t="s">
        <v>287</v>
      </c>
      <c r="D24" s="360" t="s">
        <v>222</v>
      </c>
      <c r="E24" s="360">
        <v>8</v>
      </c>
      <c r="F24" s="364">
        <v>795.73</v>
      </c>
      <c r="G24" s="364">
        <v>46.35</v>
      </c>
      <c r="H24" s="364">
        <v>649.76</v>
      </c>
      <c r="I24" s="364">
        <v>33.75</v>
      </c>
      <c r="J24" s="365">
        <v>6365.84</v>
      </c>
      <c r="K24" s="365">
        <v>370.8</v>
      </c>
      <c r="L24" s="365">
        <v>5198.08</v>
      </c>
      <c r="M24" s="365">
        <v>270</v>
      </c>
    </row>
    <row r="25" spans="1:13" ht="24" x14ac:dyDescent="0.25">
      <c r="A25" s="359">
        <v>3</v>
      </c>
      <c r="B25" s="361" t="s">
        <v>288</v>
      </c>
      <c r="C25" s="362" t="s">
        <v>289</v>
      </c>
      <c r="D25" s="360" t="s">
        <v>290</v>
      </c>
      <c r="E25" s="360">
        <v>0.5</v>
      </c>
      <c r="F25" s="364">
        <v>281.25</v>
      </c>
      <c r="G25" s="364">
        <v>180.03</v>
      </c>
      <c r="H25" s="364">
        <v>61.97</v>
      </c>
      <c r="I25" s="364">
        <v>2.72</v>
      </c>
      <c r="J25" s="365">
        <v>140.63</v>
      </c>
      <c r="K25" s="365">
        <v>90.02</v>
      </c>
      <c r="L25" s="365">
        <v>30.99</v>
      </c>
      <c r="M25" s="365">
        <v>1.36</v>
      </c>
    </row>
    <row r="26" spans="1:13" ht="24" x14ac:dyDescent="0.25">
      <c r="A26" s="359">
        <v>4</v>
      </c>
      <c r="B26" s="361" t="s">
        <v>291</v>
      </c>
      <c r="C26" s="362" t="s">
        <v>292</v>
      </c>
      <c r="D26" s="360" t="s">
        <v>290</v>
      </c>
      <c r="E26" s="360">
        <v>0.2</v>
      </c>
      <c r="F26" s="364">
        <v>233.54</v>
      </c>
      <c r="G26" s="364">
        <v>145.11000000000001</v>
      </c>
      <c r="H26" s="364">
        <v>58.27</v>
      </c>
      <c r="I26" s="364">
        <v>2.72</v>
      </c>
      <c r="J26" s="365">
        <v>46.71</v>
      </c>
      <c r="K26" s="365">
        <v>29.02</v>
      </c>
      <c r="L26" s="365">
        <v>11.65</v>
      </c>
      <c r="M26" s="365">
        <v>0.54</v>
      </c>
    </row>
    <row r="27" spans="1:13" ht="24" x14ac:dyDescent="0.25">
      <c r="A27" s="359">
        <v>5</v>
      </c>
      <c r="B27" s="361" t="s">
        <v>293</v>
      </c>
      <c r="C27" s="362" t="s">
        <v>294</v>
      </c>
      <c r="D27" s="360" t="s">
        <v>295</v>
      </c>
      <c r="E27" s="360">
        <v>3.3855999999999997E-2</v>
      </c>
      <c r="F27" s="364">
        <v>769.97</v>
      </c>
      <c r="G27" s="364">
        <v>523.79999999999995</v>
      </c>
      <c r="H27" s="364">
        <v>153.18</v>
      </c>
      <c r="I27" s="364">
        <v>2.72</v>
      </c>
      <c r="J27" s="365">
        <v>26.07</v>
      </c>
      <c r="K27" s="365">
        <v>17.73</v>
      </c>
      <c r="L27" s="365">
        <v>5.19</v>
      </c>
      <c r="M27" s="365">
        <v>0.09</v>
      </c>
    </row>
    <row r="28" spans="1:13" ht="24" x14ac:dyDescent="0.25">
      <c r="A28" s="359">
        <v>6</v>
      </c>
      <c r="B28" s="361" t="s">
        <v>296</v>
      </c>
      <c r="C28" s="362" t="s">
        <v>297</v>
      </c>
      <c r="D28" s="360" t="s">
        <v>125</v>
      </c>
      <c r="E28" s="363">
        <v>2</v>
      </c>
      <c r="F28" s="364">
        <v>610.34</v>
      </c>
      <c r="G28" s="364">
        <v>51.6</v>
      </c>
      <c r="H28" s="364">
        <v>555.71</v>
      </c>
      <c r="I28" s="364">
        <v>57.03</v>
      </c>
      <c r="J28" s="365">
        <v>1220.68</v>
      </c>
      <c r="K28" s="365">
        <v>103.2</v>
      </c>
      <c r="L28" s="365">
        <v>1111.42</v>
      </c>
      <c r="M28" s="365">
        <v>114.06</v>
      </c>
    </row>
    <row r="29" spans="1:13" x14ac:dyDescent="0.25">
      <c r="A29" s="359">
        <v>7</v>
      </c>
      <c r="B29" s="361" t="s">
        <v>298</v>
      </c>
      <c r="C29" s="362" t="s">
        <v>299</v>
      </c>
      <c r="D29" s="360" t="s">
        <v>128</v>
      </c>
      <c r="E29" s="360">
        <v>6.3E-3</v>
      </c>
      <c r="F29" s="364">
        <v>16455.060000000001</v>
      </c>
      <c r="G29" s="365"/>
      <c r="H29" s="365"/>
      <c r="I29" s="365"/>
      <c r="J29" s="365">
        <v>103.67</v>
      </c>
      <c r="K29" s="365"/>
      <c r="L29" s="365"/>
      <c r="M29" s="365"/>
    </row>
    <row r="30" spans="1:13" ht="13.2" customHeight="1" x14ac:dyDescent="0.25">
      <c r="A30" s="459" t="s">
        <v>300</v>
      </c>
      <c r="B30" s="458"/>
      <c r="C30" s="458"/>
      <c r="D30" s="458"/>
      <c r="E30" s="458"/>
      <c r="F30" s="458"/>
      <c r="G30" s="458"/>
      <c r="H30" s="458"/>
      <c r="I30" s="458"/>
      <c r="J30" s="458"/>
      <c r="K30" s="458"/>
      <c r="L30" s="458"/>
      <c r="M30" s="458"/>
    </row>
    <row r="31" spans="1:13" ht="24" x14ac:dyDescent="0.25">
      <c r="A31" s="359">
        <v>8</v>
      </c>
      <c r="B31" s="361" t="s">
        <v>311</v>
      </c>
      <c r="C31" s="362" t="s">
        <v>301</v>
      </c>
      <c r="D31" s="360" t="s">
        <v>302</v>
      </c>
      <c r="E31" s="363">
        <v>2</v>
      </c>
      <c r="F31" s="364">
        <v>457.82</v>
      </c>
      <c r="G31" s="365"/>
      <c r="H31" s="365"/>
      <c r="I31" s="365"/>
      <c r="J31" s="365">
        <v>915.64</v>
      </c>
      <c r="K31" s="365"/>
      <c r="L31" s="365"/>
      <c r="M31" s="365"/>
    </row>
    <row r="32" spans="1:13" ht="34.200000000000003" x14ac:dyDescent="0.25">
      <c r="A32" s="359">
        <v>9</v>
      </c>
      <c r="B32" s="361" t="s">
        <v>382</v>
      </c>
      <c r="C32" s="362" t="s">
        <v>383</v>
      </c>
      <c r="D32" s="360" t="s">
        <v>126</v>
      </c>
      <c r="E32" s="360">
        <v>51.6</v>
      </c>
      <c r="F32" s="364">
        <v>53.74</v>
      </c>
      <c r="G32" s="365"/>
      <c r="H32" s="365"/>
      <c r="I32" s="365"/>
      <c r="J32" s="365">
        <v>2772.98</v>
      </c>
      <c r="K32" s="365"/>
      <c r="L32" s="365"/>
      <c r="M32" s="365"/>
    </row>
    <row r="33" spans="1:13" ht="22.8" x14ac:dyDescent="0.25">
      <c r="A33" s="359">
        <v>10</v>
      </c>
      <c r="B33" s="361" t="s">
        <v>389</v>
      </c>
      <c r="C33" s="362" t="s">
        <v>390</v>
      </c>
      <c r="D33" s="360" t="s">
        <v>126</v>
      </c>
      <c r="E33" s="360">
        <v>74.2</v>
      </c>
      <c r="F33" s="364">
        <v>130.69999999999999</v>
      </c>
      <c r="G33" s="365"/>
      <c r="H33" s="365"/>
      <c r="I33" s="365"/>
      <c r="J33" s="365">
        <v>9697.94</v>
      </c>
      <c r="K33" s="365"/>
      <c r="L33" s="365"/>
      <c r="M33" s="365"/>
    </row>
    <row r="34" spans="1:13" ht="34.200000000000003" x14ac:dyDescent="0.25">
      <c r="A34" s="359">
        <v>11</v>
      </c>
      <c r="B34" s="361" t="s">
        <v>303</v>
      </c>
      <c r="C34" s="362" t="s">
        <v>304</v>
      </c>
      <c r="D34" s="360" t="s">
        <v>127</v>
      </c>
      <c r="E34" s="363">
        <v>2</v>
      </c>
      <c r="F34" s="364">
        <v>117.1</v>
      </c>
      <c r="G34" s="365"/>
      <c r="H34" s="365"/>
      <c r="I34" s="365"/>
      <c r="J34" s="365">
        <v>234.2</v>
      </c>
      <c r="K34" s="365"/>
      <c r="L34" s="365"/>
      <c r="M34" s="365"/>
    </row>
    <row r="35" spans="1:13" ht="22.8" x14ac:dyDescent="0.25">
      <c r="A35" s="359">
        <v>12</v>
      </c>
      <c r="B35" s="361" t="s">
        <v>305</v>
      </c>
      <c r="C35" s="362" t="s">
        <v>306</v>
      </c>
      <c r="D35" s="360" t="s">
        <v>128</v>
      </c>
      <c r="E35" s="360">
        <v>3.3855999999999997E-2</v>
      </c>
      <c r="F35" s="364">
        <v>7581.17</v>
      </c>
      <c r="G35" s="365"/>
      <c r="H35" s="365"/>
      <c r="I35" s="365"/>
      <c r="J35" s="365">
        <v>256.67</v>
      </c>
      <c r="K35" s="365"/>
      <c r="L35" s="365"/>
      <c r="M35" s="365"/>
    </row>
    <row r="36" spans="1:13" ht="13.2" customHeight="1" x14ac:dyDescent="0.25">
      <c r="A36" s="459" t="s">
        <v>225</v>
      </c>
      <c r="B36" s="458"/>
      <c r="C36" s="458"/>
      <c r="D36" s="458"/>
      <c r="E36" s="458"/>
      <c r="F36" s="458"/>
      <c r="G36" s="458"/>
      <c r="H36" s="458"/>
      <c r="I36" s="458"/>
      <c r="J36" s="364">
        <v>23747.86</v>
      </c>
      <c r="K36" s="364">
        <v>737.93</v>
      </c>
      <c r="L36" s="364">
        <v>8015.79</v>
      </c>
      <c r="M36" s="364">
        <v>472.2</v>
      </c>
    </row>
    <row r="37" spans="1:13" ht="13.2" customHeight="1" x14ac:dyDescent="0.25">
      <c r="A37" s="459" t="s">
        <v>130</v>
      </c>
      <c r="B37" s="458"/>
      <c r="C37" s="458"/>
      <c r="D37" s="458"/>
      <c r="E37" s="458"/>
      <c r="F37" s="458"/>
      <c r="G37" s="458"/>
      <c r="H37" s="458"/>
      <c r="I37" s="458"/>
      <c r="J37" s="364">
        <v>1192.33</v>
      </c>
      <c r="K37" s="365"/>
      <c r="L37" s="365"/>
      <c r="M37" s="365"/>
    </row>
    <row r="38" spans="1:13" ht="13.2" customHeight="1" x14ac:dyDescent="0.25">
      <c r="A38" s="459" t="s">
        <v>131</v>
      </c>
      <c r="B38" s="458"/>
      <c r="C38" s="458"/>
      <c r="D38" s="458"/>
      <c r="E38" s="458"/>
      <c r="F38" s="458"/>
      <c r="G38" s="458"/>
      <c r="H38" s="458"/>
      <c r="I38" s="458"/>
      <c r="J38" s="364">
        <v>786.58</v>
      </c>
      <c r="K38" s="365"/>
      <c r="L38" s="365"/>
      <c r="M38" s="365"/>
    </row>
    <row r="39" spans="1:13" ht="13.2" customHeight="1" x14ac:dyDescent="0.25">
      <c r="A39" s="457" t="s">
        <v>384</v>
      </c>
      <c r="B39" s="458"/>
      <c r="C39" s="458"/>
      <c r="D39" s="458"/>
      <c r="E39" s="458"/>
      <c r="F39" s="458"/>
      <c r="G39" s="458"/>
      <c r="H39" s="458"/>
      <c r="I39" s="458"/>
      <c r="J39" s="365"/>
      <c r="K39" s="365"/>
      <c r="L39" s="365"/>
      <c r="M39" s="365"/>
    </row>
    <row r="40" spans="1:13" ht="13.2" customHeight="1" x14ac:dyDescent="0.25">
      <c r="A40" s="459" t="s">
        <v>133</v>
      </c>
      <c r="B40" s="458"/>
      <c r="C40" s="458"/>
      <c r="D40" s="458"/>
      <c r="E40" s="458"/>
      <c r="F40" s="458"/>
      <c r="G40" s="458"/>
      <c r="H40" s="458"/>
      <c r="I40" s="458"/>
      <c r="J40" s="364">
        <v>9741.9500000000007</v>
      </c>
      <c r="K40" s="365"/>
      <c r="L40" s="365"/>
      <c r="M40" s="365"/>
    </row>
    <row r="41" spans="1:13" ht="13.2" customHeight="1" x14ac:dyDescent="0.25">
      <c r="A41" s="459" t="s">
        <v>134</v>
      </c>
      <c r="B41" s="458"/>
      <c r="C41" s="458"/>
      <c r="D41" s="458"/>
      <c r="E41" s="458"/>
      <c r="F41" s="458"/>
      <c r="G41" s="458"/>
      <c r="H41" s="458"/>
      <c r="I41" s="458"/>
      <c r="J41" s="364">
        <v>15984.82</v>
      </c>
      <c r="K41" s="365"/>
      <c r="L41" s="365"/>
      <c r="M41" s="365"/>
    </row>
    <row r="42" spans="1:13" ht="13.2" customHeight="1" x14ac:dyDescent="0.25">
      <c r="A42" s="459" t="s">
        <v>136</v>
      </c>
      <c r="B42" s="458"/>
      <c r="C42" s="458"/>
      <c r="D42" s="458"/>
      <c r="E42" s="458"/>
      <c r="F42" s="458"/>
      <c r="G42" s="458"/>
      <c r="H42" s="458"/>
      <c r="I42" s="458"/>
      <c r="J42" s="364">
        <v>25726.77</v>
      </c>
      <c r="K42" s="365"/>
      <c r="L42" s="365"/>
      <c r="M42" s="365"/>
    </row>
    <row r="43" spans="1:13" ht="13.2" customHeight="1" x14ac:dyDescent="0.25">
      <c r="A43" s="457" t="s">
        <v>385</v>
      </c>
      <c r="B43" s="458"/>
      <c r="C43" s="458"/>
      <c r="D43" s="458"/>
      <c r="E43" s="458"/>
      <c r="F43" s="458"/>
      <c r="G43" s="458"/>
      <c r="H43" s="458"/>
      <c r="I43" s="458"/>
      <c r="J43" s="366">
        <v>25726.77</v>
      </c>
      <c r="K43" s="365"/>
      <c r="L43" s="365"/>
      <c r="M43" s="365"/>
    </row>
    <row r="44" spans="1:13" ht="13.2" customHeight="1" x14ac:dyDescent="0.25">
      <c r="A44" s="457" t="s">
        <v>307</v>
      </c>
      <c r="B44" s="458"/>
      <c r="C44" s="458"/>
      <c r="D44" s="458"/>
      <c r="E44" s="458"/>
      <c r="F44" s="458"/>
      <c r="G44" s="458"/>
      <c r="H44" s="458"/>
      <c r="I44" s="458"/>
      <c r="J44" s="458"/>
      <c r="K44" s="458"/>
      <c r="L44" s="458"/>
      <c r="M44" s="458"/>
    </row>
    <row r="45" spans="1:13" ht="13.2" customHeight="1" x14ac:dyDescent="0.25">
      <c r="A45" s="359">
        <v>13</v>
      </c>
      <c r="B45" s="361" t="s">
        <v>308</v>
      </c>
      <c r="C45" s="362" t="s">
        <v>309</v>
      </c>
      <c r="D45" s="360" t="s">
        <v>310</v>
      </c>
      <c r="E45" s="363">
        <v>1</v>
      </c>
      <c r="F45" s="364">
        <v>56.19</v>
      </c>
      <c r="G45" s="364">
        <v>56.19</v>
      </c>
      <c r="H45" s="365"/>
      <c r="I45" s="365"/>
      <c r="J45" s="365">
        <v>56.19</v>
      </c>
      <c r="K45" s="365">
        <v>56.19</v>
      </c>
      <c r="L45" s="365"/>
      <c r="M45" s="365"/>
    </row>
    <row r="46" spans="1:13" ht="13.2" customHeight="1" x14ac:dyDescent="0.25">
      <c r="A46" s="459" t="s">
        <v>225</v>
      </c>
      <c r="B46" s="458"/>
      <c r="C46" s="458"/>
      <c r="D46" s="458"/>
      <c r="E46" s="458"/>
      <c r="F46" s="458"/>
      <c r="G46" s="458"/>
      <c r="H46" s="458"/>
      <c r="I46" s="458"/>
      <c r="J46" s="364">
        <v>56.19</v>
      </c>
      <c r="K46" s="364">
        <v>56.19</v>
      </c>
      <c r="L46" s="365"/>
      <c r="M46" s="365"/>
    </row>
    <row r="47" spans="1:13" ht="13.2" customHeight="1" x14ac:dyDescent="0.25">
      <c r="A47" s="459" t="s">
        <v>130</v>
      </c>
      <c r="B47" s="458"/>
      <c r="C47" s="458"/>
      <c r="D47" s="458"/>
      <c r="E47" s="458"/>
      <c r="F47" s="458"/>
      <c r="G47" s="458"/>
      <c r="H47" s="458"/>
      <c r="I47" s="458"/>
      <c r="J47" s="364">
        <v>36.520000000000003</v>
      </c>
      <c r="K47" s="365"/>
      <c r="L47" s="365"/>
      <c r="M47" s="365"/>
    </row>
    <row r="48" spans="1:13" ht="13.2" customHeight="1" x14ac:dyDescent="0.25">
      <c r="A48" s="459" t="s">
        <v>131</v>
      </c>
      <c r="B48" s="458"/>
      <c r="C48" s="458"/>
      <c r="D48" s="458"/>
      <c r="E48" s="458"/>
      <c r="F48" s="458"/>
      <c r="G48" s="458"/>
      <c r="H48" s="458"/>
      <c r="I48" s="458"/>
      <c r="J48" s="364">
        <v>22.48</v>
      </c>
      <c r="K48" s="365"/>
      <c r="L48" s="365"/>
      <c r="M48" s="365"/>
    </row>
    <row r="49" spans="1:13" ht="13.2" customHeight="1" x14ac:dyDescent="0.25">
      <c r="A49" s="457" t="s">
        <v>386</v>
      </c>
      <c r="B49" s="458"/>
      <c r="C49" s="458"/>
      <c r="D49" s="458"/>
      <c r="E49" s="458"/>
      <c r="F49" s="458"/>
      <c r="G49" s="458"/>
      <c r="H49" s="458"/>
      <c r="I49" s="458"/>
      <c r="J49" s="365"/>
      <c r="K49" s="365"/>
      <c r="L49" s="365"/>
      <c r="M49" s="365"/>
    </row>
    <row r="50" spans="1:13" ht="13.2" customHeight="1" x14ac:dyDescent="0.25">
      <c r="A50" s="459" t="s">
        <v>387</v>
      </c>
      <c r="B50" s="458"/>
      <c r="C50" s="458"/>
      <c r="D50" s="458"/>
      <c r="E50" s="458"/>
      <c r="F50" s="458"/>
      <c r="G50" s="458"/>
      <c r="H50" s="458"/>
      <c r="I50" s="458"/>
      <c r="J50" s="364">
        <v>115.19</v>
      </c>
      <c r="K50" s="365"/>
      <c r="L50" s="365"/>
      <c r="M50" s="365"/>
    </row>
    <row r="51" spans="1:13" ht="13.2" customHeight="1" x14ac:dyDescent="0.25">
      <c r="A51" s="459" t="s">
        <v>136</v>
      </c>
      <c r="B51" s="458"/>
      <c r="C51" s="458"/>
      <c r="D51" s="458"/>
      <c r="E51" s="458"/>
      <c r="F51" s="458"/>
      <c r="G51" s="458"/>
      <c r="H51" s="458"/>
      <c r="I51" s="458"/>
      <c r="J51" s="364">
        <v>115.19</v>
      </c>
      <c r="K51" s="365"/>
      <c r="L51" s="365"/>
      <c r="M51" s="365"/>
    </row>
    <row r="52" spans="1:13" ht="13.2" customHeight="1" x14ac:dyDescent="0.25">
      <c r="A52" s="457" t="s">
        <v>388</v>
      </c>
      <c r="B52" s="458"/>
      <c r="C52" s="458"/>
      <c r="D52" s="458"/>
      <c r="E52" s="458"/>
      <c r="F52" s="458"/>
      <c r="G52" s="458"/>
      <c r="H52" s="458"/>
      <c r="I52" s="458"/>
      <c r="J52" s="366">
        <v>115.19</v>
      </c>
      <c r="K52" s="365"/>
      <c r="L52" s="365"/>
      <c r="M52" s="365"/>
    </row>
    <row r="53" spans="1:13" ht="13.2" customHeight="1" x14ac:dyDescent="0.25">
      <c r="A53" s="464" t="s">
        <v>253</v>
      </c>
      <c r="B53" s="465"/>
      <c r="C53" s="465"/>
      <c r="D53" s="465"/>
      <c r="E53" s="465"/>
      <c r="F53" s="465"/>
      <c r="G53" s="465"/>
      <c r="H53" s="465"/>
      <c r="I53" s="465"/>
      <c r="J53" s="465"/>
      <c r="K53" s="465"/>
      <c r="L53" s="465"/>
      <c r="M53" s="465"/>
    </row>
    <row r="54" spans="1:13" ht="13.2" customHeight="1" x14ac:dyDescent="0.25">
      <c r="A54" s="459" t="s">
        <v>129</v>
      </c>
      <c r="B54" s="458"/>
      <c r="C54" s="458"/>
      <c r="D54" s="458"/>
      <c r="E54" s="458"/>
      <c r="F54" s="458"/>
      <c r="G54" s="458"/>
      <c r="H54" s="458"/>
      <c r="I54" s="458"/>
      <c r="J54" s="364">
        <v>23804.05</v>
      </c>
      <c r="K54" s="364">
        <v>794.12</v>
      </c>
      <c r="L54" s="364">
        <v>8015.79</v>
      </c>
      <c r="M54" s="364">
        <v>472.2</v>
      </c>
    </row>
    <row r="55" spans="1:13" ht="13.2" customHeight="1" x14ac:dyDescent="0.25">
      <c r="A55" s="459" t="s">
        <v>130</v>
      </c>
      <c r="B55" s="458"/>
      <c r="C55" s="458"/>
      <c r="D55" s="458"/>
      <c r="E55" s="458"/>
      <c r="F55" s="458"/>
      <c r="G55" s="458"/>
      <c r="H55" s="458"/>
      <c r="I55" s="458"/>
      <c r="J55" s="364">
        <v>1228.8499999999999</v>
      </c>
      <c r="K55" s="365"/>
      <c r="L55" s="365"/>
      <c r="M55" s="365"/>
    </row>
    <row r="56" spans="1:13" ht="13.2" customHeight="1" x14ac:dyDescent="0.25">
      <c r="A56" s="459" t="s">
        <v>131</v>
      </c>
      <c r="B56" s="458"/>
      <c r="C56" s="458"/>
      <c r="D56" s="458"/>
      <c r="E56" s="458"/>
      <c r="F56" s="458"/>
      <c r="G56" s="458"/>
      <c r="H56" s="458"/>
      <c r="I56" s="458"/>
      <c r="J56" s="364">
        <v>809.06</v>
      </c>
      <c r="K56" s="365"/>
      <c r="L56" s="365"/>
      <c r="M56" s="365"/>
    </row>
    <row r="57" spans="1:13" ht="13.2" customHeight="1" x14ac:dyDescent="0.25">
      <c r="A57" s="457" t="s">
        <v>132</v>
      </c>
      <c r="B57" s="458"/>
      <c r="C57" s="458"/>
      <c r="D57" s="458"/>
      <c r="E57" s="458"/>
      <c r="F57" s="458"/>
      <c r="G57" s="458"/>
      <c r="H57" s="458"/>
      <c r="I57" s="458"/>
      <c r="J57" s="365"/>
      <c r="K57" s="365"/>
      <c r="L57" s="365"/>
      <c r="M57" s="365"/>
    </row>
    <row r="58" spans="1:13" ht="13.2" customHeight="1" x14ac:dyDescent="0.25">
      <c r="A58" s="459" t="s">
        <v>133</v>
      </c>
      <c r="B58" s="458"/>
      <c r="C58" s="458"/>
      <c r="D58" s="458"/>
      <c r="E58" s="458"/>
      <c r="F58" s="458"/>
      <c r="G58" s="458"/>
      <c r="H58" s="458"/>
      <c r="I58" s="458"/>
      <c r="J58" s="364">
        <v>9741.9500000000007</v>
      </c>
      <c r="K58" s="365"/>
      <c r="L58" s="365"/>
      <c r="M58" s="365"/>
    </row>
    <row r="59" spans="1:13" ht="13.2" customHeight="1" x14ac:dyDescent="0.25">
      <c r="A59" s="459" t="s">
        <v>134</v>
      </c>
      <c r="B59" s="458"/>
      <c r="C59" s="458"/>
      <c r="D59" s="458"/>
      <c r="E59" s="458"/>
      <c r="F59" s="458"/>
      <c r="G59" s="458"/>
      <c r="H59" s="458"/>
      <c r="I59" s="458"/>
      <c r="J59" s="364">
        <v>15984.82</v>
      </c>
      <c r="K59" s="365"/>
      <c r="L59" s="365"/>
      <c r="M59" s="365"/>
    </row>
    <row r="60" spans="1:13" ht="13.2" customHeight="1" x14ac:dyDescent="0.25">
      <c r="A60" s="459" t="s">
        <v>135</v>
      </c>
      <c r="B60" s="458"/>
      <c r="C60" s="458"/>
      <c r="D60" s="458"/>
      <c r="E60" s="458"/>
      <c r="F60" s="458"/>
      <c r="G60" s="458"/>
      <c r="H60" s="458"/>
      <c r="I60" s="458"/>
      <c r="J60" s="364">
        <v>115.19</v>
      </c>
      <c r="K60" s="365"/>
      <c r="L60" s="365"/>
      <c r="M60" s="365"/>
    </row>
    <row r="61" spans="1:13" ht="13.2" customHeight="1" x14ac:dyDescent="0.25">
      <c r="A61" s="459" t="s">
        <v>136</v>
      </c>
      <c r="B61" s="458"/>
      <c r="C61" s="458"/>
      <c r="D61" s="458"/>
      <c r="E61" s="458"/>
      <c r="F61" s="458"/>
      <c r="G61" s="458"/>
      <c r="H61" s="458"/>
      <c r="I61" s="458"/>
      <c r="J61" s="364">
        <v>25841.96</v>
      </c>
      <c r="K61" s="365"/>
      <c r="L61" s="365"/>
      <c r="M61" s="365"/>
    </row>
    <row r="62" spans="1:13" ht="13.2" customHeight="1" x14ac:dyDescent="0.25">
      <c r="A62" s="457" t="s">
        <v>137</v>
      </c>
      <c r="B62" s="458"/>
      <c r="C62" s="458"/>
      <c r="D62" s="458"/>
      <c r="E62" s="458"/>
      <c r="F62" s="458"/>
      <c r="G62" s="458"/>
      <c r="H62" s="458"/>
      <c r="I62" s="458"/>
      <c r="J62" s="366">
        <v>25841.96</v>
      </c>
      <c r="K62" s="365"/>
      <c r="L62" s="365"/>
      <c r="M62" s="365"/>
    </row>
  </sheetData>
  <mergeCells count="47">
    <mergeCell ref="B8:J8"/>
    <mergeCell ref="C9:H9"/>
    <mergeCell ref="A48:I48"/>
    <mergeCell ref="A49:I49"/>
    <mergeCell ref="A60:I60"/>
    <mergeCell ref="A36:I36"/>
    <mergeCell ref="A37:I37"/>
    <mergeCell ref="A38:I38"/>
    <mergeCell ref="A39:I39"/>
    <mergeCell ref="A40:I40"/>
    <mergeCell ref="A22:M22"/>
    <mergeCell ref="A18:A20"/>
    <mergeCell ref="B18:B20"/>
    <mergeCell ref="C18:C20"/>
    <mergeCell ref="A30:M30"/>
    <mergeCell ref="J18:M18"/>
    <mergeCell ref="A61:I61"/>
    <mergeCell ref="A62:I62"/>
    <mergeCell ref="A54:I54"/>
    <mergeCell ref="A55:I55"/>
    <mergeCell ref="A56:I56"/>
    <mergeCell ref="A57:I57"/>
    <mergeCell ref="A58:I58"/>
    <mergeCell ref="A59:I59"/>
    <mergeCell ref="F19:F20"/>
    <mergeCell ref="G19:I19"/>
    <mergeCell ref="J19:J20"/>
    <mergeCell ref="K19:M19"/>
    <mergeCell ref="A50:I50"/>
    <mergeCell ref="D18:D20"/>
    <mergeCell ref="E18:E20"/>
    <mergeCell ref="F18:I18"/>
    <mergeCell ref="A51:I51"/>
    <mergeCell ref="A52:I52"/>
    <mergeCell ref="A53:M53"/>
    <mergeCell ref="A41:I41"/>
    <mergeCell ref="A42:I42"/>
    <mergeCell ref="A43:I43"/>
    <mergeCell ref="A44:M44"/>
    <mergeCell ref="A46:I46"/>
    <mergeCell ref="A47:I47"/>
    <mergeCell ref="E11:F11"/>
    <mergeCell ref="E15:F15"/>
    <mergeCell ref="E16:F16"/>
    <mergeCell ref="E14:F14"/>
    <mergeCell ref="E13:F13"/>
    <mergeCell ref="E12:F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76"/>
  <sheetViews>
    <sheetView showGridLines="0" topLeftCell="B28" zoomScaleNormal="100" zoomScaleSheetLayoutView="100" workbookViewId="0">
      <selection activeCell="G50" sqref="G50"/>
    </sheetView>
  </sheetViews>
  <sheetFormatPr defaultColWidth="9.109375" defaultRowHeight="13.2" x14ac:dyDescent="0.25"/>
  <cols>
    <col min="1" max="1" width="3.33203125" style="56" customWidth="1"/>
    <col min="2" max="2" width="18.109375" style="1" customWidth="1"/>
    <col min="3" max="3" width="52" style="2" customWidth="1"/>
    <col min="4" max="4" width="12.33203125" style="2" customWidth="1"/>
    <col min="5" max="5" width="12.88671875" style="13" customWidth="1"/>
    <col min="6" max="6" width="12.6640625" style="13" customWidth="1"/>
    <col min="7" max="7" width="13.5546875" style="13" customWidth="1"/>
    <col min="8" max="8" width="12" style="13" customWidth="1"/>
    <col min="9" max="9" width="12.109375" style="13" customWidth="1"/>
    <col min="10" max="10" width="9.5546875" style="5" bestFit="1" customWidth="1"/>
    <col min="11" max="16384" width="9.109375" style="5"/>
  </cols>
  <sheetData>
    <row r="1" spans="1:9" x14ac:dyDescent="0.25">
      <c r="E1" s="3"/>
      <c r="F1" s="3"/>
      <c r="G1" s="3"/>
      <c r="H1" s="3"/>
      <c r="I1" s="4"/>
    </row>
    <row r="2" spans="1:9" ht="13.8" x14ac:dyDescent="0.25">
      <c r="C2" s="6"/>
      <c r="D2" s="6"/>
      <c r="E2" s="3"/>
      <c r="F2" s="7"/>
      <c r="G2" s="8"/>
      <c r="H2" s="7"/>
      <c r="I2" s="57"/>
    </row>
    <row r="3" spans="1:9" ht="13.8" x14ac:dyDescent="0.25">
      <c r="E3" s="3"/>
      <c r="F3" s="9"/>
      <c r="G3" s="9"/>
      <c r="H3" s="57"/>
      <c r="I3" s="57"/>
    </row>
    <row r="4" spans="1:9" ht="13.8" x14ac:dyDescent="0.25">
      <c r="B4" s="10" t="s">
        <v>88</v>
      </c>
      <c r="C4" s="11"/>
      <c r="D4" s="11"/>
      <c r="E4" s="58"/>
      <c r="F4" s="57"/>
      <c r="G4" s="410"/>
      <c r="H4" s="410"/>
      <c r="I4" s="410"/>
    </row>
    <row r="5" spans="1:9" ht="13.8" x14ac:dyDescent="0.25">
      <c r="B5" s="12">
        <f>I52</f>
        <v>19236262.135849219</v>
      </c>
      <c r="C5" s="2" t="s">
        <v>32</v>
      </c>
      <c r="E5" s="3"/>
      <c r="F5" s="410"/>
      <c r="G5" s="410"/>
      <c r="H5" s="410"/>
      <c r="I5" s="410"/>
    </row>
    <row r="6" spans="1:9" ht="13.8" x14ac:dyDescent="0.25">
      <c r="F6" s="8"/>
      <c r="G6" s="8"/>
      <c r="H6" s="7"/>
      <c r="I6" s="7"/>
    </row>
    <row r="7" spans="1:9" ht="13.8" x14ac:dyDescent="0.25">
      <c r="B7" s="14"/>
      <c r="C7" s="15"/>
      <c r="D7" s="15"/>
      <c r="E7" s="3"/>
      <c r="F7" s="410"/>
      <c r="G7" s="410"/>
      <c r="H7" s="410"/>
      <c r="I7" s="410"/>
    </row>
    <row r="8" spans="1:9" x14ac:dyDescent="0.25">
      <c r="B8" s="16"/>
      <c r="C8" s="17"/>
      <c r="D8" s="17"/>
      <c r="H8" s="3"/>
      <c r="I8" s="3"/>
    </row>
    <row r="9" spans="1:9" x14ac:dyDescent="0.25">
      <c r="B9" s="12"/>
      <c r="F9" s="18"/>
      <c r="H9" s="3"/>
      <c r="I9" s="3"/>
    </row>
    <row r="10" spans="1:9" x14ac:dyDescent="0.25">
      <c r="A10" s="411" t="s">
        <v>33</v>
      </c>
      <c r="B10" s="411"/>
      <c r="C10" s="411"/>
      <c r="D10" s="411"/>
      <c r="E10" s="411"/>
      <c r="F10" s="411"/>
      <c r="G10" s="411"/>
      <c r="H10" s="411"/>
      <c r="I10" s="411"/>
    </row>
    <row r="11" spans="1:9" ht="12.75" customHeight="1" x14ac:dyDescent="0.25">
      <c r="A11" s="412" t="s">
        <v>87</v>
      </c>
      <c r="B11" s="412"/>
      <c r="C11" s="412"/>
      <c r="D11" s="412"/>
      <c r="E11" s="412"/>
      <c r="F11" s="412"/>
      <c r="G11" s="412"/>
      <c r="H11" s="412"/>
      <c r="I11" s="412"/>
    </row>
    <row r="12" spans="1:9" x14ac:dyDescent="0.25">
      <c r="B12" s="12"/>
      <c r="C12" s="409" t="s">
        <v>1</v>
      </c>
      <c r="D12" s="409"/>
      <c r="E12" s="409"/>
      <c r="F12" s="409"/>
      <c r="G12" s="409"/>
      <c r="H12" s="409"/>
      <c r="I12" s="19"/>
    </row>
    <row r="13" spans="1:9" x14ac:dyDescent="0.25">
      <c r="E13" s="20"/>
      <c r="F13" s="20"/>
      <c r="G13" s="20"/>
      <c r="H13" s="20"/>
      <c r="I13" s="19"/>
    </row>
    <row r="14" spans="1:9" x14ac:dyDescent="0.25">
      <c r="B14" s="1" t="s">
        <v>85</v>
      </c>
      <c r="E14" s="21"/>
      <c r="F14" s="3"/>
      <c r="G14" s="3"/>
      <c r="H14" s="3"/>
      <c r="I14" s="3"/>
    </row>
    <row r="15" spans="1:9" ht="13.2" customHeight="1" x14ac:dyDescent="0.25">
      <c r="A15" s="416" t="s">
        <v>2</v>
      </c>
      <c r="B15" s="417" t="s">
        <v>3</v>
      </c>
      <c r="C15" s="418" t="s">
        <v>4</v>
      </c>
      <c r="D15" s="419"/>
      <c r="E15" s="424" t="s">
        <v>86</v>
      </c>
      <c r="F15" s="424"/>
      <c r="G15" s="424"/>
      <c r="H15" s="424"/>
      <c r="I15" s="416" t="s">
        <v>6</v>
      </c>
    </row>
    <row r="16" spans="1:9" ht="13.2" customHeight="1" x14ac:dyDescent="0.25">
      <c r="A16" s="416"/>
      <c r="B16" s="417"/>
      <c r="C16" s="420"/>
      <c r="D16" s="421"/>
      <c r="E16" s="416" t="s">
        <v>7</v>
      </c>
      <c r="F16" s="416" t="s">
        <v>8</v>
      </c>
      <c r="G16" s="438" t="s">
        <v>9</v>
      </c>
      <c r="H16" s="438" t="s">
        <v>10</v>
      </c>
      <c r="I16" s="416"/>
    </row>
    <row r="17" spans="1:10" ht="12.75" customHeight="1" x14ac:dyDescent="0.25">
      <c r="A17" s="416"/>
      <c r="B17" s="417"/>
      <c r="C17" s="420"/>
      <c r="D17" s="421"/>
      <c r="E17" s="416"/>
      <c r="F17" s="416"/>
      <c r="G17" s="439"/>
      <c r="H17" s="439"/>
      <c r="I17" s="416"/>
    </row>
    <row r="18" spans="1:10" ht="13.2" customHeight="1" x14ac:dyDescent="0.25">
      <c r="A18" s="416"/>
      <c r="B18" s="417"/>
      <c r="C18" s="422"/>
      <c r="D18" s="423"/>
      <c r="E18" s="416"/>
      <c r="F18" s="416"/>
      <c r="G18" s="440"/>
      <c r="H18" s="440"/>
      <c r="I18" s="416"/>
    </row>
    <row r="19" spans="1:10" x14ac:dyDescent="0.25">
      <c r="A19" s="65">
        <v>1</v>
      </c>
      <c r="B19" s="22">
        <v>2</v>
      </c>
      <c r="C19" s="71">
        <v>3</v>
      </c>
      <c r="D19" s="72"/>
      <c r="E19" s="65">
        <v>4</v>
      </c>
      <c r="F19" s="65">
        <v>5</v>
      </c>
      <c r="G19" s="65">
        <v>6</v>
      </c>
      <c r="H19" s="65">
        <v>7</v>
      </c>
      <c r="I19" s="65">
        <v>8</v>
      </c>
    </row>
    <row r="20" spans="1:10" ht="15" customHeight="1" x14ac:dyDescent="0.25">
      <c r="A20" s="425" t="s">
        <v>11</v>
      </c>
      <c r="B20" s="426"/>
      <c r="C20" s="426"/>
      <c r="D20" s="426"/>
      <c r="E20" s="426"/>
      <c r="F20" s="426"/>
      <c r="G20" s="426"/>
      <c r="H20" s="426"/>
      <c r="I20" s="426"/>
      <c r="J20" s="52"/>
    </row>
    <row r="21" spans="1:10" s="25" customFormat="1" ht="12.6" customHeight="1" x14ac:dyDescent="0.25">
      <c r="A21" s="23">
        <v>1</v>
      </c>
      <c r="B21" s="110" t="s">
        <v>80</v>
      </c>
      <c r="C21" s="73" t="s">
        <v>82</v>
      </c>
      <c r="D21" s="74"/>
      <c r="E21" s="102">
        <v>2339517.69</v>
      </c>
      <c r="F21" s="102">
        <v>947110.07</v>
      </c>
      <c r="G21" s="24">
        <v>0</v>
      </c>
      <c r="H21" s="24">
        <v>34096.61</v>
      </c>
      <c r="I21" s="24">
        <f>SUM(E21:H21)</f>
        <v>3320724.3699999996</v>
      </c>
      <c r="J21" s="60"/>
    </row>
    <row r="22" spans="1:10" s="25" customFormat="1" ht="12.75" customHeight="1" x14ac:dyDescent="0.25">
      <c r="A22" s="23">
        <v>2</v>
      </c>
      <c r="B22" s="112"/>
      <c r="C22" s="75"/>
      <c r="D22" s="76"/>
      <c r="E22" s="102"/>
      <c r="F22" s="102"/>
      <c r="G22" s="24"/>
      <c r="H22" s="24"/>
      <c r="I22" s="24"/>
      <c r="J22" s="60"/>
    </row>
    <row r="23" spans="1:10" ht="13.2" customHeight="1" x14ac:dyDescent="0.25">
      <c r="A23" s="26"/>
      <c r="B23" s="27"/>
      <c r="C23" s="73" t="s">
        <v>12</v>
      </c>
      <c r="D23" s="74"/>
      <c r="E23" s="29">
        <f>SUM(E21:E22)</f>
        <v>2339517.69</v>
      </c>
      <c r="F23" s="29">
        <f>SUM(F21:F22)</f>
        <v>947110.07</v>
      </c>
      <c r="G23" s="29">
        <f>SUM(G21:G22)</f>
        <v>0</v>
      </c>
      <c r="H23" s="29">
        <f>SUM(H21:H22)</f>
        <v>34096.61</v>
      </c>
      <c r="I23" s="103">
        <f>SUM(I21:I22)</f>
        <v>3320724.3699999996</v>
      </c>
      <c r="J23" s="52"/>
    </row>
    <row r="24" spans="1:10" ht="13.2" customHeight="1" x14ac:dyDescent="0.25">
      <c r="A24" s="425" t="s">
        <v>13</v>
      </c>
      <c r="B24" s="426"/>
      <c r="C24" s="426"/>
      <c r="D24" s="426"/>
      <c r="E24" s="426"/>
      <c r="F24" s="426"/>
      <c r="G24" s="426"/>
      <c r="H24" s="426"/>
      <c r="I24" s="426"/>
      <c r="J24" s="52"/>
    </row>
    <row r="25" spans="1:10" ht="13.2" customHeight="1" x14ac:dyDescent="0.25">
      <c r="A25" s="427" t="s">
        <v>14</v>
      </c>
      <c r="B25" s="428"/>
      <c r="C25" s="428"/>
      <c r="D25" s="428"/>
      <c r="E25" s="428"/>
      <c r="F25" s="428"/>
      <c r="G25" s="428"/>
      <c r="H25" s="428"/>
      <c r="I25" s="428"/>
      <c r="J25" s="52"/>
    </row>
    <row r="26" spans="1:10" ht="31.95" customHeight="1" x14ac:dyDescent="0.25">
      <c r="A26" s="30">
        <v>3</v>
      </c>
      <c r="B26" s="31" t="s">
        <v>15</v>
      </c>
      <c r="C26" s="77" t="s">
        <v>76</v>
      </c>
      <c r="D26" s="78"/>
      <c r="E26" s="32">
        <f>E23*1.9%</f>
        <v>44450.836109999997</v>
      </c>
      <c r="F26" s="32">
        <f>F23*1.9%</f>
        <v>17995.091329999999</v>
      </c>
      <c r="G26" s="32">
        <v>0</v>
      </c>
      <c r="H26" s="32">
        <v>0</v>
      </c>
      <c r="I26" s="32">
        <f>E26+F26</f>
        <v>62445.927439999999</v>
      </c>
      <c r="J26" s="52"/>
    </row>
    <row r="27" spans="1:10" ht="20.399999999999999" hidden="1" x14ac:dyDescent="0.25">
      <c r="A27" s="30">
        <f>A26+1</f>
        <v>4</v>
      </c>
      <c r="B27" s="31" t="s">
        <v>16</v>
      </c>
      <c r="C27" s="28" t="s">
        <v>17</v>
      </c>
      <c r="D27" s="28"/>
      <c r="E27" s="34"/>
      <c r="F27" s="34"/>
      <c r="G27" s="34"/>
      <c r="H27" s="32">
        <f>0*0.07</f>
        <v>0</v>
      </c>
      <c r="I27" s="32">
        <f>E27+F27+G27+H27</f>
        <v>0</v>
      </c>
      <c r="J27" s="52"/>
    </row>
    <row r="28" spans="1:10" ht="42" customHeight="1" x14ac:dyDescent="0.25">
      <c r="A28" s="30">
        <v>4</v>
      </c>
      <c r="B28" s="104" t="s">
        <v>75</v>
      </c>
      <c r="C28" s="443" t="s">
        <v>77</v>
      </c>
      <c r="D28" s="444"/>
      <c r="E28" s="105"/>
      <c r="F28" s="105"/>
      <c r="G28" s="105"/>
      <c r="H28" s="24">
        <f>I23*1%</f>
        <v>33207.243699999999</v>
      </c>
      <c r="I28" s="24">
        <f>H28</f>
        <v>33207.243699999999</v>
      </c>
      <c r="J28" s="52"/>
    </row>
    <row r="29" spans="1:10" x14ac:dyDescent="0.25">
      <c r="A29" s="26"/>
      <c r="B29" s="36"/>
      <c r="C29" s="73" t="s">
        <v>18</v>
      </c>
      <c r="D29" s="74"/>
      <c r="E29" s="32">
        <f>SUM(E26:E27)</f>
        <v>44450.836109999997</v>
      </c>
      <c r="F29" s="32">
        <f>SUM(F26:F27)</f>
        <v>17995.091329999999</v>
      </c>
      <c r="G29" s="32">
        <f>SUM(G26:G27)</f>
        <v>0</v>
      </c>
      <c r="H29" s="32">
        <f>H26+H28</f>
        <v>33207.243699999999</v>
      </c>
      <c r="I29" s="32">
        <f>I26+I28</f>
        <v>95653.171139999991</v>
      </c>
      <c r="J29" s="52"/>
    </row>
    <row r="30" spans="1:10" ht="13.2" customHeight="1" x14ac:dyDescent="0.25">
      <c r="A30" s="26"/>
      <c r="B30" s="36"/>
      <c r="C30" s="73" t="s">
        <v>19</v>
      </c>
      <c r="D30" s="74"/>
      <c r="E30" s="32">
        <f>E29+E23</f>
        <v>2383968.52611</v>
      </c>
      <c r="F30" s="32">
        <f>F29+F23</f>
        <v>965105.16132999992</v>
      </c>
      <c r="G30" s="32">
        <f>G29+G23</f>
        <v>0</v>
      </c>
      <c r="H30" s="32">
        <f>H29+H23</f>
        <v>67303.853700000007</v>
      </c>
      <c r="I30" s="32">
        <f>I29+I23</f>
        <v>3416377.5411399994</v>
      </c>
    </row>
    <row r="31" spans="1:10" ht="13.2" customHeight="1" x14ac:dyDescent="0.25">
      <c r="A31" s="413" t="s">
        <v>20</v>
      </c>
      <c r="B31" s="414"/>
      <c r="C31" s="414"/>
      <c r="D31" s="414"/>
      <c r="E31" s="414"/>
      <c r="F31" s="414"/>
      <c r="G31" s="414"/>
      <c r="H31" s="414"/>
      <c r="I31" s="415"/>
    </row>
    <row r="32" spans="1:10" ht="13.2" customHeight="1" x14ac:dyDescent="0.25">
      <c r="A32" s="413" t="s">
        <v>21</v>
      </c>
      <c r="B32" s="414"/>
      <c r="C32" s="414"/>
      <c r="D32" s="414"/>
      <c r="E32" s="414"/>
      <c r="F32" s="414"/>
      <c r="G32" s="414"/>
      <c r="H32" s="414"/>
      <c r="I32" s="415"/>
    </row>
    <row r="33" spans="1:10" ht="28.95" customHeight="1" x14ac:dyDescent="0.25">
      <c r="A33" s="30">
        <v>5</v>
      </c>
      <c r="B33" s="28"/>
      <c r="C33" s="111" t="s">
        <v>78</v>
      </c>
      <c r="D33" s="106"/>
      <c r="E33" s="32">
        <v>0</v>
      </c>
      <c r="F33" s="32">
        <v>0</v>
      </c>
      <c r="G33" s="32">
        <v>0</v>
      </c>
      <c r="H33" s="91">
        <f>1016949.15/3.64/1.03</f>
        <v>271244.30545182974</v>
      </c>
      <c r="I33" s="32">
        <f>H33</f>
        <v>271244.30545182974</v>
      </c>
      <c r="J33" s="87"/>
    </row>
    <row r="34" spans="1:10" ht="15" customHeight="1" x14ac:dyDescent="0.25">
      <c r="A34" s="30"/>
      <c r="B34" s="28"/>
      <c r="C34" s="108"/>
      <c r="D34" s="106"/>
      <c r="E34" s="32"/>
      <c r="F34" s="32"/>
      <c r="G34" s="32"/>
      <c r="H34" s="91"/>
      <c r="I34" s="32"/>
    </row>
    <row r="35" spans="1:10" ht="13.2" customHeight="1" x14ac:dyDescent="0.25">
      <c r="A35" s="107"/>
      <c r="B35" s="107"/>
      <c r="C35" s="73" t="s">
        <v>50</v>
      </c>
      <c r="D35" s="106"/>
      <c r="E35" s="32">
        <v>0</v>
      </c>
      <c r="F35" s="32">
        <v>0</v>
      </c>
      <c r="G35" s="32">
        <v>0</v>
      </c>
      <c r="H35" s="91">
        <f>H33</f>
        <v>271244.30545182974</v>
      </c>
      <c r="I35" s="32">
        <f>I33</f>
        <v>271244.30545182974</v>
      </c>
    </row>
    <row r="36" spans="1:10" ht="13.2" customHeight="1" x14ac:dyDescent="0.25">
      <c r="A36" s="85"/>
      <c r="B36" s="85"/>
      <c r="C36" s="73" t="s">
        <v>51</v>
      </c>
      <c r="D36" s="84"/>
      <c r="E36" s="32">
        <f>E30</f>
        <v>2383968.52611</v>
      </c>
      <c r="F36" s="32">
        <f>F30</f>
        <v>965105.16132999992</v>
      </c>
      <c r="G36" s="32">
        <f>G30</f>
        <v>0</v>
      </c>
      <c r="H36" s="91">
        <f>H30+H35</f>
        <v>338548.15915182978</v>
      </c>
      <c r="I36" s="32">
        <f>I30+I35</f>
        <v>3687621.8465918293</v>
      </c>
      <c r="J36" s="87">
        <f>H36-H33-H23</f>
        <v>33207.243700000035</v>
      </c>
    </row>
    <row r="37" spans="1:10" ht="13.2" customHeight="1" x14ac:dyDescent="0.25">
      <c r="A37" s="413" t="s">
        <v>22</v>
      </c>
      <c r="B37" s="414"/>
      <c r="C37" s="414"/>
      <c r="D37" s="414"/>
      <c r="E37" s="414"/>
      <c r="F37" s="414"/>
      <c r="G37" s="414"/>
      <c r="H37" s="414"/>
      <c r="I37" s="415"/>
    </row>
    <row r="38" spans="1:10" ht="19.2" customHeight="1" x14ac:dyDescent="0.25">
      <c r="A38" s="30">
        <v>8</v>
      </c>
      <c r="B38" s="31" t="s">
        <v>37</v>
      </c>
      <c r="C38" s="77" t="s">
        <v>79</v>
      </c>
      <c r="D38" s="78"/>
      <c r="E38" s="32">
        <f>ROUND(E30*0.03,3)</f>
        <v>71519.055999999997</v>
      </c>
      <c r="F38" s="32">
        <f>ROUND(F30*0.03,3)</f>
        <v>28953.154999999999</v>
      </c>
      <c r="G38" s="32">
        <f>ROUND(G30*0.03,3)</f>
        <v>0</v>
      </c>
      <c r="H38" s="32">
        <f>H36*3%</f>
        <v>10156.444774554893</v>
      </c>
      <c r="I38" s="32">
        <f>E38+F38+G38+H38</f>
        <v>110628.65577455489</v>
      </c>
    </row>
    <row r="39" spans="1:10" ht="13.2" customHeight="1" x14ac:dyDescent="0.25">
      <c r="A39" s="26"/>
      <c r="B39" s="36"/>
      <c r="C39" s="73"/>
      <c r="D39" s="74"/>
      <c r="E39" s="32"/>
      <c r="F39" s="32"/>
      <c r="G39" s="32"/>
      <c r="H39" s="32"/>
      <c r="I39" s="32"/>
    </row>
    <row r="40" spans="1:10" x14ac:dyDescent="0.25">
      <c r="A40" s="26"/>
      <c r="B40" s="36"/>
      <c r="C40" s="73" t="s">
        <v>23</v>
      </c>
      <c r="D40" s="74"/>
      <c r="E40" s="32">
        <f>E36+E38</f>
        <v>2455487.5821099998</v>
      </c>
      <c r="F40" s="32">
        <f>F36+F38</f>
        <v>994058.31632999994</v>
      </c>
      <c r="G40" s="32">
        <f>G36+G38</f>
        <v>0</v>
      </c>
      <c r="H40" s="32">
        <f>H36+H38</f>
        <v>348704.60392638465</v>
      </c>
      <c r="I40" s="32">
        <f>I36+I38</f>
        <v>3798250.502366384</v>
      </c>
    </row>
    <row r="41" spans="1:10" ht="13.2" customHeight="1" x14ac:dyDescent="0.25">
      <c r="A41" s="26"/>
      <c r="B41" s="27"/>
      <c r="C41" s="73"/>
      <c r="D41" s="74"/>
      <c r="E41" s="35"/>
      <c r="F41" s="35"/>
      <c r="G41" s="35"/>
      <c r="H41" s="35"/>
      <c r="I41" s="35"/>
    </row>
    <row r="42" spans="1:10" ht="13.2" customHeight="1" x14ac:dyDescent="0.25">
      <c r="A42" s="413" t="s">
        <v>24</v>
      </c>
      <c r="B42" s="414"/>
      <c r="C42" s="414"/>
      <c r="D42" s="414"/>
      <c r="E42" s="414"/>
      <c r="F42" s="414"/>
      <c r="G42" s="414"/>
      <c r="H42" s="414"/>
      <c r="I42" s="415"/>
    </row>
    <row r="43" spans="1:10" x14ac:dyDescent="0.25">
      <c r="A43" s="26">
        <v>9</v>
      </c>
      <c r="B43" s="109" t="s">
        <v>25</v>
      </c>
      <c r="C43" s="73" t="s">
        <v>81</v>
      </c>
      <c r="D43" s="74"/>
      <c r="E43" s="32">
        <f>ROUND(E40*4.25,3)</f>
        <v>10435822.223999999</v>
      </c>
      <c r="F43" s="32">
        <f>ROUND(F40*4.25,3)</f>
        <v>4224747.8439999996</v>
      </c>
      <c r="G43" s="32"/>
      <c r="H43" s="32"/>
      <c r="I43" s="29">
        <f>E43+F43+G47+H47</f>
        <v>16301917.064278999</v>
      </c>
    </row>
    <row r="44" spans="1:10" x14ac:dyDescent="0.25">
      <c r="A44" s="26"/>
      <c r="B44" s="109" t="s">
        <v>83</v>
      </c>
      <c r="C44" s="73" t="s">
        <v>89</v>
      </c>
      <c r="D44" s="74"/>
      <c r="E44" s="32"/>
      <c r="F44" s="32"/>
      <c r="G44" s="32"/>
      <c r="H44" s="32">
        <f>H23*1.03*10.45</f>
        <v>366998.86173499998</v>
      </c>
      <c r="I44" s="29"/>
    </row>
    <row r="45" spans="1:10" x14ac:dyDescent="0.25">
      <c r="A45" s="26"/>
      <c r="B45" s="109" t="s">
        <v>84</v>
      </c>
      <c r="C45" s="441" t="s">
        <v>91</v>
      </c>
      <c r="D45" s="442"/>
      <c r="E45" s="32"/>
      <c r="F45" s="32"/>
      <c r="G45" s="32"/>
      <c r="H45" s="32">
        <f>271344.305*1.03*3.64</f>
        <v>1017324.068306</v>
      </c>
      <c r="I45" s="29"/>
    </row>
    <row r="46" spans="1:10" x14ac:dyDescent="0.25">
      <c r="A46" s="26"/>
      <c r="B46" s="136"/>
      <c r="C46" s="73" t="s">
        <v>90</v>
      </c>
      <c r="D46" s="74"/>
      <c r="E46" s="32"/>
      <c r="F46" s="32"/>
      <c r="G46" s="32"/>
      <c r="H46" s="32">
        <f>(H30-H23)*7.74</f>
        <v>257024.06623800006</v>
      </c>
      <c r="I46" s="29"/>
    </row>
    <row r="47" spans="1:10" ht="13.2" customHeight="1" x14ac:dyDescent="0.25">
      <c r="A47" s="26"/>
      <c r="B47" s="137"/>
      <c r="C47" s="5"/>
      <c r="D47" s="5"/>
      <c r="E47" s="32"/>
      <c r="F47" s="32"/>
      <c r="G47" s="32">
        <f>ROUND(G40*3.9,3)</f>
        <v>0</v>
      </c>
      <c r="H47" s="24">
        <f>H44+H45+H46</f>
        <v>1641346.9962790001</v>
      </c>
      <c r="I47" s="29"/>
    </row>
    <row r="48" spans="1:10" ht="13.2" hidden="1" customHeight="1" x14ac:dyDescent="0.25">
      <c r="A48" s="26"/>
      <c r="B48" s="109"/>
      <c r="C48" s="37"/>
      <c r="D48" s="37"/>
      <c r="E48" s="38"/>
      <c r="F48" s="38"/>
      <c r="G48" s="38"/>
      <c r="H48" s="38"/>
      <c r="I48" s="39"/>
    </row>
    <row r="49" spans="1:13" x14ac:dyDescent="0.25">
      <c r="A49" s="26"/>
      <c r="B49" s="137"/>
      <c r="C49" s="79" t="s">
        <v>92</v>
      </c>
      <c r="D49" s="80"/>
      <c r="E49" s="33"/>
      <c r="F49" s="33"/>
      <c r="G49" s="33"/>
      <c r="H49" s="33"/>
      <c r="I49" s="33"/>
    </row>
    <row r="50" spans="1:13" x14ac:dyDescent="0.25">
      <c r="A50" s="26"/>
      <c r="B50" s="43"/>
      <c r="C50" s="73"/>
      <c r="D50" s="80"/>
      <c r="E50" s="34"/>
      <c r="F50" s="34"/>
      <c r="G50" s="34"/>
      <c r="H50" s="34"/>
      <c r="I50" s="44"/>
    </row>
    <row r="51" spans="1:13" x14ac:dyDescent="0.25">
      <c r="A51" s="26">
        <v>10</v>
      </c>
      <c r="B51" s="31"/>
      <c r="C51" s="79" t="s">
        <v>39</v>
      </c>
      <c r="D51" s="80"/>
      <c r="E51" s="33">
        <f>E43*0.18</f>
        <v>1878448.0003199999</v>
      </c>
      <c r="F51" s="33">
        <f>F43*0.18</f>
        <v>760454.61191999994</v>
      </c>
      <c r="G51" s="33">
        <f>G47*0.18</f>
        <v>0</v>
      </c>
      <c r="H51" s="33">
        <f>H47*0.18</f>
        <v>295442.45933022001</v>
      </c>
      <c r="I51" s="33">
        <f>I43*0.18</f>
        <v>2934345.0715702199</v>
      </c>
      <c r="J51" s="87"/>
    </row>
    <row r="52" spans="1:13" x14ac:dyDescent="0.25">
      <c r="A52" s="26"/>
      <c r="B52" s="27"/>
      <c r="C52" s="81" t="s">
        <v>27</v>
      </c>
      <c r="D52" s="82"/>
      <c r="E52" s="45">
        <f>E43+E51</f>
        <v>12314270.22432</v>
      </c>
      <c r="F52" s="45">
        <f>F43+F51</f>
        <v>4985202.4559199996</v>
      </c>
      <c r="G52" s="45">
        <f>G47+G51</f>
        <v>0</v>
      </c>
      <c r="H52" s="45">
        <f>H47+H51</f>
        <v>1936789.4556092201</v>
      </c>
      <c r="I52" s="45">
        <f>I43+I51</f>
        <v>19236262.135849219</v>
      </c>
    </row>
    <row r="53" spans="1:13" x14ac:dyDescent="0.25">
      <c r="A53" s="46"/>
      <c r="B53" s="47"/>
      <c r="C53" s="48"/>
      <c r="D53" s="48"/>
      <c r="E53" s="49"/>
      <c r="F53" s="49"/>
      <c r="G53" s="49"/>
      <c r="H53" s="49"/>
      <c r="I53" s="50"/>
    </row>
    <row r="54" spans="1:13" x14ac:dyDescent="0.25">
      <c r="A54" s="46"/>
      <c r="B54" s="47"/>
      <c r="C54" s="48"/>
      <c r="D54" s="48"/>
      <c r="E54" s="49"/>
      <c r="F54" s="49"/>
      <c r="G54" s="49"/>
      <c r="H54" s="49"/>
      <c r="I54" s="50"/>
    </row>
    <row r="55" spans="1:13" x14ac:dyDescent="0.25">
      <c r="A55" s="46"/>
      <c r="C55" s="47"/>
      <c r="D55" s="47"/>
      <c r="E55" s="51"/>
      <c r="F55" s="20"/>
      <c r="G55" s="20"/>
      <c r="H55" s="20"/>
      <c r="I55" s="20"/>
    </row>
    <row r="56" spans="1:13" x14ac:dyDescent="0.25">
      <c r="A56" s="46"/>
      <c r="B56" s="47"/>
      <c r="C56" s="51"/>
      <c r="D56" s="51"/>
      <c r="E56" s="20"/>
      <c r="F56" s="20"/>
      <c r="G56" s="20"/>
      <c r="H56" s="20"/>
      <c r="I56" s="20"/>
    </row>
    <row r="57" spans="1:13" x14ac:dyDescent="0.25">
      <c r="C57" s="51"/>
      <c r="D57" s="51"/>
      <c r="E57" s="20"/>
      <c r="F57" s="20"/>
      <c r="G57" s="20"/>
      <c r="H57" s="20"/>
      <c r="I57" s="20"/>
      <c r="J57" s="52"/>
      <c r="K57" s="52"/>
      <c r="L57" s="52"/>
    </row>
    <row r="58" spans="1:13" ht="21" customHeight="1" x14ac:dyDescent="0.25">
      <c r="A58" s="98"/>
      <c r="B58" s="115"/>
      <c r="C58" s="436"/>
      <c r="D58" s="437"/>
      <c r="E58" s="437"/>
      <c r="F58" s="437"/>
      <c r="G58" s="437"/>
      <c r="H58" s="437"/>
      <c r="I58" s="437"/>
      <c r="J58" s="52"/>
      <c r="K58" s="52"/>
      <c r="L58" s="52"/>
      <c r="M58" s="52"/>
    </row>
    <row r="59" spans="1:13" ht="24.75" customHeight="1" x14ac:dyDescent="0.25">
      <c r="A59" s="98"/>
      <c r="B59" s="115"/>
      <c r="C59" s="436"/>
      <c r="D59" s="116"/>
      <c r="E59" s="116"/>
      <c r="F59" s="117"/>
      <c r="G59" s="116"/>
      <c r="H59" s="116"/>
      <c r="I59" s="437"/>
      <c r="J59" s="52"/>
      <c r="K59" s="52"/>
      <c r="L59" s="52"/>
      <c r="M59" s="52"/>
    </row>
    <row r="60" spans="1:13" x14ac:dyDescent="0.25">
      <c r="A60" s="98"/>
      <c r="B60" s="115"/>
      <c r="C60" s="118"/>
      <c r="D60" s="118"/>
      <c r="E60" s="118"/>
      <c r="F60" s="118"/>
      <c r="G60" s="118"/>
      <c r="H60" s="118"/>
      <c r="I60" s="118"/>
      <c r="J60" s="52"/>
      <c r="K60" s="52"/>
      <c r="L60" s="52"/>
      <c r="M60" s="52"/>
    </row>
    <row r="61" spans="1:13" x14ac:dyDescent="0.25">
      <c r="A61" s="98"/>
      <c r="B61" s="115"/>
      <c r="C61" s="119"/>
      <c r="D61" s="120"/>
      <c r="E61" s="121"/>
      <c r="F61" s="121"/>
      <c r="G61" s="122"/>
      <c r="H61" s="122"/>
      <c r="I61" s="121"/>
      <c r="J61" s="52"/>
      <c r="K61" s="52"/>
      <c r="L61" s="52"/>
      <c r="M61" s="52"/>
    </row>
    <row r="62" spans="1:13" x14ac:dyDescent="0.25">
      <c r="C62" s="51"/>
      <c r="D62" s="123"/>
      <c r="E62" s="123"/>
      <c r="F62" s="123"/>
      <c r="G62" s="123"/>
      <c r="H62" s="123"/>
      <c r="I62" s="123"/>
      <c r="J62" s="52"/>
      <c r="K62" s="52"/>
      <c r="L62" s="52"/>
    </row>
    <row r="63" spans="1:13" x14ac:dyDescent="0.25">
      <c r="C63" s="46"/>
      <c r="D63" s="46"/>
      <c r="E63" s="46"/>
      <c r="F63" s="46"/>
      <c r="G63" s="46"/>
      <c r="H63" s="46"/>
      <c r="I63" s="20"/>
      <c r="J63" s="52"/>
      <c r="K63" s="52"/>
      <c r="L63" s="52"/>
    </row>
    <row r="64" spans="1:13" x14ac:dyDescent="0.25">
      <c r="C64" s="51"/>
      <c r="D64" s="124"/>
      <c r="E64" s="20"/>
      <c r="F64" s="125"/>
      <c r="G64" s="20"/>
      <c r="H64" s="20"/>
      <c r="I64" s="20"/>
      <c r="J64" s="52"/>
      <c r="K64" s="52"/>
      <c r="L64" s="52"/>
    </row>
    <row r="65" spans="3:12" x14ac:dyDescent="0.25">
      <c r="C65" s="51"/>
      <c r="D65" s="51"/>
      <c r="E65" s="20"/>
      <c r="F65" s="20"/>
      <c r="G65" s="20"/>
      <c r="H65" s="20"/>
      <c r="I65" s="126"/>
      <c r="J65" s="52"/>
      <c r="K65" s="52"/>
      <c r="L65" s="52"/>
    </row>
    <row r="66" spans="3:12" x14ac:dyDescent="0.25">
      <c r="C66" s="51"/>
      <c r="D66" s="51"/>
      <c r="E66" s="20"/>
      <c r="F66" s="20"/>
      <c r="G66" s="20"/>
      <c r="H66" s="20"/>
      <c r="I66" s="20"/>
      <c r="J66" s="52"/>
      <c r="K66" s="52"/>
      <c r="L66" s="52"/>
    </row>
    <row r="67" spans="3:12" x14ac:dyDescent="0.25">
      <c r="C67" s="435"/>
      <c r="D67" s="435"/>
      <c r="E67" s="435"/>
      <c r="F67" s="435"/>
      <c r="G67" s="435"/>
      <c r="H67" s="435"/>
      <c r="I67" s="435"/>
      <c r="J67" s="52"/>
      <c r="K67" s="52"/>
      <c r="L67" s="52"/>
    </row>
    <row r="68" spans="3:12" x14ac:dyDescent="0.25">
      <c r="C68" s="46"/>
      <c r="D68" s="128"/>
      <c r="E68" s="128"/>
      <c r="F68" s="99"/>
      <c r="G68" s="128"/>
      <c r="H68" s="128"/>
      <c r="I68" s="128"/>
      <c r="J68" s="52"/>
      <c r="K68" s="52"/>
      <c r="L68" s="52"/>
    </row>
    <row r="69" spans="3:12" x14ac:dyDescent="0.25">
      <c r="C69" s="123"/>
      <c r="D69" s="128"/>
      <c r="E69" s="99"/>
      <c r="F69" s="99"/>
      <c r="G69" s="99"/>
      <c r="H69" s="99"/>
      <c r="I69" s="99"/>
      <c r="J69" s="52"/>
      <c r="K69" s="52"/>
      <c r="L69" s="52"/>
    </row>
    <row r="70" spans="3:12" x14ac:dyDescent="0.25">
      <c r="C70" s="115"/>
      <c r="D70" s="129"/>
      <c r="E70" s="130"/>
      <c r="F70" s="99"/>
      <c r="G70" s="131"/>
      <c r="H70" s="99"/>
      <c r="I70" s="99"/>
      <c r="J70" s="52"/>
      <c r="K70" s="52"/>
      <c r="L70" s="52"/>
    </row>
    <row r="71" spans="3:12" x14ac:dyDescent="0.25">
      <c r="C71" s="115"/>
      <c r="D71" s="132"/>
      <c r="E71" s="133"/>
      <c r="F71" s="133"/>
      <c r="G71" s="132"/>
      <c r="H71" s="134"/>
      <c r="I71" s="135"/>
      <c r="J71" s="52"/>
      <c r="K71" s="52"/>
      <c r="L71" s="52"/>
    </row>
    <row r="72" spans="3:12" x14ac:dyDescent="0.25">
      <c r="C72" s="51"/>
      <c r="D72" s="51"/>
      <c r="E72" s="125"/>
      <c r="F72" s="20"/>
      <c r="G72" s="20"/>
      <c r="H72" s="20"/>
      <c r="I72" s="20"/>
      <c r="J72" s="52"/>
      <c r="K72" s="52"/>
      <c r="L72" s="52"/>
    </row>
    <row r="73" spans="3:12" x14ac:dyDescent="0.25">
      <c r="C73" s="51"/>
      <c r="D73" s="51"/>
      <c r="E73" s="125"/>
      <c r="F73" s="125"/>
      <c r="G73" s="125"/>
      <c r="H73" s="125"/>
      <c r="I73" s="20"/>
      <c r="J73" s="52"/>
      <c r="K73" s="52"/>
      <c r="L73" s="52"/>
    </row>
    <row r="74" spans="3:12" x14ac:dyDescent="0.25">
      <c r="C74" s="51"/>
      <c r="D74" s="51"/>
      <c r="E74" s="20"/>
      <c r="F74" s="126"/>
      <c r="G74" s="125"/>
      <c r="H74" s="125"/>
      <c r="I74" s="125"/>
      <c r="J74" s="52"/>
      <c r="K74" s="52"/>
      <c r="L74" s="52"/>
    </row>
    <row r="75" spans="3:12" x14ac:dyDescent="0.25">
      <c r="C75" s="51"/>
      <c r="D75" s="51"/>
      <c r="E75" s="20"/>
      <c r="F75" s="20"/>
      <c r="G75" s="20"/>
      <c r="H75" s="20"/>
      <c r="I75" s="20"/>
      <c r="J75" s="52"/>
      <c r="K75" s="52"/>
      <c r="L75" s="52"/>
    </row>
    <row r="76" spans="3:12" x14ac:dyDescent="0.25">
      <c r="C76" s="100"/>
      <c r="D76" s="100"/>
      <c r="E76" s="101"/>
    </row>
  </sheetData>
  <mergeCells count="28">
    <mergeCell ref="D58:H58"/>
    <mergeCell ref="I58:I59"/>
    <mergeCell ref="F16:F18"/>
    <mergeCell ref="G16:G18"/>
    <mergeCell ref="H16:H18"/>
    <mergeCell ref="C45:D45"/>
    <mergeCell ref="C28:D28"/>
    <mergeCell ref="A20:I20"/>
    <mergeCell ref="A24:I24"/>
    <mergeCell ref="A25:I25"/>
    <mergeCell ref="A31:I31"/>
    <mergeCell ref="A32:I32"/>
    <mergeCell ref="C67:I67"/>
    <mergeCell ref="G4:I4"/>
    <mergeCell ref="C12:H12"/>
    <mergeCell ref="C15:D18"/>
    <mergeCell ref="F5:I5"/>
    <mergeCell ref="F7:I7"/>
    <mergeCell ref="A10:I10"/>
    <mergeCell ref="A11:I11"/>
    <mergeCell ref="A42:I42"/>
    <mergeCell ref="C58:C59"/>
    <mergeCell ref="A37:I37"/>
    <mergeCell ref="A15:A18"/>
    <mergeCell ref="B15:B18"/>
    <mergeCell ref="E15:H15"/>
    <mergeCell ref="I15:I18"/>
    <mergeCell ref="E16:E18"/>
  </mergeCells>
  <pageMargins left="0.19685039370078741" right="0" top="0.19685039370078741" bottom="0.19685039370078741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81"/>
  <sheetViews>
    <sheetView showGridLines="0" topLeftCell="A29" zoomScaleNormal="100" zoomScaleSheetLayoutView="100" workbookViewId="0">
      <selection activeCell="C21" sqref="C21:D21"/>
    </sheetView>
  </sheetViews>
  <sheetFormatPr defaultColWidth="9.109375" defaultRowHeight="13.2" x14ac:dyDescent="0.25"/>
  <cols>
    <col min="1" max="1" width="3.33203125" style="113" customWidth="1"/>
    <col min="2" max="2" width="19.88671875" style="1" customWidth="1"/>
    <col min="3" max="3" width="52" style="2" customWidth="1"/>
    <col min="4" max="4" width="26" style="2" customWidth="1"/>
    <col min="5" max="5" width="9.77734375" style="13" customWidth="1"/>
    <col min="6" max="6" width="9.88671875" style="13" customWidth="1"/>
    <col min="7" max="7" width="9.21875" style="13" customWidth="1"/>
    <col min="8" max="8" width="9.6640625" style="13" customWidth="1"/>
    <col min="9" max="9" width="12.109375" style="13" customWidth="1"/>
    <col min="10" max="10" width="9.5546875" style="5" hidden="1" customWidth="1"/>
    <col min="11" max="11" width="12.5546875" style="5" bestFit="1" customWidth="1"/>
    <col min="12" max="12" width="12.88671875" style="5" customWidth="1"/>
    <col min="13" max="15" width="9.109375" style="5"/>
    <col min="16" max="16" width="10.21875" style="5" customWidth="1"/>
    <col min="17" max="16384" width="9.109375" style="5"/>
  </cols>
  <sheetData>
    <row r="1" spans="1:13" x14ac:dyDescent="0.25">
      <c r="E1" s="3"/>
      <c r="F1" s="3"/>
      <c r="G1" s="3"/>
      <c r="H1" s="3"/>
      <c r="I1" s="4"/>
    </row>
    <row r="2" spans="1:13" ht="13.8" x14ac:dyDescent="0.25">
      <c r="C2" s="6"/>
      <c r="D2" s="6"/>
      <c r="E2" s="3"/>
      <c r="F2" s="7"/>
      <c r="G2" s="8"/>
      <c r="H2" s="7"/>
      <c r="I2" s="114"/>
    </row>
    <row r="3" spans="1:13" ht="13.8" x14ac:dyDescent="0.25">
      <c r="E3" s="3"/>
      <c r="F3" s="9"/>
      <c r="G3" s="9"/>
      <c r="H3" s="114"/>
      <c r="I3" s="114"/>
    </row>
    <row r="4" spans="1:13" ht="13.8" x14ac:dyDescent="0.25">
      <c r="A4" s="331"/>
      <c r="B4" s="10" t="s">
        <v>88</v>
      </c>
      <c r="C4" s="11"/>
      <c r="D4" s="11"/>
      <c r="E4" s="334"/>
      <c r="F4" s="333"/>
      <c r="G4" s="410"/>
      <c r="H4" s="410"/>
      <c r="I4" s="410"/>
    </row>
    <row r="5" spans="1:13" ht="13.8" x14ac:dyDescent="0.25">
      <c r="A5" s="331"/>
      <c r="B5" s="12">
        <f>I53</f>
        <v>239.972325308872</v>
      </c>
      <c r="C5" s="2" t="s">
        <v>32</v>
      </c>
      <c r="E5" s="3"/>
      <c r="F5" s="410"/>
      <c r="G5" s="410"/>
      <c r="H5" s="410"/>
      <c r="I5" s="410"/>
    </row>
    <row r="6" spans="1:13" ht="13.8" x14ac:dyDescent="0.25">
      <c r="A6" s="331"/>
      <c r="F6" s="8"/>
      <c r="G6" s="8"/>
      <c r="H6" s="7"/>
      <c r="I6" s="7"/>
    </row>
    <row r="7" spans="1:13" ht="13.8" x14ac:dyDescent="0.25">
      <c r="A7" s="331"/>
      <c r="B7" s="14"/>
      <c r="C7" s="15"/>
      <c r="D7" s="15"/>
      <c r="E7" s="3"/>
      <c r="F7" s="410"/>
      <c r="G7" s="410"/>
      <c r="H7" s="410"/>
      <c r="I7" s="410"/>
    </row>
    <row r="8" spans="1:13" x14ac:dyDescent="0.25">
      <c r="A8" s="331"/>
      <c r="B8" s="16"/>
      <c r="C8" s="17"/>
      <c r="D8" s="17"/>
      <c r="H8" s="3"/>
      <c r="I8" s="3"/>
    </row>
    <row r="9" spans="1:13" x14ac:dyDescent="0.25">
      <c r="A9" s="331"/>
      <c r="B9" s="12"/>
      <c r="F9" s="18"/>
      <c r="H9" s="3"/>
      <c r="I9" s="3"/>
    </row>
    <row r="10" spans="1:13" x14ac:dyDescent="0.25">
      <c r="A10" s="411" t="s">
        <v>33</v>
      </c>
      <c r="B10" s="411"/>
      <c r="C10" s="411"/>
      <c r="D10" s="411"/>
      <c r="E10" s="411"/>
      <c r="F10" s="411"/>
      <c r="G10" s="411"/>
      <c r="H10" s="411"/>
      <c r="I10" s="411"/>
    </row>
    <row r="11" spans="1:13" ht="15.6" customHeight="1" x14ac:dyDescent="0.25">
      <c r="A11" s="448" t="s">
        <v>357</v>
      </c>
      <c r="B11" s="448"/>
      <c r="C11" s="448"/>
      <c r="D11" s="448"/>
      <c r="E11" s="448"/>
      <c r="F11" s="448"/>
      <c r="G11" s="448"/>
      <c r="H11" s="448"/>
      <c r="I11" s="448"/>
      <c r="K11" s="157"/>
    </row>
    <row r="12" spans="1:13" x14ac:dyDescent="0.25">
      <c r="A12" s="331"/>
      <c r="B12" s="12"/>
      <c r="C12" s="447" t="s">
        <v>1</v>
      </c>
      <c r="D12" s="447"/>
      <c r="E12" s="447"/>
      <c r="F12" s="447"/>
      <c r="G12" s="447"/>
      <c r="H12" s="447"/>
      <c r="I12" s="19"/>
    </row>
    <row r="13" spans="1:13" x14ac:dyDescent="0.25">
      <c r="A13" s="331"/>
      <c r="E13" s="20"/>
      <c r="F13" s="20"/>
      <c r="G13" s="20"/>
      <c r="H13" s="20"/>
      <c r="I13" s="19"/>
    </row>
    <row r="14" spans="1:13" x14ac:dyDescent="0.25">
      <c r="A14" s="331"/>
      <c r="B14" s="1" t="s">
        <v>356</v>
      </c>
      <c r="E14" s="21"/>
      <c r="F14" s="3"/>
      <c r="G14" s="3"/>
      <c r="H14" s="3"/>
      <c r="I14" s="3"/>
    </row>
    <row r="15" spans="1:13" ht="13.2" customHeight="1" x14ac:dyDescent="0.25">
      <c r="A15" s="416" t="s">
        <v>2</v>
      </c>
      <c r="B15" s="417" t="s">
        <v>3</v>
      </c>
      <c r="C15" s="418" t="s">
        <v>4</v>
      </c>
      <c r="D15" s="419"/>
      <c r="E15" s="424" t="s">
        <v>86</v>
      </c>
      <c r="F15" s="424"/>
      <c r="G15" s="424"/>
      <c r="H15" s="424"/>
      <c r="I15" s="416" t="s">
        <v>6</v>
      </c>
      <c r="K15" s="149"/>
    </row>
    <row r="16" spans="1:13" ht="13.2" customHeight="1" x14ac:dyDescent="0.25">
      <c r="A16" s="416"/>
      <c r="B16" s="417"/>
      <c r="C16" s="420"/>
      <c r="D16" s="421"/>
      <c r="E16" s="416" t="s">
        <v>7</v>
      </c>
      <c r="F16" s="416" t="s">
        <v>8</v>
      </c>
      <c r="G16" s="438" t="s">
        <v>9</v>
      </c>
      <c r="H16" s="438" t="s">
        <v>10</v>
      </c>
      <c r="I16" s="416"/>
      <c r="K16" s="149"/>
      <c r="L16" s="165"/>
      <c r="M16" s="52"/>
    </row>
    <row r="17" spans="1:17" ht="12.75" customHeight="1" x14ac:dyDescent="0.25">
      <c r="A17" s="416"/>
      <c r="B17" s="417"/>
      <c r="C17" s="420"/>
      <c r="D17" s="421"/>
      <c r="E17" s="416"/>
      <c r="F17" s="416"/>
      <c r="G17" s="439"/>
      <c r="H17" s="439"/>
      <c r="I17" s="416"/>
      <c r="K17" s="149"/>
      <c r="L17" s="165"/>
      <c r="M17" s="183"/>
    </row>
    <row r="18" spans="1:17" ht="13.2" customHeight="1" x14ac:dyDescent="0.25">
      <c r="A18" s="416"/>
      <c r="B18" s="417"/>
      <c r="C18" s="422"/>
      <c r="D18" s="423"/>
      <c r="E18" s="416"/>
      <c r="F18" s="416"/>
      <c r="G18" s="440"/>
      <c r="H18" s="440"/>
      <c r="I18" s="416"/>
      <c r="K18" s="149"/>
      <c r="L18" s="165"/>
      <c r="M18" s="183"/>
    </row>
    <row r="19" spans="1:17" x14ac:dyDescent="0.25">
      <c r="A19" s="335">
        <v>1</v>
      </c>
      <c r="B19" s="22">
        <v>2</v>
      </c>
      <c r="C19" s="71">
        <v>3</v>
      </c>
      <c r="D19" s="72"/>
      <c r="E19" s="335">
        <v>4</v>
      </c>
      <c r="F19" s="335">
        <v>5</v>
      </c>
      <c r="G19" s="335">
        <v>6</v>
      </c>
      <c r="H19" s="335">
        <v>7</v>
      </c>
      <c r="I19" s="335">
        <v>8</v>
      </c>
      <c r="L19" s="165"/>
      <c r="M19" s="183"/>
      <c r="N19" s="151"/>
    </row>
    <row r="20" spans="1:17" ht="15" customHeight="1" x14ac:dyDescent="0.25">
      <c r="A20" s="425" t="s">
        <v>11</v>
      </c>
      <c r="B20" s="426"/>
      <c r="C20" s="426"/>
      <c r="D20" s="426"/>
      <c r="E20" s="426"/>
      <c r="F20" s="426"/>
      <c r="G20" s="426"/>
      <c r="H20" s="426"/>
      <c r="I20" s="426"/>
      <c r="J20" s="52"/>
      <c r="M20" s="183"/>
    </row>
    <row r="21" spans="1:17" s="25" customFormat="1" ht="22.8" customHeight="1" x14ac:dyDescent="0.25">
      <c r="A21" s="23">
        <v>1</v>
      </c>
      <c r="B21" s="163" t="s">
        <v>368</v>
      </c>
      <c r="C21" s="441" t="s">
        <v>369</v>
      </c>
      <c r="D21" s="442"/>
      <c r="E21" s="94">
        <v>2.3466300000000002</v>
      </c>
      <c r="F21" s="94">
        <v>0.55810000000000004</v>
      </c>
      <c r="G21" s="345">
        <f>41.588</f>
        <v>41.588000000000001</v>
      </c>
      <c r="H21" s="94">
        <v>0.17100000000000001</v>
      </c>
      <c r="I21" s="94">
        <f>E21+F21+G21+H21</f>
        <v>44.663730000000001</v>
      </c>
      <c r="J21" s="60"/>
      <c r="K21" s="150"/>
      <c r="L21" s="183"/>
      <c r="M21" s="183"/>
    </row>
    <row r="22" spans="1:17" ht="13.2" customHeight="1" x14ac:dyDescent="0.25">
      <c r="A22" s="26"/>
      <c r="B22" s="27"/>
      <c r="C22" s="73" t="s">
        <v>12</v>
      </c>
      <c r="D22" s="74"/>
      <c r="E22" s="139">
        <f>SUM(E21:E21)</f>
        <v>2.3466300000000002</v>
      </c>
      <c r="F22" s="139">
        <f>SUM(F21:F21)</f>
        <v>0.55810000000000004</v>
      </c>
      <c r="G22" s="139">
        <f>SUM(G21:G21)</f>
        <v>41.588000000000001</v>
      </c>
      <c r="H22" s="32">
        <f>SUM(H21:H21)</f>
        <v>0.17100000000000001</v>
      </c>
      <c r="I22" s="24">
        <f>SUM(I21:I21)</f>
        <v>44.663730000000001</v>
      </c>
      <c r="J22" s="52"/>
      <c r="K22" s="150"/>
      <c r="L22" s="183"/>
      <c r="M22" s="25"/>
      <c r="N22" s="150"/>
    </row>
    <row r="23" spans="1:17" ht="13.2" customHeight="1" x14ac:dyDescent="0.25">
      <c r="A23" s="425" t="s">
        <v>13</v>
      </c>
      <c r="B23" s="426"/>
      <c r="C23" s="426"/>
      <c r="D23" s="426"/>
      <c r="E23" s="426"/>
      <c r="F23" s="426"/>
      <c r="G23" s="426"/>
      <c r="H23" s="426"/>
      <c r="I23" s="426"/>
      <c r="J23" s="52"/>
      <c r="L23" s="183"/>
      <c r="M23" s="446"/>
      <c r="N23" s="446"/>
      <c r="O23" s="446"/>
      <c r="P23" s="446"/>
      <c r="Q23" s="446"/>
    </row>
    <row r="24" spans="1:17" ht="13.2" customHeight="1" x14ac:dyDescent="0.25">
      <c r="A24" s="30">
        <v>2</v>
      </c>
      <c r="B24" s="162" t="s">
        <v>97</v>
      </c>
      <c r="C24" s="441" t="s">
        <v>96</v>
      </c>
      <c r="D24" s="449"/>
      <c r="E24" s="141">
        <f>E22*0.025*0</f>
        <v>0</v>
      </c>
      <c r="F24" s="141">
        <f>F22*0.025*0</f>
        <v>0</v>
      </c>
      <c r="G24" s="141">
        <v>0</v>
      </c>
      <c r="H24" s="141">
        <v>0</v>
      </c>
      <c r="I24" s="141">
        <f>E24+F24</f>
        <v>0</v>
      </c>
      <c r="J24" s="52"/>
      <c r="L24" s="183"/>
    </row>
    <row r="25" spans="1:17" ht="13.2" customHeight="1" x14ac:dyDescent="0.25">
      <c r="A25" s="332"/>
      <c r="B25" s="162"/>
      <c r="C25" s="73" t="s">
        <v>98</v>
      </c>
      <c r="D25" s="340"/>
      <c r="E25" s="141">
        <f>E22+E24</f>
        <v>2.3466300000000002</v>
      </c>
      <c r="F25" s="141">
        <f>F24+F22</f>
        <v>0.55810000000000004</v>
      </c>
      <c r="G25" s="141">
        <f>G24+G22</f>
        <v>41.588000000000001</v>
      </c>
      <c r="H25" s="141">
        <f>H24+H22</f>
        <v>0.17100000000000001</v>
      </c>
      <c r="I25" s="141">
        <f>I24+I22</f>
        <v>44.663730000000001</v>
      </c>
      <c r="J25" s="52"/>
      <c r="L25" s="183"/>
    </row>
    <row r="26" spans="1:17" ht="13.2" customHeight="1" x14ac:dyDescent="0.25">
      <c r="A26" s="427" t="s">
        <v>14</v>
      </c>
      <c r="B26" s="428"/>
      <c r="C26" s="428"/>
      <c r="D26" s="428"/>
      <c r="E26" s="428"/>
      <c r="F26" s="428"/>
      <c r="G26" s="428"/>
      <c r="H26" s="428"/>
      <c r="I26" s="428"/>
      <c r="J26" s="52"/>
    </row>
    <row r="27" spans="1:17" ht="20.399999999999999" customHeight="1" x14ac:dyDescent="0.25">
      <c r="A27" s="30">
        <v>3</v>
      </c>
      <c r="B27" s="31" t="s">
        <v>15</v>
      </c>
      <c r="C27" s="77" t="s">
        <v>76</v>
      </c>
      <c r="D27" s="78"/>
      <c r="E27" s="141">
        <f>E25*1.9%*0</f>
        <v>0</v>
      </c>
      <c r="F27" s="141">
        <f>F25*1.9%*0</f>
        <v>0</v>
      </c>
      <c r="G27" s="141">
        <v>0</v>
      </c>
      <c r="H27" s="141">
        <v>0</v>
      </c>
      <c r="I27" s="141">
        <f>E27+F27</f>
        <v>0</v>
      </c>
      <c r="J27" s="52"/>
    </row>
    <row r="28" spans="1:17" ht="20.399999999999999" hidden="1" customHeight="1" x14ac:dyDescent="0.25">
      <c r="A28" s="30"/>
      <c r="B28" s="31"/>
      <c r="C28" s="336"/>
      <c r="D28" s="337"/>
      <c r="E28" s="34"/>
      <c r="F28" s="34"/>
      <c r="G28" s="34"/>
      <c r="H28" s="32"/>
      <c r="I28" s="32"/>
      <c r="J28" s="52"/>
    </row>
    <row r="29" spans="1:17" x14ac:dyDescent="0.25">
      <c r="A29" s="26"/>
      <c r="B29" s="36"/>
      <c r="C29" s="73" t="s">
        <v>18</v>
      </c>
      <c r="D29" s="74"/>
      <c r="E29" s="141">
        <f>SUM(E27:E27)</f>
        <v>0</v>
      </c>
      <c r="F29" s="141">
        <f>SUM(F27:F27)</f>
        <v>0</v>
      </c>
      <c r="G29" s="141">
        <f>SUM(G27:G27)</f>
        <v>0</v>
      </c>
      <c r="H29" s="141">
        <f>H28</f>
        <v>0</v>
      </c>
      <c r="I29" s="141">
        <f>SUM(E29:H29)</f>
        <v>0</v>
      </c>
      <c r="J29" s="52"/>
    </row>
    <row r="30" spans="1:17" x14ac:dyDescent="0.25">
      <c r="A30" s="26"/>
      <c r="B30" s="36"/>
      <c r="C30" s="73" t="s">
        <v>19</v>
      </c>
      <c r="D30" s="74"/>
      <c r="E30" s="141">
        <f>E25+E29</f>
        <v>2.3466300000000002</v>
      </c>
      <c r="F30" s="141">
        <f>F25+F29</f>
        <v>0.55810000000000004</v>
      </c>
      <c r="G30" s="141">
        <f>G25+G29</f>
        <v>41.588000000000001</v>
      </c>
      <c r="H30" s="141">
        <f>H25+H29</f>
        <v>0.17100000000000001</v>
      </c>
      <c r="I30" s="141">
        <f>I25+I29</f>
        <v>44.663730000000001</v>
      </c>
      <c r="J30" s="52"/>
    </row>
    <row r="31" spans="1:17" ht="13.2" customHeight="1" x14ac:dyDescent="0.25">
      <c r="A31" s="413" t="s">
        <v>20</v>
      </c>
      <c r="B31" s="414"/>
      <c r="C31" s="414"/>
      <c r="D31" s="414"/>
      <c r="E31" s="414"/>
      <c r="F31" s="414"/>
      <c r="G31" s="414"/>
      <c r="H31" s="414"/>
      <c r="I31" s="415"/>
      <c r="K31" s="87"/>
    </row>
    <row r="32" spans="1:17" ht="13.2" customHeight="1" x14ac:dyDescent="0.25">
      <c r="A32" s="30">
        <v>4</v>
      </c>
      <c r="B32" s="161" t="s">
        <v>100</v>
      </c>
      <c r="C32" s="445" t="s">
        <v>101</v>
      </c>
      <c r="D32" s="445"/>
      <c r="E32" s="332"/>
      <c r="F32" s="332"/>
      <c r="G32" s="332"/>
      <c r="H32" s="164">
        <f>I30*0.0214*0</f>
        <v>0</v>
      </c>
      <c r="I32" s="164">
        <f>H32</f>
        <v>0</v>
      </c>
    </row>
    <row r="33" spans="1:19" ht="13.2" customHeight="1" x14ac:dyDescent="0.25">
      <c r="A33" s="332"/>
      <c r="B33" s="332"/>
      <c r="C33" s="441" t="s">
        <v>102</v>
      </c>
      <c r="D33" s="442"/>
      <c r="E33" s="332"/>
      <c r="F33" s="332"/>
      <c r="G33" s="332"/>
      <c r="H33" s="164">
        <f>H32</f>
        <v>0</v>
      </c>
      <c r="I33" s="164">
        <f>H33</f>
        <v>0</v>
      </c>
    </row>
    <row r="34" spans="1:19" ht="13.2" customHeight="1" x14ac:dyDescent="0.25">
      <c r="A34" s="413" t="s">
        <v>21</v>
      </c>
      <c r="B34" s="414"/>
      <c r="C34" s="414"/>
      <c r="D34" s="414"/>
      <c r="E34" s="414"/>
      <c r="F34" s="414"/>
      <c r="G34" s="414"/>
      <c r="H34" s="414"/>
      <c r="I34" s="415"/>
    </row>
    <row r="35" spans="1:19" ht="13.2" customHeight="1" x14ac:dyDescent="0.25">
      <c r="A35" s="30">
        <v>5</v>
      </c>
      <c r="B35" s="161" t="s">
        <v>315</v>
      </c>
      <c r="C35" s="453" t="s">
        <v>93</v>
      </c>
      <c r="D35" s="454"/>
      <c r="E35" s="141">
        <v>0</v>
      </c>
      <c r="F35" s="141">
        <v>0</v>
      </c>
      <c r="G35" s="141">
        <v>0</v>
      </c>
      <c r="H35" s="204">
        <f>I21*18/200*0.35</f>
        <v>1.406907495</v>
      </c>
      <c r="I35" s="141">
        <f>H35</f>
        <v>1.406907495</v>
      </c>
    </row>
    <row r="36" spans="1:19" ht="14.4" customHeight="1" x14ac:dyDescent="0.25">
      <c r="A36" s="30">
        <v>6</v>
      </c>
      <c r="B36" s="339" t="s">
        <v>99</v>
      </c>
      <c r="C36" s="441" t="s">
        <v>201</v>
      </c>
      <c r="D36" s="442"/>
      <c r="E36" s="141"/>
      <c r="F36" s="141"/>
      <c r="G36" s="141"/>
      <c r="H36" s="142">
        <f>3.476*0</f>
        <v>0</v>
      </c>
      <c r="I36" s="141">
        <f>H36</f>
        <v>0</v>
      </c>
      <c r="J36" s="87"/>
    </row>
    <row r="37" spans="1:19" ht="15" customHeight="1" x14ac:dyDescent="0.25">
      <c r="A37" s="332"/>
      <c r="B37" s="332"/>
      <c r="C37" s="73" t="s">
        <v>50</v>
      </c>
      <c r="D37" s="330"/>
      <c r="E37" s="141">
        <v>0</v>
      </c>
      <c r="F37" s="141">
        <v>0</v>
      </c>
      <c r="G37" s="141">
        <v>0</v>
      </c>
      <c r="H37" s="142">
        <f>H35+H36</f>
        <v>1.406907495</v>
      </c>
      <c r="I37" s="141">
        <f>I35+I36</f>
        <v>1.406907495</v>
      </c>
    </row>
    <row r="38" spans="1:19" ht="13.2" customHeight="1" x14ac:dyDescent="0.25">
      <c r="A38" s="332"/>
      <c r="B38" s="332"/>
      <c r="C38" s="73" t="s">
        <v>51</v>
      </c>
      <c r="D38" s="330"/>
      <c r="E38" s="141">
        <f>E30</f>
        <v>2.3466300000000002</v>
      </c>
      <c r="F38" s="141">
        <f>F30</f>
        <v>0.55810000000000004</v>
      </c>
      <c r="G38" s="141">
        <f>G30</f>
        <v>41.588000000000001</v>
      </c>
      <c r="H38" s="142">
        <f>H30+H37+H32</f>
        <v>1.577907495</v>
      </c>
      <c r="I38" s="141">
        <f>I30+I37+I33</f>
        <v>46.070637495</v>
      </c>
    </row>
    <row r="39" spans="1:19" ht="13.2" customHeight="1" x14ac:dyDescent="0.25">
      <c r="A39" s="413" t="s">
        <v>22</v>
      </c>
      <c r="B39" s="414"/>
      <c r="C39" s="414"/>
      <c r="D39" s="414"/>
      <c r="E39" s="414"/>
      <c r="F39" s="414"/>
      <c r="G39" s="414"/>
      <c r="H39" s="414"/>
      <c r="I39" s="415"/>
      <c r="J39" s="87">
        <f>H39-H36-H22</f>
        <v>-0.17100000000000001</v>
      </c>
    </row>
    <row r="40" spans="1:19" ht="13.2" customHeight="1" x14ac:dyDescent="0.25">
      <c r="A40" s="30">
        <v>7</v>
      </c>
      <c r="B40" s="31" t="s">
        <v>37</v>
      </c>
      <c r="C40" s="77" t="s">
        <v>79</v>
      </c>
      <c r="D40" s="78"/>
      <c r="E40" s="141">
        <f>E38*0.03*0</f>
        <v>0</v>
      </c>
      <c r="F40" s="141">
        <f>F38*0.03*0</f>
        <v>0</v>
      </c>
      <c r="G40" s="141">
        <f>ROUND(G30*0.03,3)*0</f>
        <v>0</v>
      </c>
      <c r="H40" s="141">
        <f>H38*3%*0</f>
        <v>0</v>
      </c>
      <c r="I40" s="141">
        <f>E40+F40+G40+H40</f>
        <v>0</v>
      </c>
    </row>
    <row r="41" spans="1:19" ht="19.2" customHeight="1" x14ac:dyDescent="0.25">
      <c r="A41" s="26"/>
      <c r="B41" s="36"/>
      <c r="C41" s="73"/>
      <c r="D41" s="74"/>
      <c r="E41" s="32"/>
      <c r="F41" s="32"/>
      <c r="G41" s="32"/>
      <c r="H41" s="32"/>
      <c r="I41" s="32"/>
    </row>
    <row r="42" spans="1:19" ht="13.2" customHeight="1" x14ac:dyDescent="0.25">
      <c r="A42" s="26"/>
      <c r="B42" s="36"/>
      <c r="C42" s="73" t="s">
        <v>23</v>
      </c>
      <c r="D42" s="74"/>
      <c r="E42" s="141">
        <f>E38+E40</f>
        <v>2.3466300000000002</v>
      </c>
      <c r="F42" s="141">
        <f>F38+F40</f>
        <v>0.55810000000000004</v>
      </c>
      <c r="G42" s="141">
        <f>G38+G40</f>
        <v>41.588000000000001</v>
      </c>
      <c r="H42" s="141">
        <f>H38+H40</f>
        <v>1.577907495</v>
      </c>
      <c r="I42" s="141">
        <f>I38+I40</f>
        <v>46.070637495</v>
      </c>
    </row>
    <row r="43" spans="1:19" x14ac:dyDescent="0.25">
      <c r="A43" s="26"/>
      <c r="B43" s="27"/>
      <c r="C43" s="441"/>
      <c r="D43" s="442"/>
      <c r="E43" s="35"/>
      <c r="F43" s="35"/>
      <c r="G43" s="35"/>
      <c r="H43" s="35"/>
      <c r="I43" s="35"/>
    </row>
    <row r="44" spans="1:19" ht="13.2" customHeight="1" x14ac:dyDescent="0.25">
      <c r="A44" s="450" t="s">
        <v>352</v>
      </c>
      <c r="B44" s="451"/>
      <c r="C44" s="451"/>
      <c r="D44" s="451"/>
      <c r="E44" s="451"/>
      <c r="F44" s="451"/>
      <c r="G44" s="451"/>
      <c r="H44" s="451"/>
      <c r="I44" s="452"/>
      <c r="M44" s="52"/>
      <c r="N44" s="154"/>
      <c r="O44" s="52"/>
      <c r="P44" s="52"/>
      <c r="Q44" s="52"/>
      <c r="R44" s="52"/>
      <c r="S44" s="52"/>
    </row>
    <row r="45" spans="1:19" ht="13.2" customHeight="1" x14ac:dyDescent="0.25">
      <c r="A45" s="26">
        <v>8</v>
      </c>
      <c r="B45" s="109"/>
      <c r="C45" s="73" t="s">
        <v>314</v>
      </c>
      <c r="D45" s="74"/>
      <c r="E45" s="158">
        <f>ROUND(E42*6.17,3)</f>
        <v>14.478999999999999</v>
      </c>
      <c r="F45" s="158">
        <f>ROUND(F42*6.17,3)</f>
        <v>3.4430000000000001</v>
      </c>
      <c r="G45" s="159"/>
      <c r="H45" s="159"/>
      <c r="I45" s="158">
        <f>E45+F45+G49+H48+H47+H46</f>
        <v>203.3663773804</v>
      </c>
      <c r="M45" s="52"/>
      <c r="N45" s="52"/>
      <c r="O45" s="52"/>
      <c r="P45" s="154"/>
      <c r="Q45" s="154"/>
      <c r="R45" s="154"/>
      <c r="S45" s="52"/>
    </row>
    <row r="46" spans="1:19" x14ac:dyDescent="0.25">
      <c r="A46" s="26"/>
      <c r="B46" s="109"/>
      <c r="C46" s="75" t="s">
        <v>198</v>
      </c>
      <c r="D46" s="76"/>
      <c r="E46" s="160"/>
      <c r="F46" s="160"/>
      <c r="G46" s="160"/>
      <c r="H46" s="148">
        <f>H22*11.3</f>
        <v>1.9323000000000004</v>
      </c>
      <c r="I46" s="160"/>
      <c r="K46" s="87"/>
      <c r="L46" s="152"/>
      <c r="M46" s="155"/>
      <c r="N46" s="154"/>
      <c r="O46" s="154"/>
      <c r="P46" s="154"/>
      <c r="Q46" s="154"/>
      <c r="R46" s="154"/>
      <c r="S46" s="156"/>
    </row>
    <row r="47" spans="1:19" x14ac:dyDescent="0.25">
      <c r="A47" s="26"/>
      <c r="B47" s="109"/>
      <c r="C47" s="443" t="s">
        <v>353</v>
      </c>
      <c r="D47" s="444"/>
      <c r="E47" s="138"/>
      <c r="F47" s="138"/>
      <c r="G47" s="138"/>
      <c r="H47" s="148">
        <f>H35*3.92</f>
        <v>5.5150773804000002</v>
      </c>
      <c r="I47" s="138"/>
      <c r="K47" s="87"/>
      <c r="M47" s="52"/>
      <c r="N47" s="52"/>
      <c r="O47" s="52"/>
      <c r="P47" s="154"/>
      <c r="Q47" s="154"/>
      <c r="R47" s="154"/>
      <c r="S47" s="52"/>
    </row>
    <row r="48" spans="1:19" x14ac:dyDescent="0.25">
      <c r="A48" s="26"/>
      <c r="B48" s="136"/>
      <c r="C48" s="75" t="s">
        <v>354</v>
      </c>
      <c r="D48" s="76"/>
      <c r="E48" s="138"/>
      <c r="F48" s="138"/>
      <c r="G48" s="138"/>
      <c r="H48" s="148">
        <f>(H32+H28)*8.36*1.03</f>
        <v>0</v>
      </c>
      <c r="I48" s="138"/>
      <c r="K48" s="87"/>
      <c r="L48" s="152"/>
      <c r="M48" s="155"/>
      <c r="N48" s="154"/>
      <c r="O48" s="154"/>
      <c r="P48" s="154"/>
      <c r="Q48" s="154"/>
      <c r="R48" s="154"/>
      <c r="S48" s="156"/>
    </row>
    <row r="49" spans="1:19" x14ac:dyDescent="0.25">
      <c r="A49" s="26"/>
      <c r="B49" s="137"/>
      <c r="C49" s="5"/>
      <c r="D49" s="5"/>
      <c r="E49" s="141"/>
      <c r="F49" s="141"/>
      <c r="G49" s="353">
        <f>ROUND(G42*4.28,3)</f>
        <v>177.99700000000001</v>
      </c>
      <c r="H49" s="140">
        <f>H46+H47+H48</f>
        <v>7.4473773804000007</v>
      </c>
      <c r="I49" s="141"/>
      <c r="J49" s="25"/>
      <c r="K49" s="25"/>
      <c r="M49" s="52"/>
      <c r="N49" s="52"/>
      <c r="O49" s="52"/>
      <c r="P49" s="154"/>
      <c r="Q49" s="154"/>
      <c r="R49" s="154"/>
      <c r="S49" s="52"/>
    </row>
    <row r="50" spans="1:19" ht="13.2" customHeight="1" x14ac:dyDescent="0.25">
      <c r="A50" s="26"/>
      <c r="B50" s="137"/>
      <c r="C50" s="79" t="s">
        <v>355</v>
      </c>
      <c r="D50" s="80"/>
      <c r="E50" s="144"/>
      <c r="F50" s="144"/>
      <c r="G50" s="144"/>
      <c r="H50" s="144"/>
      <c r="I50" s="144"/>
      <c r="K50" s="95"/>
      <c r="L50" s="153"/>
      <c r="M50" s="154"/>
      <c r="N50" s="154"/>
      <c r="O50" s="154"/>
      <c r="P50" s="154"/>
      <c r="Q50" s="154"/>
      <c r="R50" s="154"/>
      <c r="S50" s="156"/>
    </row>
    <row r="51" spans="1:19" ht="13.2" hidden="1" customHeight="1" x14ac:dyDescent="0.25">
      <c r="A51" s="26"/>
      <c r="B51" s="43"/>
      <c r="C51" s="73"/>
      <c r="D51" s="80"/>
      <c r="E51" s="144"/>
      <c r="F51" s="144"/>
      <c r="G51" s="144"/>
      <c r="H51" s="144"/>
      <c r="I51" s="144"/>
      <c r="M51" s="52"/>
      <c r="N51" s="52"/>
      <c r="O51" s="52"/>
      <c r="P51" s="52"/>
      <c r="Q51" s="52"/>
      <c r="R51" s="52"/>
      <c r="S51" s="52"/>
    </row>
    <row r="52" spans="1:19" x14ac:dyDescent="0.25">
      <c r="A52" s="26">
        <v>9</v>
      </c>
      <c r="B52" s="31"/>
      <c r="C52" s="79" t="s">
        <v>39</v>
      </c>
      <c r="D52" s="80"/>
      <c r="E52" s="144">
        <f>E45*0.18</f>
        <v>2.60622</v>
      </c>
      <c r="F52" s="144">
        <f>F45*0.18</f>
        <v>0.61973999999999996</v>
      </c>
      <c r="G52" s="144">
        <f>G49*0.18</f>
        <v>32.039459999999998</v>
      </c>
      <c r="H52" s="144">
        <f>H49*0.18</f>
        <v>1.340527928472</v>
      </c>
      <c r="I52" s="144">
        <f>I45*0.18</f>
        <v>36.605947928471998</v>
      </c>
      <c r="M52" s="52"/>
      <c r="N52" s="52"/>
      <c r="O52" s="52"/>
      <c r="P52" s="52"/>
      <c r="Q52" s="52"/>
      <c r="R52" s="52"/>
      <c r="S52" s="52"/>
    </row>
    <row r="53" spans="1:19" x14ac:dyDescent="0.25">
      <c r="A53" s="26"/>
      <c r="B53" s="27"/>
      <c r="C53" s="81" t="s">
        <v>27</v>
      </c>
      <c r="D53" s="82"/>
      <c r="E53" s="145">
        <f>E45+E52</f>
        <v>17.08522</v>
      </c>
      <c r="F53" s="145">
        <f>F45+F52</f>
        <v>4.0627399999999998</v>
      </c>
      <c r="G53" s="145">
        <f>G49+G52</f>
        <v>210.03646000000001</v>
      </c>
      <c r="H53" s="145">
        <f>H49+H52</f>
        <v>8.7879053088720003</v>
      </c>
      <c r="I53" s="145">
        <f>I45+I52</f>
        <v>239.972325308872</v>
      </c>
      <c r="M53" s="52"/>
      <c r="N53" s="52"/>
      <c r="O53" s="52"/>
      <c r="P53" s="52"/>
      <c r="Q53" s="52"/>
      <c r="R53" s="52"/>
      <c r="S53" s="52"/>
    </row>
    <row r="54" spans="1:19" x14ac:dyDescent="0.25">
      <c r="A54" s="46"/>
      <c r="B54" s="47"/>
      <c r="C54" s="48"/>
      <c r="D54" s="48"/>
      <c r="E54" s="49"/>
      <c r="F54" s="49"/>
      <c r="G54" s="49"/>
      <c r="H54" s="49"/>
      <c r="I54" s="50"/>
      <c r="J54" s="87"/>
    </row>
    <row r="55" spans="1:19" x14ac:dyDescent="0.25">
      <c r="A55" s="46"/>
      <c r="B55" s="47"/>
      <c r="C55" s="48"/>
      <c r="D55" s="48"/>
      <c r="E55" s="49"/>
      <c r="F55" s="147"/>
      <c r="G55" s="49"/>
      <c r="H55" s="147"/>
      <c r="I55" s="50"/>
    </row>
    <row r="56" spans="1:19" x14ac:dyDescent="0.25">
      <c r="A56" s="46"/>
      <c r="C56" s="47"/>
      <c r="D56" s="47"/>
      <c r="E56" s="51"/>
      <c r="F56" s="146"/>
      <c r="G56" s="20"/>
      <c r="H56" s="20"/>
      <c r="I56" s="20"/>
    </row>
    <row r="57" spans="1:19" x14ac:dyDescent="0.25">
      <c r="A57" s="46"/>
      <c r="B57" s="47"/>
      <c r="C57" s="51"/>
      <c r="D57" s="51"/>
      <c r="E57" s="20"/>
      <c r="F57" s="20"/>
      <c r="G57" s="20"/>
      <c r="H57" s="20"/>
      <c r="I57" s="20"/>
    </row>
    <row r="58" spans="1:19" x14ac:dyDescent="0.25">
      <c r="A58" s="331"/>
      <c r="C58" s="170" t="s">
        <v>139</v>
      </c>
      <c r="D58" s="170" t="s">
        <v>140</v>
      </c>
      <c r="E58" s="20"/>
      <c r="F58" s="20"/>
      <c r="G58" s="20"/>
      <c r="H58" s="20"/>
      <c r="I58" s="20"/>
    </row>
    <row r="59" spans="1:19" ht="13.8" x14ac:dyDescent="0.25">
      <c r="A59" s="98"/>
      <c r="B59" s="115"/>
      <c r="C59" s="436"/>
      <c r="D59" s="437"/>
      <c r="E59" s="437"/>
      <c r="F59" s="437"/>
      <c r="G59" s="437"/>
      <c r="H59" s="437"/>
      <c r="I59" s="437"/>
    </row>
    <row r="60" spans="1:19" ht="13.8" x14ac:dyDescent="0.25">
      <c r="A60" s="98"/>
      <c r="B60" s="115"/>
      <c r="C60" s="436"/>
      <c r="D60" s="116"/>
      <c r="E60" s="116"/>
      <c r="F60" s="338"/>
      <c r="G60" s="116"/>
      <c r="H60" s="116"/>
      <c r="I60" s="437"/>
      <c r="J60" s="52"/>
      <c r="K60" s="52"/>
      <c r="L60" s="52"/>
    </row>
    <row r="61" spans="1:19" ht="21" customHeight="1" x14ac:dyDescent="0.25">
      <c r="A61" s="98"/>
      <c r="B61" s="115"/>
      <c r="C61" s="436"/>
      <c r="D61" s="437"/>
      <c r="E61" s="437"/>
      <c r="F61" s="437"/>
      <c r="G61" s="437"/>
      <c r="H61" s="437"/>
      <c r="I61" s="437"/>
      <c r="J61" s="52"/>
      <c r="K61" s="52"/>
      <c r="L61" s="52"/>
      <c r="M61" s="52"/>
    </row>
    <row r="62" spans="1:19" ht="24.75" customHeight="1" x14ac:dyDescent="0.25">
      <c r="A62" s="98"/>
      <c r="B62" s="115"/>
      <c r="C62" s="436"/>
      <c r="D62" s="116"/>
      <c r="E62" s="116"/>
      <c r="F62" s="168"/>
      <c r="G62" s="116"/>
      <c r="H62" s="116"/>
      <c r="I62" s="437"/>
      <c r="J62" s="52"/>
      <c r="K62" s="52"/>
      <c r="L62" s="52"/>
      <c r="M62" s="52"/>
    </row>
    <row r="63" spans="1:19" x14ac:dyDescent="0.25">
      <c r="A63" s="98"/>
      <c r="B63" s="115"/>
      <c r="C63" s="170"/>
      <c r="D63" s="170"/>
      <c r="E63" s="118"/>
      <c r="F63" s="118"/>
      <c r="G63" s="118"/>
      <c r="H63" s="118"/>
      <c r="I63" s="118"/>
      <c r="J63" s="52"/>
      <c r="K63" s="52"/>
      <c r="L63" s="52"/>
      <c r="M63" s="52"/>
    </row>
    <row r="64" spans="1:19" x14ac:dyDescent="0.25">
      <c r="A64" s="98"/>
      <c r="B64" s="115"/>
      <c r="C64" s="119"/>
      <c r="D64" s="120"/>
      <c r="E64" s="121"/>
      <c r="F64" s="121"/>
      <c r="G64" s="122"/>
      <c r="H64" s="122"/>
      <c r="I64" s="121"/>
      <c r="J64" s="52"/>
      <c r="K64" s="52"/>
      <c r="L64" s="52"/>
      <c r="M64" s="52"/>
    </row>
    <row r="65" spans="3:12" x14ac:dyDescent="0.25">
      <c r="C65" s="51"/>
      <c r="D65" s="127"/>
      <c r="E65" s="127"/>
      <c r="F65" s="127"/>
      <c r="G65" s="127"/>
      <c r="H65" s="127"/>
      <c r="I65" s="127"/>
      <c r="J65" s="52"/>
      <c r="K65" s="52"/>
      <c r="L65" s="52"/>
    </row>
    <row r="66" spans="3:12" x14ac:dyDescent="0.25">
      <c r="C66" s="46"/>
      <c r="D66" s="46"/>
      <c r="E66" s="46"/>
      <c r="F66" s="46"/>
      <c r="G66" s="46"/>
      <c r="H66" s="46"/>
      <c r="I66" s="20"/>
      <c r="J66" s="52"/>
      <c r="K66" s="52"/>
      <c r="L66" s="52"/>
    </row>
    <row r="67" spans="3:12" x14ac:dyDescent="0.25">
      <c r="C67" s="51"/>
      <c r="D67" s="124"/>
      <c r="E67" s="20"/>
      <c r="F67" s="125"/>
      <c r="G67" s="20"/>
      <c r="H67" s="20"/>
      <c r="I67" s="20"/>
      <c r="J67" s="52"/>
      <c r="K67" s="52"/>
      <c r="L67" s="52"/>
    </row>
    <row r="68" spans="3:12" x14ac:dyDescent="0.25">
      <c r="C68" s="51"/>
      <c r="D68" s="51"/>
      <c r="E68" s="20"/>
      <c r="F68" s="20"/>
      <c r="G68" s="20"/>
      <c r="H68" s="20"/>
      <c r="I68" s="126"/>
      <c r="J68" s="52"/>
      <c r="K68" s="52"/>
      <c r="L68" s="52"/>
    </row>
    <row r="69" spans="3:12" x14ac:dyDescent="0.25">
      <c r="C69" s="51"/>
      <c r="D69" s="51"/>
      <c r="E69" s="20"/>
      <c r="F69" s="20"/>
      <c r="G69" s="20"/>
      <c r="H69" s="20"/>
      <c r="I69" s="20"/>
      <c r="J69" s="52"/>
      <c r="K69" s="52"/>
      <c r="L69" s="52"/>
    </row>
    <row r="70" spans="3:12" x14ac:dyDescent="0.25">
      <c r="C70" s="435"/>
      <c r="D70" s="435"/>
      <c r="E70" s="435"/>
      <c r="F70" s="435"/>
      <c r="G70" s="435"/>
      <c r="H70" s="435"/>
      <c r="I70" s="435"/>
      <c r="J70" s="52"/>
      <c r="K70" s="52"/>
      <c r="L70" s="52"/>
    </row>
    <row r="71" spans="3:12" x14ac:dyDescent="0.25">
      <c r="C71" s="46"/>
      <c r="D71" s="128"/>
      <c r="E71" s="128"/>
      <c r="F71" s="99"/>
      <c r="G71" s="128"/>
      <c r="H71" s="128"/>
      <c r="I71" s="128"/>
      <c r="J71" s="52"/>
      <c r="K71" s="52"/>
      <c r="L71" s="52"/>
    </row>
    <row r="72" spans="3:12" x14ac:dyDescent="0.25">
      <c r="C72" s="127"/>
      <c r="D72" s="128"/>
      <c r="E72" s="99"/>
      <c r="F72" s="99"/>
      <c r="G72" s="99"/>
      <c r="H72" s="99"/>
      <c r="I72" s="99"/>
      <c r="J72" s="52"/>
      <c r="K72" s="52"/>
      <c r="L72" s="52"/>
    </row>
    <row r="73" spans="3:12" x14ac:dyDescent="0.25">
      <c r="C73" s="115"/>
      <c r="D73" s="129"/>
      <c r="E73" s="130"/>
      <c r="F73" s="99"/>
      <c r="G73" s="131"/>
      <c r="H73" s="99"/>
      <c r="I73" s="99"/>
      <c r="J73" s="52"/>
      <c r="K73" s="52"/>
      <c r="L73" s="52"/>
    </row>
    <row r="74" spans="3:12" x14ac:dyDescent="0.25">
      <c r="C74" s="115"/>
      <c r="D74" s="132"/>
      <c r="E74" s="133"/>
      <c r="F74" s="133"/>
      <c r="G74" s="132"/>
      <c r="H74" s="134"/>
      <c r="I74" s="135"/>
      <c r="J74" s="52"/>
      <c r="K74" s="52"/>
      <c r="L74" s="52"/>
    </row>
    <row r="75" spans="3:12" x14ac:dyDescent="0.25">
      <c r="C75" s="51"/>
      <c r="D75" s="51"/>
      <c r="E75" s="125"/>
      <c r="F75" s="20"/>
      <c r="G75" s="20"/>
      <c r="H75" s="20"/>
      <c r="I75" s="20"/>
      <c r="J75" s="52"/>
      <c r="K75" s="52"/>
      <c r="L75" s="52"/>
    </row>
    <row r="76" spans="3:12" x14ac:dyDescent="0.25">
      <c r="C76" s="51"/>
      <c r="D76" s="51"/>
      <c r="E76" s="125"/>
      <c r="F76" s="125"/>
      <c r="G76" s="125"/>
      <c r="H76" s="125"/>
      <c r="I76" s="20"/>
      <c r="J76" s="52"/>
      <c r="K76" s="52"/>
      <c r="L76" s="52"/>
    </row>
    <row r="77" spans="3:12" x14ac:dyDescent="0.25">
      <c r="C77" s="51"/>
      <c r="D77" s="51"/>
      <c r="E77" s="20"/>
      <c r="F77" s="126"/>
      <c r="G77" s="125"/>
      <c r="H77" s="125"/>
      <c r="I77" s="125"/>
      <c r="J77" s="52"/>
      <c r="K77" s="52"/>
      <c r="L77" s="52"/>
    </row>
    <row r="78" spans="3:12" x14ac:dyDescent="0.25">
      <c r="C78" s="51"/>
      <c r="D78" s="51"/>
      <c r="E78" s="20"/>
      <c r="F78" s="20"/>
      <c r="G78" s="20"/>
      <c r="H78" s="20"/>
      <c r="I78" s="20"/>
      <c r="J78" s="52"/>
      <c r="K78" s="52"/>
      <c r="L78" s="52"/>
    </row>
    <row r="79" spans="3:12" x14ac:dyDescent="0.25">
      <c r="C79" s="100"/>
      <c r="D79" s="100"/>
      <c r="E79" s="101"/>
    </row>
    <row r="81" spans="19:19" x14ac:dyDescent="0.25">
      <c r="S81" s="87">
        <f>+S50</f>
        <v>0</v>
      </c>
    </row>
  </sheetData>
  <mergeCells count="38">
    <mergeCell ref="C24:D24"/>
    <mergeCell ref="C43:D43"/>
    <mergeCell ref="A44:I44"/>
    <mergeCell ref="C70:I70"/>
    <mergeCell ref="C61:C62"/>
    <mergeCell ref="D61:H61"/>
    <mergeCell ref="I61:I62"/>
    <mergeCell ref="C47:D47"/>
    <mergeCell ref="C59:C60"/>
    <mergeCell ref="D59:H59"/>
    <mergeCell ref="I59:I60"/>
    <mergeCell ref="C36:D36"/>
    <mergeCell ref="C33:D33"/>
    <mergeCell ref="A34:I34"/>
    <mergeCell ref="C35:D35"/>
    <mergeCell ref="A39:I39"/>
    <mergeCell ref="C12:H12"/>
    <mergeCell ref="G4:I4"/>
    <mergeCell ref="F5:I5"/>
    <mergeCell ref="F7:I7"/>
    <mergeCell ref="A10:I10"/>
    <mergeCell ref="A11:I11"/>
    <mergeCell ref="E15:H15"/>
    <mergeCell ref="I15:I18"/>
    <mergeCell ref="A31:I31"/>
    <mergeCell ref="C32:D32"/>
    <mergeCell ref="M23:Q23"/>
    <mergeCell ref="G16:G18"/>
    <mergeCell ref="H16:H18"/>
    <mergeCell ref="A20:I20"/>
    <mergeCell ref="A23:I23"/>
    <mergeCell ref="A15:A18"/>
    <mergeCell ref="B15:B18"/>
    <mergeCell ref="C15:D18"/>
    <mergeCell ref="E16:E18"/>
    <mergeCell ref="F16:F18"/>
    <mergeCell ref="C21:D21"/>
    <mergeCell ref="A26:I26"/>
  </mergeCells>
  <pageMargins left="0.19685039370078741" right="0" top="0.19685039370078741" bottom="0.19685039370078741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A43" workbookViewId="0">
      <selection activeCell="C17" sqref="C17:C19"/>
    </sheetView>
  </sheetViews>
  <sheetFormatPr defaultRowHeight="13.2" x14ac:dyDescent="0.25"/>
  <cols>
    <col min="1" max="1" width="3.21875" customWidth="1"/>
    <col min="2" max="2" width="14.88671875" customWidth="1"/>
    <col min="3" max="3" width="40.21875" customWidth="1"/>
    <col min="4" max="4" width="8.6640625" customWidth="1"/>
    <col min="5" max="5" width="7.109375" customWidth="1"/>
  </cols>
  <sheetData>
    <row r="1" spans="1:17" s="218" customFormat="1" ht="14.4" x14ac:dyDescent="0.3">
      <c r="A1" s="301"/>
      <c r="B1" s="298"/>
      <c r="C1" s="297"/>
      <c r="D1" s="302"/>
      <c r="E1" s="311"/>
      <c r="F1" s="312"/>
      <c r="G1" s="312"/>
      <c r="H1" s="312"/>
      <c r="I1" s="311"/>
      <c r="J1" s="312"/>
      <c r="K1" s="312"/>
      <c r="L1" s="312"/>
      <c r="M1" s="312"/>
      <c r="N1" s="304"/>
      <c r="O1" s="290"/>
      <c r="P1" s="290"/>
      <c r="Q1" s="290"/>
    </row>
    <row r="2" spans="1:17" s="218" customFormat="1" ht="14.4" x14ac:dyDescent="0.3">
      <c r="A2" s="347"/>
      <c r="B2" s="348"/>
      <c r="C2" s="352"/>
      <c r="D2" s="342"/>
      <c r="E2" s="311"/>
      <c r="F2" s="312"/>
      <c r="G2" s="312"/>
      <c r="H2" s="349"/>
      <c r="I2" s="311"/>
      <c r="J2" s="349"/>
      <c r="K2" s="349"/>
      <c r="L2" s="349"/>
      <c r="M2" s="349"/>
      <c r="N2" s="304"/>
      <c r="O2" s="290"/>
      <c r="P2" s="290"/>
      <c r="Q2" s="290"/>
    </row>
    <row r="3" spans="1:17" s="218" customFormat="1" ht="14.4" x14ac:dyDescent="0.3">
      <c r="A3" s="347"/>
      <c r="B3" s="348"/>
      <c r="C3" s="352"/>
      <c r="D3" s="313" t="s">
        <v>313</v>
      </c>
      <c r="E3" s="350"/>
      <c r="F3" s="349"/>
      <c r="G3" s="349"/>
      <c r="H3" s="349"/>
      <c r="I3" s="349"/>
      <c r="J3" s="349"/>
      <c r="K3" s="349"/>
      <c r="L3" s="349"/>
      <c r="M3" s="349"/>
      <c r="N3" s="304"/>
      <c r="O3" s="290"/>
      <c r="P3" s="290"/>
      <c r="Q3" s="290"/>
    </row>
    <row r="4" spans="1:17" s="218" customFormat="1" ht="14.4" x14ac:dyDescent="0.3">
      <c r="A4" s="347"/>
      <c r="B4" s="348"/>
      <c r="C4" s="352"/>
      <c r="D4" s="313" t="s">
        <v>205</v>
      </c>
      <c r="E4" s="350"/>
      <c r="F4" s="349"/>
      <c r="G4" s="349"/>
      <c r="H4" s="349"/>
      <c r="I4" s="313"/>
      <c r="J4" s="349"/>
      <c r="K4" s="349"/>
      <c r="L4" s="349"/>
      <c r="M4" s="349"/>
      <c r="N4" s="304"/>
      <c r="O4" s="290"/>
      <c r="P4" s="290"/>
      <c r="Q4" s="290"/>
    </row>
    <row r="5" spans="1:17" s="218" customFormat="1" ht="14.4" x14ac:dyDescent="0.3">
      <c r="A5" s="347"/>
      <c r="B5" s="348"/>
      <c r="C5" s="307"/>
      <c r="D5" s="342"/>
      <c r="E5" s="308"/>
      <c r="F5" s="314"/>
      <c r="G5" s="314"/>
      <c r="H5" s="349"/>
      <c r="I5" s="342"/>
      <c r="J5" s="349"/>
      <c r="K5" s="349"/>
      <c r="L5" s="349"/>
      <c r="M5" s="349"/>
      <c r="N5" s="304"/>
      <c r="O5" s="290"/>
      <c r="P5" s="290"/>
      <c r="Q5" s="290"/>
    </row>
    <row r="6" spans="1:17" s="218" customFormat="1" ht="14.4" x14ac:dyDescent="0.3">
      <c r="A6" s="347"/>
      <c r="B6" s="314"/>
      <c r="C6" s="466" t="s">
        <v>357</v>
      </c>
      <c r="D6" s="466"/>
      <c r="E6" s="466"/>
      <c r="F6" s="466"/>
      <c r="G6" s="466"/>
      <c r="H6" s="466"/>
      <c r="I6" s="466"/>
      <c r="J6" s="466"/>
      <c r="K6" s="349"/>
      <c r="L6" s="349"/>
      <c r="M6" s="349"/>
      <c r="N6" s="304"/>
      <c r="O6" s="290"/>
      <c r="P6" s="290"/>
      <c r="Q6" s="290"/>
    </row>
    <row r="7" spans="1:17" s="218" customFormat="1" ht="14.4" x14ac:dyDescent="0.3">
      <c r="A7" s="347"/>
      <c r="B7" s="348"/>
      <c r="C7" s="467" t="s">
        <v>358</v>
      </c>
      <c r="D7" s="467"/>
      <c r="E7" s="467"/>
      <c r="F7" s="467"/>
      <c r="G7" s="467"/>
      <c r="H7" s="467"/>
      <c r="I7" s="312"/>
      <c r="J7" s="312"/>
      <c r="K7" s="349"/>
      <c r="L7" s="349"/>
      <c r="M7" s="349"/>
      <c r="N7" s="304"/>
      <c r="O7" s="290"/>
      <c r="P7" s="290"/>
      <c r="Q7" s="290"/>
    </row>
    <row r="8" spans="1:17" s="218" customFormat="1" ht="14.4" x14ac:dyDescent="0.3">
      <c r="A8" s="309"/>
      <c r="B8" s="310"/>
      <c r="C8" s="352"/>
      <c r="D8" s="342"/>
      <c r="E8" s="322"/>
      <c r="F8" s="349"/>
      <c r="G8" s="349"/>
      <c r="H8" s="349"/>
      <c r="I8" s="349"/>
      <c r="J8" s="349"/>
      <c r="K8" s="349"/>
      <c r="L8" s="349"/>
      <c r="M8" s="349"/>
      <c r="N8" s="304"/>
      <c r="O8" s="290"/>
      <c r="P8" s="290"/>
      <c r="Q8" s="290"/>
    </row>
    <row r="9" spans="1:17" s="218" customFormat="1" x14ac:dyDescent="0.25">
      <c r="A9" s="347"/>
      <c r="B9" s="348"/>
      <c r="C9" s="343" t="s">
        <v>207</v>
      </c>
      <c r="D9" s="342"/>
      <c r="E9" s="342"/>
      <c r="F9" s="349"/>
      <c r="G9" s="349"/>
      <c r="H9" s="349"/>
      <c r="I9" s="343"/>
      <c r="J9" s="343"/>
      <c r="K9" s="349"/>
      <c r="L9" s="349"/>
      <c r="M9" s="349"/>
      <c r="N9" s="306"/>
      <c r="O9" s="290"/>
      <c r="P9" s="290"/>
      <c r="Q9" s="290"/>
    </row>
    <row r="10" spans="1:17" s="218" customFormat="1" ht="14.4" x14ac:dyDescent="0.3">
      <c r="A10" s="347"/>
      <c r="B10" s="348"/>
      <c r="C10" s="404" t="s">
        <v>106</v>
      </c>
      <c r="D10" s="401"/>
      <c r="E10" s="455" t="s">
        <v>411</v>
      </c>
      <c r="F10" s="456"/>
      <c r="G10" s="402" t="s">
        <v>107</v>
      </c>
      <c r="H10" s="349"/>
      <c r="I10" s="343"/>
      <c r="J10" s="343"/>
      <c r="K10" s="349"/>
      <c r="L10" s="349"/>
      <c r="M10" s="349"/>
      <c r="N10" s="304"/>
      <c r="O10" s="290"/>
      <c r="P10" s="290"/>
      <c r="Q10" s="290"/>
    </row>
    <row r="11" spans="1:17" s="218" customFormat="1" ht="14.4" x14ac:dyDescent="0.3">
      <c r="A11" s="347"/>
      <c r="B11" s="348"/>
      <c r="C11" s="404" t="s">
        <v>108</v>
      </c>
      <c r="D11" s="401"/>
      <c r="E11" s="455" t="s">
        <v>412</v>
      </c>
      <c r="F11" s="456"/>
      <c r="G11" s="402" t="s">
        <v>107</v>
      </c>
      <c r="H11" s="349"/>
      <c r="I11" s="343"/>
      <c r="J11" s="343"/>
      <c r="K11" s="349"/>
      <c r="L11" s="349"/>
      <c r="M11" s="349"/>
      <c r="N11" s="304"/>
      <c r="O11" s="290"/>
      <c r="P11" s="290"/>
      <c r="Q11" s="290"/>
    </row>
    <row r="12" spans="1:17" s="218" customFormat="1" ht="13.8" x14ac:dyDescent="0.25">
      <c r="A12" s="347"/>
      <c r="B12" s="348"/>
      <c r="C12" s="404" t="s">
        <v>109</v>
      </c>
      <c r="D12" s="401"/>
      <c r="E12" s="455" t="s">
        <v>359</v>
      </c>
      <c r="F12" s="456"/>
      <c r="G12" s="402" t="s">
        <v>107</v>
      </c>
      <c r="H12" s="349"/>
      <c r="I12" s="343"/>
      <c r="J12" s="343"/>
      <c r="K12" s="349"/>
      <c r="L12" s="349"/>
      <c r="M12" s="349"/>
      <c r="N12" s="305"/>
      <c r="O12" s="290"/>
      <c r="P12" s="290"/>
      <c r="Q12" s="290"/>
    </row>
    <row r="13" spans="1:17" s="218" customFormat="1" ht="13.2" customHeight="1" x14ac:dyDescent="0.25">
      <c r="A13" s="347"/>
      <c r="B13" s="348"/>
      <c r="C13" s="404" t="s">
        <v>110</v>
      </c>
      <c r="D13" s="401"/>
      <c r="E13" s="455" t="s">
        <v>413</v>
      </c>
      <c r="F13" s="456"/>
      <c r="G13" s="402" t="s">
        <v>107</v>
      </c>
      <c r="H13" s="349"/>
      <c r="I13" s="343"/>
      <c r="J13" s="343"/>
      <c r="K13" s="349"/>
      <c r="L13" s="349"/>
      <c r="M13" s="349"/>
      <c r="N13" s="221"/>
      <c r="O13" s="221"/>
      <c r="P13" s="221"/>
      <c r="Q13" s="221"/>
    </row>
    <row r="14" spans="1:17" s="218" customFormat="1" ht="13.2" customHeight="1" x14ac:dyDescent="0.25">
      <c r="A14" s="347"/>
      <c r="B14" s="348"/>
      <c r="C14" s="404" t="s">
        <v>176</v>
      </c>
      <c r="D14" s="401"/>
      <c r="E14" s="455" t="s">
        <v>414</v>
      </c>
      <c r="F14" s="456"/>
      <c r="G14" s="402" t="s">
        <v>107</v>
      </c>
      <c r="H14" s="349"/>
      <c r="I14" s="343"/>
      <c r="J14" s="343"/>
      <c r="K14" s="349"/>
      <c r="L14" s="349"/>
      <c r="M14" s="349"/>
      <c r="N14" s="221"/>
      <c r="O14" s="221"/>
      <c r="P14" s="221"/>
      <c r="Q14" s="221"/>
    </row>
    <row r="15" spans="1:17" s="218" customFormat="1" x14ac:dyDescent="0.25">
      <c r="A15" s="347"/>
      <c r="B15" s="348"/>
      <c r="C15" s="404" t="s">
        <v>111</v>
      </c>
      <c r="D15" s="403"/>
      <c r="E15" s="455" t="s">
        <v>415</v>
      </c>
      <c r="F15" s="456"/>
      <c r="G15" s="402" t="s">
        <v>107</v>
      </c>
      <c r="H15" s="349"/>
      <c r="I15" s="343"/>
      <c r="J15" s="343"/>
      <c r="K15" s="349"/>
      <c r="L15" s="349"/>
      <c r="M15" s="349"/>
      <c r="N15" s="221"/>
      <c r="O15" s="221"/>
      <c r="P15" s="221"/>
      <c r="Q15" s="221"/>
    </row>
    <row r="16" spans="1:17" s="218" customFormat="1" x14ac:dyDescent="0.25">
      <c r="A16" s="347"/>
      <c r="B16" s="348"/>
      <c r="C16" s="404" t="s">
        <v>112</v>
      </c>
      <c r="D16" s="403"/>
      <c r="E16" s="455" t="s">
        <v>416</v>
      </c>
      <c r="F16" s="456"/>
      <c r="G16" s="402" t="s">
        <v>113</v>
      </c>
      <c r="H16" s="349"/>
      <c r="I16" s="349"/>
      <c r="J16" s="349"/>
      <c r="K16" s="349"/>
      <c r="L16" s="349"/>
      <c r="M16" s="349"/>
      <c r="N16" s="219"/>
      <c r="O16" s="219"/>
      <c r="P16" s="219"/>
      <c r="Q16" s="219"/>
    </row>
    <row r="17" spans="1:17" s="218" customFormat="1" ht="18" customHeight="1" x14ac:dyDescent="0.25">
      <c r="A17" s="462" t="s">
        <v>2</v>
      </c>
      <c r="B17" s="462" t="s">
        <v>210</v>
      </c>
      <c r="C17" s="460" t="s">
        <v>115</v>
      </c>
      <c r="D17" s="460" t="s">
        <v>116</v>
      </c>
      <c r="E17" s="460" t="s">
        <v>117</v>
      </c>
      <c r="F17" s="460" t="s">
        <v>118</v>
      </c>
      <c r="G17" s="461"/>
      <c r="H17" s="461"/>
      <c r="I17" s="461"/>
      <c r="J17" s="460" t="s">
        <v>119</v>
      </c>
      <c r="K17" s="461"/>
      <c r="L17" s="461"/>
      <c r="M17" s="461"/>
      <c r="N17" s="290"/>
      <c r="O17" s="290"/>
      <c r="P17" s="290"/>
      <c r="Q17" s="290"/>
    </row>
    <row r="18" spans="1:17" s="218" customFormat="1" ht="15" customHeight="1" x14ac:dyDescent="0.25">
      <c r="A18" s="463"/>
      <c r="B18" s="463"/>
      <c r="C18" s="460"/>
      <c r="D18" s="460"/>
      <c r="E18" s="460"/>
      <c r="F18" s="460" t="s">
        <v>120</v>
      </c>
      <c r="G18" s="460" t="s">
        <v>121</v>
      </c>
      <c r="H18" s="461"/>
      <c r="I18" s="461"/>
      <c r="J18" s="460" t="s">
        <v>120</v>
      </c>
      <c r="K18" s="460" t="s">
        <v>121</v>
      </c>
      <c r="L18" s="461"/>
      <c r="M18" s="461"/>
      <c r="N18" s="290"/>
      <c r="O18" s="290"/>
      <c r="P18" s="290"/>
      <c r="Q18" s="290"/>
    </row>
    <row r="19" spans="1:17" s="218" customFormat="1" ht="13.2" customHeight="1" x14ac:dyDescent="0.25">
      <c r="A19" s="463"/>
      <c r="B19" s="463"/>
      <c r="C19" s="460"/>
      <c r="D19" s="460"/>
      <c r="E19" s="460"/>
      <c r="F19" s="461"/>
      <c r="G19" s="389" t="s">
        <v>122</v>
      </c>
      <c r="H19" s="389" t="s">
        <v>211</v>
      </c>
      <c r="I19" s="389" t="s">
        <v>123</v>
      </c>
      <c r="J19" s="461"/>
      <c r="K19" s="389" t="s">
        <v>122</v>
      </c>
      <c r="L19" s="389" t="s">
        <v>211</v>
      </c>
      <c r="M19" s="389" t="s">
        <v>123</v>
      </c>
      <c r="N19" s="250"/>
      <c r="O19" s="250"/>
      <c r="P19" s="250"/>
      <c r="Q19" s="250"/>
    </row>
    <row r="20" spans="1:17" s="218" customFormat="1" ht="15" customHeight="1" x14ac:dyDescent="0.25">
      <c r="A20" s="392">
        <v>1</v>
      </c>
      <c r="B20" s="391">
        <v>2</v>
      </c>
      <c r="C20" s="389">
        <v>3</v>
      </c>
      <c r="D20" s="389">
        <v>4</v>
      </c>
      <c r="E20" s="393">
        <v>5</v>
      </c>
      <c r="F20" s="390">
        <v>6</v>
      </c>
      <c r="G20" s="390">
        <v>7</v>
      </c>
      <c r="H20" s="390">
        <v>8</v>
      </c>
      <c r="I20" s="390">
        <v>9</v>
      </c>
      <c r="J20" s="390">
        <v>10</v>
      </c>
      <c r="K20" s="390">
        <v>11</v>
      </c>
      <c r="L20" s="390">
        <v>12</v>
      </c>
      <c r="M20" s="390">
        <v>13</v>
      </c>
      <c r="N20" s="290"/>
      <c r="O20" s="290"/>
      <c r="P20" s="290"/>
      <c r="Q20" s="290"/>
    </row>
    <row r="21" spans="1:17" s="218" customFormat="1" ht="11.4" customHeight="1" x14ac:dyDescent="0.25">
      <c r="A21" s="457" t="s">
        <v>360</v>
      </c>
      <c r="B21" s="458"/>
      <c r="C21" s="458"/>
      <c r="D21" s="458"/>
      <c r="E21" s="458"/>
      <c r="F21" s="458"/>
      <c r="G21" s="458"/>
      <c r="H21" s="458"/>
      <c r="I21" s="458"/>
      <c r="J21" s="458"/>
      <c r="K21" s="458"/>
      <c r="L21" s="458"/>
      <c r="M21" s="458"/>
      <c r="N21" s="250"/>
      <c r="O21" s="250"/>
      <c r="P21" s="250"/>
      <c r="Q21" s="250"/>
    </row>
    <row r="22" spans="1:17" s="218" customFormat="1" ht="14.4" customHeight="1" x14ac:dyDescent="0.25">
      <c r="A22" s="392">
        <v>1</v>
      </c>
      <c r="B22" s="394" t="s">
        <v>361</v>
      </c>
      <c r="C22" s="395" t="s">
        <v>403</v>
      </c>
      <c r="D22" s="393" t="s">
        <v>316</v>
      </c>
      <c r="E22" s="396">
        <v>1</v>
      </c>
      <c r="F22" s="397">
        <v>969.08</v>
      </c>
      <c r="G22" s="397">
        <v>595.05999999999995</v>
      </c>
      <c r="H22" s="397">
        <v>374.02</v>
      </c>
      <c r="I22" s="397">
        <v>44.97</v>
      </c>
      <c r="J22" s="398">
        <v>969.08</v>
      </c>
      <c r="K22" s="398">
        <v>595.05999999999995</v>
      </c>
      <c r="L22" s="398">
        <v>374.02</v>
      </c>
      <c r="M22" s="398">
        <v>44.97</v>
      </c>
      <c r="N22" s="290"/>
      <c r="O22" s="290"/>
      <c r="P22" s="290"/>
      <c r="Q22" s="290"/>
    </row>
    <row r="23" spans="1:17" s="218" customFormat="1" ht="15" customHeight="1" x14ac:dyDescent="0.25">
      <c r="A23" s="392">
        <v>2</v>
      </c>
      <c r="B23" s="394" t="s">
        <v>320</v>
      </c>
      <c r="C23" s="395" t="s">
        <v>321</v>
      </c>
      <c r="D23" s="393" t="s">
        <v>322</v>
      </c>
      <c r="E23" s="393">
        <v>0.03</v>
      </c>
      <c r="F23" s="397">
        <v>1211.98</v>
      </c>
      <c r="G23" s="397">
        <v>1211.98</v>
      </c>
      <c r="H23" s="398"/>
      <c r="I23" s="398"/>
      <c r="J23" s="398">
        <v>36.36</v>
      </c>
      <c r="K23" s="398">
        <v>36.36</v>
      </c>
      <c r="L23" s="398"/>
      <c r="M23" s="398"/>
      <c r="N23" s="290"/>
      <c r="O23" s="290"/>
      <c r="P23" s="290"/>
      <c r="Q23" s="290"/>
    </row>
    <row r="24" spans="1:17" s="218" customFormat="1" ht="14.4" customHeight="1" x14ac:dyDescent="0.25">
      <c r="A24" s="392">
        <v>3</v>
      </c>
      <c r="B24" s="394" t="s">
        <v>156</v>
      </c>
      <c r="C24" s="395" t="s">
        <v>157</v>
      </c>
      <c r="D24" s="393" t="s">
        <v>158</v>
      </c>
      <c r="E24" s="396">
        <v>2</v>
      </c>
      <c r="F24" s="397">
        <v>120.91</v>
      </c>
      <c r="G24" s="397">
        <v>6.91</v>
      </c>
      <c r="H24" s="397">
        <v>113.69</v>
      </c>
      <c r="I24" s="397">
        <v>6.19</v>
      </c>
      <c r="J24" s="398">
        <v>241.82</v>
      </c>
      <c r="K24" s="398">
        <v>13.82</v>
      </c>
      <c r="L24" s="398">
        <v>227.38</v>
      </c>
      <c r="M24" s="398">
        <v>12.38</v>
      </c>
      <c r="N24" s="250"/>
      <c r="O24" s="250"/>
      <c r="P24" s="250"/>
      <c r="Q24" s="250"/>
    </row>
    <row r="25" spans="1:17" s="218" customFormat="1" ht="15.6" customHeight="1" x14ac:dyDescent="0.25">
      <c r="A25" s="392">
        <v>4</v>
      </c>
      <c r="B25" s="394" t="s">
        <v>362</v>
      </c>
      <c r="C25" s="395" t="s">
        <v>363</v>
      </c>
      <c r="D25" s="393" t="s">
        <v>364</v>
      </c>
      <c r="E25" s="396">
        <v>2</v>
      </c>
      <c r="F25" s="397">
        <v>32.04</v>
      </c>
      <c r="G25" s="397">
        <v>15.35</v>
      </c>
      <c r="H25" s="397">
        <v>15.44</v>
      </c>
      <c r="I25" s="398"/>
      <c r="J25" s="398">
        <v>64.08</v>
      </c>
      <c r="K25" s="398">
        <v>30.7</v>
      </c>
      <c r="L25" s="398">
        <v>30.88</v>
      </c>
      <c r="M25" s="398"/>
      <c r="N25" s="290"/>
      <c r="O25" s="290"/>
      <c r="P25" s="290"/>
      <c r="Q25" s="290"/>
    </row>
    <row r="26" spans="1:17" s="218" customFormat="1" ht="25.2" customHeight="1" x14ac:dyDescent="0.25">
      <c r="A26" s="392">
        <v>5</v>
      </c>
      <c r="B26" s="394" t="s">
        <v>365</v>
      </c>
      <c r="C26" s="395" t="s">
        <v>366</v>
      </c>
      <c r="D26" s="393" t="s">
        <v>322</v>
      </c>
      <c r="E26" s="396">
        <v>0.03</v>
      </c>
      <c r="F26" s="397">
        <v>669.06</v>
      </c>
      <c r="G26" s="397">
        <v>669.06</v>
      </c>
      <c r="H26" s="398"/>
      <c r="I26" s="398"/>
      <c r="J26" s="398">
        <v>20.07</v>
      </c>
      <c r="K26" s="398">
        <v>20.07</v>
      </c>
      <c r="L26" s="398"/>
      <c r="M26" s="398"/>
      <c r="N26" s="290"/>
      <c r="O26" s="290"/>
      <c r="P26" s="290"/>
      <c r="Q26" s="290"/>
    </row>
    <row r="27" spans="1:17" s="218" customFormat="1" ht="13.2" customHeight="1" x14ac:dyDescent="0.25">
      <c r="A27" s="392">
        <v>6</v>
      </c>
      <c r="B27" s="394" t="s">
        <v>370</v>
      </c>
      <c r="C27" s="395" t="s">
        <v>371</v>
      </c>
      <c r="D27" s="393" t="s">
        <v>324</v>
      </c>
      <c r="E27" s="396">
        <v>0.2</v>
      </c>
      <c r="F27" s="397">
        <v>1285.1199999999999</v>
      </c>
      <c r="G27" s="397">
        <v>201.92</v>
      </c>
      <c r="H27" s="397">
        <v>67.7</v>
      </c>
      <c r="I27" s="397">
        <v>2.4700000000000002</v>
      </c>
      <c r="J27" s="398">
        <v>257.02</v>
      </c>
      <c r="K27" s="398">
        <v>40.380000000000003</v>
      </c>
      <c r="L27" s="398">
        <v>13.54</v>
      </c>
      <c r="M27" s="398">
        <v>0.49</v>
      </c>
      <c r="N27" s="290"/>
      <c r="O27" s="290"/>
      <c r="P27" s="290"/>
      <c r="Q27" s="290"/>
    </row>
    <row r="28" spans="1:17" s="218" customFormat="1" ht="14.4" customHeight="1" x14ac:dyDescent="0.25">
      <c r="A28" s="392">
        <v>7</v>
      </c>
      <c r="B28" s="394" t="s">
        <v>337</v>
      </c>
      <c r="C28" s="395" t="s">
        <v>372</v>
      </c>
      <c r="D28" s="393" t="s">
        <v>324</v>
      </c>
      <c r="E28" s="396">
        <v>0.16</v>
      </c>
      <c r="F28" s="397">
        <v>1300.17</v>
      </c>
      <c r="G28" s="397">
        <v>180.12</v>
      </c>
      <c r="H28" s="397">
        <v>67.7</v>
      </c>
      <c r="I28" s="397">
        <v>2.4700000000000002</v>
      </c>
      <c r="J28" s="398">
        <v>208.03</v>
      </c>
      <c r="K28" s="398">
        <v>28.82</v>
      </c>
      <c r="L28" s="398">
        <v>10.83</v>
      </c>
      <c r="M28" s="398">
        <v>0.4</v>
      </c>
      <c r="N28" s="290"/>
      <c r="O28" s="290"/>
      <c r="P28" s="290"/>
      <c r="Q28" s="290"/>
    </row>
    <row r="29" spans="1:17" s="218" customFormat="1" ht="12.6" customHeight="1" x14ac:dyDescent="0.25">
      <c r="A29" s="459" t="s">
        <v>225</v>
      </c>
      <c r="B29" s="458"/>
      <c r="C29" s="458"/>
      <c r="D29" s="458"/>
      <c r="E29" s="458"/>
      <c r="F29" s="458"/>
      <c r="G29" s="458"/>
      <c r="H29" s="458"/>
      <c r="I29" s="458"/>
      <c r="J29" s="397">
        <v>1796.46</v>
      </c>
      <c r="K29" s="397">
        <v>765.21</v>
      </c>
      <c r="L29" s="397">
        <v>656.65</v>
      </c>
      <c r="M29" s="397">
        <v>58.24</v>
      </c>
      <c r="N29" s="290"/>
      <c r="O29" s="290"/>
      <c r="P29" s="290"/>
      <c r="Q29" s="290"/>
    </row>
    <row r="30" spans="1:17" s="218" customFormat="1" ht="15" customHeight="1" x14ac:dyDescent="0.25">
      <c r="A30" s="459" t="s">
        <v>130</v>
      </c>
      <c r="B30" s="458"/>
      <c r="C30" s="458"/>
      <c r="D30" s="458"/>
      <c r="E30" s="458"/>
      <c r="F30" s="458"/>
      <c r="G30" s="458"/>
      <c r="H30" s="458"/>
      <c r="I30" s="458"/>
      <c r="J30" s="397">
        <v>716.98</v>
      </c>
      <c r="K30" s="398"/>
      <c r="L30" s="398"/>
      <c r="M30" s="398"/>
      <c r="N30" s="290"/>
      <c r="O30" s="290"/>
      <c r="P30" s="290"/>
      <c r="Q30" s="290"/>
    </row>
    <row r="31" spans="1:17" s="218" customFormat="1" ht="14.4" customHeight="1" x14ac:dyDescent="0.25">
      <c r="A31" s="459" t="s">
        <v>131</v>
      </c>
      <c r="B31" s="458"/>
      <c r="C31" s="458"/>
      <c r="D31" s="458"/>
      <c r="E31" s="458"/>
      <c r="F31" s="458"/>
      <c r="G31" s="458"/>
      <c r="H31" s="458"/>
      <c r="I31" s="458"/>
      <c r="J31" s="397">
        <v>391.29</v>
      </c>
      <c r="K31" s="398"/>
      <c r="L31" s="398"/>
      <c r="M31" s="398"/>
      <c r="N31" s="290"/>
      <c r="O31" s="290"/>
      <c r="P31" s="290"/>
      <c r="Q31" s="290"/>
    </row>
    <row r="32" spans="1:17" s="218" customFormat="1" ht="13.8" customHeight="1" x14ac:dyDescent="0.25">
      <c r="A32" s="457" t="s">
        <v>373</v>
      </c>
      <c r="B32" s="458"/>
      <c r="C32" s="458"/>
      <c r="D32" s="458"/>
      <c r="E32" s="458"/>
      <c r="F32" s="458"/>
      <c r="G32" s="458"/>
      <c r="H32" s="458"/>
      <c r="I32" s="458"/>
      <c r="J32" s="398"/>
      <c r="K32" s="398"/>
      <c r="L32" s="398"/>
      <c r="M32" s="398"/>
      <c r="N32" s="290"/>
      <c r="O32" s="290"/>
      <c r="P32" s="290"/>
      <c r="Q32" s="290"/>
    </row>
    <row r="33" spans="1:17" s="218" customFormat="1" ht="10.8" customHeight="1" x14ac:dyDescent="0.25">
      <c r="A33" s="459" t="s">
        <v>133</v>
      </c>
      <c r="B33" s="458"/>
      <c r="C33" s="458"/>
      <c r="D33" s="458"/>
      <c r="E33" s="458"/>
      <c r="F33" s="458"/>
      <c r="G33" s="458"/>
      <c r="H33" s="458"/>
      <c r="I33" s="458"/>
      <c r="J33" s="397">
        <v>2346.63</v>
      </c>
      <c r="K33" s="398"/>
      <c r="L33" s="398"/>
      <c r="M33" s="398"/>
      <c r="N33" s="290"/>
      <c r="O33" s="290"/>
      <c r="P33" s="290"/>
      <c r="Q33" s="290"/>
    </row>
    <row r="34" spans="1:17" s="218" customFormat="1" ht="12" customHeight="1" x14ac:dyDescent="0.25">
      <c r="A34" s="459" t="s">
        <v>134</v>
      </c>
      <c r="B34" s="458"/>
      <c r="C34" s="458"/>
      <c r="D34" s="458"/>
      <c r="E34" s="458"/>
      <c r="F34" s="458"/>
      <c r="G34" s="458"/>
      <c r="H34" s="458"/>
      <c r="I34" s="458"/>
      <c r="J34" s="397">
        <v>558.1</v>
      </c>
      <c r="K34" s="398"/>
      <c r="L34" s="398"/>
      <c r="M34" s="398"/>
      <c r="N34" s="290"/>
      <c r="O34" s="290"/>
      <c r="P34" s="290"/>
      <c r="Q34" s="290"/>
    </row>
    <row r="35" spans="1:17" s="218" customFormat="1" ht="12.6" customHeight="1" x14ac:dyDescent="0.25">
      <c r="A35" s="459" t="s">
        <v>136</v>
      </c>
      <c r="B35" s="458"/>
      <c r="C35" s="458"/>
      <c r="D35" s="458"/>
      <c r="E35" s="458"/>
      <c r="F35" s="458"/>
      <c r="G35" s="458"/>
      <c r="H35" s="458"/>
      <c r="I35" s="458"/>
      <c r="J35" s="397">
        <v>2904.73</v>
      </c>
      <c r="K35" s="398"/>
      <c r="L35" s="398"/>
      <c r="M35" s="398"/>
      <c r="N35" s="290"/>
      <c r="O35" s="290"/>
      <c r="P35" s="290"/>
      <c r="Q35" s="290"/>
    </row>
    <row r="36" spans="1:17" s="218" customFormat="1" ht="13.2" customHeight="1" x14ac:dyDescent="0.25">
      <c r="A36" s="457" t="s">
        <v>374</v>
      </c>
      <c r="B36" s="458"/>
      <c r="C36" s="458"/>
      <c r="D36" s="458"/>
      <c r="E36" s="458"/>
      <c r="F36" s="458"/>
      <c r="G36" s="458"/>
      <c r="H36" s="458"/>
      <c r="I36" s="458"/>
      <c r="J36" s="399">
        <v>2904.73</v>
      </c>
      <c r="K36" s="398"/>
      <c r="L36" s="398"/>
      <c r="M36" s="398"/>
      <c r="N36" s="290"/>
      <c r="O36" s="290"/>
      <c r="P36" s="290"/>
      <c r="Q36" s="290"/>
    </row>
    <row r="37" spans="1:17" s="218" customFormat="1" ht="12.6" customHeight="1" x14ac:dyDescent="0.25">
      <c r="A37" s="457" t="s">
        <v>375</v>
      </c>
      <c r="B37" s="458"/>
      <c r="C37" s="458"/>
      <c r="D37" s="458"/>
      <c r="E37" s="458"/>
      <c r="F37" s="458"/>
      <c r="G37" s="458"/>
      <c r="H37" s="458"/>
      <c r="I37" s="458"/>
      <c r="J37" s="458"/>
      <c r="K37" s="458"/>
      <c r="L37" s="458"/>
      <c r="M37" s="458"/>
      <c r="N37" s="290"/>
      <c r="O37" s="290"/>
      <c r="P37" s="290"/>
      <c r="Q37" s="290"/>
    </row>
    <row r="38" spans="1:17" s="218" customFormat="1" ht="12" customHeight="1" x14ac:dyDescent="0.25">
      <c r="A38" s="459" t="s">
        <v>376</v>
      </c>
      <c r="B38" s="458"/>
      <c r="C38" s="458"/>
      <c r="D38" s="458"/>
      <c r="E38" s="458"/>
      <c r="F38" s="458"/>
      <c r="G38" s="458"/>
      <c r="H38" s="458"/>
      <c r="I38" s="458"/>
      <c r="J38" s="398"/>
      <c r="K38" s="398"/>
      <c r="L38" s="398"/>
      <c r="M38" s="398"/>
      <c r="N38" s="290"/>
      <c r="O38" s="290"/>
      <c r="P38" s="290"/>
      <c r="Q38" s="290"/>
    </row>
    <row r="39" spans="1:17" s="218" customFormat="1" ht="13.2" customHeight="1" x14ac:dyDescent="0.25">
      <c r="A39" s="457" t="s">
        <v>404</v>
      </c>
      <c r="B39" s="458"/>
      <c r="C39" s="458"/>
      <c r="D39" s="458"/>
      <c r="E39" s="458"/>
      <c r="F39" s="458"/>
      <c r="G39" s="458"/>
      <c r="H39" s="458"/>
      <c r="I39" s="458"/>
      <c r="J39" s="398"/>
      <c r="K39" s="398"/>
      <c r="L39" s="398"/>
      <c r="M39" s="398"/>
      <c r="N39" s="290"/>
      <c r="O39" s="290"/>
      <c r="P39" s="290"/>
      <c r="Q39" s="290"/>
    </row>
    <row r="40" spans="1:17" s="218" customFormat="1" ht="13.2" customHeight="1" x14ac:dyDescent="0.25">
      <c r="A40" s="459" t="s">
        <v>136</v>
      </c>
      <c r="B40" s="458"/>
      <c r="C40" s="458"/>
      <c r="D40" s="458"/>
      <c r="E40" s="458"/>
      <c r="F40" s="458"/>
      <c r="G40" s="458"/>
      <c r="H40" s="458"/>
      <c r="I40" s="458"/>
      <c r="J40" s="398"/>
      <c r="K40" s="398"/>
      <c r="L40" s="398"/>
      <c r="M40" s="398"/>
      <c r="N40" s="290"/>
      <c r="O40" s="290"/>
      <c r="P40" s="290"/>
      <c r="Q40" s="290"/>
    </row>
    <row r="41" spans="1:17" s="218" customFormat="1" ht="15" customHeight="1" x14ac:dyDescent="0.25">
      <c r="A41" s="457" t="s">
        <v>405</v>
      </c>
      <c r="B41" s="458"/>
      <c r="C41" s="458"/>
      <c r="D41" s="458"/>
      <c r="E41" s="458"/>
      <c r="F41" s="458"/>
      <c r="G41" s="458"/>
      <c r="H41" s="458"/>
      <c r="I41" s="458"/>
      <c r="J41" s="398"/>
      <c r="K41" s="398"/>
      <c r="L41" s="398"/>
      <c r="M41" s="398"/>
      <c r="N41" s="290"/>
      <c r="O41" s="290"/>
      <c r="P41" s="290"/>
      <c r="Q41" s="290"/>
    </row>
    <row r="42" spans="1:17" s="218" customFormat="1" ht="10.8" customHeight="1" x14ac:dyDescent="0.25">
      <c r="A42" s="457" t="s">
        <v>377</v>
      </c>
      <c r="B42" s="458"/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290"/>
      <c r="O42" s="290"/>
      <c r="P42" s="290"/>
      <c r="Q42" s="290"/>
    </row>
    <row r="43" spans="1:17" s="218" customFormat="1" ht="13.2" customHeight="1" x14ac:dyDescent="0.25">
      <c r="A43" s="400" t="s">
        <v>399</v>
      </c>
      <c r="B43" s="394" t="s">
        <v>367</v>
      </c>
      <c r="C43" s="395" t="s">
        <v>406</v>
      </c>
      <c r="D43" s="393" t="s">
        <v>127</v>
      </c>
      <c r="E43" s="396">
        <v>1</v>
      </c>
      <c r="F43" s="397" t="s">
        <v>407</v>
      </c>
      <c r="G43" s="398"/>
      <c r="H43" s="398"/>
      <c r="I43" s="398"/>
      <c r="J43" s="398">
        <v>37817.800000000003</v>
      </c>
      <c r="K43" s="398"/>
      <c r="L43" s="398"/>
      <c r="M43" s="398"/>
      <c r="N43" s="290"/>
      <c r="O43" s="290"/>
      <c r="P43" s="290"/>
      <c r="Q43" s="290"/>
    </row>
    <row r="44" spans="1:17" s="218" customFormat="1" ht="12.6" customHeight="1" x14ac:dyDescent="0.25">
      <c r="A44" s="459" t="s">
        <v>225</v>
      </c>
      <c r="B44" s="458"/>
      <c r="C44" s="458"/>
      <c r="D44" s="458"/>
      <c r="E44" s="458"/>
      <c r="F44" s="458"/>
      <c r="G44" s="458"/>
      <c r="H44" s="458"/>
      <c r="I44" s="458"/>
      <c r="J44" s="397">
        <v>37817.800000000003</v>
      </c>
      <c r="K44" s="398"/>
      <c r="L44" s="398"/>
      <c r="M44" s="398"/>
      <c r="N44" s="290"/>
      <c r="O44" s="183"/>
      <c r="P44" s="290"/>
      <c r="Q44" s="183"/>
    </row>
    <row r="45" spans="1:17" s="218" customFormat="1" ht="13.2" customHeight="1" x14ac:dyDescent="0.25">
      <c r="A45" s="459" t="s">
        <v>325</v>
      </c>
      <c r="B45" s="458"/>
      <c r="C45" s="458"/>
      <c r="D45" s="458"/>
      <c r="E45" s="458"/>
      <c r="F45" s="458"/>
      <c r="G45" s="458"/>
      <c r="H45" s="458"/>
      <c r="I45" s="458"/>
      <c r="J45" s="397">
        <v>41588.199999999997</v>
      </c>
      <c r="K45" s="398"/>
      <c r="L45" s="398"/>
      <c r="M45" s="398"/>
      <c r="N45" s="290"/>
      <c r="O45" s="290"/>
      <c r="P45" s="290"/>
      <c r="Q45" s="290"/>
    </row>
    <row r="46" spans="1:17" s="218" customFormat="1" ht="15.6" customHeight="1" x14ac:dyDescent="0.25">
      <c r="A46" s="457" t="s">
        <v>408</v>
      </c>
      <c r="B46" s="458"/>
      <c r="C46" s="458"/>
      <c r="D46" s="458"/>
      <c r="E46" s="458"/>
      <c r="F46" s="458"/>
      <c r="G46" s="458"/>
      <c r="H46" s="458"/>
      <c r="I46" s="458"/>
      <c r="J46" s="398"/>
      <c r="K46" s="398"/>
      <c r="L46" s="398"/>
      <c r="M46" s="398"/>
      <c r="N46" s="290"/>
      <c r="O46" s="290"/>
      <c r="P46" s="290"/>
      <c r="Q46" s="290"/>
    </row>
    <row r="47" spans="1:17" s="218" customFormat="1" ht="16.8" customHeight="1" x14ac:dyDescent="0.25">
      <c r="A47" s="459" t="s">
        <v>409</v>
      </c>
      <c r="B47" s="458"/>
      <c r="C47" s="458"/>
      <c r="D47" s="458"/>
      <c r="E47" s="458"/>
      <c r="F47" s="458"/>
      <c r="G47" s="458"/>
      <c r="H47" s="458"/>
      <c r="I47" s="458"/>
      <c r="J47" s="397">
        <v>41588.199999999997</v>
      </c>
      <c r="K47" s="398"/>
      <c r="L47" s="398"/>
      <c r="M47" s="398"/>
      <c r="N47" s="290"/>
      <c r="O47" s="290"/>
      <c r="P47" s="290"/>
      <c r="Q47" s="290"/>
    </row>
    <row r="48" spans="1:17" s="218" customFormat="1" ht="11.4" customHeight="1" x14ac:dyDescent="0.25">
      <c r="A48" s="459" t="s">
        <v>136</v>
      </c>
      <c r="B48" s="458"/>
      <c r="C48" s="458"/>
      <c r="D48" s="458"/>
      <c r="E48" s="458"/>
      <c r="F48" s="458"/>
      <c r="G48" s="458"/>
      <c r="H48" s="458"/>
      <c r="I48" s="458"/>
      <c r="J48" s="397">
        <v>41588.199999999997</v>
      </c>
      <c r="K48" s="398"/>
      <c r="L48" s="398"/>
      <c r="M48" s="398"/>
      <c r="N48" s="290"/>
      <c r="O48" s="290"/>
      <c r="P48" s="290"/>
      <c r="Q48" s="290"/>
    </row>
    <row r="49" spans="1:17" s="218" customFormat="1" ht="11.4" customHeight="1" x14ac:dyDescent="0.25">
      <c r="A49" s="457" t="s">
        <v>410</v>
      </c>
      <c r="B49" s="458"/>
      <c r="C49" s="458"/>
      <c r="D49" s="458"/>
      <c r="E49" s="458"/>
      <c r="F49" s="458"/>
      <c r="G49" s="458"/>
      <c r="H49" s="458"/>
      <c r="I49" s="458"/>
      <c r="J49" s="399">
        <v>41588.199999999997</v>
      </c>
      <c r="K49" s="398"/>
      <c r="L49" s="398"/>
      <c r="M49" s="398"/>
      <c r="N49" s="290"/>
      <c r="O49" s="290"/>
      <c r="P49" s="290"/>
      <c r="Q49" s="290"/>
    </row>
    <row r="50" spans="1:17" s="218" customFormat="1" ht="13.2" customHeight="1" x14ac:dyDescent="0.25">
      <c r="A50" s="457" t="s">
        <v>378</v>
      </c>
      <c r="B50" s="458"/>
      <c r="C50" s="458"/>
      <c r="D50" s="458"/>
      <c r="E50" s="458"/>
      <c r="F50" s="458"/>
      <c r="G50" s="458"/>
      <c r="H50" s="458"/>
      <c r="I50" s="458"/>
      <c r="J50" s="458"/>
      <c r="K50" s="458"/>
      <c r="L50" s="458"/>
      <c r="M50" s="458"/>
      <c r="N50" s="290"/>
      <c r="O50" s="290"/>
      <c r="P50" s="290"/>
      <c r="Q50" s="290"/>
    </row>
    <row r="51" spans="1:17" s="218" customFormat="1" ht="15" customHeight="1" x14ac:dyDescent="0.25">
      <c r="A51" s="392">
        <v>9</v>
      </c>
      <c r="B51" s="394" t="s">
        <v>327</v>
      </c>
      <c r="C51" s="395" t="s">
        <v>328</v>
      </c>
      <c r="D51" s="393" t="s">
        <v>125</v>
      </c>
      <c r="E51" s="396">
        <v>1</v>
      </c>
      <c r="F51" s="397">
        <v>91.48</v>
      </c>
      <c r="G51" s="397">
        <v>91.48</v>
      </c>
      <c r="H51" s="398"/>
      <c r="I51" s="398"/>
      <c r="J51" s="398">
        <v>91.48</v>
      </c>
      <c r="K51" s="398">
        <v>91.48</v>
      </c>
      <c r="L51" s="398"/>
      <c r="M51" s="398"/>
      <c r="N51" s="290"/>
      <c r="O51" s="290"/>
      <c r="P51" s="290"/>
      <c r="Q51" s="290"/>
    </row>
    <row r="52" spans="1:17" s="218" customFormat="1" ht="13.2" customHeight="1" x14ac:dyDescent="0.25">
      <c r="A52" s="459" t="s">
        <v>225</v>
      </c>
      <c r="B52" s="458"/>
      <c r="C52" s="458"/>
      <c r="D52" s="458"/>
      <c r="E52" s="458"/>
      <c r="F52" s="458"/>
      <c r="G52" s="458"/>
      <c r="H52" s="458"/>
      <c r="I52" s="458"/>
      <c r="J52" s="397">
        <v>91.48</v>
      </c>
      <c r="K52" s="397">
        <v>91.48</v>
      </c>
      <c r="L52" s="398"/>
      <c r="M52" s="398"/>
      <c r="N52" s="290"/>
      <c r="O52" s="290"/>
      <c r="P52" s="290"/>
      <c r="Q52" s="290"/>
    </row>
    <row r="53" spans="1:17" s="218" customFormat="1" ht="13.2" customHeight="1" x14ac:dyDescent="0.25">
      <c r="A53" s="459" t="s">
        <v>130</v>
      </c>
      <c r="B53" s="458"/>
      <c r="C53" s="458"/>
      <c r="D53" s="458"/>
      <c r="E53" s="458"/>
      <c r="F53" s="458"/>
      <c r="G53" s="458"/>
      <c r="H53" s="458"/>
      <c r="I53" s="458"/>
      <c r="J53" s="397">
        <v>50.54</v>
      </c>
      <c r="K53" s="398"/>
      <c r="L53" s="398"/>
      <c r="M53" s="398"/>
      <c r="N53" s="290"/>
      <c r="O53" s="183"/>
      <c r="P53" s="290"/>
      <c r="Q53" s="183"/>
    </row>
    <row r="54" spans="1:17" s="218" customFormat="1" ht="14.4" customHeight="1" x14ac:dyDescent="0.25">
      <c r="A54" s="459" t="s">
        <v>131</v>
      </c>
      <c r="B54" s="458"/>
      <c r="C54" s="458"/>
      <c r="D54" s="458"/>
      <c r="E54" s="458"/>
      <c r="F54" s="458"/>
      <c r="G54" s="458"/>
      <c r="H54" s="458"/>
      <c r="I54" s="458"/>
      <c r="J54" s="397">
        <v>29.27</v>
      </c>
      <c r="K54" s="398"/>
      <c r="L54" s="398"/>
      <c r="M54" s="398"/>
      <c r="N54" s="290"/>
      <c r="O54" s="290"/>
      <c r="P54" s="290"/>
      <c r="Q54" s="290"/>
    </row>
    <row r="55" spans="1:17" s="218" customFormat="1" ht="13.2" customHeight="1" x14ac:dyDescent="0.25">
      <c r="A55" s="457" t="s">
        <v>379</v>
      </c>
      <c r="B55" s="458"/>
      <c r="C55" s="458"/>
      <c r="D55" s="458"/>
      <c r="E55" s="458"/>
      <c r="F55" s="458"/>
      <c r="G55" s="458"/>
      <c r="H55" s="458"/>
      <c r="I55" s="458"/>
      <c r="J55" s="399">
        <v>171.29</v>
      </c>
      <c r="K55" s="398"/>
      <c r="L55" s="398"/>
      <c r="M55" s="398"/>
    </row>
    <row r="56" spans="1:17" ht="13.2" customHeight="1" x14ac:dyDescent="0.25">
      <c r="A56" s="464" t="s">
        <v>253</v>
      </c>
      <c r="B56" s="465"/>
      <c r="C56" s="465"/>
      <c r="D56" s="465"/>
      <c r="E56" s="465"/>
      <c r="F56" s="465"/>
      <c r="G56" s="465"/>
      <c r="H56" s="465"/>
      <c r="I56" s="465"/>
      <c r="J56" s="465"/>
      <c r="K56" s="465"/>
      <c r="L56" s="465"/>
      <c r="M56" s="465"/>
    </row>
    <row r="57" spans="1:17" ht="13.2" customHeight="1" x14ac:dyDescent="0.25">
      <c r="A57" s="459" t="s">
        <v>129</v>
      </c>
      <c r="B57" s="458"/>
      <c r="C57" s="458"/>
      <c r="D57" s="458"/>
      <c r="E57" s="458"/>
      <c r="F57" s="458"/>
      <c r="G57" s="458"/>
      <c r="H57" s="458"/>
      <c r="I57" s="458"/>
      <c r="J57" s="397">
        <v>39705.74</v>
      </c>
      <c r="K57" s="397">
        <v>856.69</v>
      </c>
      <c r="L57" s="397">
        <v>656.65</v>
      </c>
      <c r="M57" s="397">
        <v>58.24</v>
      </c>
    </row>
    <row r="58" spans="1:17" ht="13.2" customHeight="1" x14ac:dyDescent="0.25">
      <c r="A58" s="459" t="s">
        <v>326</v>
      </c>
      <c r="B58" s="458"/>
      <c r="C58" s="458"/>
      <c r="D58" s="458"/>
      <c r="E58" s="458"/>
      <c r="F58" s="458"/>
      <c r="G58" s="458"/>
      <c r="H58" s="458"/>
      <c r="I58" s="458"/>
      <c r="J58" s="397">
        <v>43476.14</v>
      </c>
      <c r="K58" s="397">
        <v>856.69</v>
      </c>
      <c r="L58" s="397">
        <v>656.65</v>
      </c>
      <c r="M58" s="397">
        <v>58.24</v>
      </c>
    </row>
    <row r="59" spans="1:17" ht="13.2" customHeight="1" x14ac:dyDescent="0.25">
      <c r="A59" s="459" t="s">
        <v>130</v>
      </c>
      <c r="B59" s="458"/>
      <c r="C59" s="458"/>
      <c r="D59" s="458"/>
      <c r="E59" s="458"/>
      <c r="F59" s="458"/>
      <c r="G59" s="458"/>
      <c r="H59" s="458"/>
      <c r="I59" s="458"/>
      <c r="J59" s="397">
        <v>767.52</v>
      </c>
      <c r="K59" s="398"/>
      <c r="L59" s="398"/>
      <c r="M59" s="398"/>
    </row>
    <row r="60" spans="1:17" ht="13.2" customHeight="1" x14ac:dyDescent="0.25">
      <c r="A60" s="459" t="s">
        <v>131</v>
      </c>
      <c r="B60" s="458"/>
      <c r="C60" s="458"/>
      <c r="D60" s="458"/>
      <c r="E60" s="458"/>
      <c r="F60" s="458"/>
      <c r="G60" s="458"/>
      <c r="H60" s="458"/>
      <c r="I60" s="458"/>
      <c r="J60" s="397">
        <v>420.56</v>
      </c>
      <c r="K60" s="398"/>
      <c r="L60" s="398"/>
      <c r="M60" s="398"/>
    </row>
    <row r="61" spans="1:17" ht="13.2" customHeight="1" x14ac:dyDescent="0.25">
      <c r="A61" s="457" t="s">
        <v>132</v>
      </c>
      <c r="B61" s="458"/>
      <c r="C61" s="458"/>
      <c r="D61" s="458"/>
      <c r="E61" s="458"/>
      <c r="F61" s="458"/>
      <c r="G61" s="458"/>
      <c r="H61" s="458"/>
      <c r="I61" s="458"/>
      <c r="J61" s="398"/>
      <c r="K61" s="398"/>
      <c r="L61" s="398"/>
      <c r="M61" s="398"/>
    </row>
    <row r="62" spans="1:17" ht="13.2" customHeight="1" x14ac:dyDescent="0.25">
      <c r="A62" s="459" t="s">
        <v>133</v>
      </c>
      <c r="B62" s="458"/>
      <c r="C62" s="458"/>
      <c r="D62" s="458"/>
      <c r="E62" s="458"/>
      <c r="F62" s="458"/>
      <c r="G62" s="458"/>
      <c r="H62" s="458"/>
      <c r="I62" s="458"/>
      <c r="J62" s="397">
        <v>2346.63</v>
      </c>
      <c r="K62" s="398"/>
      <c r="L62" s="398"/>
      <c r="M62" s="398"/>
    </row>
    <row r="63" spans="1:17" ht="13.2" customHeight="1" x14ac:dyDescent="0.25">
      <c r="A63" s="459" t="s">
        <v>134</v>
      </c>
      <c r="B63" s="458"/>
      <c r="C63" s="458"/>
      <c r="D63" s="458"/>
      <c r="E63" s="458"/>
      <c r="F63" s="458"/>
      <c r="G63" s="458"/>
      <c r="H63" s="458"/>
      <c r="I63" s="458"/>
      <c r="J63" s="397">
        <v>558.1</v>
      </c>
      <c r="K63" s="398"/>
      <c r="L63" s="398"/>
      <c r="M63" s="398"/>
    </row>
    <row r="64" spans="1:17" x14ac:dyDescent="0.25">
      <c r="A64" s="459" t="s">
        <v>183</v>
      </c>
      <c r="B64" s="458"/>
      <c r="C64" s="458"/>
      <c r="D64" s="458"/>
      <c r="E64" s="458"/>
      <c r="F64" s="458"/>
      <c r="G64" s="458"/>
      <c r="H64" s="458"/>
      <c r="I64" s="458"/>
      <c r="J64" s="397">
        <v>41588.199999999997</v>
      </c>
      <c r="K64" s="398"/>
      <c r="L64" s="398"/>
      <c r="M64" s="398"/>
    </row>
    <row r="65" spans="1:13" x14ac:dyDescent="0.25">
      <c r="A65" s="459" t="s">
        <v>135</v>
      </c>
      <c r="B65" s="458"/>
      <c r="C65" s="458"/>
      <c r="D65" s="458"/>
      <c r="E65" s="458"/>
      <c r="F65" s="458"/>
      <c r="G65" s="458"/>
      <c r="H65" s="458"/>
      <c r="I65" s="458"/>
      <c r="J65" s="397">
        <v>171.29</v>
      </c>
      <c r="K65" s="398"/>
      <c r="L65" s="398"/>
      <c r="M65" s="398"/>
    </row>
    <row r="66" spans="1:13" x14ac:dyDescent="0.25">
      <c r="A66" s="459" t="s">
        <v>136</v>
      </c>
      <c r="B66" s="458"/>
      <c r="C66" s="458"/>
      <c r="D66" s="458"/>
      <c r="E66" s="458"/>
      <c r="F66" s="458"/>
      <c r="G66" s="458"/>
      <c r="H66" s="458"/>
      <c r="I66" s="458"/>
      <c r="J66" s="397">
        <v>44664.22</v>
      </c>
      <c r="K66" s="398"/>
      <c r="L66" s="398"/>
      <c r="M66" s="398"/>
    </row>
    <row r="67" spans="1:13" x14ac:dyDescent="0.25">
      <c r="A67" s="457" t="s">
        <v>137</v>
      </c>
      <c r="B67" s="458"/>
      <c r="C67" s="458"/>
      <c r="D67" s="458"/>
      <c r="E67" s="458"/>
      <c r="F67" s="458"/>
      <c r="G67" s="458"/>
      <c r="H67" s="458"/>
      <c r="I67" s="458"/>
      <c r="J67" s="399">
        <v>44664.22</v>
      </c>
      <c r="K67" s="398"/>
      <c r="L67" s="398"/>
      <c r="M67" s="398"/>
    </row>
  </sheetData>
  <mergeCells count="58">
    <mergeCell ref="A55:I55"/>
    <mergeCell ref="C6:J6"/>
    <mergeCell ref="C7:H7"/>
    <mergeCell ref="E10:F10"/>
    <mergeCell ref="E11:F11"/>
    <mergeCell ref="A52:I52"/>
    <mergeCell ref="A53:I53"/>
    <mergeCell ref="A54:I54"/>
    <mergeCell ref="A41:I41"/>
    <mergeCell ref="A42:M42"/>
    <mergeCell ref="A44:I44"/>
    <mergeCell ref="A30:I30"/>
    <mergeCell ref="A31:I31"/>
    <mergeCell ref="A48:I48"/>
    <mergeCell ref="A49:I49"/>
    <mergeCell ref="A50:M50"/>
    <mergeCell ref="A67:I67"/>
    <mergeCell ref="A61:I61"/>
    <mergeCell ref="A62:I62"/>
    <mergeCell ref="A63:I63"/>
    <mergeCell ref="A64:I64"/>
    <mergeCell ref="A65:I65"/>
    <mergeCell ref="A66:I66"/>
    <mergeCell ref="A56:M56"/>
    <mergeCell ref="A57:I57"/>
    <mergeCell ref="A58:I58"/>
    <mergeCell ref="A59:I59"/>
    <mergeCell ref="A60:I60"/>
    <mergeCell ref="A45:I45"/>
    <mergeCell ref="A46:I46"/>
    <mergeCell ref="A47:I47"/>
    <mergeCell ref="A35:I35"/>
    <mergeCell ref="A36:I36"/>
    <mergeCell ref="A37:M37"/>
    <mergeCell ref="A38:I38"/>
    <mergeCell ref="A39:I39"/>
    <mergeCell ref="A40:I40"/>
    <mergeCell ref="A32:I32"/>
    <mergeCell ref="A33:I33"/>
    <mergeCell ref="A34:I34"/>
    <mergeCell ref="J17:M17"/>
    <mergeCell ref="F18:F19"/>
    <mergeCell ref="G18:I18"/>
    <mergeCell ref="J18:J19"/>
    <mergeCell ref="K18:M18"/>
    <mergeCell ref="A21:M21"/>
    <mergeCell ref="A17:A19"/>
    <mergeCell ref="B17:B19"/>
    <mergeCell ref="C17:C19"/>
    <mergeCell ref="D17:D19"/>
    <mergeCell ref="E17:E19"/>
    <mergeCell ref="F17:I17"/>
    <mergeCell ref="A29:I29"/>
    <mergeCell ref="E15:F15"/>
    <mergeCell ref="E16:F16"/>
    <mergeCell ref="E14:F14"/>
    <mergeCell ref="E13:F13"/>
    <mergeCell ref="E12:F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topLeftCell="A7" workbookViewId="0">
      <selection activeCell="H47" sqref="H47"/>
    </sheetView>
  </sheetViews>
  <sheetFormatPr defaultRowHeight="13.2" x14ac:dyDescent="0.25"/>
  <cols>
    <col min="1" max="1" width="5.5546875" customWidth="1"/>
    <col min="2" max="2" width="18.88671875" customWidth="1"/>
    <col min="3" max="3" width="52.77734375" customWidth="1"/>
    <col min="7" max="7" width="9.6640625" customWidth="1"/>
    <col min="9" max="9" width="10.88671875" customWidth="1"/>
    <col min="11" max="11" width="9.44140625" bestFit="1" customWidth="1"/>
    <col min="13" max="13" width="11.44140625" bestFit="1" customWidth="1"/>
  </cols>
  <sheetData>
    <row r="1" spans="1:9" x14ac:dyDescent="0.25">
      <c r="A1" s="176"/>
      <c r="B1" s="1"/>
      <c r="C1" s="2"/>
      <c r="D1" s="2"/>
      <c r="E1" s="3"/>
      <c r="F1" s="3"/>
      <c r="G1" s="3"/>
      <c r="H1" s="3"/>
      <c r="I1" s="4"/>
    </row>
    <row r="2" spans="1:9" ht="13.8" x14ac:dyDescent="0.25">
      <c r="A2" s="176"/>
      <c r="B2" s="1"/>
      <c r="C2" s="6"/>
      <c r="D2" s="6"/>
      <c r="E2" s="3"/>
      <c r="F2" s="7"/>
      <c r="G2" s="8"/>
      <c r="H2" s="7"/>
      <c r="I2" s="171"/>
    </row>
    <row r="3" spans="1:9" ht="13.8" x14ac:dyDescent="0.25">
      <c r="A3" s="176"/>
      <c r="B3" s="1"/>
      <c r="C3" s="2"/>
      <c r="D3" s="2"/>
      <c r="E3" s="3"/>
      <c r="F3" s="9"/>
      <c r="G3" s="9"/>
      <c r="H3" s="171"/>
      <c r="I3" s="171"/>
    </row>
    <row r="4" spans="1:9" ht="13.8" x14ac:dyDescent="0.25">
      <c r="A4" s="176"/>
      <c r="B4" s="10" t="s">
        <v>88</v>
      </c>
      <c r="C4" s="11"/>
      <c r="D4" s="11"/>
      <c r="E4" s="172"/>
      <c r="F4" s="171"/>
      <c r="G4" s="410"/>
      <c r="H4" s="410"/>
      <c r="I4" s="410"/>
    </row>
    <row r="5" spans="1:9" ht="13.8" x14ac:dyDescent="0.25">
      <c r="A5" s="176"/>
      <c r="B5" s="12">
        <f>I51</f>
        <v>178.65105894806482</v>
      </c>
      <c r="C5" s="2" t="s">
        <v>32</v>
      </c>
      <c r="D5" s="2"/>
      <c r="E5" s="3"/>
      <c r="F5" s="410"/>
      <c r="G5" s="410"/>
      <c r="H5" s="410"/>
      <c r="I5" s="410"/>
    </row>
    <row r="6" spans="1:9" ht="13.8" x14ac:dyDescent="0.25">
      <c r="A6" s="176"/>
      <c r="B6" s="1"/>
      <c r="C6" s="2"/>
      <c r="D6" s="2"/>
      <c r="E6" s="13"/>
      <c r="F6" s="8"/>
      <c r="G6" s="8"/>
      <c r="H6" s="7"/>
      <c r="I6" s="7"/>
    </row>
    <row r="7" spans="1:9" ht="13.8" x14ac:dyDescent="0.25">
      <c r="A7" s="176"/>
      <c r="B7" s="14"/>
      <c r="C7" s="15"/>
      <c r="D7" s="15"/>
      <c r="E7" s="3"/>
      <c r="F7" s="410"/>
      <c r="G7" s="410"/>
      <c r="H7" s="410"/>
      <c r="I7" s="410"/>
    </row>
    <row r="8" spans="1:9" x14ac:dyDescent="0.25">
      <c r="A8" s="176"/>
      <c r="B8" s="16"/>
      <c r="C8" s="17"/>
      <c r="D8" s="17"/>
      <c r="E8" s="13"/>
      <c r="F8" s="13"/>
      <c r="G8" s="13"/>
      <c r="H8" s="3"/>
      <c r="I8" s="3"/>
    </row>
    <row r="9" spans="1:9" x14ac:dyDescent="0.25">
      <c r="A9" s="176"/>
      <c r="B9" s="12"/>
      <c r="C9" s="2"/>
      <c r="D9" s="2"/>
      <c r="E9" s="13"/>
      <c r="F9" s="18"/>
      <c r="G9" s="13"/>
      <c r="H9" s="3"/>
      <c r="I9" s="3"/>
    </row>
    <row r="10" spans="1:9" x14ac:dyDescent="0.25">
      <c r="A10" s="411" t="s">
        <v>33</v>
      </c>
      <c r="B10" s="411"/>
      <c r="C10" s="411"/>
      <c r="D10" s="411"/>
      <c r="E10" s="411"/>
      <c r="F10" s="411"/>
      <c r="G10" s="411"/>
      <c r="H10" s="411"/>
      <c r="I10" s="411"/>
    </row>
    <row r="11" spans="1:9" x14ac:dyDescent="0.25">
      <c r="A11" s="448" t="s">
        <v>423</v>
      </c>
      <c r="B11" s="448"/>
      <c r="C11" s="448"/>
      <c r="D11" s="448"/>
      <c r="E11" s="448"/>
      <c r="F11" s="448"/>
      <c r="G11" s="448"/>
      <c r="H11" s="448"/>
      <c r="I11" s="448"/>
    </row>
    <row r="12" spans="1:9" ht="15.6" x14ac:dyDescent="0.3">
      <c r="A12" s="166"/>
      <c r="B12" s="166"/>
      <c r="C12" s="470"/>
      <c r="D12" s="470"/>
      <c r="E12" s="470"/>
      <c r="F12" s="470"/>
      <c r="G12" s="166"/>
      <c r="H12" s="166"/>
      <c r="I12" s="166"/>
    </row>
    <row r="13" spans="1:9" x14ac:dyDescent="0.25">
      <c r="A13" s="176"/>
      <c r="B13" s="12"/>
      <c r="C13" s="447" t="s">
        <v>1</v>
      </c>
      <c r="D13" s="447"/>
      <c r="E13" s="447"/>
      <c r="F13" s="447"/>
      <c r="G13" s="447"/>
      <c r="H13" s="447"/>
      <c r="I13" s="19"/>
    </row>
    <row r="14" spans="1:9" x14ac:dyDescent="0.25">
      <c r="A14" s="176"/>
      <c r="B14" s="1"/>
      <c r="C14" s="2"/>
      <c r="D14" s="2"/>
      <c r="E14" s="20"/>
      <c r="F14" s="20"/>
      <c r="G14" s="20"/>
      <c r="H14" s="20"/>
      <c r="I14" s="19"/>
    </row>
    <row r="15" spans="1:9" x14ac:dyDescent="0.25">
      <c r="A15" s="176"/>
      <c r="B15" s="1" t="s">
        <v>418</v>
      </c>
      <c r="C15" s="2"/>
      <c r="D15" s="2"/>
      <c r="E15" s="21"/>
      <c r="F15" s="3"/>
      <c r="G15" s="3"/>
      <c r="H15" s="3"/>
      <c r="I15" s="3"/>
    </row>
    <row r="16" spans="1:9" x14ac:dyDescent="0.25">
      <c r="A16" s="416" t="s">
        <v>2</v>
      </c>
      <c r="B16" s="417" t="s">
        <v>3</v>
      </c>
      <c r="C16" s="418" t="s">
        <v>4</v>
      </c>
      <c r="D16" s="419"/>
      <c r="E16" s="424" t="s">
        <v>86</v>
      </c>
      <c r="F16" s="424"/>
      <c r="G16" s="424"/>
      <c r="H16" s="424"/>
      <c r="I16" s="416" t="s">
        <v>6</v>
      </c>
    </row>
    <row r="17" spans="1:13" x14ac:dyDescent="0.25">
      <c r="A17" s="416"/>
      <c r="B17" s="417"/>
      <c r="C17" s="420"/>
      <c r="D17" s="421"/>
      <c r="E17" s="416" t="s">
        <v>7</v>
      </c>
      <c r="F17" s="416" t="s">
        <v>8</v>
      </c>
      <c r="G17" s="438" t="s">
        <v>9</v>
      </c>
      <c r="H17" s="438" t="s">
        <v>10</v>
      </c>
      <c r="I17" s="416"/>
      <c r="L17" s="183"/>
    </row>
    <row r="18" spans="1:13" x14ac:dyDescent="0.25">
      <c r="A18" s="416"/>
      <c r="B18" s="417"/>
      <c r="C18" s="420"/>
      <c r="D18" s="421"/>
      <c r="E18" s="416"/>
      <c r="F18" s="416"/>
      <c r="G18" s="439"/>
      <c r="H18" s="439"/>
      <c r="I18" s="416"/>
      <c r="L18" s="183"/>
    </row>
    <row r="19" spans="1:13" x14ac:dyDescent="0.25">
      <c r="A19" s="416"/>
      <c r="B19" s="417"/>
      <c r="C19" s="422"/>
      <c r="D19" s="423"/>
      <c r="E19" s="416"/>
      <c r="F19" s="416"/>
      <c r="G19" s="440"/>
      <c r="H19" s="440"/>
      <c r="I19" s="416"/>
      <c r="L19" s="183"/>
    </row>
    <row r="20" spans="1:13" x14ac:dyDescent="0.25">
      <c r="A20" s="174">
        <v>1</v>
      </c>
      <c r="B20" s="22">
        <v>2</v>
      </c>
      <c r="C20" s="71">
        <v>3</v>
      </c>
      <c r="D20" s="72"/>
      <c r="E20" s="174">
        <v>4</v>
      </c>
      <c r="F20" s="174">
        <v>5</v>
      </c>
      <c r="G20" s="174">
        <v>6</v>
      </c>
      <c r="H20" s="174">
        <v>7</v>
      </c>
      <c r="I20" s="174">
        <v>8</v>
      </c>
      <c r="K20" s="183"/>
      <c r="L20" s="183"/>
    </row>
    <row r="21" spans="1:13" x14ac:dyDescent="0.25">
      <c r="A21" s="425" t="s">
        <v>11</v>
      </c>
      <c r="B21" s="426"/>
      <c r="C21" s="426"/>
      <c r="D21" s="426"/>
      <c r="E21" s="426"/>
      <c r="F21" s="426"/>
      <c r="G21" s="426"/>
      <c r="H21" s="426"/>
      <c r="I21" s="426"/>
      <c r="K21" s="183"/>
      <c r="L21" s="183"/>
    </row>
    <row r="22" spans="1:13" ht="22.2" customHeight="1" x14ac:dyDescent="0.25">
      <c r="A22" s="23">
        <v>1</v>
      </c>
      <c r="B22" s="163" t="s">
        <v>138</v>
      </c>
      <c r="C22" s="441" t="s">
        <v>422</v>
      </c>
      <c r="D22" s="442"/>
      <c r="E22" s="138">
        <f>1.46831*2</f>
        <v>2.93662</v>
      </c>
      <c r="F22" s="138">
        <f>0.49039*2</f>
        <v>0.98077999999999999</v>
      </c>
      <c r="G22" s="345">
        <f>12.681*2</f>
        <v>25.361999999999998</v>
      </c>
      <c r="H22" s="138">
        <f>0.44625*2</f>
        <v>0.89249999999999996</v>
      </c>
      <c r="I22" s="24">
        <f>SUM(E22:H22)</f>
        <v>30.171899999999997</v>
      </c>
      <c r="K22" s="183"/>
      <c r="L22" s="183"/>
      <c r="M22" s="183"/>
    </row>
    <row r="23" spans="1:13" ht="15" customHeight="1" x14ac:dyDescent="0.25">
      <c r="A23" s="26"/>
      <c r="B23" s="27"/>
      <c r="C23" s="73" t="s">
        <v>12</v>
      </c>
      <c r="D23" s="74"/>
      <c r="E23" s="139">
        <f>SUM(E22:E22)</f>
        <v>2.93662</v>
      </c>
      <c r="F23" s="139">
        <f>SUM(F22:F22)</f>
        <v>0.98077999999999999</v>
      </c>
      <c r="G23" s="139">
        <f>SUM(G22:G22)</f>
        <v>25.361999999999998</v>
      </c>
      <c r="H23" s="139">
        <f>SUM(H22:H22)</f>
        <v>0.89249999999999996</v>
      </c>
      <c r="I23" s="138">
        <f>SUM(I22:I22)</f>
        <v>30.171899999999997</v>
      </c>
      <c r="K23" s="183"/>
      <c r="L23" s="183"/>
      <c r="M23" s="183"/>
    </row>
    <row r="24" spans="1:13" x14ac:dyDescent="0.25">
      <c r="A24" s="425" t="s">
        <v>13</v>
      </c>
      <c r="B24" s="426"/>
      <c r="C24" s="426"/>
      <c r="D24" s="426"/>
      <c r="E24" s="426"/>
      <c r="F24" s="426"/>
      <c r="G24" s="426"/>
      <c r="H24" s="426"/>
      <c r="I24" s="426"/>
      <c r="K24" s="183"/>
      <c r="M24" s="183"/>
    </row>
    <row r="25" spans="1:13" ht="13.8" customHeight="1" x14ac:dyDescent="0.25">
      <c r="A25" s="30">
        <v>2</v>
      </c>
      <c r="B25" s="162" t="s">
        <v>97</v>
      </c>
      <c r="C25" s="441" t="s">
        <v>96</v>
      </c>
      <c r="D25" s="449"/>
      <c r="E25" s="141">
        <f>E23*0.025*0</f>
        <v>0</v>
      </c>
      <c r="F25" s="141">
        <f>F23*0.025*0</f>
        <v>0</v>
      </c>
      <c r="G25" s="141">
        <v>0</v>
      </c>
      <c r="H25" s="141">
        <v>0</v>
      </c>
      <c r="I25" s="141">
        <f>E25+F25</f>
        <v>0</v>
      </c>
      <c r="M25" s="183"/>
    </row>
    <row r="26" spans="1:13" ht="14.4" customHeight="1" x14ac:dyDescent="0.25">
      <c r="A26" s="175"/>
      <c r="B26" s="162"/>
      <c r="C26" s="73" t="s">
        <v>98</v>
      </c>
      <c r="D26" s="179"/>
      <c r="E26" s="141">
        <f>E23+E25</f>
        <v>2.93662</v>
      </c>
      <c r="F26" s="141">
        <f>F25+F23</f>
        <v>0.98077999999999999</v>
      </c>
      <c r="G26" s="141">
        <f>G25+G23</f>
        <v>25.361999999999998</v>
      </c>
      <c r="H26" s="141">
        <f>H25+H23</f>
        <v>0.89249999999999996</v>
      </c>
      <c r="I26" s="141">
        <f>I25+I23</f>
        <v>30.171899999999997</v>
      </c>
      <c r="M26" s="183"/>
    </row>
    <row r="27" spans="1:13" x14ac:dyDescent="0.25">
      <c r="A27" s="427" t="s">
        <v>14</v>
      </c>
      <c r="B27" s="428"/>
      <c r="C27" s="428"/>
      <c r="D27" s="428"/>
      <c r="E27" s="428"/>
      <c r="F27" s="428"/>
      <c r="G27" s="428"/>
      <c r="H27" s="428"/>
      <c r="I27" s="428"/>
    </row>
    <row r="28" spans="1:13" ht="19.8" customHeight="1" x14ac:dyDescent="0.25">
      <c r="A28" s="30">
        <v>3</v>
      </c>
      <c r="B28" s="31" t="s">
        <v>15</v>
      </c>
      <c r="C28" s="77" t="s">
        <v>76</v>
      </c>
      <c r="D28" s="78"/>
      <c r="E28" s="141">
        <f>E26*1.9%</f>
        <v>5.5795779999999996E-2</v>
      </c>
      <c r="F28" s="141">
        <f>F26*1.9%</f>
        <v>1.863482E-2</v>
      </c>
      <c r="G28" s="141">
        <v>0</v>
      </c>
      <c r="H28" s="141">
        <v>0</v>
      </c>
      <c r="I28" s="141">
        <f>E28+F28</f>
        <v>7.44306E-2</v>
      </c>
    </row>
    <row r="29" spans="1:13" ht="18" customHeight="1" x14ac:dyDescent="0.25">
      <c r="A29" s="26"/>
      <c r="B29" s="36"/>
      <c r="C29" s="73" t="s">
        <v>18</v>
      </c>
      <c r="D29" s="74"/>
      <c r="E29" s="141">
        <f>SUM(E28:E28)</f>
        <v>5.5795779999999996E-2</v>
      </c>
      <c r="F29" s="141">
        <f>SUM(F28:F28)</f>
        <v>1.863482E-2</v>
      </c>
      <c r="G29" s="141">
        <f>SUM(G28:G28)</f>
        <v>0</v>
      </c>
      <c r="H29" s="141">
        <f>H26*0</f>
        <v>0</v>
      </c>
      <c r="I29" s="141">
        <f>SUM(E29:H29)</f>
        <v>7.44306E-2</v>
      </c>
    </row>
    <row r="30" spans="1:13" ht="17.399999999999999" customHeight="1" x14ac:dyDescent="0.25">
      <c r="A30" s="26"/>
      <c r="B30" s="36"/>
      <c r="C30" s="73" t="s">
        <v>19</v>
      </c>
      <c r="D30" s="74"/>
      <c r="E30" s="141">
        <f>E26+E29</f>
        <v>2.99241578</v>
      </c>
      <c r="F30" s="141">
        <f>F26+F29</f>
        <v>0.99941482000000004</v>
      </c>
      <c r="G30" s="141">
        <f>G26+G29</f>
        <v>25.361999999999998</v>
      </c>
      <c r="H30" s="141">
        <f>H26+H29</f>
        <v>0.89249999999999996</v>
      </c>
      <c r="I30" s="141">
        <f>I26+I29</f>
        <v>30.246330599999997</v>
      </c>
    </row>
    <row r="31" spans="1:13" x14ac:dyDescent="0.25">
      <c r="A31" s="413" t="s">
        <v>20</v>
      </c>
      <c r="B31" s="414"/>
      <c r="C31" s="414"/>
      <c r="D31" s="414"/>
      <c r="E31" s="414"/>
      <c r="F31" s="414"/>
      <c r="G31" s="414"/>
      <c r="H31" s="414"/>
      <c r="I31" s="415"/>
    </row>
    <row r="32" spans="1:13" ht="20.399999999999999" customHeight="1" x14ac:dyDescent="0.25">
      <c r="A32" s="30">
        <v>4</v>
      </c>
      <c r="B32" s="161" t="s">
        <v>100</v>
      </c>
      <c r="C32" s="445" t="s">
        <v>101</v>
      </c>
      <c r="D32" s="445"/>
      <c r="E32" s="175"/>
      <c r="F32" s="175"/>
      <c r="G32" s="175"/>
      <c r="H32" s="164">
        <f>I30*0.0214*0</f>
        <v>0</v>
      </c>
      <c r="I32" s="164">
        <f>H32</f>
        <v>0</v>
      </c>
    </row>
    <row r="33" spans="1:11" x14ac:dyDescent="0.25">
      <c r="A33" s="175"/>
      <c r="B33" s="175"/>
      <c r="C33" s="441" t="s">
        <v>102</v>
      </c>
      <c r="D33" s="442"/>
      <c r="E33" s="175"/>
      <c r="F33" s="175"/>
      <c r="G33" s="175"/>
      <c r="H33" s="164">
        <f>H32</f>
        <v>0</v>
      </c>
      <c r="I33" s="164">
        <f>H33</f>
        <v>0</v>
      </c>
    </row>
    <row r="34" spans="1:11" x14ac:dyDescent="0.25">
      <c r="A34" s="413" t="s">
        <v>21</v>
      </c>
      <c r="B34" s="414"/>
      <c r="C34" s="414"/>
      <c r="D34" s="414"/>
      <c r="E34" s="414"/>
      <c r="F34" s="414"/>
      <c r="G34" s="414"/>
      <c r="H34" s="414"/>
      <c r="I34" s="415"/>
    </row>
    <row r="35" spans="1:11" ht="34.200000000000003" customHeight="1" x14ac:dyDescent="0.25">
      <c r="A35" s="30">
        <v>5</v>
      </c>
      <c r="B35" s="344" t="s">
        <v>185</v>
      </c>
      <c r="C35" s="468" t="s">
        <v>184</v>
      </c>
      <c r="D35" s="469"/>
      <c r="E35" s="345">
        <v>0</v>
      </c>
      <c r="F35" s="345">
        <v>0</v>
      </c>
      <c r="G35" s="345">
        <v>0</v>
      </c>
      <c r="H35" s="346">
        <f>18/200*I22*0.35</f>
        <v>0.95041484999999981</v>
      </c>
      <c r="I35" s="345">
        <f>H35</f>
        <v>0.95041484999999981</v>
      </c>
    </row>
    <row r="36" spans="1:11" x14ac:dyDescent="0.25">
      <c r="A36" s="30">
        <v>6</v>
      </c>
      <c r="B36" s="180" t="s">
        <v>99</v>
      </c>
      <c r="C36" s="441" t="s">
        <v>103</v>
      </c>
      <c r="D36" s="442"/>
      <c r="E36" s="141"/>
      <c r="F36" s="141"/>
      <c r="G36" s="141"/>
      <c r="H36" s="142">
        <f>7.533*0</f>
        <v>0</v>
      </c>
      <c r="I36" s="141">
        <f>H36</f>
        <v>0</v>
      </c>
    </row>
    <row r="37" spans="1:11" ht="15.6" customHeight="1" x14ac:dyDescent="0.25">
      <c r="A37" s="175"/>
      <c r="B37" s="175"/>
      <c r="C37" s="73" t="s">
        <v>50</v>
      </c>
      <c r="D37" s="173"/>
      <c r="E37" s="141">
        <v>0</v>
      </c>
      <c r="F37" s="141">
        <v>0</v>
      </c>
      <c r="G37" s="141">
        <v>0</v>
      </c>
      <c r="H37" s="142">
        <f>H35+H36</f>
        <v>0.95041484999999981</v>
      </c>
      <c r="I37" s="141">
        <f>I35+I36</f>
        <v>0.95041484999999981</v>
      </c>
    </row>
    <row r="38" spans="1:11" ht="18" customHeight="1" x14ac:dyDescent="0.25">
      <c r="A38" s="175"/>
      <c r="B38" s="175"/>
      <c r="C38" s="73" t="s">
        <v>51</v>
      </c>
      <c r="D38" s="173"/>
      <c r="E38" s="141">
        <f>E30</f>
        <v>2.99241578</v>
      </c>
      <c r="F38" s="141">
        <f>F30</f>
        <v>0.99941482000000004</v>
      </c>
      <c r="G38" s="141">
        <f>G30</f>
        <v>25.361999999999998</v>
      </c>
      <c r="H38" s="142">
        <f>H30+H37+H32</f>
        <v>1.8429148499999997</v>
      </c>
      <c r="I38" s="141">
        <f>I30+I37+I33</f>
        <v>31.196745449999998</v>
      </c>
    </row>
    <row r="39" spans="1:11" x14ac:dyDescent="0.25">
      <c r="A39" s="413" t="s">
        <v>22</v>
      </c>
      <c r="B39" s="414"/>
      <c r="C39" s="414"/>
      <c r="D39" s="414"/>
      <c r="E39" s="414"/>
      <c r="F39" s="414"/>
      <c r="G39" s="414"/>
      <c r="H39" s="414"/>
      <c r="I39" s="415"/>
    </row>
    <row r="40" spans="1:11" ht="16.2" customHeight="1" x14ac:dyDescent="0.25">
      <c r="A40" s="30">
        <v>8</v>
      </c>
      <c r="B40" s="31" t="s">
        <v>37</v>
      </c>
      <c r="C40" s="77" t="s">
        <v>79</v>
      </c>
      <c r="D40" s="78"/>
      <c r="E40" s="141">
        <f>E38*0.03</f>
        <v>8.9772473399999997E-2</v>
      </c>
      <c r="F40" s="141">
        <f>F38*0.03</f>
        <v>2.9982444600000002E-2</v>
      </c>
      <c r="G40" s="141">
        <f>ROUND(G30*0.03,3)</f>
        <v>0.76100000000000001</v>
      </c>
      <c r="H40" s="141">
        <f>H38*3%</f>
        <v>5.528744549999999E-2</v>
      </c>
      <c r="I40" s="141">
        <f>E40+F40+G40+H40</f>
        <v>0.93604236350000003</v>
      </c>
    </row>
    <row r="41" spans="1:11" x14ac:dyDescent="0.25">
      <c r="A41" s="26"/>
      <c r="B41" s="36"/>
      <c r="C41" s="73"/>
      <c r="D41" s="74"/>
      <c r="E41" s="32"/>
      <c r="F41" s="32"/>
      <c r="G41" s="32"/>
      <c r="H41" s="32"/>
      <c r="I41" s="32"/>
    </row>
    <row r="42" spans="1:11" ht="16.8" customHeight="1" x14ac:dyDescent="0.25">
      <c r="A42" s="26"/>
      <c r="B42" s="36"/>
      <c r="C42" s="73" t="s">
        <v>23</v>
      </c>
      <c r="D42" s="74"/>
      <c r="E42" s="141">
        <f>E38+E40</f>
        <v>3.0821882534</v>
      </c>
      <c r="F42" s="141">
        <f>F38+F40</f>
        <v>1.0293972646</v>
      </c>
      <c r="G42" s="141">
        <f>G38+G40</f>
        <v>26.122999999999998</v>
      </c>
      <c r="H42" s="141">
        <f>H38+H40</f>
        <v>1.8982022954999997</v>
      </c>
      <c r="I42" s="32">
        <f>I38+I40</f>
        <v>32.132787813499995</v>
      </c>
    </row>
    <row r="43" spans="1:11" x14ac:dyDescent="0.25">
      <c r="A43" s="26"/>
      <c r="B43" s="27"/>
      <c r="C43" s="441"/>
      <c r="D43" s="442"/>
      <c r="E43" s="35"/>
      <c r="F43" s="35"/>
      <c r="G43" s="35"/>
      <c r="H43" s="35"/>
      <c r="I43" s="35"/>
    </row>
    <row r="44" spans="1:11" x14ac:dyDescent="0.25">
      <c r="A44" s="450" t="s">
        <v>417</v>
      </c>
      <c r="B44" s="451"/>
      <c r="C44" s="451"/>
      <c r="D44" s="451"/>
      <c r="E44" s="451"/>
      <c r="F44" s="451"/>
      <c r="G44" s="451"/>
      <c r="H44" s="451"/>
      <c r="I44" s="452"/>
    </row>
    <row r="45" spans="1:11" ht="14.4" customHeight="1" x14ac:dyDescent="0.25">
      <c r="A45" s="26">
        <v>9</v>
      </c>
      <c r="B45" s="109"/>
      <c r="C45" s="73" t="s">
        <v>312</v>
      </c>
      <c r="D45" s="74"/>
      <c r="E45" s="158">
        <f>ROUND(E42*6.17,3)</f>
        <v>19.016999999999999</v>
      </c>
      <c r="F45" s="158">
        <f>ROUND(F42*6.17,3)</f>
        <v>6.351</v>
      </c>
      <c r="G45" s="159"/>
      <c r="H45" s="159"/>
      <c r="I45" s="158">
        <f>E45+F45+G49+H46+H47</f>
        <v>151.39920249836001</v>
      </c>
      <c r="K45" s="329"/>
    </row>
    <row r="46" spans="1:11" x14ac:dyDescent="0.25">
      <c r="A46" s="26"/>
      <c r="B46" s="109"/>
      <c r="C46" s="75" t="s">
        <v>198</v>
      </c>
      <c r="D46" s="76"/>
      <c r="E46" s="160"/>
      <c r="F46" s="160"/>
      <c r="G46" s="160"/>
      <c r="H46" s="103">
        <f>H23*11.3*1.03</f>
        <v>10.387807500000001</v>
      </c>
      <c r="I46" s="160"/>
    </row>
    <row r="47" spans="1:11" x14ac:dyDescent="0.25">
      <c r="A47" s="26"/>
      <c r="B47" s="109"/>
      <c r="C47" s="443" t="s">
        <v>353</v>
      </c>
      <c r="D47" s="444"/>
      <c r="E47" s="138"/>
      <c r="F47" s="138"/>
      <c r="G47" s="138"/>
      <c r="H47" s="103">
        <f>(H35*3.92+H36*3.93)*1.03</f>
        <v>3.8373949983599989</v>
      </c>
      <c r="I47" s="138"/>
    </row>
    <row r="48" spans="1:11" x14ac:dyDescent="0.25">
      <c r="A48" s="26"/>
      <c r="B48" s="136"/>
      <c r="C48" s="75" t="s">
        <v>354</v>
      </c>
      <c r="D48" s="76"/>
      <c r="E48" s="138"/>
      <c r="F48" s="138"/>
      <c r="G48" s="138"/>
      <c r="H48" s="103">
        <f>(H32)*8.36*1.03</f>
        <v>0</v>
      </c>
      <c r="I48" s="138"/>
    </row>
    <row r="49" spans="1:13" x14ac:dyDescent="0.25">
      <c r="A49" s="26"/>
      <c r="B49" s="137"/>
      <c r="C49" s="79" t="s">
        <v>355</v>
      </c>
      <c r="D49" s="5"/>
      <c r="E49" s="141"/>
      <c r="F49" s="141"/>
      <c r="G49" s="351">
        <f>ROUND(G42*4.28,3)</f>
        <v>111.806</v>
      </c>
      <c r="H49" s="182">
        <f>SUM(H46:H48)</f>
        <v>14.22520249836</v>
      </c>
      <c r="I49" s="141"/>
      <c r="K49" s="354"/>
      <c r="M49" s="405"/>
    </row>
    <row r="50" spans="1:13" x14ac:dyDescent="0.25">
      <c r="A50" s="26">
        <v>10</v>
      </c>
      <c r="B50" s="31"/>
      <c r="C50" s="79" t="s">
        <v>39</v>
      </c>
      <c r="D50" s="80"/>
      <c r="E50" s="144">
        <f>E45*0.18</f>
        <v>3.42306</v>
      </c>
      <c r="F50" s="144">
        <f>F45*0.18</f>
        <v>1.1431799999999999</v>
      </c>
      <c r="G50" s="144">
        <f>G49*0.18</f>
        <v>20.125080000000001</v>
      </c>
      <c r="H50" s="144">
        <f>H49*0.18</f>
        <v>2.5605364497048</v>
      </c>
      <c r="I50" s="144">
        <f>I45*0.18</f>
        <v>27.2518564497048</v>
      </c>
    </row>
    <row r="51" spans="1:13" x14ac:dyDescent="0.25">
      <c r="A51" s="26"/>
      <c r="B51" s="27"/>
      <c r="C51" s="81" t="s">
        <v>27</v>
      </c>
      <c r="D51" s="82"/>
      <c r="E51" s="145">
        <f>E45+E50</f>
        <v>22.440059999999999</v>
      </c>
      <c r="F51" s="145">
        <f>F45+F50</f>
        <v>7.4941800000000001</v>
      </c>
      <c r="G51" s="145">
        <f>G49+G50</f>
        <v>131.93108000000001</v>
      </c>
      <c r="H51" s="145">
        <f>H49+H50</f>
        <v>16.7857389480648</v>
      </c>
      <c r="I51" s="145">
        <f>I45+I50</f>
        <v>178.65105894806482</v>
      </c>
    </row>
    <row r="52" spans="1:13" x14ac:dyDescent="0.25">
      <c r="A52" s="46"/>
      <c r="B52" s="47"/>
      <c r="C52" s="48"/>
      <c r="D52" s="48"/>
      <c r="E52" s="49"/>
      <c r="F52" s="49"/>
      <c r="G52" s="49"/>
      <c r="H52" s="49"/>
      <c r="I52" s="50"/>
    </row>
    <row r="53" spans="1:13" x14ac:dyDescent="0.25">
      <c r="A53" s="46"/>
      <c r="B53" s="47"/>
      <c r="C53" s="48"/>
      <c r="D53" s="48"/>
      <c r="E53" s="49"/>
      <c r="F53" s="147"/>
      <c r="G53" s="147"/>
      <c r="H53" s="147"/>
      <c r="I53" s="50"/>
    </row>
    <row r="54" spans="1:13" x14ac:dyDescent="0.25">
      <c r="A54" s="46"/>
      <c r="B54" s="1"/>
      <c r="C54" s="47"/>
      <c r="D54" s="47"/>
      <c r="E54" s="51"/>
      <c r="F54" s="146"/>
      <c r="G54" s="20"/>
      <c r="H54" s="20"/>
      <c r="I54" s="20"/>
    </row>
    <row r="55" spans="1:13" x14ac:dyDescent="0.25">
      <c r="A55" s="46"/>
      <c r="B55" s="47"/>
      <c r="C55" s="51"/>
      <c r="D55" s="51"/>
      <c r="E55" s="20"/>
      <c r="F55" s="20"/>
      <c r="G55" s="20"/>
      <c r="H55" s="20"/>
      <c r="I55" s="20"/>
    </row>
    <row r="56" spans="1:13" x14ac:dyDescent="0.25">
      <c r="A56" s="176"/>
      <c r="B56" s="1"/>
      <c r="C56" s="170" t="s">
        <v>139</v>
      </c>
      <c r="D56" s="170" t="s">
        <v>140</v>
      </c>
      <c r="E56" s="20"/>
      <c r="F56" s="20"/>
      <c r="G56" s="20"/>
      <c r="H56" s="20"/>
      <c r="I56" s="20"/>
    </row>
    <row r="57" spans="1:13" ht="13.8" x14ac:dyDescent="0.25">
      <c r="A57" s="98"/>
      <c r="B57" s="115"/>
      <c r="C57" s="436"/>
      <c r="D57" s="437"/>
      <c r="E57" s="437"/>
      <c r="F57" s="437"/>
      <c r="G57" s="437"/>
      <c r="H57" s="437"/>
      <c r="I57" s="355"/>
    </row>
    <row r="58" spans="1:13" ht="13.8" x14ac:dyDescent="0.25">
      <c r="A58" s="98"/>
      <c r="B58" s="115"/>
      <c r="C58" s="436"/>
      <c r="D58" s="116"/>
      <c r="E58" s="116"/>
      <c r="F58" s="178"/>
      <c r="G58" s="116"/>
      <c r="H58" s="116"/>
      <c r="I58" s="355"/>
    </row>
    <row r="59" spans="1:13" x14ac:dyDescent="0.25">
      <c r="A59" s="98"/>
      <c r="B59" s="115"/>
      <c r="C59" s="170"/>
      <c r="D59" s="170"/>
      <c r="E59" s="118"/>
      <c r="F59" s="118"/>
      <c r="G59" s="118"/>
      <c r="H59" s="118"/>
      <c r="I59" s="118"/>
    </row>
    <row r="60" spans="1:13" x14ac:dyDescent="0.25">
      <c r="A60" s="98"/>
      <c r="B60" s="115"/>
      <c r="C60" s="119"/>
      <c r="D60" s="120"/>
      <c r="E60" s="121"/>
      <c r="F60" s="121"/>
      <c r="G60" s="122"/>
      <c r="H60" s="122"/>
      <c r="I60" s="121"/>
    </row>
    <row r="61" spans="1:13" x14ac:dyDescent="0.25">
      <c r="A61" s="176"/>
      <c r="B61" s="1"/>
      <c r="C61" s="51"/>
      <c r="D61" s="177"/>
      <c r="E61" s="177"/>
      <c r="F61" s="177"/>
      <c r="G61" s="177"/>
      <c r="H61" s="177"/>
      <c r="I61" s="177"/>
    </row>
  </sheetData>
  <mergeCells count="33">
    <mergeCell ref="C12:F12"/>
    <mergeCell ref="G4:I4"/>
    <mergeCell ref="F5:I5"/>
    <mergeCell ref="F7:I7"/>
    <mergeCell ref="A10:I10"/>
    <mergeCell ref="A11:I11"/>
    <mergeCell ref="I16:I19"/>
    <mergeCell ref="E17:E19"/>
    <mergeCell ref="F17:F19"/>
    <mergeCell ref="G17:G19"/>
    <mergeCell ref="H17:H19"/>
    <mergeCell ref="C13:H13"/>
    <mergeCell ref="A16:A19"/>
    <mergeCell ref="B16:B19"/>
    <mergeCell ref="C16:D19"/>
    <mergeCell ref="E16:H16"/>
    <mergeCell ref="C36:D36"/>
    <mergeCell ref="A21:I21"/>
    <mergeCell ref="C22:D22"/>
    <mergeCell ref="A24:I24"/>
    <mergeCell ref="C25:D25"/>
    <mergeCell ref="A27:I27"/>
    <mergeCell ref="A31:I31"/>
    <mergeCell ref="C32:D32"/>
    <mergeCell ref="C33:D33"/>
    <mergeCell ref="A34:I34"/>
    <mergeCell ref="C35:D35"/>
    <mergeCell ref="A39:I39"/>
    <mergeCell ref="C43:D43"/>
    <mergeCell ref="A44:I44"/>
    <mergeCell ref="C47:D47"/>
    <mergeCell ref="C57:C58"/>
    <mergeCell ref="D57:H5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A10" workbookViewId="0">
      <selection activeCell="B31" sqref="B31"/>
    </sheetView>
  </sheetViews>
  <sheetFormatPr defaultRowHeight="13.2" x14ac:dyDescent="0.25"/>
  <cols>
    <col min="1" max="1" width="4.33203125" customWidth="1"/>
    <col min="2" max="2" width="13.5546875" customWidth="1"/>
    <col min="3" max="3" width="29.6640625" customWidth="1"/>
    <col min="13" max="13" width="11.21875" customWidth="1"/>
  </cols>
  <sheetData>
    <row r="1" spans="1:17" x14ac:dyDescent="0.25">
      <c r="B1" s="298"/>
      <c r="C1" s="299"/>
      <c r="D1" s="300"/>
      <c r="E1" s="324"/>
      <c r="F1" s="312"/>
      <c r="G1" s="312"/>
      <c r="H1" s="311"/>
      <c r="I1" s="311"/>
      <c r="J1" s="312"/>
      <c r="K1" s="312"/>
      <c r="L1" s="312"/>
      <c r="M1" s="312"/>
      <c r="N1" s="312"/>
      <c r="O1" s="312"/>
      <c r="P1" s="312"/>
      <c r="Q1" s="312"/>
    </row>
    <row r="2" spans="1:17" x14ac:dyDescent="0.25">
      <c r="B2" s="315"/>
      <c r="C2" s="316"/>
      <c r="D2" s="317"/>
      <c r="E2" s="325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</row>
    <row r="3" spans="1:17" x14ac:dyDescent="0.25">
      <c r="B3" s="315"/>
      <c r="C3" s="316"/>
      <c r="D3" s="317"/>
      <c r="E3" s="325"/>
      <c r="F3" s="318"/>
      <c r="G3" s="318"/>
      <c r="H3" s="313" t="s">
        <v>313</v>
      </c>
      <c r="I3" s="313"/>
      <c r="J3" s="318"/>
      <c r="K3" s="318"/>
      <c r="L3" s="318"/>
      <c r="M3" s="318"/>
      <c r="N3" s="318"/>
      <c r="O3" s="318"/>
      <c r="P3" s="318"/>
      <c r="Q3" s="318"/>
    </row>
    <row r="4" spans="1:17" x14ac:dyDescent="0.25">
      <c r="B4" s="315"/>
      <c r="C4" s="316"/>
      <c r="D4" s="317"/>
      <c r="E4" s="325"/>
      <c r="F4" s="318"/>
      <c r="G4" s="318"/>
      <c r="H4" s="313" t="s">
        <v>329</v>
      </c>
      <c r="I4" s="321"/>
      <c r="J4" s="318"/>
      <c r="K4" s="318"/>
      <c r="L4" s="318"/>
      <c r="M4" s="318"/>
      <c r="N4" s="318"/>
      <c r="O4" s="318"/>
      <c r="P4" s="318"/>
      <c r="Q4" s="318"/>
    </row>
    <row r="5" spans="1:17" x14ac:dyDescent="0.25">
      <c r="B5" s="315"/>
      <c r="C5" s="316"/>
      <c r="D5" s="317"/>
      <c r="E5" s="325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</row>
    <row r="6" spans="1:17" x14ac:dyDescent="0.25">
      <c r="B6" s="315"/>
      <c r="C6" s="326" t="s">
        <v>330</v>
      </c>
      <c r="D6" s="472" t="s">
        <v>331</v>
      </c>
      <c r="E6" s="472"/>
      <c r="F6" s="472"/>
      <c r="G6" s="472"/>
      <c r="H6" s="472"/>
      <c r="I6" s="472"/>
      <c r="J6" s="472"/>
      <c r="K6" s="312"/>
      <c r="L6" s="312"/>
      <c r="M6" s="312"/>
      <c r="N6" s="312"/>
      <c r="O6" s="312"/>
      <c r="P6" s="312"/>
      <c r="Q6" s="318"/>
    </row>
    <row r="7" spans="1:17" x14ac:dyDescent="0.25">
      <c r="B7" s="315"/>
      <c r="C7" s="316"/>
      <c r="D7" s="317"/>
      <c r="E7" s="327"/>
      <c r="F7" s="167"/>
      <c r="G7" s="167"/>
      <c r="H7" s="169" t="s">
        <v>104</v>
      </c>
      <c r="I7" s="169"/>
      <c r="J7" s="167"/>
      <c r="K7" s="167"/>
      <c r="L7" s="328"/>
      <c r="M7" s="328"/>
      <c r="N7" s="318"/>
      <c r="O7" s="318"/>
      <c r="P7" s="318"/>
      <c r="Q7" s="318"/>
    </row>
    <row r="8" spans="1:17" x14ac:dyDescent="0.25">
      <c r="B8" s="310"/>
      <c r="C8" s="316"/>
      <c r="D8" s="317"/>
      <c r="E8" s="325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</row>
    <row r="9" spans="1:17" x14ac:dyDescent="0.25">
      <c r="A9" s="320"/>
      <c r="B9" s="315"/>
      <c r="C9" s="316"/>
      <c r="D9" s="323" t="s">
        <v>105</v>
      </c>
      <c r="E9" s="473" t="s">
        <v>332</v>
      </c>
      <c r="F9" s="473"/>
      <c r="G9" s="318"/>
      <c r="H9" s="318"/>
      <c r="I9" s="323"/>
      <c r="J9" s="323"/>
      <c r="K9" s="318"/>
      <c r="L9" s="318"/>
      <c r="M9" s="318"/>
      <c r="N9" s="318"/>
      <c r="O9" s="318"/>
      <c r="P9" s="318"/>
      <c r="Q9" s="318"/>
    </row>
    <row r="10" spans="1:17" x14ac:dyDescent="0.25">
      <c r="A10" s="320"/>
      <c r="B10" s="315"/>
      <c r="C10" s="316"/>
      <c r="D10" s="388" t="s">
        <v>106</v>
      </c>
      <c r="E10" s="387"/>
      <c r="F10" s="455" t="s">
        <v>421</v>
      </c>
      <c r="G10" s="456"/>
      <c r="H10" s="384" t="s">
        <v>107</v>
      </c>
      <c r="I10" s="323"/>
      <c r="J10" s="455"/>
      <c r="K10" s="471"/>
      <c r="L10" s="319"/>
      <c r="M10" s="318"/>
      <c r="N10" s="318"/>
      <c r="O10" s="318"/>
      <c r="P10" s="318"/>
      <c r="Q10" s="318"/>
    </row>
    <row r="11" spans="1:17" x14ac:dyDescent="0.25">
      <c r="A11" s="320"/>
      <c r="B11" s="315"/>
      <c r="C11" s="316"/>
      <c r="D11" s="388" t="s">
        <v>108</v>
      </c>
      <c r="E11" s="387"/>
      <c r="F11" s="455" t="s">
        <v>351</v>
      </c>
      <c r="G11" s="456"/>
      <c r="H11" s="384" t="s">
        <v>107</v>
      </c>
      <c r="I11" s="323"/>
      <c r="J11" s="455"/>
      <c r="K11" s="471"/>
      <c r="L11" s="319"/>
      <c r="M11" s="318"/>
      <c r="N11" s="318"/>
      <c r="O11" s="318"/>
      <c r="P11" s="318"/>
      <c r="Q11" s="318"/>
    </row>
    <row r="12" spans="1:17" x14ac:dyDescent="0.25">
      <c r="A12" s="320"/>
      <c r="B12" s="315"/>
      <c r="C12" s="316"/>
      <c r="D12" s="388" t="s">
        <v>109</v>
      </c>
      <c r="E12" s="387"/>
      <c r="F12" s="455" t="s">
        <v>400</v>
      </c>
      <c r="G12" s="456"/>
      <c r="H12" s="384" t="s">
        <v>107</v>
      </c>
      <c r="I12" s="323"/>
      <c r="J12" s="455"/>
      <c r="K12" s="471"/>
      <c r="L12" s="319"/>
      <c r="M12" s="318"/>
      <c r="N12" s="318"/>
      <c r="O12" s="318"/>
      <c r="P12" s="318"/>
      <c r="Q12" s="318"/>
    </row>
    <row r="13" spans="1:17" x14ac:dyDescent="0.25">
      <c r="A13" s="320"/>
      <c r="B13" s="315"/>
      <c r="C13" s="316"/>
      <c r="D13" s="388" t="s">
        <v>110</v>
      </c>
      <c r="E13" s="387"/>
      <c r="F13" s="455" t="s">
        <v>333</v>
      </c>
      <c r="G13" s="456"/>
      <c r="H13" s="384" t="s">
        <v>107</v>
      </c>
      <c r="I13" s="323"/>
      <c r="J13" s="455"/>
      <c r="K13" s="471"/>
      <c r="L13" s="319"/>
      <c r="M13" s="318"/>
      <c r="N13" s="318"/>
      <c r="O13" s="318"/>
      <c r="P13" s="318"/>
      <c r="Q13" s="318"/>
    </row>
    <row r="14" spans="1:17" x14ac:dyDescent="0.25">
      <c r="A14" s="320"/>
      <c r="B14" s="315"/>
      <c r="C14" s="316"/>
      <c r="D14" s="388" t="s">
        <v>176</v>
      </c>
      <c r="E14" s="387"/>
      <c r="F14" s="455" t="s">
        <v>420</v>
      </c>
      <c r="G14" s="456"/>
      <c r="H14" s="384" t="s">
        <v>107</v>
      </c>
      <c r="I14" s="323"/>
      <c r="J14" s="455"/>
      <c r="K14" s="471"/>
      <c r="L14" s="319"/>
      <c r="M14" s="318"/>
      <c r="N14" s="318"/>
      <c r="O14" s="318"/>
      <c r="P14" s="318"/>
      <c r="Q14" s="318"/>
    </row>
    <row r="15" spans="1:17" x14ac:dyDescent="0.25">
      <c r="A15" s="320"/>
      <c r="B15" s="315"/>
      <c r="C15" s="316"/>
      <c r="D15" s="388" t="s">
        <v>111</v>
      </c>
      <c r="E15" s="385"/>
      <c r="F15" s="455" t="s">
        <v>401</v>
      </c>
      <c r="G15" s="456"/>
      <c r="H15" s="384" t="s">
        <v>107</v>
      </c>
      <c r="I15" s="323"/>
      <c r="J15" s="455"/>
      <c r="K15" s="471"/>
      <c r="L15" s="319"/>
      <c r="M15" s="318"/>
      <c r="N15" s="318"/>
      <c r="O15" s="318"/>
      <c r="P15" s="318"/>
      <c r="Q15" s="318"/>
    </row>
    <row r="16" spans="1:17" x14ac:dyDescent="0.25">
      <c r="A16" s="320"/>
      <c r="B16" s="315"/>
      <c r="C16" s="316"/>
      <c r="D16" s="388" t="s">
        <v>112</v>
      </c>
      <c r="E16" s="385"/>
      <c r="F16" s="455" t="s">
        <v>402</v>
      </c>
      <c r="G16" s="456"/>
      <c r="H16" s="384" t="s">
        <v>113</v>
      </c>
      <c r="I16" s="323"/>
      <c r="J16" s="455"/>
      <c r="K16" s="471"/>
      <c r="L16" s="319"/>
      <c r="M16" s="318"/>
      <c r="N16" s="318"/>
      <c r="O16" s="318"/>
      <c r="P16" s="318"/>
      <c r="Q16" s="318"/>
    </row>
    <row r="17" spans="1:18" x14ac:dyDescent="0.25">
      <c r="A17" s="320"/>
      <c r="B17" s="315"/>
      <c r="C17" s="316"/>
      <c r="D17" s="386" t="s">
        <v>114</v>
      </c>
      <c r="E17" s="385"/>
      <c r="F17" s="385"/>
      <c r="G17" s="387"/>
      <c r="H17" s="387"/>
      <c r="I17" s="318"/>
      <c r="J17" s="318"/>
      <c r="K17" s="318"/>
      <c r="L17" s="318"/>
      <c r="M17" s="318"/>
      <c r="N17" s="318"/>
      <c r="O17" s="318"/>
      <c r="P17" s="318"/>
      <c r="Q17" s="318"/>
    </row>
    <row r="18" spans="1:18" ht="13.2" customHeight="1" x14ac:dyDescent="0.25">
      <c r="A18" s="462" t="s">
        <v>2</v>
      </c>
      <c r="B18" s="462" t="s">
        <v>210</v>
      </c>
      <c r="C18" s="460" t="s">
        <v>115</v>
      </c>
      <c r="D18" s="460" t="s">
        <v>116</v>
      </c>
      <c r="E18" s="460" t="s">
        <v>117</v>
      </c>
      <c r="F18" s="460" t="s">
        <v>118</v>
      </c>
      <c r="G18" s="461"/>
      <c r="H18" s="461"/>
      <c r="I18" s="461"/>
      <c r="J18" s="460" t="s">
        <v>119</v>
      </c>
      <c r="K18" s="461"/>
      <c r="L18" s="461"/>
      <c r="M18" s="461"/>
      <c r="N18" s="221"/>
      <c r="O18" s="221"/>
      <c r="P18" s="221"/>
      <c r="Q18" s="221"/>
    </row>
    <row r="19" spans="1:18" ht="13.2" customHeight="1" x14ac:dyDescent="0.25">
      <c r="A19" s="463"/>
      <c r="B19" s="463"/>
      <c r="C19" s="460"/>
      <c r="D19" s="460"/>
      <c r="E19" s="460"/>
      <c r="F19" s="460" t="s">
        <v>120</v>
      </c>
      <c r="G19" s="460" t="s">
        <v>121</v>
      </c>
      <c r="H19" s="461"/>
      <c r="I19" s="461"/>
      <c r="J19" s="460" t="s">
        <v>120</v>
      </c>
      <c r="K19" s="460" t="s">
        <v>121</v>
      </c>
      <c r="L19" s="461"/>
      <c r="M19" s="461"/>
      <c r="N19" s="221"/>
      <c r="O19" s="221"/>
      <c r="P19" s="221"/>
      <c r="Q19" s="221"/>
    </row>
    <row r="20" spans="1:18" ht="13.2" customHeight="1" x14ac:dyDescent="0.25">
      <c r="A20" s="463"/>
      <c r="B20" s="463"/>
      <c r="C20" s="460"/>
      <c r="D20" s="460"/>
      <c r="E20" s="460"/>
      <c r="F20" s="461"/>
      <c r="G20" s="371" t="s">
        <v>122</v>
      </c>
      <c r="H20" s="371" t="s">
        <v>211</v>
      </c>
      <c r="I20" s="371" t="s">
        <v>123</v>
      </c>
      <c r="J20" s="461"/>
      <c r="K20" s="371" t="s">
        <v>122</v>
      </c>
      <c r="L20" s="371" t="s">
        <v>211</v>
      </c>
      <c r="M20" s="371" t="s">
        <v>123</v>
      </c>
      <c r="N20" s="221"/>
      <c r="O20" s="221"/>
      <c r="P20" s="221"/>
      <c r="Q20" s="221"/>
    </row>
    <row r="21" spans="1:18" x14ac:dyDescent="0.25">
      <c r="A21" s="374">
        <v>1</v>
      </c>
      <c r="B21" s="373">
        <v>2</v>
      </c>
      <c r="C21" s="371">
        <v>3</v>
      </c>
      <c r="D21" s="371">
        <v>4</v>
      </c>
      <c r="E21" s="375">
        <v>5</v>
      </c>
      <c r="F21" s="372">
        <v>6</v>
      </c>
      <c r="G21" s="372">
        <v>7</v>
      </c>
      <c r="H21" s="372">
        <v>8</v>
      </c>
      <c r="I21" s="372">
        <v>9</v>
      </c>
      <c r="J21" s="372">
        <v>10</v>
      </c>
      <c r="K21" s="372">
        <v>11</v>
      </c>
      <c r="L21" s="372">
        <v>12</v>
      </c>
      <c r="M21" s="372">
        <v>13</v>
      </c>
      <c r="N21" s="219"/>
      <c r="O21" s="219"/>
      <c r="P21" s="219"/>
      <c r="Q21" s="219"/>
    </row>
    <row r="22" spans="1:18" ht="13.2" customHeight="1" x14ac:dyDescent="0.25">
      <c r="A22" s="457" t="s">
        <v>334</v>
      </c>
      <c r="B22" s="458"/>
      <c r="C22" s="458"/>
      <c r="D22" s="458"/>
      <c r="E22" s="458"/>
      <c r="F22" s="458"/>
      <c r="G22" s="458"/>
      <c r="H22" s="458"/>
      <c r="I22" s="458"/>
      <c r="J22" s="458"/>
      <c r="K22" s="458"/>
      <c r="L22" s="458"/>
      <c r="M22" s="458"/>
      <c r="N22" s="254"/>
      <c r="O22" s="254"/>
      <c r="P22" s="254"/>
      <c r="Q22" s="254"/>
    </row>
    <row r="23" spans="1:18" ht="23.4" customHeight="1" x14ac:dyDescent="0.25">
      <c r="A23" s="374">
        <v>1</v>
      </c>
      <c r="B23" s="376" t="s">
        <v>177</v>
      </c>
      <c r="C23" s="377" t="s">
        <v>178</v>
      </c>
      <c r="D23" s="375" t="s">
        <v>179</v>
      </c>
      <c r="E23" s="378">
        <v>1</v>
      </c>
      <c r="F23" s="379">
        <v>205.77</v>
      </c>
      <c r="G23" s="379">
        <v>82.03</v>
      </c>
      <c r="H23" s="379">
        <v>121.4</v>
      </c>
      <c r="I23" s="379">
        <v>8.98</v>
      </c>
      <c r="J23" s="380">
        <v>205.77</v>
      </c>
      <c r="K23" s="380">
        <v>82.03</v>
      </c>
      <c r="L23" s="380">
        <v>121.4</v>
      </c>
      <c r="M23" s="380">
        <v>8.98</v>
      </c>
      <c r="N23" s="312"/>
      <c r="O23" s="312"/>
      <c r="P23" s="312"/>
      <c r="Q23" s="312"/>
    </row>
    <row r="24" spans="1:18" ht="62.4" customHeight="1" x14ac:dyDescent="0.25">
      <c r="A24" s="374">
        <v>2</v>
      </c>
      <c r="B24" s="376" t="s">
        <v>180</v>
      </c>
      <c r="C24" s="377" t="s">
        <v>349</v>
      </c>
      <c r="D24" s="375" t="s">
        <v>125</v>
      </c>
      <c r="E24" s="378">
        <v>3</v>
      </c>
      <c r="F24" s="379">
        <v>31.15</v>
      </c>
      <c r="G24" s="379">
        <v>11.51</v>
      </c>
      <c r="H24" s="379">
        <v>5.76</v>
      </c>
      <c r="I24" s="379">
        <v>0.36</v>
      </c>
      <c r="J24" s="380">
        <v>93.45</v>
      </c>
      <c r="K24" s="380">
        <v>34.53</v>
      </c>
      <c r="L24" s="380">
        <v>17.28</v>
      </c>
      <c r="M24" s="380">
        <v>1.08</v>
      </c>
      <c r="N24" s="312"/>
      <c r="O24" s="312"/>
      <c r="P24" s="312"/>
      <c r="Q24" s="312"/>
    </row>
    <row r="25" spans="1:18" ht="31.8" customHeight="1" x14ac:dyDescent="0.25">
      <c r="A25" s="374">
        <v>3</v>
      </c>
      <c r="B25" s="376" t="s">
        <v>335</v>
      </c>
      <c r="C25" s="377" t="s">
        <v>336</v>
      </c>
      <c r="D25" s="375" t="s">
        <v>127</v>
      </c>
      <c r="E25" s="378">
        <v>3</v>
      </c>
      <c r="F25" s="379" t="s">
        <v>398</v>
      </c>
      <c r="G25" s="380"/>
      <c r="H25" s="380"/>
      <c r="I25" s="380"/>
      <c r="J25" s="380">
        <v>1112.3699999999999</v>
      </c>
      <c r="K25" s="380"/>
      <c r="L25" s="380"/>
      <c r="M25" s="380"/>
      <c r="N25" s="312"/>
      <c r="O25" s="312"/>
      <c r="P25" s="312"/>
      <c r="Q25" s="312"/>
    </row>
    <row r="26" spans="1:18" ht="24" x14ac:dyDescent="0.25">
      <c r="A26" s="374">
        <v>4</v>
      </c>
      <c r="B26" s="376" t="s">
        <v>317</v>
      </c>
      <c r="C26" s="377" t="s">
        <v>318</v>
      </c>
      <c r="D26" s="375" t="s">
        <v>319</v>
      </c>
      <c r="E26" s="378">
        <v>0.2</v>
      </c>
      <c r="F26" s="379">
        <v>544.29999999999995</v>
      </c>
      <c r="G26" s="379">
        <v>78.59</v>
      </c>
      <c r="H26" s="379">
        <v>50.37</v>
      </c>
      <c r="I26" s="379">
        <v>1.82</v>
      </c>
      <c r="J26" s="380">
        <v>108.86</v>
      </c>
      <c r="K26" s="380">
        <v>15.72</v>
      </c>
      <c r="L26" s="380">
        <v>10.07</v>
      </c>
      <c r="M26" s="380">
        <v>0.36</v>
      </c>
      <c r="N26" s="312"/>
      <c r="O26" s="312"/>
      <c r="P26" s="312"/>
      <c r="Q26" s="312"/>
    </row>
    <row r="27" spans="1:18" ht="24" x14ac:dyDescent="0.25">
      <c r="A27" s="374">
        <v>5</v>
      </c>
      <c r="B27" s="376" t="s">
        <v>337</v>
      </c>
      <c r="C27" s="377" t="s">
        <v>338</v>
      </c>
      <c r="D27" s="375" t="s">
        <v>324</v>
      </c>
      <c r="E27" s="375">
        <v>0.16</v>
      </c>
      <c r="F27" s="379">
        <v>333.15</v>
      </c>
      <c r="G27" s="379">
        <v>180.12</v>
      </c>
      <c r="H27" s="379">
        <v>64.599999999999994</v>
      </c>
      <c r="I27" s="379">
        <v>2.59</v>
      </c>
      <c r="J27" s="380">
        <v>53.3</v>
      </c>
      <c r="K27" s="380">
        <v>28.82</v>
      </c>
      <c r="L27" s="380">
        <v>10.34</v>
      </c>
      <c r="M27" s="380">
        <v>0.41</v>
      </c>
      <c r="N27" s="312"/>
      <c r="O27" s="312"/>
      <c r="P27" s="312"/>
      <c r="Q27" s="312"/>
    </row>
    <row r="28" spans="1:18" ht="14.4" customHeight="1" x14ac:dyDescent="0.25">
      <c r="A28" s="374">
        <v>6</v>
      </c>
      <c r="B28" s="376" t="s">
        <v>323</v>
      </c>
      <c r="C28" s="377" t="s">
        <v>339</v>
      </c>
      <c r="D28" s="375" t="s">
        <v>324</v>
      </c>
      <c r="E28" s="375">
        <v>0.2</v>
      </c>
      <c r="F28" s="379">
        <v>270.02</v>
      </c>
      <c r="G28" s="379">
        <v>157.37</v>
      </c>
      <c r="H28" s="379">
        <v>69.09</v>
      </c>
      <c r="I28" s="379">
        <v>2.99</v>
      </c>
      <c r="J28" s="380">
        <v>54</v>
      </c>
      <c r="K28" s="380">
        <v>31.47</v>
      </c>
      <c r="L28" s="380">
        <v>13.82</v>
      </c>
      <c r="M28" s="380">
        <v>0.6</v>
      </c>
      <c r="N28" s="312"/>
      <c r="O28" s="312"/>
      <c r="P28" s="312"/>
      <c r="Q28" s="312"/>
    </row>
    <row r="29" spans="1:18" x14ac:dyDescent="0.25">
      <c r="A29" s="374">
        <v>7</v>
      </c>
      <c r="B29" s="376" t="s">
        <v>340</v>
      </c>
      <c r="C29" s="377" t="s">
        <v>341</v>
      </c>
      <c r="D29" s="375" t="s">
        <v>128</v>
      </c>
      <c r="E29" s="375">
        <v>2.5000000000000001E-2</v>
      </c>
      <c r="F29" s="379">
        <v>6136.6</v>
      </c>
      <c r="G29" s="380"/>
      <c r="H29" s="380"/>
      <c r="I29" s="380"/>
      <c r="J29" s="380">
        <v>153.41999999999999</v>
      </c>
      <c r="K29" s="380"/>
      <c r="L29" s="380"/>
      <c r="M29" s="380"/>
      <c r="N29" s="312"/>
      <c r="O29" s="312"/>
      <c r="P29" s="312"/>
      <c r="Q29" s="312"/>
    </row>
    <row r="30" spans="1:18" ht="17.399999999999999" customHeight="1" x14ac:dyDescent="0.25">
      <c r="A30" s="459" t="s">
        <v>342</v>
      </c>
      <c r="B30" s="458"/>
      <c r="C30" s="458"/>
      <c r="D30" s="458"/>
      <c r="E30" s="458"/>
      <c r="F30" s="458"/>
      <c r="G30" s="458"/>
      <c r="H30" s="458"/>
      <c r="I30" s="458"/>
      <c r="J30" s="458"/>
      <c r="K30" s="458"/>
      <c r="L30" s="458"/>
      <c r="M30" s="458"/>
      <c r="N30" s="254"/>
      <c r="O30" s="254"/>
      <c r="P30" s="254"/>
      <c r="Q30" s="254"/>
    </row>
    <row r="31" spans="1:18" ht="34.799999999999997" customHeight="1" x14ac:dyDescent="0.25">
      <c r="A31" s="381" t="s">
        <v>399</v>
      </c>
      <c r="B31" s="376" t="s">
        <v>350</v>
      </c>
      <c r="C31" s="377" t="s">
        <v>343</v>
      </c>
      <c r="D31" s="375"/>
      <c r="E31" s="378">
        <v>1</v>
      </c>
      <c r="F31" s="379" t="s">
        <v>419</v>
      </c>
      <c r="G31" s="380"/>
      <c r="H31" s="380"/>
      <c r="I31" s="380"/>
      <c r="J31" s="380">
        <v>12680.79</v>
      </c>
      <c r="K31" s="380"/>
      <c r="L31" s="380"/>
      <c r="M31" s="380"/>
      <c r="N31" s="312"/>
      <c r="O31" s="312"/>
      <c r="P31" s="312"/>
      <c r="Q31" s="312"/>
    </row>
    <row r="32" spans="1:18" ht="13.2" customHeight="1" x14ac:dyDescent="0.25">
      <c r="A32" s="459" t="s">
        <v>344</v>
      </c>
      <c r="B32" s="458"/>
      <c r="C32" s="458"/>
      <c r="D32" s="458"/>
      <c r="E32" s="458"/>
      <c r="F32" s="458"/>
      <c r="G32" s="458"/>
      <c r="H32" s="458"/>
      <c r="I32" s="458"/>
      <c r="J32" s="458"/>
      <c r="K32" s="458"/>
      <c r="L32" s="458"/>
      <c r="M32" s="458"/>
      <c r="N32" s="254"/>
      <c r="O32" s="254"/>
      <c r="P32" s="254"/>
      <c r="Q32" s="254"/>
      <c r="R32" s="406"/>
    </row>
    <row r="33" spans="1:17" ht="15" customHeight="1" x14ac:dyDescent="0.25">
      <c r="A33" s="374">
        <v>9</v>
      </c>
      <c r="B33" s="376" t="s">
        <v>181</v>
      </c>
      <c r="C33" s="377" t="s">
        <v>182</v>
      </c>
      <c r="D33" s="375" t="s">
        <v>125</v>
      </c>
      <c r="E33" s="378">
        <v>1</v>
      </c>
      <c r="F33" s="379">
        <v>73.88</v>
      </c>
      <c r="G33" s="379">
        <v>73.88</v>
      </c>
      <c r="H33" s="380"/>
      <c r="I33" s="380"/>
      <c r="J33" s="380">
        <v>73.88</v>
      </c>
      <c r="K33" s="380">
        <v>73.88</v>
      </c>
      <c r="L33" s="380"/>
      <c r="M33" s="380"/>
      <c r="N33" s="312"/>
      <c r="O33" s="312"/>
      <c r="P33" s="312"/>
      <c r="Q33" s="312"/>
    </row>
    <row r="34" spans="1:17" ht="36" x14ac:dyDescent="0.25">
      <c r="A34" s="374">
        <v>10</v>
      </c>
      <c r="B34" s="376" t="s">
        <v>163</v>
      </c>
      <c r="C34" s="377" t="s">
        <v>164</v>
      </c>
      <c r="D34" s="375" t="s">
        <v>165</v>
      </c>
      <c r="E34" s="378">
        <v>0.03</v>
      </c>
      <c r="F34" s="379">
        <v>206.64</v>
      </c>
      <c r="G34" s="379">
        <v>206.64</v>
      </c>
      <c r="H34" s="380"/>
      <c r="I34" s="380"/>
      <c r="J34" s="380">
        <v>6.2</v>
      </c>
      <c r="K34" s="380">
        <v>6.2</v>
      </c>
      <c r="L34" s="380"/>
      <c r="M34" s="380"/>
      <c r="N34" s="312"/>
      <c r="O34" s="312"/>
      <c r="P34" s="312"/>
      <c r="Q34" s="312"/>
    </row>
    <row r="35" spans="1:17" ht="13.2" customHeight="1" x14ac:dyDescent="0.25">
      <c r="A35" s="374">
        <v>11</v>
      </c>
      <c r="B35" s="376" t="s">
        <v>345</v>
      </c>
      <c r="C35" s="377" t="s">
        <v>346</v>
      </c>
      <c r="D35" s="375" t="s">
        <v>347</v>
      </c>
      <c r="E35" s="378">
        <v>3</v>
      </c>
      <c r="F35" s="379">
        <v>20.92</v>
      </c>
      <c r="G35" s="379">
        <v>20.92</v>
      </c>
      <c r="H35" s="380"/>
      <c r="I35" s="380"/>
      <c r="J35" s="380">
        <v>62.76</v>
      </c>
      <c r="K35" s="380">
        <v>62.76</v>
      </c>
      <c r="L35" s="380"/>
      <c r="M35" s="380"/>
      <c r="N35" s="312"/>
      <c r="O35" s="312"/>
      <c r="P35" s="312"/>
      <c r="Q35" s="312"/>
    </row>
    <row r="36" spans="1:17" ht="13.2" customHeight="1" x14ac:dyDescent="0.25">
      <c r="A36" s="459" t="s">
        <v>225</v>
      </c>
      <c r="B36" s="458"/>
      <c r="C36" s="458"/>
      <c r="D36" s="458"/>
      <c r="E36" s="458"/>
      <c r="F36" s="458"/>
      <c r="G36" s="458"/>
      <c r="H36" s="458"/>
      <c r="I36" s="458"/>
      <c r="J36" s="379">
        <v>14604.8</v>
      </c>
      <c r="K36" s="379">
        <v>335.41</v>
      </c>
      <c r="L36" s="379">
        <v>172.91</v>
      </c>
      <c r="M36" s="379">
        <v>11.43</v>
      </c>
      <c r="N36" s="312"/>
      <c r="O36" s="183"/>
      <c r="P36" s="312"/>
      <c r="Q36" s="183"/>
    </row>
    <row r="37" spans="1:17" ht="13.2" customHeight="1" x14ac:dyDescent="0.25">
      <c r="A37" s="459" t="s">
        <v>130</v>
      </c>
      <c r="B37" s="458"/>
      <c r="C37" s="458"/>
      <c r="D37" s="458"/>
      <c r="E37" s="458"/>
      <c r="F37" s="458"/>
      <c r="G37" s="458"/>
      <c r="H37" s="458"/>
      <c r="I37" s="458"/>
      <c r="J37" s="379">
        <v>295.75</v>
      </c>
      <c r="K37" s="380"/>
      <c r="L37" s="380"/>
      <c r="M37" s="380"/>
      <c r="N37" s="312"/>
      <c r="O37" s="312"/>
      <c r="P37" s="312"/>
      <c r="Q37" s="312"/>
    </row>
    <row r="38" spans="1:17" ht="13.2" customHeight="1" x14ac:dyDescent="0.25">
      <c r="A38" s="459" t="s">
        <v>131</v>
      </c>
      <c r="B38" s="458"/>
      <c r="C38" s="458"/>
      <c r="D38" s="458"/>
      <c r="E38" s="458"/>
      <c r="F38" s="458"/>
      <c r="G38" s="458"/>
      <c r="H38" s="458"/>
      <c r="I38" s="458"/>
      <c r="J38" s="379">
        <v>185.19</v>
      </c>
      <c r="K38" s="380"/>
      <c r="L38" s="380"/>
      <c r="M38" s="380"/>
      <c r="N38" s="312"/>
      <c r="O38" s="312"/>
      <c r="P38" s="312"/>
      <c r="Q38" s="312"/>
    </row>
    <row r="39" spans="1:17" ht="13.2" customHeight="1" x14ac:dyDescent="0.25">
      <c r="A39" s="457" t="s">
        <v>348</v>
      </c>
      <c r="B39" s="458"/>
      <c r="C39" s="458"/>
      <c r="D39" s="458"/>
      <c r="E39" s="458"/>
      <c r="F39" s="458"/>
      <c r="G39" s="458"/>
      <c r="H39" s="458"/>
      <c r="I39" s="458"/>
      <c r="J39" s="382">
        <f>SUM(J36:J38)</f>
        <v>15085.74</v>
      </c>
      <c r="K39" s="380"/>
      <c r="L39" s="380"/>
      <c r="M39" s="380"/>
      <c r="N39" s="312"/>
      <c r="O39" s="220"/>
      <c r="P39" s="312"/>
      <c r="Q39" s="220"/>
    </row>
    <row r="40" spans="1:17" ht="13.2" customHeight="1" x14ac:dyDescent="0.25">
      <c r="A40" s="464" t="s">
        <v>253</v>
      </c>
      <c r="B40" s="465"/>
      <c r="C40" s="465"/>
      <c r="D40" s="465"/>
      <c r="E40" s="465"/>
      <c r="F40" s="465"/>
      <c r="G40" s="465"/>
      <c r="H40" s="465"/>
      <c r="I40" s="465"/>
      <c r="J40" s="465"/>
      <c r="K40" s="465"/>
      <c r="L40" s="465"/>
      <c r="M40" s="465"/>
      <c r="N40" s="341"/>
      <c r="O40" s="341"/>
      <c r="P40" s="341"/>
      <c r="Q40" s="341"/>
    </row>
    <row r="41" spans="1:17" ht="13.2" customHeight="1" x14ac:dyDescent="0.25">
      <c r="A41" s="459" t="s">
        <v>129</v>
      </c>
      <c r="B41" s="458"/>
      <c r="C41" s="458"/>
      <c r="D41" s="458"/>
      <c r="E41" s="458"/>
      <c r="F41" s="458"/>
      <c r="G41" s="458"/>
      <c r="H41" s="458"/>
      <c r="I41" s="458"/>
      <c r="J41" s="379">
        <v>14604.8</v>
      </c>
      <c r="K41" s="379">
        <v>335.41</v>
      </c>
      <c r="L41" s="379">
        <v>172.91</v>
      </c>
      <c r="M41" s="379">
        <v>11.43</v>
      </c>
      <c r="N41" s="312"/>
      <c r="O41" s="312"/>
      <c r="P41" s="312"/>
      <c r="Q41" s="312"/>
    </row>
    <row r="42" spans="1:17" ht="13.2" customHeight="1" x14ac:dyDescent="0.25">
      <c r="A42" s="459" t="s">
        <v>130</v>
      </c>
      <c r="B42" s="458"/>
      <c r="C42" s="458"/>
      <c r="D42" s="458"/>
      <c r="E42" s="458"/>
      <c r="F42" s="458"/>
      <c r="G42" s="458"/>
      <c r="H42" s="458"/>
      <c r="I42" s="458"/>
      <c r="J42" s="379">
        <v>295.75</v>
      </c>
      <c r="K42" s="380"/>
      <c r="L42" s="380"/>
      <c r="M42" s="380"/>
      <c r="N42" s="312"/>
      <c r="O42" s="183"/>
      <c r="P42" s="312"/>
      <c r="Q42" s="183"/>
    </row>
    <row r="43" spans="1:17" ht="13.2" customHeight="1" x14ac:dyDescent="0.25">
      <c r="A43" s="459" t="s">
        <v>131</v>
      </c>
      <c r="B43" s="458"/>
      <c r="C43" s="458"/>
      <c r="D43" s="458"/>
      <c r="E43" s="458"/>
      <c r="F43" s="458"/>
      <c r="G43" s="458"/>
      <c r="H43" s="458"/>
      <c r="I43" s="458"/>
      <c r="J43" s="379">
        <v>185.19</v>
      </c>
      <c r="K43" s="380"/>
      <c r="L43" s="380"/>
      <c r="M43" s="380"/>
      <c r="N43" s="312"/>
      <c r="O43" s="183"/>
      <c r="P43" s="312"/>
      <c r="Q43" s="183"/>
    </row>
    <row r="44" spans="1:17" ht="13.2" customHeight="1" x14ac:dyDescent="0.25">
      <c r="A44" s="457" t="s">
        <v>132</v>
      </c>
      <c r="B44" s="458"/>
      <c r="C44" s="458"/>
      <c r="D44" s="458"/>
      <c r="E44" s="458"/>
      <c r="F44" s="458"/>
      <c r="G44" s="458"/>
      <c r="H44" s="458"/>
      <c r="I44" s="458"/>
      <c r="J44" s="380"/>
      <c r="K44" s="380"/>
      <c r="L44" s="380"/>
      <c r="M44" s="380"/>
      <c r="N44" s="312"/>
      <c r="O44" s="312"/>
      <c r="P44" s="312"/>
      <c r="Q44" s="312"/>
    </row>
    <row r="45" spans="1:17" ht="13.2" customHeight="1" x14ac:dyDescent="0.25">
      <c r="A45" s="459" t="s">
        <v>133</v>
      </c>
      <c r="B45" s="458"/>
      <c r="C45" s="458"/>
      <c r="D45" s="458"/>
      <c r="E45" s="458"/>
      <c r="F45" s="458"/>
      <c r="G45" s="458"/>
      <c r="H45" s="458"/>
      <c r="I45" s="458"/>
      <c r="J45" s="379">
        <v>1468.31</v>
      </c>
      <c r="K45" s="380"/>
      <c r="L45" s="380"/>
      <c r="M45" s="380"/>
      <c r="N45" s="312"/>
      <c r="O45" s="183"/>
      <c r="P45" s="312"/>
      <c r="Q45" s="312"/>
    </row>
    <row r="46" spans="1:17" x14ac:dyDescent="0.25">
      <c r="A46" s="459" t="s">
        <v>134</v>
      </c>
      <c r="B46" s="458"/>
      <c r="C46" s="458"/>
      <c r="D46" s="458"/>
      <c r="E46" s="458"/>
      <c r="F46" s="458"/>
      <c r="G46" s="458"/>
      <c r="H46" s="458"/>
      <c r="I46" s="458"/>
      <c r="J46" s="379">
        <v>490.39</v>
      </c>
      <c r="K46" s="380"/>
      <c r="L46" s="380"/>
      <c r="M46" s="380"/>
      <c r="N46" s="312"/>
      <c r="O46" s="183"/>
      <c r="P46" s="312"/>
      <c r="Q46" s="183"/>
    </row>
    <row r="47" spans="1:17" ht="13.2" customHeight="1" x14ac:dyDescent="0.25">
      <c r="A47" s="459" t="s">
        <v>183</v>
      </c>
      <c r="B47" s="458"/>
      <c r="C47" s="458"/>
      <c r="D47" s="458"/>
      <c r="E47" s="458"/>
      <c r="F47" s="458"/>
      <c r="G47" s="458"/>
      <c r="H47" s="458"/>
      <c r="I47" s="458"/>
      <c r="J47" s="379">
        <v>12680.79</v>
      </c>
      <c r="K47" s="380"/>
      <c r="L47" s="380"/>
      <c r="M47" s="380"/>
      <c r="N47" s="312"/>
      <c r="O47" s="220"/>
      <c r="P47" s="312"/>
      <c r="Q47" s="220"/>
    </row>
    <row r="48" spans="1:17" ht="13.2" customHeight="1" x14ac:dyDescent="0.25">
      <c r="A48" s="459" t="s">
        <v>135</v>
      </c>
      <c r="B48" s="458"/>
      <c r="C48" s="458"/>
      <c r="D48" s="458"/>
      <c r="E48" s="458"/>
      <c r="F48" s="458"/>
      <c r="G48" s="458"/>
      <c r="H48" s="458"/>
      <c r="I48" s="458"/>
      <c r="J48" s="379">
        <v>446.25</v>
      </c>
      <c r="K48" s="380"/>
      <c r="L48" s="380"/>
      <c r="M48" s="380"/>
      <c r="N48" s="218"/>
      <c r="O48" s="218"/>
      <c r="P48" s="218"/>
      <c r="Q48" s="218"/>
    </row>
    <row r="49" spans="1:13" ht="13.2" customHeight="1" x14ac:dyDescent="0.25">
      <c r="A49" s="459" t="s">
        <v>136</v>
      </c>
      <c r="B49" s="458"/>
      <c r="C49" s="458"/>
      <c r="D49" s="458"/>
      <c r="E49" s="458"/>
      <c r="F49" s="458"/>
      <c r="G49" s="458"/>
      <c r="H49" s="458"/>
      <c r="I49" s="458"/>
      <c r="J49" s="379">
        <v>15085.74</v>
      </c>
      <c r="K49" s="380"/>
      <c r="L49" s="380"/>
      <c r="M49" s="380"/>
    </row>
    <row r="50" spans="1:13" ht="13.2" customHeight="1" x14ac:dyDescent="0.25">
      <c r="A50" s="457" t="s">
        <v>137</v>
      </c>
      <c r="B50" s="458"/>
      <c r="C50" s="458"/>
      <c r="D50" s="458"/>
      <c r="E50" s="458"/>
      <c r="F50" s="458"/>
      <c r="G50" s="458"/>
      <c r="H50" s="458"/>
      <c r="I50" s="458"/>
      <c r="J50" s="383">
        <v>15085.74</v>
      </c>
      <c r="K50" s="380"/>
      <c r="L50" s="380"/>
      <c r="M50" s="380"/>
    </row>
  </sheetData>
  <mergeCells count="45">
    <mergeCell ref="D6:J6"/>
    <mergeCell ref="E9:F9"/>
    <mergeCell ref="J10:K10"/>
    <mergeCell ref="J11:K11"/>
    <mergeCell ref="J12:K12"/>
    <mergeCell ref="F10:G10"/>
    <mergeCell ref="F11:G11"/>
    <mergeCell ref="F12:G12"/>
    <mergeCell ref="A42:I42"/>
    <mergeCell ref="A43:I43"/>
    <mergeCell ref="A44:I44"/>
    <mergeCell ref="J13:K13"/>
    <mergeCell ref="J14:K14"/>
    <mergeCell ref="J15:K15"/>
    <mergeCell ref="J16:K16"/>
    <mergeCell ref="A37:I37"/>
    <mergeCell ref="A38:I38"/>
    <mergeCell ref="A39:I39"/>
    <mergeCell ref="A40:M40"/>
    <mergeCell ref="A41:I41"/>
    <mergeCell ref="J18:M18"/>
    <mergeCell ref="F19:F20"/>
    <mergeCell ref="G19:I19"/>
    <mergeCell ref="J19:J20"/>
    <mergeCell ref="K19:M19"/>
    <mergeCell ref="D18:D20"/>
    <mergeCell ref="E18:E20"/>
    <mergeCell ref="F18:I18"/>
    <mergeCell ref="A50:I50"/>
    <mergeCell ref="A45:I45"/>
    <mergeCell ref="A46:I46"/>
    <mergeCell ref="A47:I47"/>
    <mergeCell ref="A48:I48"/>
    <mergeCell ref="A49:I49"/>
    <mergeCell ref="A22:M22"/>
    <mergeCell ref="A18:A20"/>
    <mergeCell ref="B18:B20"/>
    <mergeCell ref="C18:C20"/>
    <mergeCell ref="A30:M30"/>
    <mergeCell ref="A32:M32"/>
    <mergeCell ref="A36:I36"/>
    <mergeCell ref="F15:G15"/>
    <mergeCell ref="F16:G16"/>
    <mergeCell ref="F14:G14"/>
    <mergeCell ref="F13:G13"/>
  </mergeCells>
  <pageMargins left="0" right="0" top="0" bottom="0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37" workbookViewId="0">
      <selection activeCell="H22" sqref="H22"/>
    </sheetView>
  </sheetViews>
  <sheetFormatPr defaultRowHeight="13.2" x14ac:dyDescent="0.25"/>
  <cols>
    <col min="1" max="1" width="4.44140625" customWidth="1"/>
    <col min="2" max="2" width="18.77734375" customWidth="1"/>
    <col min="3" max="3" width="42.77734375" customWidth="1"/>
    <col min="4" max="4" width="10.88671875" customWidth="1"/>
    <col min="5" max="5" width="11.6640625" customWidth="1"/>
    <col min="6" max="6" width="11.44140625" customWidth="1"/>
    <col min="7" max="7" width="13.109375" customWidth="1"/>
    <col min="8" max="8" width="9.5546875" customWidth="1"/>
    <col min="9" max="9" width="12.6640625" customWidth="1"/>
  </cols>
  <sheetData>
    <row r="1" spans="1:9" x14ac:dyDescent="0.25">
      <c r="A1" s="200"/>
      <c r="B1" s="1"/>
      <c r="C1" s="2"/>
      <c r="D1" s="2"/>
      <c r="E1" s="3"/>
      <c r="F1" s="3"/>
      <c r="G1" s="3"/>
      <c r="H1" s="3"/>
      <c r="I1" s="4"/>
    </row>
    <row r="2" spans="1:9" ht="13.8" x14ac:dyDescent="0.25">
      <c r="A2" s="200"/>
      <c r="B2" s="1"/>
      <c r="C2" s="6"/>
      <c r="D2" s="6"/>
      <c r="E2" s="3"/>
      <c r="F2" s="7"/>
      <c r="G2" s="8"/>
      <c r="H2" s="7"/>
      <c r="I2" s="195"/>
    </row>
    <row r="3" spans="1:9" ht="13.8" x14ac:dyDescent="0.25">
      <c r="A3" s="200"/>
      <c r="B3" s="1"/>
      <c r="C3" s="2"/>
      <c r="D3" s="2"/>
      <c r="E3" s="3"/>
      <c r="F3" s="9"/>
      <c r="G3" s="9"/>
      <c r="H3" s="195"/>
      <c r="I3" s="195"/>
    </row>
    <row r="4" spans="1:9" ht="13.8" x14ac:dyDescent="0.25">
      <c r="A4" s="200"/>
      <c r="B4" s="10" t="s">
        <v>88</v>
      </c>
      <c r="C4" s="11"/>
      <c r="D4" s="11"/>
      <c r="E4" s="196"/>
      <c r="F4" s="195"/>
      <c r="G4" s="410"/>
      <c r="H4" s="410"/>
      <c r="I4" s="410"/>
    </row>
    <row r="5" spans="1:9" ht="13.8" x14ac:dyDescent="0.25">
      <c r="A5" s="200"/>
      <c r="B5" s="12">
        <f>I54</f>
        <v>963.30814550210255</v>
      </c>
      <c r="C5" s="2" t="s">
        <v>32</v>
      </c>
      <c r="D5" s="2"/>
      <c r="E5" s="3"/>
      <c r="F5" s="410"/>
      <c r="G5" s="410"/>
      <c r="H5" s="410"/>
      <c r="I5" s="410"/>
    </row>
    <row r="6" spans="1:9" ht="13.8" x14ac:dyDescent="0.25">
      <c r="A6" s="200"/>
      <c r="B6" s="1"/>
      <c r="C6" s="2"/>
      <c r="D6" s="2"/>
      <c r="E6" s="13"/>
      <c r="F6" s="8"/>
      <c r="G6" s="8"/>
      <c r="H6" s="7"/>
      <c r="I6" s="7"/>
    </row>
    <row r="7" spans="1:9" ht="13.8" x14ac:dyDescent="0.25">
      <c r="A7" s="200"/>
      <c r="B7" s="14"/>
      <c r="C7" s="15"/>
      <c r="D7" s="15"/>
      <c r="E7" s="3"/>
      <c r="F7" s="410"/>
      <c r="G7" s="410"/>
      <c r="H7" s="410"/>
      <c r="I7" s="410"/>
    </row>
    <row r="8" spans="1:9" x14ac:dyDescent="0.25">
      <c r="A8" s="200"/>
      <c r="B8" s="16"/>
      <c r="C8" s="17"/>
      <c r="D8" s="17"/>
      <c r="E8" s="13"/>
      <c r="F8" s="13"/>
      <c r="G8" s="13"/>
      <c r="H8" s="3"/>
      <c r="I8" s="3"/>
    </row>
    <row r="9" spans="1:9" x14ac:dyDescent="0.25">
      <c r="A9" s="200"/>
      <c r="B9" s="12"/>
      <c r="C9" s="2"/>
      <c r="D9" s="2"/>
      <c r="E9" s="13"/>
      <c r="F9" s="18"/>
      <c r="G9" s="13"/>
      <c r="H9" s="3"/>
      <c r="I9" s="3"/>
    </row>
    <row r="10" spans="1:9" x14ac:dyDescent="0.25">
      <c r="A10" s="411" t="s">
        <v>33</v>
      </c>
      <c r="B10" s="411"/>
      <c r="C10" s="411"/>
      <c r="D10" s="411"/>
      <c r="E10" s="411"/>
      <c r="F10" s="411"/>
      <c r="G10" s="411"/>
      <c r="H10" s="411"/>
      <c r="I10" s="411"/>
    </row>
    <row r="11" spans="1:9" ht="13.2" customHeight="1" x14ac:dyDescent="0.25">
      <c r="A11" s="448" t="s">
        <v>260</v>
      </c>
      <c r="B11" s="448"/>
      <c r="C11" s="448"/>
      <c r="D11" s="448"/>
      <c r="E11" s="448"/>
      <c r="F11" s="448"/>
      <c r="G11" s="448"/>
      <c r="H11" s="448"/>
      <c r="I11" s="448"/>
    </row>
    <row r="12" spans="1:9" ht="15.6" customHeight="1" x14ac:dyDescent="0.25">
      <c r="A12" s="474" t="s">
        <v>206</v>
      </c>
      <c r="B12" s="474"/>
      <c r="C12" s="474"/>
      <c r="D12" s="474"/>
      <c r="E12" s="474"/>
      <c r="F12" s="474"/>
      <c r="G12" s="474"/>
      <c r="H12" s="474"/>
      <c r="I12" s="474"/>
    </row>
    <row r="13" spans="1:9" x14ac:dyDescent="0.25">
      <c r="A13" s="200"/>
      <c r="B13" s="12"/>
      <c r="C13" s="447" t="s">
        <v>1</v>
      </c>
      <c r="D13" s="447"/>
      <c r="E13" s="447"/>
      <c r="F13" s="447"/>
      <c r="G13" s="447"/>
      <c r="H13" s="447"/>
      <c r="I13" s="19"/>
    </row>
    <row r="14" spans="1:9" x14ac:dyDescent="0.25">
      <c r="A14" s="200"/>
      <c r="B14" s="1"/>
      <c r="C14" s="2"/>
      <c r="D14" s="2"/>
      <c r="E14" s="20"/>
      <c r="F14" s="20"/>
      <c r="G14" s="20"/>
      <c r="H14" s="20"/>
      <c r="I14" s="19"/>
    </row>
    <row r="15" spans="1:9" x14ac:dyDescent="0.25">
      <c r="A15" s="200"/>
      <c r="B15" s="1" t="s">
        <v>95</v>
      </c>
      <c r="C15" s="2"/>
      <c r="D15" s="2"/>
      <c r="E15" s="21"/>
      <c r="F15" s="3"/>
      <c r="G15" s="3"/>
      <c r="H15" s="3"/>
      <c r="I15" s="3"/>
    </row>
    <row r="16" spans="1:9" ht="13.2" customHeight="1" x14ac:dyDescent="0.25">
      <c r="A16" s="416" t="s">
        <v>2</v>
      </c>
      <c r="B16" s="417" t="s">
        <v>3</v>
      </c>
      <c r="C16" s="418" t="s">
        <v>4</v>
      </c>
      <c r="D16" s="419"/>
      <c r="E16" s="424" t="s">
        <v>86</v>
      </c>
      <c r="F16" s="424"/>
      <c r="G16" s="424"/>
      <c r="H16" s="424"/>
      <c r="I16" s="416" t="s">
        <v>6</v>
      </c>
    </row>
    <row r="17" spans="1:9" ht="13.2" customHeight="1" x14ac:dyDescent="0.25">
      <c r="A17" s="416"/>
      <c r="B17" s="417"/>
      <c r="C17" s="420"/>
      <c r="D17" s="421"/>
      <c r="E17" s="416" t="s">
        <v>7</v>
      </c>
      <c r="F17" s="416" t="s">
        <v>8</v>
      </c>
      <c r="G17" s="438" t="s">
        <v>9</v>
      </c>
      <c r="H17" s="438" t="s">
        <v>10</v>
      </c>
      <c r="I17" s="416"/>
    </row>
    <row r="18" spans="1:9" x14ac:dyDescent="0.25">
      <c r="A18" s="416"/>
      <c r="B18" s="417"/>
      <c r="C18" s="420"/>
      <c r="D18" s="421"/>
      <c r="E18" s="416"/>
      <c r="F18" s="416"/>
      <c r="G18" s="439"/>
      <c r="H18" s="439"/>
      <c r="I18" s="416"/>
    </row>
    <row r="19" spans="1:9" x14ac:dyDescent="0.25">
      <c r="A19" s="416"/>
      <c r="B19" s="417"/>
      <c r="C19" s="422"/>
      <c r="D19" s="423"/>
      <c r="E19" s="416"/>
      <c r="F19" s="416"/>
      <c r="G19" s="440"/>
      <c r="H19" s="440"/>
      <c r="I19" s="416"/>
    </row>
    <row r="20" spans="1:9" x14ac:dyDescent="0.25">
      <c r="A20" s="198">
        <v>1</v>
      </c>
      <c r="B20" s="22">
        <v>2</v>
      </c>
      <c r="C20" s="71">
        <v>3</v>
      </c>
      <c r="D20" s="72"/>
      <c r="E20" s="198">
        <v>4</v>
      </c>
      <c r="F20" s="198">
        <v>5</v>
      </c>
      <c r="G20" s="198">
        <v>6</v>
      </c>
      <c r="H20" s="198">
        <v>7</v>
      </c>
      <c r="I20" s="198">
        <v>8</v>
      </c>
    </row>
    <row r="21" spans="1:9" ht="13.2" customHeight="1" x14ac:dyDescent="0.25">
      <c r="A21" s="425" t="s">
        <v>11</v>
      </c>
      <c r="B21" s="426"/>
      <c r="C21" s="426"/>
      <c r="D21" s="426"/>
      <c r="E21" s="426"/>
      <c r="F21" s="426"/>
      <c r="G21" s="426"/>
      <c r="H21" s="426"/>
      <c r="I21" s="426"/>
    </row>
    <row r="22" spans="1:9" ht="21" customHeight="1" x14ac:dyDescent="0.25">
      <c r="A22" s="23">
        <v>1</v>
      </c>
      <c r="B22" s="163" t="s">
        <v>195</v>
      </c>
      <c r="C22" s="441" t="s">
        <v>202</v>
      </c>
      <c r="D22" s="442"/>
      <c r="E22" s="24">
        <v>1.54017</v>
      </c>
      <c r="F22" s="24">
        <v>136.73500000000001</v>
      </c>
      <c r="G22" s="24">
        <v>0</v>
      </c>
      <c r="H22" s="24">
        <v>0.53600000000000003</v>
      </c>
      <c r="I22" s="24">
        <f>E22+F22+G22+H22</f>
        <v>138.81117</v>
      </c>
    </row>
    <row r="23" spans="1:9" ht="13.2" customHeight="1" x14ac:dyDescent="0.25">
      <c r="A23" s="26"/>
      <c r="B23" s="27"/>
      <c r="C23" s="73" t="s">
        <v>12</v>
      </c>
      <c r="D23" s="74"/>
      <c r="E23" s="139">
        <f>SUM(E22:E22)</f>
        <v>1.54017</v>
      </c>
      <c r="F23" s="139">
        <f>SUM(F22:F22)</f>
        <v>136.73500000000001</v>
      </c>
      <c r="G23" s="139">
        <f>SUM(G22:G22)</f>
        <v>0</v>
      </c>
      <c r="H23" s="32">
        <f>SUM(H22:H22)</f>
        <v>0.53600000000000003</v>
      </c>
      <c r="I23" s="24">
        <f>SUM(I22:I22)</f>
        <v>138.81117</v>
      </c>
    </row>
    <row r="24" spans="1:9" ht="19.2" customHeight="1" x14ac:dyDescent="0.25">
      <c r="A24" s="425" t="s">
        <v>13</v>
      </c>
      <c r="B24" s="426"/>
      <c r="C24" s="426"/>
      <c r="D24" s="426"/>
      <c r="E24" s="426"/>
      <c r="F24" s="426"/>
      <c r="G24" s="426"/>
      <c r="H24" s="426"/>
      <c r="I24" s="426"/>
    </row>
    <row r="25" spans="1:9" ht="30.6" x14ac:dyDescent="0.25">
      <c r="A25" s="30">
        <v>2</v>
      </c>
      <c r="B25" s="162" t="s">
        <v>97</v>
      </c>
      <c r="C25" s="441" t="s">
        <v>96</v>
      </c>
      <c r="D25" s="449"/>
      <c r="E25" s="141">
        <f>E23*0.025</f>
        <v>3.8504250000000004E-2</v>
      </c>
      <c r="F25" s="141">
        <f>F23*0.025</f>
        <v>3.4183750000000006</v>
      </c>
      <c r="G25" s="141">
        <v>0</v>
      </c>
      <c r="H25" s="141">
        <v>0</v>
      </c>
      <c r="I25" s="141">
        <f>E25+F25</f>
        <v>3.4568792500000005</v>
      </c>
    </row>
    <row r="26" spans="1:9" ht="13.2" customHeight="1" x14ac:dyDescent="0.25">
      <c r="A26" s="199"/>
      <c r="B26" s="162"/>
      <c r="C26" s="73" t="s">
        <v>98</v>
      </c>
      <c r="D26" s="202"/>
      <c r="E26" s="141">
        <f>E23+E25</f>
        <v>1.5786742499999999</v>
      </c>
      <c r="F26" s="141">
        <f>F25+F23</f>
        <v>140.15337500000001</v>
      </c>
      <c r="G26" s="141">
        <f>G25+G23</f>
        <v>0</v>
      </c>
      <c r="H26" s="141">
        <f>H25+H23</f>
        <v>0.53600000000000003</v>
      </c>
      <c r="I26" s="141">
        <f>I25+I23</f>
        <v>142.26804925000002</v>
      </c>
    </row>
    <row r="27" spans="1:9" ht="13.2" customHeight="1" x14ac:dyDescent="0.25">
      <c r="A27" s="427" t="s">
        <v>14</v>
      </c>
      <c r="B27" s="428"/>
      <c r="C27" s="428"/>
      <c r="D27" s="428"/>
      <c r="E27" s="428"/>
      <c r="F27" s="428"/>
      <c r="G27" s="428"/>
      <c r="H27" s="428"/>
      <c r="I27" s="428"/>
    </row>
    <row r="28" spans="1:9" ht="20.399999999999999" x14ac:dyDescent="0.25">
      <c r="A28" s="30">
        <v>3</v>
      </c>
      <c r="B28" s="31" t="s">
        <v>15</v>
      </c>
      <c r="C28" s="77" t="s">
        <v>76</v>
      </c>
      <c r="D28" s="78"/>
      <c r="E28" s="141">
        <f>E26*1.9%</f>
        <v>2.999481075E-2</v>
      </c>
      <c r="F28" s="141">
        <f>F26*1.9%</f>
        <v>2.6629141250000004</v>
      </c>
      <c r="G28" s="141">
        <v>0</v>
      </c>
      <c r="H28" s="141">
        <v>0</v>
      </c>
      <c r="I28" s="141">
        <f>E28+F28</f>
        <v>2.6929089357500002</v>
      </c>
    </row>
    <row r="29" spans="1:9" x14ac:dyDescent="0.25">
      <c r="A29" s="26"/>
      <c r="B29" s="36"/>
      <c r="C29" s="73" t="s">
        <v>18</v>
      </c>
      <c r="D29" s="74"/>
      <c r="E29" s="141">
        <f>SUM(E28:E28)</f>
        <v>2.999481075E-2</v>
      </c>
      <c r="F29" s="141">
        <f>SUM(F28:F28)</f>
        <v>2.6629141250000004</v>
      </c>
      <c r="G29" s="141">
        <f>SUM(G28:G28)</f>
        <v>0</v>
      </c>
      <c r="H29" s="141">
        <v>0</v>
      </c>
      <c r="I29" s="141">
        <f>SUM(E29:H29)</f>
        <v>2.6929089357500002</v>
      </c>
    </row>
    <row r="30" spans="1:9" x14ac:dyDescent="0.25">
      <c r="A30" s="26"/>
      <c r="B30" s="36"/>
      <c r="C30" s="73" t="s">
        <v>19</v>
      </c>
      <c r="D30" s="74"/>
      <c r="E30" s="141">
        <f>E26+E29</f>
        <v>1.60866906075</v>
      </c>
      <c r="F30" s="141">
        <f>F26+F29</f>
        <v>142.81628912500003</v>
      </c>
      <c r="G30" s="141">
        <f>G26+G29</f>
        <v>0</v>
      </c>
      <c r="H30" s="141">
        <f>H26+H29</f>
        <v>0.53600000000000003</v>
      </c>
      <c r="I30" s="141">
        <f>I26+I29</f>
        <v>144.96095818575003</v>
      </c>
    </row>
    <row r="31" spans="1:9" ht="13.2" customHeight="1" x14ac:dyDescent="0.25">
      <c r="A31" s="413" t="s">
        <v>20</v>
      </c>
      <c r="B31" s="414"/>
      <c r="C31" s="414"/>
      <c r="D31" s="414"/>
      <c r="E31" s="414"/>
      <c r="F31" s="414"/>
      <c r="G31" s="414"/>
      <c r="H31" s="414"/>
      <c r="I31" s="415"/>
    </row>
    <row r="32" spans="1:9" ht="19.8" customHeight="1" x14ac:dyDescent="0.25">
      <c r="A32" s="30">
        <v>4</v>
      </c>
      <c r="B32" s="161" t="s">
        <v>100</v>
      </c>
      <c r="C32" s="445" t="s">
        <v>101</v>
      </c>
      <c r="D32" s="445"/>
      <c r="E32" s="199"/>
      <c r="F32" s="199"/>
      <c r="G32" s="199"/>
      <c r="H32" s="164">
        <f>I30*0.0214</f>
        <v>3.1021645051750504</v>
      </c>
      <c r="I32" s="164">
        <f>H32</f>
        <v>3.1021645051750504</v>
      </c>
    </row>
    <row r="33" spans="1:9" ht="13.2" customHeight="1" x14ac:dyDescent="0.25">
      <c r="A33" s="199"/>
      <c r="B33" s="199"/>
      <c r="C33" s="441" t="s">
        <v>102</v>
      </c>
      <c r="D33" s="442"/>
      <c r="E33" s="199"/>
      <c r="F33" s="199"/>
      <c r="G33" s="199"/>
      <c r="H33" s="164">
        <f>H32</f>
        <v>3.1021645051750504</v>
      </c>
      <c r="I33" s="164">
        <f>H33</f>
        <v>3.1021645051750504</v>
      </c>
    </row>
    <row r="34" spans="1:9" ht="13.2" customHeight="1" x14ac:dyDescent="0.25">
      <c r="A34" s="413" t="s">
        <v>21</v>
      </c>
      <c r="B34" s="414"/>
      <c r="C34" s="414"/>
      <c r="D34" s="414"/>
      <c r="E34" s="414"/>
      <c r="F34" s="414"/>
      <c r="G34" s="414"/>
      <c r="H34" s="414"/>
      <c r="I34" s="415"/>
    </row>
    <row r="35" spans="1:9" ht="28.8" customHeight="1" x14ac:dyDescent="0.25">
      <c r="A35" s="30">
        <v>5</v>
      </c>
      <c r="B35" s="161" t="s">
        <v>203</v>
      </c>
      <c r="C35" s="453" t="s">
        <v>93</v>
      </c>
      <c r="D35" s="454"/>
      <c r="E35" s="141">
        <v>0</v>
      </c>
      <c r="F35" s="141">
        <v>0</v>
      </c>
      <c r="G35" s="141">
        <v>0</v>
      </c>
      <c r="H35" s="204">
        <f>16/200*I23*2.1</f>
        <v>23.320276560000003</v>
      </c>
      <c r="I35" s="141">
        <f>H35</f>
        <v>23.320276560000003</v>
      </c>
    </row>
    <row r="36" spans="1:9" ht="27" customHeight="1" x14ac:dyDescent="0.25">
      <c r="A36" s="30">
        <v>6</v>
      </c>
      <c r="B36" s="203" t="s">
        <v>99</v>
      </c>
      <c r="C36" s="441" t="s">
        <v>201</v>
      </c>
      <c r="D36" s="442"/>
      <c r="E36" s="141"/>
      <c r="F36" s="141"/>
      <c r="G36" s="141"/>
      <c r="H36" s="142">
        <f>3.476*0.6</f>
        <v>2.0855999999999999</v>
      </c>
      <c r="I36" s="141">
        <f>H36</f>
        <v>2.0855999999999999</v>
      </c>
    </row>
    <row r="37" spans="1:9" x14ac:dyDescent="0.25">
      <c r="A37" s="199"/>
      <c r="B37" s="199"/>
      <c r="C37" s="73" t="s">
        <v>50</v>
      </c>
      <c r="D37" s="197"/>
      <c r="E37" s="141">
        <v>0</v>
      </c>
      <c r="F37" s="141">
        <v>0</v>
      </c>
      <c r="G37" s="141">
        <v>0</v>
      </c>
      <c r="H37" s="142">
        <f>H35+H36</f>
        <v>25.405876560000003</v>
      </c>
      <c r="I37" s="141">
        <f>I35+I36</f>
        <v>25.405876560000003</v>
      </c>
    </row>
    <row r="38" spans="1:9" x14ac:dyDescent="0.25">
      <c r="A38" s="199"/>
      <c r="B38" s="199"/>
      <c r="C38" s="73" t="s">
        <v>51</v>
      </c>
      <c r="D38" s="197"/>
      <c r="E38" s="141">
        <f>E30</f>
        <v>1.60866906075</v>
      </c>
      <c r="F38" s="141">
        <f>F30</f>
        <v>142.81628912500003</v>
      </c>
      <c r="G38" s="141">
        <f>G30</f>
        <v>0</v>
      </c>
      <c r="H38" s="142">
        <f>H30+H37+H32</f>
        <v>29.044041065175055</v>
      </c>
      <c r="I38" s="141">
        <f>I30+I37+I33</f>
        <v>173.46899925092507</v>
      </c>
    </row>
    <row r="39" spans="1:9" ht="13.2" customHeight="1" x14ac:dyDescent="0.25">
      <c r="A39" s="413" t="s">
        <v>22</v>
      </c>
      <c r="B39" s="414"/>
      <c r="C39" s="414"/>
      <c r="D39" s="414"/>
      <c r="E39" s="414"/>
      <c r="F39" s="414"/>
      <c r="G39" s="414"/>
      <c r="H39" s="414"/>
      <c r="I39" s="415"/>
    </row>
    <row r="40" spans="1:9" x14ac:dyDescent="0.25">
      <c r="A40" s="30">
        <v>7</v>
      </c>
      <c r="B40" s="31" t="s">
        <v>37</v>
      </c>
      <c r="C40" s="77" t="s">
        <v>79</v>
      </c>
      <c r="D40" s="78"/>
      <c r="E40" s="141">
        <f>E38*0.03</f>
        <v>4.82600718225E-2</v>
      </c>
      <c r="F40" s="141">
        <f>F38*0.03</f>
        <v>4.2844886737500003</v>
      </c>
      <c r="G40" s="141">
        <f>ROUND(G30*0.03,3)</f>
        <v>0</v>
      </c>
      <c r="H40" s="141">
        <f>H38*3%</f>
        <v>0.87132123195525157</v>
      </c>
      <c r="I40" s="141">
        <f>E40+F40+G40+H40</f>
        <v>5.2040699775277517</v>
      </c>
    </row>
    <row r="41" spans="1:9" ht="13.2" customHeight="1" x14ac:dyDescent="0.25">
      <c r="A41" s="26"/>
      <c r="B41" s="36"/>
      <c r="C41" s="73"/>
      <c r="D41" s="74"/>
      <c r="E41" s="32"/>
      <c r="F41" s="32"/>
      <c r="G41" s="32"/>
      <c r="H41" s="32"/>
      <c r="I41" s="32"/>
    </row>
    <row r="42" spans="1:9" x14ac:dyDescent="0.25">
      <c r="A42" s="26"/>
      <c r="B42" s="36"/>
      <c r="C42" s="73" t="s">
        <v>23</v>
      </c>
      <c r="D42" s="74"/>
      <c r="E42" s="141">
        <f>E38+E40</f>
        <v>1.6569291325725</v>
      </c>
      <c r="F42" s="141">
        <f>F38+F40</f>
        <v>147.10077779875002</v>
      </c>
      <c r="G42" s="141">
        <f>G38+G40</f>
        <v>0</v>
      </c>
      <c r="H42" s="141">
        <f>H38+H40</f>
        <v>29.915362297130308</v>
      </c>
      <c r="I42" s="141">
        <f>I38+I40</f>
        <v>178.67306922845282</v>
      </c>
    </row>
    <row r="43" spans="1:9" x14ac:dyDescent="0.25">
      <c r="A43" s="26"/>
      <c r="B43" s="27"/>
      <c r="C43" s="441"/>
      <c r="D43" s="442"/>
      <c r="E43" s="35"/>
      <c r="F43" s="35"/>
      <c r="G43" s="35"/>
      <c r="H43" s="35"/>
      <c r="I43" s="35"/>
    </row>
    <row r="44" spans="1:9" ht="13.2" customHeight="1" x14ac:dyDescent="0.25">
      <c r="A44" s="450" t="s">
        <v>197</v>
      </c>
      <c r="B44" s="451"/>
      <c r="C44" s="451"/>
      <c r="D44" s="451"/>
      <c r="E44" s="451"/>
      <c r="F44" s="451"/>
      <c r="G44" s="451"/>
      <c r="H44" s="451"/>
      <c r="I44" s="452"/>
    </row>
    <row r="45" spans="1:9" x14ac:dyDescent="0.25">
      <c r="A45" s="26">
        <v>8</v>
      </c>
      <c r="B45" s="109"/>
      <c r="C45" s="73" t="s">
        <v>196</v>
      </c>
      <c r="D45" s="74"/>
      <c r="E45" s="158">
        <f>ROUND(E42*4.59,3)</f>
        <v>7.6050000000000004</v>
      </c>
      <c r="F45" s="158">
        <f>ROUND(F42*4.59,3)</f>
        <v>675.19299999999998</v>
      </c>
      <c r="G45" s="159"/>
      <c r="H45" s="159"/>
      <c r="I45" s="158">
        <f>E45+F45+H49</f>
        <v>816.36283517127333</v>
      </c>
    </row>
    <row r="46" spans="1:9" x14ac:dyDescent="0.25">
      <c r="A46" s="26"/>
      <c r="B46" s="109"/>
      <c r="C46" s="75" t="s">
        <v>198</v>
      </c>
      <c r="D46" s="76"/>
      <c r="E46" s="160"/>
      <c r="F46" s="160"/>
      <c r="G46" s="160"/>
      <c r="H46" s="251">
        <f>H23*11.3*1.03</f>
        <v>6.2385040000000007</v>
      </c>
      <c r="I46" s="160"/>
    </row>
    <row r="47" spans="1:9" ht="13.2" customHeight="1" x14ac:dyDescent="0.25">
      <c r="A47" s="26"/>
      <c r="B47" s="109"/>
      <c r="C47" s="443" t="s">
        <v>94</v>
      </c>
      <c r="D47" s="444"/>
      <c r="E47" s="138"/>
      <c r="F47" s="138"/>
      <c r="G47" s="138"/>
      <c r="H47" s="251">
        <f>(H35*3.84+H36*3.9)*1.03</f>
        <v>100.61421305011201</v>
      </c>
      <c r="I47" s="138"/>
    </row>
    <row r="48" spans="1:9" x14ac:dyDescent="0.25">
      <c r="A48" s="26"/>
      <c r="B48" s="136"/>
      <c r="C48" s="75" t="s">
        <v>199</v>
      </c>
      <c r="D48" s="76"/>
      <c r="E48" s="138"/>
      <c r="F48" s="138"/>
      <c r="G48" s="138"/>
      <c r="H48" s="251">
        <f>(H32)*8.36*1.03</f>
        <v>26.712118121161321</v>
      </c>
      <c r="I48" s="138"/>
    </row>
    <row r="49" spans="1:9" x14ac:dyDescent="0.25">
      <c r="A49" s="26"/>
      <c r="B49" s="137"/>
      <c r="C49" s="5"/>
      <c r="D49" s="5"/>
      <c r="E49" s="141"/>
      <c r="F49" s="141"/>
      <c r="G49" s="32">
        <f>ROUND(G42*4.02,3)</f>
        <v>0</v>
      </c>
      <c r="H49" s="140">
        <f>H46+H47+H48</f>
        <v>133.56483517127333</v>
      </c>
      <c r="I49" s="141"/>
    </row>
    <row r="50" spans="1:9" x14ac:dyDescent="0.25">
      <c r="A50" s="26"/>
      <c r="B50" s="212"/>
      <c r="C50" s="216"/>
      <c r="D50" s="217"/>
      <c r="E50" s="213"/>
      <c r="F50" s="143"/>
      <c r="G50" s="143"/>
      <c r="H50" s="143"/>
      <c r="I50" s="143"/>
    </row>
    <row r="51" spans="1:9" x14ac:dyDescent="0.25">
      <c r="A51" s="26"/>
      <c r="B51" s="137"/>
      <c r="C51" s="214" t="s">
        <v>200</v>
      </c>
      <c r="D51" s="215"/>
      <c r="E51" s="144"/>
      <c r="F51" s="144"/>
      <c r="G51" s="144"/>
      <c r="H51" s="144"/>
      <c r="I51" s="144"/>
    </row>
    <row r="52" spans="1:9" x14ac:dyDescent="0.25">
      <c r="A52" s="26"/>
      <c r="B52" s="43"/>
      <c r="C52" s="73"/>
      <c r="D52" s="80"/>
      <c r="E52" s="144"/>
      <c r="F52" s="144"/>
      <c r="G52" s="144"/>
      <c r="H52" s="144"/>
      <c r="I52" s="144"/>
    </row>
    <row r="53" spans="1:9" x14ac:dyDescent="0.25">
      <c r="A53" s="26">
        <v>9</v>
      </c>
      <c r="B53" s="31"/>
      <c r="C53" s="79" t="s">
        <v>39</v>
      </c>
      <c r="D53" s="80"/>
      <c r="E53" s="144">
        <f>E45*0.18</f>
        <v>1.3689</v>
      </c>
      <c r="F53" s="144">
        <f>F45*0.18</f>
        <v>121.53474</v>
      </c>
      <c r="G53" s="144">
        <f>G49*0.18</f>
        <v>0</v>
      </c>
      <c r="H53" s="144">
        <f>H49*0.18</f>
        <v>24.041670330829199</v>
      </c>
      <c r="I53" s="144">
        <f>I45*0.18</f>
        <v>146.94531033082919</v>
      </c>
    </row>
    <row r="54" spans="1:9" x14ac:dyDescent="0.25">
      <c r="A54" s="26"/>
      <c r="B54" s="27"/>
      <c r="C54" s="81" t="s">
        <v>27</v>
      </c>
      <c r="D54" s="82"/>
      <c r="E54" s="145">
        <f>E45+E53</f>
        <v>8.9739000000000004</v>
      </c>
      <c r="F54" s="145">
        <f>F45+F53</f>
        <v>796.72774000000004</v>
      </c>
      <c r="G54" s="145">
        <f>G49+G53</f>
        <v>0</v>
      </c>
      <c r="H54" s="145">
        <f>H49+H53</f>
        <v>157.60650550210252</v>
      </c>
      <c r="I54" s="145">
        <f>I45+I53</f>
        <v>963.30814550210255</v>
      </c>
    </row>
    <row r="55" spans="1:9" x14ac:dyDescent="0.25">
      <c r="A55" s="46"/>
      <c r="B55" s="47"/>
      <c r="C55" s="48"/>
      <c r="D55" s="48"/>
      <c r="E55" s="49"/>
      <c r="F55" s="49"/>
      <c r="G55" s="49"/>
      <c r="H55" s="49"/>
      <c r="I55" s="50"/>
    </row>
    <row r="56" spans="1:9" x14ac:dyDescent="0.25">
      <c r="A56" s="46"/>
      <c r="B56" s="47"/>
      <c r="C56" s="48"/>
      <c r="D56" s="48"/>
      <c r="E56" s="49"/>
      <c r="F56" s="147"/>
      <c r="G56" s="49"/>
      <c r="H56" s="147"/>
      <c r="I56" s="50"/>
    </row>
    <row r="57" spans="1:9" x14ac:dyDescent="0.25">
      <c r="A57" s="46"/>
      <c r="B57" s="1"/>
      <c r="C57" s="47"/>
      <c r="D57" s="47"/>
      <c r="E57" s="51"/>
      <c r="F57" s="146"/>
      <c r="G57" s="20"/>
      <c r="H57" s="20"/>
      <c r="I57" s="20"/>
    </row>
    <row r="58" spans="1:9" x14ac:dyDescent="0.25">
      <c r="A58" s="46"/>
      <c r="B58" s="47"/>
      <c r="C58" s="51"/>
      <c r="D58" s="51"/>
      <c r="E58" s="20"/>
      <c r="F58" s="20"/>
      <c r="G58" s="20"/>
      <c r="H58" s="20"/>
      <c r="I58" s="20"/>
    </row>
    <row r="59" spans="1:9" x14ac:dyDescent="0.25">
      <c r="A59" s="200"/>
      <c r="B59" s="1"/>
      <c r="C59" s="170" t="s">
        <v>139</v>
      </c>
      <c r="D59" s="170" t="s">
        <v>140</v>
      </c>
      <c r="E59" s="20"/>
      <c r="F59" s="20"/>
      <c r="G59" s="20"/>
      <c r="H59" s="20"/>
      <c r="I59" s="20"/>
    </row>
    <row r="60" spans="1:9" ht="13.8" x14ac:dyDescent="0.25">
      <c r="A60" s="98"/>
      <c r="B60" s="115"/>
      <c r="C60" s="436"/>
      <c r="D60" s="437"/>
      <c r="E60" s="437"/>
      <c r="F60" s="437"/>
      <c r="G60" s="437"/>
      <c r="H60" s="437"/>
      <c r="I60" s="437"/>
    </row>
    <row r="61" spans="1:9" ht="13.8" x14ac:dyDescent="0.25">
      <c r="A61" s="98"/>
      <c r="B61" s="115"/>
      <c r="C61" s="436"/>
      <c r="D61" s="116"/>
      <c r="E61" s="116"/>
      <c r="F61" s="201"/>
      <c r="G61" s="116"/>
      <c r="H61" s="116"/>
      <c r="I61" s="437"/>
    </row>
    <row r="62" spans="1:9" x14ac:dyDescent="0.25">
      <c r="A62" s="98"/>
      <c r="B62" s="115"/>
      <c r="C62" s="170" t="s">
        <v>141</v>
      </c>
      <c r="D62" s="170"/>
      <c r="E62" s="118"/>
      <c r="F62" s="118"/>
      <c r="G62" s="118"/>
      <c r="H62" s="118"/>
      <c r="I62" s="118"/>
    </row>
    <row r="63" spans="1:9" x14ac:dyDescent="0.25">
      <c r="A63" s="98"/>
      <c r="B63" s="115"/>
      <c r="C63" s="119"/>
      <c r="D63" s="120"/>
      <c r="E63" s="121"/>
      <c r="F63" s="121"/>
      <c r="G63" s="122"/>
      <c r="H63" s="122"/>
      <c r="I63" s="121"/>
    </row>
  </sheetData>
  <mergeCells count="34">
    <mergeCell ref="G4:I4"/>
    <mergeCell ref="F5:I5"/>
    <mergeCell ref="F7:I7"/>
    <mergeCell ref="A10:I10"/>
    <mergeCell ref="A11:I11"/>
    <mergeCell ref="A12:I12"/>
    <mergeCell ref="I16:I19"/>
    <mergeCell ref="E17:E19"/>
    <mergeCell ref="F17:F19"/>
    <mergeCell ref="G17:G19"/>
    <mergeCell ref="H17:H19"/>
    <mergeCell ref="C13:H13"/>
    <mergeCell ref="A16:A19"/>
    <mergeCell ref="B16:B19"/>
    <mergeCell ref="C16:D19"/>
    <mergeCell ref="E16:H16"/>
    <mergeCell ref="A21:I21"/>
    <mergeCell ref="C22:D22"/>
    <mergeCell ref="A31:I31"/>
    <mergeCell ref="C32:D32"/>
    <mergeCell ref="C33:D33"/>
    <mergeCell ref="A24:I24"/>
    <mergeCell ref="C25:D25"/>
    <mergeCell ref="A27:I27"/>
    <mergeCell ref="C60:C61"/>
    <mergeCell ref="D60:H60"/>
    <mergeCell ref="I60:I61"/>
    <mergeCell ref="A34:I34"/>
    <mergeCell ref="C35:D35"/>
    <mergeCell ref="C36:D36"/>
    <mergeCell ref="A39:I39"/>
    <mergeCell ref="C43:D43"/>
    <mergeCell ref="A44:I44"/>
    <mergeCell ref="C47:D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1"/>
  <sheetViews>
    <sheetView topLeftCell="A76" workbookViewId="0">
      <selection activeCell="B86" sqref="B86:D89"/>
    </sheetView>
  </sheetViews>
  <sheetFormatPr defaultRowHeight="13.2" x14ac:dyDescent="0.25"/>
  <cols>
    <col min="1" max="1" width="4.5546875" customWidth="1"/>
    <col min="2" max="2" width="15.21875" customWidth="1"/>
    <col min="3" max="3" width="41.33203125" customWidth="1"/>
    <col min="4" max="4" width="9.5546875" customWidth="1"/>
    <col min="5" max="5" width="7" customWidth="1"/>
    <col min="6" max="6" width="10.21875" customWidth="1"/>
    <col min="7" max="7" width="9.44140625" customWidth="1"/>
    <col min="8" max="8" width="8.88671875" customWidth="1"/>
    <col min="9" max="9" width="8.44140625" customWidth="1"/>
    <col min="10" max="10" width="8.109375" customWidth="1"/>
    <col min="11" max="11" width="7.6640625" customWidth="1"/>
    <col min="12" max="12" width="8.5546875" customWidth="1"/>
    <col min="13" max="13" width="8.77734375" customWidth="1"/>
    <col min="14" max="14" width="6.5546875" customWidth="1"/>
    <col min="15" max="15" width="6" customWidth="1"/>
    <col min="16" max="16" width="5.88671875" customWidth="1"/>
    <col min="17" max="17" width="5.6640625" customWidth="1"/>
  </cols>
  <sheetData>
    <row r="1" spans="1:17" ht="14.4" x14ac:dyDescent="0.3">
      <c r="A1" s="243"/>
      <c r="B1" s="243"/>
      <c r="C1" s="244"/>
      <c r="D1" s="245"/>
      <c r="E1" s="245"/>
      <c r="F1" s="234"/>
      <c r="G1" s="234"/>
      <c r="H1" s="234"/>
      <c r="I1" s="234"/>
      <c r="J1" s="239"/>
      <c r="K1" s="234"/>
      <c r="L1" s="234"/>
      <c r="M1" s="234"/>
      <c r="N1" s="224"/>
      <c r="O1" s="218"/>
      <c r="P1" s="218"/>
      <c r="Q1" s="218"/>
    </row>
    <row r="2" spans="1:17" ht="14.4" x14ac:dyDescent="0.3">
      <c r="A2" s="246"/>
      <c r="B2" s="243"/>
      <c r="C2" s="239"/>
      <c r="D2" s="247"/>
      <c r="E2" s="247"/>
      <c r="F2" s="234"/>
      <c r="G2" s="234"/>
      <c r="H2" s="247"/>
      <c r="I2" s="234"/>
      <c r="J2" s="234"/>
      <c r="K2" s="234"/>
      <c r="L2" s="234"/>
      <c r="M2" s="234"/>
      <c r="N2" s="224"/>
      <c r="O2" s="218"/>
      <c r="P2" s="218"/>
      <c r="Q2" s="218"/>
    </row>
    <row r="3" spans="1:17" ht="14.4" x14ac:dyDescent="0.3">
      <c r="A3" s="246"/>
      <c r="B3" s="243"/>
      <c r="C3" s="239"/>
      <c r="D3" s="247"/>
      <c r="E3" s="233"/>
      <c r="F3" s="234"/>
      <c r="G3" s="234"/>
      <c r="H3" s="234"/>
      <c r="I3" s="233"/>
      <c r="J3" s="234"/>
      <c r="K3" s="234"/>
      <c r="L3" s="234"/>
      <c r="M3" s="234"/>
      <c r="N3" s="224"/>
      <c r="O3" s="218"/>
      <c r="P3" s="218"/>
      <c r="Q3" s="218"/>
    </row>
    <row r="4" spans="1:17" ht="14.4" x14ac:dyDescent="0.3">
      <c r="A4" s="231"/>
      <c r="B4" s="226"/>
      <c r="C4" s="230"/>
      <c r="D4" s="232"/>
      <c r="E4" s="233"/>
      <c r="F4" s="234"/>
      <c r="G4" s="234"/>
      <c r="H4" s="229"/>
      <c r="I4" s="233"/>
      <c r="J4" s="229"/>
      <c r="K4" s="229"/>
      <c r="L4" s="229"/>
      <c r="M4" s="229"/>
      <c r="N4" s="224"/>
      <c r="O4" s="218"/>
      <c r="P4" s="218"/>
      <c r="Q4" s="218"/>
    </row>
    <row r="5" spans="1:17" ht="14.4" x14ac:dyDescent="0.3">
      <c r="A5" s="231"/>
      <c r="B5" s="226"/>
      <c r="C5" s="230"/>
      <c r="D5" s="235" t="s">
        <v>204</v>
      </c>
      <c r="E5" s="228"/>
      <c r="F5" s="229"/>
      <c r="G5" s="229"/>
      <c r="H5" s="229"/>
      <c r="I5" s="229"/>
      <c r="J5" s="229"/>
      <c r="K5" s="229"/>
      <c r="L5" s="229"/>
      <c r="M5" s="229"/>
      <c r="N5" s="224"/>
      <c r="O5" s="218"/>
      <c r="P5" s="218"/>
      <c r="Q5" s="218"/>
    </row>
    <row r="6" spans="1:17" ht="14.4" x14ac:dyDescent="0.3">
      <c r="A6" s="231"/>
      <c r="B6" s="226"/>
      <c r="C6" s="230"/>
      <c r="D6" s="235" t="s">
        <v>205</v>
      </c>
      <c r="E6" s="228"/>
      <c r="F6" s="229"/>
      <c r="G6" s="229"/>
      <c r="H6" s="229"/>
      <c r="I6" s="235"/>
      <c r="J6" s="229"/>
      <c r="K6" s="229"/>
      <c r="L6" s="229"/>
      <c r="M6" s="229"/>
      <c r="N6" s="224"/>
      <c r="O6" s="184"/>
      <c r="P6" s="184"/>
      <c r="Q6" s="184"/>
    </row>
    <row r="7" spans="1:17" ht="14.4" x14ac:dyDescent="0.3">
      <c r="A7" s="231"/>
      <c r="B7" s="226"/>
      <c r="C7" s="236"/>
      <c r="D7" s="232"/>
      <c r="E7" s="237"/>
      <c r="F7" s="238"/>
      <c r="G7" s="238"/>
      <c r="H7" s="229"/>
      <c r="I7" s="232"/>
      <c r="J7" s="229"/>
      <c r="K7" s="229"/>
      <c r="L7" s="229"/>
      <c r="M7" s="229"/>
      <c r="N7" s="224"/>
      <c r="O7" s="184"/>
      <c r="P7" s="184"/>
      <c r="Q7" s="184"/>
    </row>
    <row r="8" spans="1:17" ht="14.4" x14ac:dyDescent="0.3">
      <c r="A8" s="231"/>
      <c r="B8" s="248" t="s">
        <v>259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24"/>
      <c r="O8" s="184"/>
      <c r="P8" s="184"/>
      <c r="Q8" s="184"/>
    </row>
    <row r="9" spans="1:17" x14ac:dyDescent="0.25">
      <c r="A9" s="231"/>
      <c r="B9" s="476" t="s">
        <v>206</v>
      </c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6"/>
      <c r="N9" s="476"/>
      <c r="O9" s="184"/>
      <c r="P9" s="184"/>
      <c r="Q9" s="184"/>
    </row>
    <row r="10" spans="1:17" ht="14.4" x14ac:dyDescent="0.3">
      <c r="A10" s="231"/>
      <c r="B10" s="226"/>
      <c r="C10" s="239"/>
      <c r="D10" s="232"/>
      <c r="E10" s="233" t="s">
        <v>104</v>
      </c>
      <c r="F10" s="229"/>
      <c r="G10" s="234"/>
      <c r="H10" s="232"/>
      <c r="I10" s="234"/>
      <c r="J10" s="234"/>
      <c r="K10" s="229"/>
      <c r="L10" s="229"/>
      <c r="M10" s="229"/>
      <c r="N10" s="224"/>
      <c r="O10" s="184"/>
      <c r="P10" s="184"/>
      <c r="Q10" s="184"/>
    </row>
    <row r="11" spans="1:17" ht="14.4" x14ac:dyDescent="0.3">
      <c r="A11" s="240"/>
      <c r="B11" s="241"/>
      <c r="C11" s="230"/>
      <c r="D11" s="232"/>
      <c r="E11" s="242"/>
      <c r="F11" s="229"/>
      <c r="G11" s="229"/>
      <c r="H11" s="229"/>
      <c r="I11" s="229"/>
      <c r="J11" s="229"/>
      <c r="K11" s="229"/>
      <c r="L11" s="229"/>
      <c r="M11" s="229"/>
      <c r="N11" s="224"/>
      <c r="O11" s="184"/>
      <c r="P11" s="184"/>
      <c r="Q11" s="184"/>
    </row>
    <row r="12" spans="1:17" ht="13.8" x14ac:dyDescent="0.25">
      <c r="A12" s="260"/>
      <c r="B12" s="255"/>
      <c r="C12" s="264" t="s">
        <v>207</v>
      </c>
      <c r="D12" s="261"/>
      <c r="E12" s="261"/>
      <c r="F12" s="273"/>
      <c r="G12" s="273"/>
      <c r="H12" s="258"/>
      <c r="I12" s="264"/>
      <c r="J12" s="264"/>
      <c r="K12" s="258"/>
      <c r="L12" s="258"/>
      <c r="M12" s="258"/>
      <c r="N12" s="225"/>
      <c r="O12" s="184"/>
      <c r="P12" s="184"/>
      <c r="Q12" s="184"/>
    </row>
    <row r="13" spans="1:17" x14ac:dyDescent="0.25">
      <c r="A13" s="260"/>
      <c r="B13" s="255"/>
      <c r="C13" s="264" t="s">
        <v>106</v>
      </c>
      <c r="D13" s="258"/>
      <c r="E13" s="455" t="s">
        <v>271</v>
      </c>
      <c r="F13" s="471"/>
      <c r="G13" s="259" t="s">
        <v>107</v>
      </c>
      <c r="H13" s="258"/>
      <c r="I13" s="264"/>
      <c r="J13" s="264"/>
      <c r="K13" s="258"/>
      <c r="L13" s="258"/>
      <c r="M13" s="258"/>
      <c r="N13" s="184"/>
      <c r="O13" s="184"/>
      <c r="P13" s="184"/>
      <c r="Q13" s="184"/>
    </row>
    <row r="14" spans="1:17" ht="13.2" customHeight="1" x14ac:dyDescent="0.25">
      <c r="A14" s="260"/>
      <c r="B14" s="255"/>
      <c r="C14" s="264" t="s">
        <v>108</v>
      </c>
      <c r="D14" s="258"/>
      <c r="E14" s="455" t="s">
        <v>272</v>
      </c>
      <c r="F14" s="471"/>
      <c r="G14" s="259" t="s">
        <v>107</v>
      </c>
      <c r="H14" s="258"/>
      <c r="I14" s="264"/>
      <c r="J14" s="264"/>
      <c r="K14" s="258"/>
      <c r="L14" s="258"/>
      <c r="M14" s="258"/>
      <c r="N14" s="221"/>
      <c r="O14" s="221"/>
      <c r="P14" s="221"/>
      <c r="Q14" s="221"/>
    </row>
    <row r="15" spans="1:17" ht="13.2" customHeight="1" x14ac:dyDescent="0.25">
      <c r="A15" s="260"/>
      <c r="B15" s="255"/>
      <c r="C15" s="264" t="s">
        <v>109</v>
      </c>
      <c r="D15" s="258"/>
      <c r="E15" s="455" t="s">
        <v>208</v>
      </c>
      <c r="F15" s="471"/>
      <c r="G15" s="259" t="s">
        <v>107</v>
      </c>
      <c r="H15" s="258"/>
      <c r="I15" s="264"/>
      <c r="J15" s="264"/>
      <c r="K15" s="258"/>
      <c r="L15" s="258"/>
      <c r="M15" s="258"/>
      <c r="N15" s="221"/>
      <c r="O15" s="221"/>
      <c r="P15" s="221"/>
      <c r="Q15" s="221"/>
    </row>
    <row r="16" spans="1:17" x14ac:dyDescent="0.25">
      <c r="A16" s="260"/>
      <c r="B16" s="255"/>
      <c r="C16" s="264" t="s">
        <v>110</v>
      </c>
      <c r="D16" s="258"/>
      <c r="E16" s="455" t="s">
        <v>209</v>
      </c>
      <c r="F16" s="471"/>
      <c r="G16" s="259" t="s">
        <v>107</v>
      </c>
      <c r="H16" s="258"/>
      <c r="I16" s="264"/>
      <c r="J16" s="264"/>
      <c r="K16" s="258"/>
      <c r="L16" s="258"/>
      <c r="M16" s="258"/>
      <c r="N16" s="221"/>
      <c r="O16" s="221"/>
      <c r="P16" s="221"/>
      <c r="Q16" s="221"/>
    </row>
    <row r="17" spans="1:17" x14ac:dyDescent="0.25">
      <c r="A17" s="260"/>
      <c r="B17" s="255"/>
      <c r="C17" s="264" t="s">
        <v>111</v>
      </c>
      <c r="D17" s="261"/>
      <c r="E17" s="455" t="s">
        <v>273</v>
      </c>
      <c r="F17" s="471"/>
      <c r="G17" s="259" t="s">
        <v>107</v>
      </c>
      <c r="H17" s="258"/>
      <c r="I17" s="264"/>
      <c r="J17" s="264"/>
      <c r="K17" s="258"/>
      <c r="L17" s="258"/>
      <c r="M17" s="258"/>
      <c r="N17" s="219"/>
      <c r="O17" s="219"/>
      <c r="P17" s="219"/>
      <c r="Q17" s="219"/>
    </row>
    <row r="18" spans="1:17" ht="13.2" customHeight="1" x14ac:dyDescent="0.25">
      <c r="A18" s="260"/>
      <c r="B18" s="255"/>
      <c r="C18" s="264" t="s">
        <v>112</v>
      </c>
      <c r="D18" s="261"/>
      <c r="E18" s="455" t="s">
        <v>274</v>
      </c>
      <c r="F18" s="471"/>
      <c r="G18" s="259" t="s">
        <v>113</v>
      </c>
      <c r="H18" s="258"/>
      <c r="I18" s="264"/>
      <c r="J18" s="264"/>
      <c r="K18" s="258"/>
      <c r="L18" s="258"/>
      <c r="M18" s="258"/>
      <c r="N18" s="222"/>
      <c r="O18" s="222"/>
      <c r="P18" s="222"/>
      <c r="Q18" s="222"/>
    </row>
    <row r="19" spans="1:17" ht="14.4" customHeight="1" x14ac:dyDescent="0.25">
      <c r="A19" s="260"/>
      <c r="B19" s="255"/>
      <c r="C19" s="263" t="s">
        <v>114</v>
      </c>
      <c r="D19" s="261"/>
      <c r="E19" s="261"/>
      <c r="F19" s="258"/>
      <c r="G19" s="258"/>
      <c r="H19" s="258"/>
      <c r="I19" s="258"/>
      <c r="J19" s="258"/>
      <c r="K19" s="258"/>
      <c r="L19" s="258"/>
      <c r="M19" s="258"/>
      <c r="N19" s="184"/>
      <c r="O19" s="184"/>
      <c r="P19" s="184"/>
      <c r="Q19" s="184"/>
    </row>
    <row r="20" spans="1:17" ht="19.2" customHeight="1" x14ac:dyDescent="0.25">
      <c r="A20" s="462" t="s">
        <v>2</v>
      </c>
      <c r="B20" s="462" t="s">
        <v>210</v>
      </c>
      <c r="C20" s="460" t="s">
        <v>115</v>
      </c>
      <c r="D20" s="460" t="s">
        <v>116</v>
      </c>
      <c r="E20" s="460" t="s">
        <v>117</v>
      </c>
      <c r="F20" s="460" t="s">
        <v>118</v>
      </c>
      <c r="G20" s="461"/>
      <c r="H20" s="461"/>
      <c r="I20" s="461"/>
      <c r="J20" s="460" t="s">
        <v>119</v>
      </c>
      <c r="K20" s="461"/>
      <c r="L20" s="461"/>
      <c r="M20" s="461"/>
      <c r="N20" s="184"/>
      <c r="O20" s="184"/>
      <c r="P20" s="184"/>
      <c r="Q20" s="184"/>
    </row>
    <row r="21" spans="1:17" ht="18.600000000000001" customHeight="1" x14ac:dyDescent="0.25">
      <c r="A21" s="463"/>
      <c r="B21" s="463"/>
      <c r="C21" s="480"/>
      <c r="D21" s="460"/>
      <c r="E21" s="460"/>
      <c r="F21" s="460" t="s">
        <v>120</v>
      </c>
      <c r="G21" s="460" t="s">
        <v>121</v>
      </c>
      <c r="H21" s="461"/>
      <c r="I21" s="461"/>
      <c r="J21" s="460" t="s">
        <v>120</v>
      </c>
      <c r="K21" s="460" t="s">
        <v>121</v>
      </c>
      <c r="L21" s="461"/>
      <c r="M21" s="461"/>
      <c r="N21" s="184"/>
      <c r="O21" s="184"/>
      <c r="P21" s="184"/>
      <c r="Q21" s="184"/>
    </row>
    <row r="22" spans="1:17" ht="11.4" customHeight="1" x14ac:dyDescent="0.25">
      <c r="A22" s="463"/>
      <c r="B22" s="463"/>
      <c r="C22" s="480"/>
      <c r="D22" s="460"/>
      <c r="E22" s="460"/>
      <c r="F22" s="461"/>
      <c r="G22" s="265" t="s">
        <v>122</v>
      </c>
      <c r="H22" s="265" t="s">
        <v>211</v>
      </c>
      <c r="I22" s="265" t="s">
        <v>123</v>
      </c>
      <c r="J22" s="461"/>
      <c r="K22" s="265" t="s">
        <v>122</v>
      </c>
      <c r="L22" s="265" t="s">
        <v>211</v>
      </c>
      <c r="M22" s="265" t="s">
        <v>123</v>
      </c>
      <c r="N22" s="184"/>
      <c r="O22" s="184"/>
      <c r="P22" s="184"/>
      <c r="Q22" s="184"/>
    </row>
    <row r="23" spans="1:17" ht="15.6" customHeight="1" x14ac:dyDescent="0.25">
      <c r="A23" s="268">
        <v>1</v>
      </c>
      <c r="B23" s="267">
        <v>2</v>
      </c>
      <c r="C23" s="265">
        <v>3</v>
      </c>
      <c r="D23" s="265">
        <v>4</v>
      </c>
      <c r="E23" s="269">
        <v>5</v>
      </c>
      <c r="F23" s="266">
        <v>6</v>
      </c>
      <c r="G23" s="266">
        <v>7</v>
      </c>
      <c r="H23" s="266">
        <v>8</v>
      </c>
      <c r="I23" s="266">
        <v>9</v>
      </c>
      <c r="J23" s="266">
        <v>10</v>
      </c>
      <c r="K23" s="266">
        <v>11</v>
      </c>
      <c r="L23" s="266">
        <v>12</v>
      </c>
      <c r="M23" s="266">
        <v>13</v>
      </c>
      <c r="N23" s="184"/>
      <c r="O23" s="184"/>
      <c r="P23" s="184"/>
      <c r="Q23" s="184"/>
    </row>
    <row r="24" spans="1:17" ht="13.2" customHeight="1" x14ac:dyDescent="0.25">
      <c r="A24" s="478" t="s">
        <v>124</v>
      </c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75"/>
      <c r="M24" s="475"/>
      <c r="N24" s="184"/>
      <c r="O24" s="184"/>
      <c r="P24" s="184"/>
      <c r="Q24" s="184"/>
    </row>
    <row r="25" spans="1:17" ht="24" customHeight="1" x14ac:dyDescent="0.25">
      <c r="A25" s="268">
        <v>1</v>
      </c>
      <c r="B25" s="270" t="s">
        <v>143</v>
      </c>
      <c r="C25" s="271" t="s">
        <v>144</v>
      </c>
      <c r="D25" s="269" t="s">
        <v>145</v>
      </c>
      <c r="E25" s="274">
        <v>15</v>
      </c>
      <c r="F25" s="275">
        <v>50.79</v>
      </c>
      <c r="G25" s="275">
        <v>3.63</v>
      </c>
      <c r="H25" s="275">
        <v>47.16</v>
      </c>
      <c r="I25" s="275">
        <v>6.53</v>
      </c>
      <c r="J25" s="276">
        <v>761.85</v>
      </c>
      <c r="K25" s="276">
        <v>54.45</v>
      </c>
      <c r="L25" s="276">
        <v>707.4</v>
      </c>
      <c r="M25" s="276">
        <v>97.95</v>
      </c>
      <c r="N25" s="184"/>
      <c r="O25" s="184"/>
      <c r="P25" s="184"/>
      <c r="Q25" s="184"/>
    </row>
    <row r="26" spans="1:17" ht="27" customHeight="1" x14ac:dyDescent="0.25">
      <c r="A26" s="268">
        <v>2</v>
      </c>
      <c r="B26" s="270" t="s">
        <v>187</v>
      </c>
      <c r="C26" s="271" t="s">
        <v>188</v>
      </c>
      <c r="D26" s="269" t="s">
        <v>145</v>
      </c>
      <c r="E26" s="277">
        <v>6</v>
      </c>
      <c r="F26" s="275">
        <v>13.8</v>
      </c>
      <c r="G26" s="275">
        <v>2.06</v>
      </c>
      <c r="H26" s="275">
        <v>11.74</v>
      </c>
      <c r="I26" s="275">
        <v>1.91</v>
      </c>
      <c r="J26" s="276">
        <v>82.8</v>
      </c>
      <c r="K26" s="276">
        <v>12.36</v>
      </c>
      <c r="L26" s="276">
        <v>70.44</v>
      </c>
      <c r="M26" s="276">
        <v>11.46</v>
      </c>
      <c r="N26" s="184"/>
      <c r="O26" s="184"/>
      <c r="P26" s="184"/>
      <c r="Q26" s="184"/>
    </row>
    <row r="27" spans="1:17" ht="24" customHeight="1" x14ac:dyDescent="0.25">
      <c r="A27" s="268">
        <v>3</v>
      </c>
      <c r="B27" s="270" t="s">
        <v>146</v>
      </c>
      <c r="C27" s="271" t="s">
        <v>147</v>
      </c>
      <c r="D27" s="269" t="s">
        <v>145</v>
      </c>
      <c r="E27" s="277">
        <v>4</v>
      </c>
      <c r="F27" s="275">
        <v>15.88</v>
      </c>
      <c r="G27" s="275">
        <v>2.4700000000000002</v>
      </c>
      <c r="H27" s="275">
        <v>13.41</v>
      </c>
      <c r="I27" s="275">
        <v>2.1800000000000002</v>
      </c>
      <c r="J27" s="276">
        <v>63.52</v>
      </c>
      <c r="K27" s="276">
        <v>9.8800000000000008</v>
      </c>
      <c r="L27" s="276">
        <v>53.64</v>
      </c>
      <c r="M27" s="276">
        <v>8.7200000000000006</v>
      </c>
      <c r="N27" s="184"/>
      <c r="O27" s="184"/>
      <c r="P27" s="184"/>
      <c r="Q27" s="184"/>
    </row>
    <row r="28" spans="1:17" ht="24" customHeight="1" x14ac:dyDescent="0.25">
      <c r="A28" s="268">
        <v>4</v>
      </c>
      <c r="B28" s="270" t="s">
        <v>186</v>
      </c>
      <c r="C28" s="271" t="s">
        <v>275</v>
      </c>
      <c r="D28" s="269" t="s">
        <v>145</v>
      </c>
      <c r="E28" s="277">
        <v>6</v>
      </c>
      <c r="F28" s="275">
        <v>242.25</v>
      </c>
      <c r="G28" s="275">
        <v>42.41</v>
      </c>
      <c r="H28" s="275">
        <v>154.01</v>
      </c>
      <c r="I28" s="275">
        <v>11.4</v>
      </c>
      <c r="J28" s="276">
        <v>1453.5</v>
      </c>
      <c r="K28" s="276">
        <v>254.46</v>
      </c>
      <c r="L28" s="276">
        <v>924.06</v>
      </c>
      <c r="M28" s="276">
        <v>68.400000000000006</v>
      </c>
      <c r="N28" s="184"/>
      <c r="O28" s="184"/>
      <c r="P28" s="184"/>
      <c r="Q28" s="184"/>
    </row>
    <row r="29" spans="1:17" ht="24" customHeight="1" x14ac:dyDescent="0.25">
      <c r="A29" s="268">
        <v>6</v>
      </c>
      <c r="B29" s="270" t="s">
        <v>148</v>
      </c>
      <c r="C29" s="271" t="s">
        <v>276</v>
      </c>
      <c r="D29" s="269" t="s">
        <v>145</v>
      </c>
      <c r="E29" s="277">
        <v>3</v>
      </c>
      <c r="F29" s="275">
        <v>495.08</v>
      </c>
      <c r="G29" s="275">
        <v>88.19</v>
      </c>
      <c r="H29" s="275">
        <v>361.08</v>
      </c>
      <c r="I29" s="275">
        <v>27.18</v>
      </c>
      <c r="J29" s="276">
        <v>1485.24</v>
      </c>
      <c r="K29" s="276">
        <v>264.57</v>
      </c>
      <c r="L29" s="276">
        <v>1083.24</v>
      </c>
      <c r="M29" s="276">
        <v>81.540000000000006</v>
      </c>
      <c r="N29" s="184"/>
      <c r="O29" s="184"/>
      <c r="P29" s="184"/>
      <c r="Q29" s="184"/>
    </row>
    <row r="30" spans="1:17" ht="13.2" customHeight="1" x14ac:dyDescent="0.25">
      <c r="A30" s="268">
        <v>8</v>
      </c>
      <c r="B30" s="270" t="s">
        <v>212</v>
      </c>
      <c r="C30" s="271" t="s">
        <v>277</v>
      </c>
      <c r="D30" s="269" t="s">
        <v>145</v>
      </c>
      <c r="E30" s="277">
        <v>1</v>
      </c>
      <c r="F30" s="275">
        <v>760.96</v>
      </c>
      <c r="G30" s="275">
        <v>135.18</v>
      </c>
      <c r="H30" s="275">
        <v>579.96</v>
      </c>
      <c r="I30" s="275">
        <v>43.99</v>
      </c>
      <c r="J30" s="276">
        <v>760.96</v>
      </c>
      <c r="K30" s="276">
        <v>135.18</v>
      </c>
      <c r="L30" s="276">
        <v>579.96</v>
      </c>
      <c r="M30" s="276">
        <v>43.99</v>
      </c>
      <c r="N30" s="184"/>
      <c r="O30" s="184"/>
      <c r="P30" s="184"/>
      <c r="Q30" s="184"/>
    </row>
    <row r="31" spans="1:17" ht="24" x14ac:dyDescent="0.25">
      <c r="A31" s="268">
        <v>9</v>
      </c>
      <c r="B31" s="270" t="s">
        <v>149</v>
      </c>
      <c r="C31" s="271" t="s">
        <v>150</v>
      </c>
      <c r="D31" s="269" t="s">
        <v>125</v>
      </c>
      <c r="E31" s="274">
        <v>9</v>
      </c>
      <c r="F31" s="275">
        <v>44.15</v>
      </c>
      <c r="G31" s="275">
        <v>9.06</v>
      </c>
      <c r="H31" s="275">
        <v>35.090000000000003</v>
      </c>
      <c r="I31" s="275">
        <v>3.67</v>
      </c>
      <c r="J31" s="276">
        <v>397.35</v>
      </c>
      <c r="K31" s="276">
        <v>81.540000000000006</v>
      </c>
      <c r="L31" s="276">
        <v>315.81</v>
      </c>
      <c r="M31" s="276">
        <v>33.03</v>
      </c>
      <c r="N31" s="184"/>
      <c r="O31" s="184"/>
      <c r="P31" s="184"/>
      <c r="Q31" s="184"/>
    </row>
    <row r="32" spans="1:17" ht="13.2" customHeight="1" x14ac:dyDescent="0.25">
      <c r="A32" s="268">
        <v>10</v>
      </c>
      <c r="B32" s="270" t="s">
        <v>151</v>
      </c>
      <c r="C32" s="271" t="s">
        <v>152</v>
      </c>
      <c r="D32" s="269" t="s">
        <v>153</v>
      </c>
      <c r="E32" s="274">
        <v>3.15</v>
      </c>
      <c r="F32" s="275">
        <v>287.10000000000002</v>
      </c>
      <c r="G32" s="275">
        <v>10.39</v>
      </c>
      <c r="H32" s="275">
        <v>20.78</v>
      </c>
      <c r="I32" s="275">
        <v>1.52</v>
      </c>
      <c r="J32" s="276">
        <v>904.37</v>
      </c>
      <c r="K32" s="276">
        <v>32.729999999999997</v>
      </c>
      <c r="L32" s="276">
        <v>65.459999999999994</v>
      </c>
      <c r="M32" s="276">
        <v>4.79</v>
      </c>
      <c r="N32" s="223"/>
      <c r="O32" s="223"/>
      <c r="P32" s="223"/>
      <c r="Q32" s="223"/>
    </row>
    <row r="33" spans="1:17" ht="22.8" customHeight="1" x14ac:dyDescent="0.25">
      <c r="A33" s="268">
        <v>11</v>
      </c>
      <c r="B33" s="270" t="s">
        <v>213</v>
      </c>
      <c r="C33" s="271" t="s">
        <v>214</v>
      </c>
      <c r="D33" s="269" t="s">
        <v>215</v>
      </c>
      <c r="E33" s="274">
        <v>0.30669999999999997</v>
      </c>
      <c r="F33" s="275">
        <v>703.33</v>
      </c>
      <c r="G33" s="275">
        <v>149.47999999999999</v>
      </c>
      <c r="H33" s="275">
        <v>424.61</v>
      </c>
      <c r="I33" s="275">
        <v>155.94</v>
      </c>
      <c r="J33" s="276">
        <v>215.71</v>
      </c>
      <c r="K33" s="276">
        <v>45.85</v>
      </c>
      <c r="L33" s="276">
        <v>130.22999999999999</v>
      </c>
      <c r="M33" s="276">
        <v>47.83</v>
      </c>
      <c r="N33" s="184"/>
      <c r="O33" s="184"/>
      <c r="P33" s="184"/>
      <c r="Q33" s="184"/>
    </row>
    <row r="34" spans="1:17" ht="22.8" customHeight="1" x14ac:dyDescent="0.25">
      <c r="A34" s="268">
        <v>12</v>
      </c>
      <c r="B34" s="270" t="s">
        <v>216</v>
      </c>
      <c r="C34" s="271" t="s">
        <v>217</v>
      </c>
      <c r="D34" s="269" t="s">
        <v>154</v>
      </c>
      <c r="E34" s="277">
        <v>0.6</v>
      </c>
      <c r="F34" s="275">
        <v>2605.3000000000002</v>
      </c>
      <c r="G34" s="275">
        <v>509.64</v>
      </c>
      <c r="H34" s="275">
        <v>1734.74</v>
      </c>
      <c r="I34" s="275">
        <v>223.14</v>
      </c>
      <c r="J34" s="276">
        <v>1563.18</v>
      </c>
      <c r="K34" s="276">
        <v>305.77999999999997</v>
      </c>
      <c r="L34" s="276">
        <v>1040.8399999999999</v>
      </c>
      <c r="M34" s="276">
        <v>133.88</v>
      </c>
      <c r="N34" s="184"/>
      <c r="O34" s="184"/>
      <c r="P34" s="184"/>
      <c r="Q34" s="184"/>
    </row>
    <row r="35" spans="1:17" ht="22.8" customHeight="1" x14ac:dyDescent="0.25">
      <c r="A35" s="268">
        <v>13</v>
      </c>
      <c r="B35" s="270" t="s">
        <v>218</v>
      </c>
      <c r="C35" s="271" t="s">
        <v>219</v>
      </c>
      <c r="D35" s="269" t="s">
        <v>145</v>
      </c>
      <c r="E35" s="277">
        <v>4.2</v>
      </c>
      <c r="F35" s="275">
        <v>409.38</v>
      </c>
      <c r="G35" s="275">
        <v>21.15</v>
      </c>
      <c r="H35" s="275">
        <v>80.7</v>
      </c>
      <c r="I35" s="275">
        <v>9.6300000000000008</v>
      </c>
      <c r="J35" s="276">
        <v>1719.4</v>
      </c>
      <c r="K35" s="276">
        <v>88.83</v>
      </c>
      <c r="L35" s="276">
        <v>338.94</v>
      </c>
      <c r="M35" s="276">
        <v>40.450000000000003</v>
      </c>
      <c r="N35" s="184"/>
      <c r="O35" s="184"/>
      <c r="P35" s="184"/>
      <c r="Q35" s="184"/>
    </row>
    <row r="36" spans="1:17" ht="22.8" customHeight="1" x14ac:dyDescent="0.25">
      <c r="A36" s="268">
        <v>14</v>
      </c>
      <c r="B36" s="270" t="s">
        <v>220</v>
      </c>
      <c r="C36" s="271" t="s">
        <v>221</v>
      </c>
      <c r="D36" s="269" t="s">
        <v>222</v>
      </c>
      <c r="E36" s="277">
        <v>1</v>
      </c>
      <c r="F36" s="275">
        <v>194.07</v>
      </c>
      <c r="G36" s="275">
        <v>128.71</v>
      </c>
      <c r="H36" s="275">
        <v>65.36</v>
      </c>
      <c r="I36" s="276"/>
      <c r="J36" s="276">
        <v>194.07</v>
      </c>
      <c r="K36" s="276">
        <v>128.71</v>
      </c>
      <c r="L36" s="276">
        <v>65.36</v>
      </c>
      <c r="M36" s="276"/>
      <c r="N36" s="184"/>
      <c r="O36" s="184"/>
      <c r="P36" s="184"/>
      <c r="Q36" s="184"/>
    </row>
    <row r="37" spans="1:17" ht="22.8" customHeight="1" x14ac:dyDescent="0.25">
      <c r="A37" s="268">
        <v>16</v>
      </c>
      <c r="B37" s="270" t="s">
        <v>223</v>
      </c>
      <c r="C37" s="271" t="s">
        <v>224</v>
      </c>
      <c r="D37" s="269" t="s">
        <v>179</v>
      </c>
      <c r="E37" s="277">
        <v>10</v>
      </c>
      <c r="F37" s="275">
        <v>133.85</v>
      </c>
      <c r="G37" s="275">
        <v>38.31</v>
      </c>
      <c r="H37" s="275">
        <v>92.46</v>
      </c>
      <c r="I37" s="275">
        <v>9.84</v>
      </c>
      <c r="J37" s="276">
        <v>1338.5</v>
      </c>
      <c r="K37" s="276">
        <v>383.1</v>
      </c>
      <c r="L37" s="276">
        <v>924.6</v>
      </c>
      <c r="M37" s="276">
        <v>98.4</v>
      </c>
      <c r="N37" s="184"/>
      <c r="O37" s="184"/>
      <c r="P37" s="184"/>
      <c r="Q37" s="184"/>
    </row>
    <row r="38" spans="1:17" ht="13.2" customHeight="1" x14ac:dyDescent="0.25">
      <c r="A38" s="459" t="s">
        <v>155</v>
      </c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5"/>
      <c r="M38" s="475"/>
      <c r="N38" s="184"/>
      <c r="O38" s="184"/>
      <c r="P38" s="184"/>
      <c r="Q38" s="184"/>
    </row>
    <row r="39" spans="1:17" ht="13.2" customHeight="1" x14ac:dyDescent="0.25">
      <c r="A39" s="268">
        <v>17</v>
      </c>
      <c r="B39" s="270" t="s">
        <v>156</v>
      </c>
      <c r="C39" s="271" t="s">
        <v>157</v>
      </c>
      <c r="D39" s="269" t="s">
        <v>158</v>
      </c>
      <c r="E39" s="274">
        <v>15</v>
      </c>
      <c r="F39" s="275">
        <v>147.4</v>
      </c>
      <c r="G39" s="275">
        <v>6.91</v>
      </c>
      <c r="H39" s="275">
        <v>107.58</v>
      </c>
      <c r="I39" s="275">
        <v>6.19</v>
      </c>
      <c r="J39" s="276">
        <v>2211</v>
      </c>
      <c r="K39" s="276">
        <v>103.65</v>
      </c>
      <c r="L39" s="276">
        <v>1613.7</v>
      </c>
      <c r="M39" s="276">
        <v>92.85</v>
      </c>
      <c r="N39" s="184"/>
      <c r="O39" s="184"/>
      <c r="P39" s="184"/>
      <c r="Q39" s="184"/>
    </row>
    <row r="40" spans="1:17" ht="13.2" customHeight="1" x14ac:dyDescent="0.25">
      <c r="A40" s="459" t="s">
        <v>159</v>
      </c>
      <c r="B40" s="475"/>
      <c r="C40" s="475"/>
      <c r="D40" s="475"/>
      <c r="E40" s="475"/>
      <c r="F40" s="475"/>
      <c r="G40" s="475"/>
      <c r="H40" s="475"/>
      <c r="I40" s="475"/>
      <c r="J40" s="475"/>
      <c r="K40" s="475"/>
      <c r="L40" s="475"/>
      <c r="M40" s="475"/>
      <c r="N40" s="223"/>
      <c r="O40" s="223"/>
      <c r="P40" s="223"/>
      <c r="Q40" s="223"/>
    </row>
    <row r="41" spans="1:17" ht="24" customHeight="1" x14ac:dyDescent="0.25">
      <c r="A41" s="268">
        <v>19</v>
      </c>
      <c r="B41" s="270" t="s">
        <v>160</v>
      </c>
      <c r="C41" s="271" t="s">
        <v>161</v>
      </c>
      <c r="D41" s="269" t="s">
        <v>162</v>
      </c>
      <c r="E41" s="277">
        <v>15</v>
      </c>
      <c r="F41" s="275">
        <v>15.76</v>
      </c>
      <c r="G41" s="275">
        <v>15.76</v>
      </c>
      <c r="H41" s="276"/>
      <c r="I41" s="276"/>
      <c r="J41" s="276">
        <v>236.4</v>
      </c>
      <c r="K41" s="276">
        <v>236.4</v>
      </c>
      <c r="L41" s="276"/>
      <c r="M41" s="276"/>
      <c r="N41" s="184"/>
      <c r="O41" s="184"/>
      <c r="P41" s="184"/>
      <c r="Q41" s="184"/>
    </row>
    <row r="42" spans="1:17" ht="26.4" customHeight="1" x14ac:dyDescent="0.25">
      <c r="A42" s="268">
        <v>20</v>
      </c>
      <c r="B42" s="270" t="s">
        <v>163</v>
      </c>
      <c r="C42" s="271" t="s">
        <v>164</v>
      </c>
      <c r="D42" s="269" t="s">
        <v>165</v>
      </c>
      <c r="E42" s="277">
        <v>0.15</v>
      </c>
      <c r="F42" s="275">
        <v>167.38</v>
      </c>
      <c r="G42" s="275">
        <v>167.38</v>
      </c>
      <c r="H42" s="276"/>
      <c r="I42" s="276"/>
      <c r="J42" s="276">
        <v>25.11</v>
      </c>
      <c r="K42" s="276">
        <v>25.11</v>
      </c>
      <c r="L42" s="276"/>
      <c r="M42" s="276"/>
      <c r="N42" s="184"/>
      <c r="O42" s="184"/>
      <c r="P42" s="184"/>
      <c r="Q42" s="184"/>
    </row>
    <row r="43" spans="1:17" ht="13.2" customHeight="1" x14ac:dyDescent="0.25">
      <c r="A43" s="459" t="s">
        <v>225</v>
      </c>
      <c r="B43" s="475"/>
      <c r="C43" s="475"/>
      <c r="D43" s="475"/>
      <c r="E43" s="475"/>
      <c r="F43" s="475"/>
      <c r="G43" s="475"/>
      <c r="H43" s="475"/>
      <c r="I43" s="475"/>
      <c r="J43" s="275">
        <v>13412.96</v>
      </c>
      <c r="K43" s="275">
        <v>2162.6</v>
      </c>
      <c r="L43" s="275">
        <v>7913.68</v>
      </c>
      <c r="M43" s="275">
        <v>763.29</v>
      </c>
      <c r="N43" s="222"/>
      <c r="O43" s="222"/>
      <c r="P43" s="222"/>
      <c r="Q43" s="222"/>
    </row>
    <row r="44" spans="1:17" ht="13.2" customHeight="1" x14ac:dyDescent="0.25">
      <c r="A44" s="459" t="s">
        <v>130</v>
      </c>
      <c r="B44" s="475"/>
      <c r="C44" s="475"/>
      <c r="D44" s="475"/>
      <c r="E44" s="475"/>
      <c r="F44" s="475"/>
      <c r="G44" s="475"/>
      <c r="H44" s="475"/>
      <c r="I44" s="475"/>
      <c r="J44" s="275">
        <v>2963.82</v>
      </c>
      <c r="K44" s="276"/>
      <c r="L44" s="276"/>
      <c r="M44" s="276"/>
      <c r="N44" s="184"/>
      <c r="O44" s="184"/>
      <c r="P44" s="184"/>
      <c r="Q44" s="184"/>
    </row>
    <row r="45" spans="1:17" ht="13.2" customHeight="1" x14ac:dyDescent="0.25">
      <c r="A45" s="459" t="s">
        <v>131</v>
      </c>
      <c r="B45" s="475"/>
      <c r="C45" s="475"/>
      <c r="D45" s="475"/>
      <c r="E45" s="475"/>
      <c r="F45" s="475"/>
      <c r="G45" s="475"/>
      <c r="H45" s="475"/>
      <c r="I45" s="475"/>
      <c r="J45" s="275">
        <v>1699.48</v>
      </c>
      <c r="K45" s="276"/>
      <c r="L45" s="276"/>
      <c r="M45" s="276"/>
      <c r="N45" s="184"/>
      <c r="O45" s="184"/>
      <c r="P45" s="184"/>
      <c r="Q45" s="184"/>
    </row>
    <row r="46" spans="1:17" ht="13.2" customHeight="1" x14ac:dyDescent="0.25">
      <c r="A46" s="457" t="s">
        <v>256</v>
      </c>
      <c r="B46" s="475"/>
      <c r="C46" s="475"/>
      <c r="D46" s="475"/>
      <c r="E46" s="475"/>
      <c r="F46" s="475"/>
      <c r="G46" s="475"/>
      <c r="H46" s="475"/>
      <c r="I46" s="475"/>
      <c r="J46" s="278">
        <v>18076.259999999998</v>
      </c>
      <c r="K46" s="276"/>
      <c r="L46" s="276"/>
      <c r="M46" s="276"/>
      <c r="N46" s="184"/>
      <c r="O46" s="184"/>
      <c r="P46" s="184"/>
      <c r="Q46" s="184"/>
    </row>
    <row r="47" spans="1:17" ht="14.4" customHeight="1" x14ac:dyDescent="0.25">
      <c r="A47" s="478" t="s">
        <v>166</v>
      </c>
      <c r="B47" s="475"/>
      <c r="C47" s="475"/>
      <c r="D47" s="475"/>
      <c r="E47" s="475"/>
      <c r="F47" s="475"/>
      <c r="G47" s="475"/>
      <c r="H47" s="475"/>
      <c r="I47" s="475"/>
      <c r="J47" s="475"/>
      <c r="K47" s="475"/>
      <c r="L47" s="475"/>
      <c r="M47" s="475"/>
      <c r="N47" s="184"/>
      <c r="O47" s="184"/>
      <c r="P47" s="184"/>
      <c r="Q47" s="184"/>
    </row>
    <row r="48" spans="1:17" ht="26.4" customHeight="1" x14ac:dyDescent="0.25">
      <c r="A48" s="268">
        <v>21</v>
      </c>
      <c r="B48" s="270" t="s">
        <v>167</v>
      </c>
      <c r="C48" s="271" t="s">
        <v>168</v>
      </c>
      <c r="D48" s="269" t="s">
        <v>127</v>
      </c>
      <c r="E48" s="277">
        <v>15</v>
      </c>
      <c r="F48" s="275">
        <v>2770.13</v>
      </c>
      <c r="G48" s="276"/>
      <c r="H48" s="276"/>
      <c r="I48" s="276"/>
      <c r="J48" s="276">
        <v>41551.949999999997</v>
      </c>
      <c r="K48" s="276"/>
      <c r="L48" s="276"/>
      <c r="M48" s="276"/>
      <c r="N48" s="184"/>
      <c r="O48" s="184"/>
      <c r="P48" s="184"/>
      <c r="Q48" s="184"/>
    </row>
    <row r="49" spans="1:17" ht="14.4" customHeight="1" x14ac:dyDescent="0.25">
      <c r="A49" s="268">
        <v>23</v>
      </c>
      <c r="B49" s="270" t="s">
        <v>169</v>
      </c>
      <c r="C49" s="271" t="s">
        <v>170</v>
      </c>
      <c r="D49" s="269" t="s">
        <v>127</v>
      </c>
      <c r="E49" s="274">
        <v>9</v>
      </c>
      <c r="F49" s="275">
        <v>616.84</v>
      </c>
      <c r="G49" s="276"/>
      <c r="H49" s="276"/>
      <c r="I49" s="276"/>
      <c r="J49" s="276">
        <v>5551.56</v>
      </c>
      <c r="K49" s="276"/>
      <c r="L49" s="276"/>
      <c r="M49" s="276"/>
      <c r="N49" s="184"/>
      <c r="O49" s="184"/>
      <c r="P49" s="184"/>
      <c r="Q49" s="184"/>
    </row>
    <row r="50" spans="1:17" ht="22.2" customHeight="1" x14ac:dyDescent="0.25">
      <c r="A50" s="268">
        <v>24</v>
      </c>
      <c r="B50" s="270" t="s">
        <v>171</v>
      </c>
      <c r="C50" s="271" t="s">
        <v>172</v>
      </c>
      <c r="D50" s="269" t="s">
        <v>127</v>
      </c>
      <c r="E50" s="274">
        <v>9</v>
      </c>
      <c r="F50" s="275">
        <v>161.22</v>
      </c>
      <c r="G50" s="276"/>
      <c r="H50" s="276"/>
      <c r="I50" s="276"/>
      <c r="J50" s="276">
        <v>1450.98</v>
      </c>
      <c r="K50" s="276"/>
      <c r="L50" s="276"/>
      <c r="M50" s="276"/>
      <c r="N50" s="184"/>
      <c r="O50" s="184"/>
      <c r="P50" s="184"/>
      <c r="Q50" s="184"/>
    </row>
    <row r="51" spans="1:17" ht="24.6" customHeight="1" x14ac:dyDescent="0.25">
      <c r="A51" s="268">
        <v>25</v>
      </c>
      <c r="B51" s="270" t="s">
        <v>226</v>
      </c>
      <c r="C51" s="271" t="s">
        <v>227</v>
      </c>
      <c r="D51" s="269" t="s">
        <v>127</v>
      </c>
      <c r="E51" s="277">
        <v>6</v>
      </c>
      <c r="F51" s="275">
        <v>871.32</v>
      </c>
      <c r="G51" s="276"/>
      <c r="H51" s="276"/>
      <c r="I51" s="276"/>
      <c r="J51" s="276">
        <v>5227.92</v>
      </c>
      <c r="K51" s="276"/>
      <c r="L51" s="276"/>
      <c r="M51" s="276"/>
      <c r="N51" s="184"/>
      <c r="O51" s="184"/>
      <c r="P51" s="184"/>
      <c r="Q51" s="184"/>
    </row>
    <row r="52" spans="1:17" ht="24" customHeight="1" x14ac:dyDescent="0.25">
      <c r="A52" s="268">
        <v>26</v>
      </c>
      <c r="B52" s="270" t="s">
        <v>228</v>
      </c>
      <c r="C52" s="271" t="s">
        <v>229</v>
      </c>
      <c r="D52" s="269" t="s">
        <v>127</v>
      </c>
      <c r="E52" s="277">
        <v>1</v>
      </c>
      <c r="F52" s="275">
        <v>968.05</v>
      </c>
      <c r="G52" s="276"/>
      <c r="H52" s="276"/>
      <c r="I52" s="276"/>
      <c r="J52" s="276">
        <v>968.05</v>
      </c>
      <c r="K52" s="276"/>
      <c r="L52" s="276"/>
      <c r="M52" s="276"/>
      <c r="N52" s="184"/>
      <c r="O52" s="184"/>
      <c r="P52" s="184"/>
      <c r="Q52" s="184"/>
    </row>
    <row r="53" spans="1:17" ht="24" customHeight="1" x14ac:dyDescent="0.25">
      <c r="A53" s="268">
        <v>27</v>
      </c>
      <c r="B53" s="270" t="s">
        <v>230</v>
      </c>
      <c r="C53" s="271" t="s">
        <v>231</v>
      </c>
      <c r="D53" s="269" t="s">
        <v>127</v>
      </c>
      <c r="E53" s="274">
        <v>3</v>
      </c>
      <c r="F53" s="275">
        <v>895.9</v>
      </c>
      <c r="G53" s="276"/>
      <c r="H53" s="276"/>
      <c r="I53" s="276"/>
      <c r="J53" s="276">
        <v>2687.7</v>
      </c>
      <c r="K53" s="276"/>
      <c r="L53" s="276"/>
      <c r="M53" s="276"/>
      <c r="N53" s="184"/>
      <c r="O53" s="184"/>
      <c r="P53" s="184"/>
      <c r="Q53" s="184"/>
    </row>
    <row r="54" spans="1:17" ht="22.8" x14ac:dyDescent="0.25">
      <c r="A54" s="268">
        <v>28</v>
      </c>
      <c r="B54" s="270" t="s">
        <v>232</v>
      </c>
      <c r="C54" s="271" t="s">
        <v>233</v>
      </c>
      <c r="D54" s="269" t="s">
        <v>127</v>
      </c>
      <c r="E54" s="274">
        <v>3</v>
      </c>
      <c r="F54" s="275">
        <v>131</v>
      </c>
      <c r="G54" s="276"/>
      <c r="H54" s="276"/>
      <c r="I54" s="276"/>
      <c r="J54" s="276">
        <v>393</v>
      </c>
      <c r="K54" s="276"/>
      <c r="L54" s="276"/>
      <c r="M54" s="276"/>
      <c r="N54" s="184"/>
      <c r="O54" s="184"/>
      <c r="P54" s="184"/>
      <c r="Q54" s="184"/>
    </row>
    <row r="55" spans="1:17" ht="22.8" x14ac:dyDescent="0.25">
      <c r="A55" s="268">
        <v>29</v>
      </c>
      <c r="B55" s="270" t="s">
        <v>234</v>
      </c>
      <c r="C55" s="271" t="s">
        <v>235</v>
      </c>
      <c r="D55" s="269" t="s">
        <v>127</v>
      </c>
      <c r="E55" s="277">
        <v>1</v>
      </c>
      <c r="F55" s="275">
        <v>155.85</v>
      </c>
      <c r="G55" s="276"/>
      <c r="H55" s="276"/>
      <c r="I55" s="276"/>
      <c r="J55" s="276">
        <v>155.85</v>
      </c>
      <c r="K55" s="276"/>
      <c r="L55" s="276"/>
      <c r="M55" s="276"/>
      <c r="N55" s="184"/>
      <c r="O55" s="184"/>
      <c r="P55" s="184"/>
      <c r="Q55" s="184"/>
    </row>
    <row r="56" spans="1:17" ht="21.6" customHeight="1" x14ac:dyDescent="0.25">
      <c r="A56" s="268">
        <v>30</v>
      </c>
      <c r="B56" s="270" t="s">
        <v>236</v>
      </c>
      <c r="C56" s="271" t="s">
        <v>237</v>
      </c>
      <c r="D56" s="269" t="s">
        <v>127</v>
      </c>
      <c r="E56" s="277">
        <v>1</v>
      </c>
      <c r="F56" s="275">
        <v>646.48</v>
      </c>
      <c r="G56" s="276"/>
      <c r="H56" s="276"/>
      <c r="I56" s="276"/>
      <c r="J56" s="276">
        <v>646.48</v>
      </c>
      <c r="K56" s="276"/>
      <c r="L56" s="276"/>
      <c r="M56" s="276"/>
      <c r="N56" s="184"/>
      <c r="O56" s="183"/>
      <c r="P56" s="184"/>
      <c r="Q56" s="183"/>
    </row>
    <row r="57" spans="1:17" ht="23.4" customHeight="1" x14ac:dyDescent="0.25">
      <c r="A57" s="268">
        <v>31</v>
      </c>
      <c r="B57" s="270" t="s">
        <v>173</v>
      </c>
      <c r="C57" s="271" t="s">
        <v>174</v>
      </c>
      <c r="D57" s="269" t="s">
        <v>127</v>
      </c>
      <c r="E57" s="277">
        <v>6</v>
      </c>
      <c r="F57" s="275">
        <v>32.479999999999997</v>
      </c>
      <c r="G57" s="276"/>
      <c r="H57" s="276"/>
      <c r="I57" s="276"/>
      <c r="J57" s="276">
        <v>194.88</v>
      </c>
      <c r="K57" s="276"/>
      <c r="L57" s="276"/>
      <c r="M57" s="276"/>
      <c r="N57" s="184"/>
      <c r="O57" s="183"/>
      <c r="P57" s="184"/>
      <c r="Q57" s="183"/>
    </row>
    <row r="58" spans="1:17" ht="38.4" customHeight="1" x14ac:dyDescent="0.25">
      <c r="A58" s="268">
        <v>32</v>
      </c>
      <c r="B58" s="279" t="s">
        <v>238</v>
      </c>
      <c r="C58" s="271" t="s">
        <v>239</v>
      </c>
      <c r="D58" s="269" t="s">
        <v>240</v>
      </c>
      <c r="E58" s="274">
        <v>1.9079999999999999</v>
      </c>
      <c r="F58" s="275">
        <v>19829.52</v>
      </c>
      <c r="G58" s="276"/>
      <c r="H58" s="276"/>
      <c r="I58" s="276"/>
      <c r="J58" s="276">
        <v>37834.720000000001</v>
      </c>
      <c r="K58" s="276"/>
      <c r="L58" s="276"/>
      <c r="M58" s="276"/>
      <c r="N58" s="184"/>
      <c r="O58" s="184"/>
      <c r="P58" s="184"/>
      <c r="Q58" s="184"/>
    </row>
    <row r="59" spans="1:17" ht="24" customHeight="1" x14ac:dyDescent="0.25">
      <c r="A59" s="268">
        <v>33</v>
      </c>
      <c r="B59" s="270" t="s">
        <v>241</v>
      </c>
      <c r="C59" s="271" t="s">
        <v>242</v>
      </c>
      <c r="D59" s="269" t="s">
        <v>127</v>
      </c>
      <c r="E59" s="274">
        <v>5</v>
      </c>
      <c r="F59" s="275">
        <v>220.78</v>
      </c>
      <c r="G59" s="276"/>
      <c r="H59" s="276"/>
      <c r="I59" s="276"/>
      <c r="J59" s="276">
        <v>1103.9000000000001</v>
      </c>
      <c r="K59" s="276"/>
      <c r="L59" s="276"/>
      <c r="M59" s="276"/>
      <c r="N59" s="184"/>
      <c r="O59" s="184"/>
      <c r="P59" s="184"/>
      <c r="Q59" s="184"/>
    </row>
    <row r="60" spans="1:17" ht="22.8" customHeight="1" x14ac:dyDescent="0.25">
      <c r="A60" s="268">
        <v>34</v>
      </c>
      <c r="B60" s="270" t="s">
        <v>243</v>
      </c>
      <c r="C60" s="271" t="s">
        <v>244</v>
      </c>
      <c r="D60" s="269" t="s">
        <v>126</v>
      </c>
      <c r="E60" s="274">
        <v>4.5</v>
      </c>
      <c r="F60" s="275">
        <v>24.8</v>
      </c>
      <c r="G60" s="276"/>
      <c r="H60" s="276"/>
      <c r="I60" s="276"/>
      <c r="J60" s="276">
        <v>111.6</v>
      </c>
      <c r="K60" s="276"/>
      <c r="L60" s="276"/>
      <c r="M60" s="276"/>
      <c r="N60" s="184"/>
      <c r="O60" s="184"/>
      <c r="P60" s="184"/>
      <c r="Q60" s="184"/>
    </row>
    <row r="61" spans="1:17" ht="22.8" customHeight="1" x14ac:dyDescent="0.25">
      <c r="A61" s="268">
        <v>35</v>
      </c>
      <c r="B61" s="270" t="s">
        <v>254</v>
      </c>
      <c r="C61" s="271" t="s">
        <v>245</v>
      </c>
      <c r="D61" s="269" t="s">
        <v>127</v>
      </c>
      <c r="E61" s="274">
        <v>24</v>
      </c>
      <c r="F61" s="275">
        <v>170.71</v>
      </c>
      <c r="G61" s="276"/>
      <c r="H61" s="276"/>
      <c r="I61" s="276"/>
      <c r="J61" s="276">
        <v>4097.04</v>
      </c>
      <c r="K61" s="276"/>
      <c r="L61" s="276"/>
      <c r="M61" s="276"/>
      <c r="N61" s="184"/>
      <c r="O61" s="183"/>
      <c r="P61" s="184"/>
      <c r="Q61" s="183"/>
    </row>
    <row r="62" spans="1:17" ht="25.2" customHeight="1" x14ac:dyDescent="0.25">
      <c r="A62" s="268">
        <v>36</v>
      </c>
      <c r="B62" s="270" t="s">
        <v>254</v>
      </c>
      <c r="C62" s="271" t="s">
        <v>175</v>
      </c>
      <c r="D62" s="269" t="s">
        <v>127</v>
      </c>
      <c r="E62" s="277">
        <v>24</v>
      </c>
      <c r="F62" s="275">
        <v>2.72</v>
      </c>
      <c r="G62" s="276"/>
      <c r="H62" s="276"/>
      <c r="I62" s="276"/>
      <c r="J62" s="276">
        <v>65.28</v>
      </c>
      <c r="K62" s="276"/>
      <c r="L62" s="276"/>
      <c r="M62" s="276"/>
      <c r="N62" s="184"/>
      <c r="O62" s="183"/>
      <c r="P62" s="184"/>
      <c r="Q62" s="183"/>
    </row>
    <row r="63" spans="1:17" ht="22.8" x14ac:dyDescent="0.25">
      <c r="A63" s="268">
        <v>37</v>
      </c>
      <c r="B63" s="270" t="s">
        <v>254</v>
      </c>
      <c r="C63" s="271" t="s">
        <v>246</v>
      </c>
      <c r="D63" s="269" t="s">
        <v>127</v>
      </c>
      <c r="E63" s="274">
        <v>48</v>
      </c>
      <c r="F63" s="275">
        <v>171.47</v>
      </c>
      <c r="G63" s="276"/>
      <c r="H63" s="276"/>
      <c r="I63" s="276"/>
      <c r="J63" s="276">
        <v>8230.56</v>
      </c>
      <c r="K63" s="276"/>
      <c r="L63" s="276"/>
      <c r="M63" s="276"/>
      <c r="N63" s="184"/>
      <c r="O63" s="184"/>
      <c r="P63" s="184"/>
      <c r="Q63" s="184"/>
    </row>
    <row r="64" spans="1:17" ht="22.8" x14ac:dyDescent="0.25">
      <c r="A64" s="268">
        <v>38</v>
      </c>
      <c r="B64" s="270" t="s">
        <v>254</v>
      </c>
      <c r="C64" s="271" t="s">
        <v>247</v>
      </c>
      <c r="D64" s="269" t="s">
        <v>127</v>
      </c>
      <c r="E64" s="274">
        <v>24</v>
      </c>
      <c r="F64" s="275">
        <v>43.89</v>
      </c>
      <c r="G64" s="276"/>
      <c r="H64" s="276"/>
      <c r="I64" s="276"/>
      <c r="J64" s="276">
        <v>1053.3599999999999</v>
      </c>
      <c r="K64" s="276"/>
      <c r="L64" s="276"/>
      <c r="M64" s="276"/>
      <c r="N64" s="184"/>
      <c r="O64" s="183"/>
      <c r="P64" s="184"/>
      <c r="Q64" s="184"/>
    </row>
    <row r="65" spans="1:17" ht="22.8" x14ac:dyDescent="0.25">
      <c r="A65" s="268">
        <v>39</v>
      </c>
      <c r="B65" s="270" t="s">
        <v>254</v>
      </c>
      <c r="C65" s="271" t="s">
        <v>248</v>
      </c>
      <c r="D65" s="269" t="s">
        <v>127</v>
      </c>
      <c r="E65" s="274">
        <v>36</v>
      </c>
      <c r="F65" s="275">
        <v>185.12</v>
      </c>
      <c r="G65" s="276"/>
      <c r="H65" s="276"/>
      <c r="I65" s="276"/>
      <c r="J65" s="276">
        <v>6664.32</v>
      </c>
      <c r="K65" s="276"/>
      <c r="L65" s="276"/>
      <c r="M65" s="276"/>
      <c r="N65" s="184"/>
      <c r="O65" s="183"/>
      <c r="P65" s="184"/>
      <c r="Q65" s="183"/>
    </row>
    <row r="66" spans="1:17" ht="22.8" x14ac:dyDescent="0.25">
      <c r="A66" s="268">
        <v>40</v>
      </c>
      <c r="B66" s="270" t="s">
        <v>254</v>
      </c>
      <c r="C66" s="271" t="s">
        <v>249</v>
      </c>
      <c r="D66" s="269" t="s">
        <v>127</v>
      </c>
      <c r="E66" s="274">
        <v>24</v>
      </c>
      <c r="F66" s="275">
        <v>122.9</v>
      </c>
      <c r="G66" s="276"/>
      <c r="H66" s="276"/>
      <c r="I66" s="276"/>
      <c r="J66" s="276">
        <v>2949.6</v>
      </c>
      <c r="K66" s="276"/>
      <c r="L66" s="276"/>
      <c r="M66" s="276"/>
      <c r="N66" s="184"/>
      <c r="O66" s="220"/>
      <c r="P66" s="184"/>
      <c r="Q66" s="220"/>
    </row>
    <row r="67" spans="1:17" ht="22.8" x14ac:dyDescent="0.25">
      <c r="A67" s="268">
        <v>41</v>
      </c>
      <c r="B67" s="270" t="s">
        <v>254</v>
      </c>
      <c r="C67" s="271" t="s">
        <v>250</v>
      </c>
      <c r="D67" s="269"/>
      <c r="E67" s="274">
        <v>36</v>
      </c>
      <c r="F67" s="275">
        <v>28.78</v>
      </c>
      <c r="G67" s="276"/>
      <c r="H67" s="276"/>
      <c r="I67" s="276"/>
      <c r="J67" s="276">
        <v>1036.08</v>
      </c>
      <c r="K67" s="276"/>
      <c r="L67" s="276"/>
      <c r="M67" s="276"/>
    </row>
    <row r="68" spans="1:17" ht="22.8" x14ac:dyDescent="0.25">
      <c r="A68" s="268">
        <v>42</v>
      </c>
      <c r="B68" s="270" t="s">
        <v>254</v>
      </c>
      <c r="C68" s="271" t="s">
        <v>251</v>
      </c>
      <c r="D68" s="269" t="s">
        <v>127</v>
      </c>
      <c r="E68" s="274">
        <v>18</v>
      </c>
      <c r="F68" s="275">
        <v>20.77</v>
      </c>
      <c r="G68" s="276"/>
      <c r="H68" s="276"/>
      <c r="I68" s="276"/>
      <c r="J68" s="276">
        <v>373.86</v>
      </c>
      <c r="K68" s="276"/>
      <c r="L68" s="276"/>
      <c r="M68" s="276"/>
    </row>
    <row r="69" spans="1:17" ht="22.8" x14ac:dyDescent="0.25">
      <c r="A69" s="268">
        <v>43</v>
      </c>
      <c r="B69" s="270" t="s">
        <v>254</v>
      </c>
      <c r="C69" s="271" t="s">
        <v>252</v>
      </c>
      <c r="D69" s="269" t="s">
        <v>127</v>
      </c>
      <c r="E69" s="277">
        <v>10</v>
      </c>
      <c r="F69" s="275">
        <v>1366.22</v>
      </c>
      <c r="G69" s="276"/>
      <c r="H69" s="276"/>
      <c r="I69" s="276"/>
      <c r="J69" s="276">
        <v>13662.2</v>
      </c>
      <c r="K69" s="276"/>
      <c r="L69" s="276"/>
      <c r="M69" s="276"/>
    </row>
    <row r="70" spans="1:17" ht="36" x14ac:dyDescent="0.25">
      <c r="A70" s="268">
        <v>44</v>
      </c>
      <c r="B70" s="270" t="s">
        <v>254</v>
      </c>
      <c r="C70" s="271" t="s">
        <v>257</v>
      </c>
      <c r="D70" s="269" t="s">
        <v>127</v>
      </c>
      <c r="E70" s="277">
        <v>3</v>
      </c>
      <c r="F70" s="275">
        <v>241.33</v>
      </c>
      <c r="G70" s="276"/>
      <c r="H70" s="276"/>
      <c r="I70" s="276"/>
      <c r="J70" s="276">
        <v>723.99</v>
      </c>
      <c r="K70" s="276"/>
      <c r="L70" s="276"/>
      <c r="M70" s="276"/>
    </row>
    <row r="71" spans="1:17" ht="13.8" x14ac:dyDescent="0.25">
      <c r="A71" s="459" t="s">
        <v>225</v>
      </c>
      <c r="B71" s="475"/>
      <c r="C71" s="475"/>
      <c r="D71" s="475"/>
      <c r="E71" s="475"/>
      <c r="F71" s="475"/>
      <c r="G71" s="475"/>
      <c r="H71" s="475"/>
      <c r="I71" s="475"/>
      <c r="J71" s="275">
        <v>136734.88</v>
      </c>
      <c r="K71" s="276"/>
      <c r="L71" s="276"/>
      <c r="M71" s="276"/>
    </row>
    <row r="72" spans="1:17" ht="13.8" x14ac:dyDescent="0.25">
      <c r="A72" s="457" t="s">
        <v>258</v>
      </c>
      <c r="B72" s="475"/>
      <c r="C72" s="475"/>
      <c r="D72" s="475"/>
      <c r="E72" s="475"/>
      <c r="F72" s="475"/>
      <c r="G72" s="475"/>
      <c r="H72" s="475"/>
      <c r="I72" s="475"/>
      <c r="J72" s="278">
        <v>136734.88</v>
      </c>
      <c r="K72" s="276"/>
      <c r="L72" s="276"/>
      <c r="M72" s="276"/>
    </row>
    <row r="73" spans="1:17" ht="13.8" x14ac:dyDescent="0.25">
      <c r="A73" s="464" t="s">
        <v>253</v>
      </c>
      <c r="B73" s="479"/>
      <c r="C73" s="479"/>
      <c r="D73" s="479"/>
      <c r="E73" s="479"/>
      <c r="F73" s="479"/>
      <c r="G73" s="479"/>
      <c r="H73" s="479"/>
      <c r="I73" s="479"/>
      <c r="J73" s="479"/>
      <c r="K73" s="479"/>
      <c r="L73" s="479"/>
      <c r="M73" s="479"/>
    </row>
    <row r="74" spans="1:17" ht="27" customHeight="1" x14ac:dyDescent="0.25">
      <c r="A74" s="459" t="s">
        <v>129</v>
      </c>
      <c r="B74" s="475"/>
      <c r="C74" s="475"/>
      <c r="D74" s="475"/>
      <c r="E74" s="475"/>
      <c r="F74" s="475"/>
      <c r="G74" s="475"/>
      <c r="H74" s="475"/>
      <c r="I74" s="475"/>
      <c r="J74" s="275">
        <v>150147.84</v>
      </c>
      <c r="K74" s="275">
        <v>2162.6</v>
      </c>
      <c r="L74" s="275">
        <v>7913.68</v>
      </c>
      <c r="M74" s="275">
        <v>763.29</v>
      </c>
    </row>
    <row r="75" spans="1:17" ht="13.2" customHeight="1" x14ac:dyDescent="0.25">
      <c r="A75" s="459" t="s">
        <v>130</v>
      </c>
      <c r="B75" s="475"/>
      <c r="C75" s="475"/>
      <c r="D75" s="475"/>
      <c r="E75" s="475"/>
      <c r="F75" s="475"/>
      <c r="G75" s="475"/>
      <c r="H75" s="475"/>
      <c r="I75" s="475"/>
      <c r="J75" s="275">
        <v>2963.82</v>
      </c>
      <c r="K75" s="276"/>
      <c r="L75" s="276"/>
      <c r="M75" s="276"/>
    </row>
    <row r="76" spans="1:17" ht="13.2" customHeight="1" x14ac:dyDescent="0.25">
      <c r="A76" s="459" t="s">
        <v>131</v>
      </c>
      <c r="B76" s="475"/>
      <c r="C76" s="475"/>
      <c r="D76" s="475"/>
      <c r="E76" s="475"/>
      <c r="F76" s="475"/>
      <c r="G76" s="475"/>
      <c r="H76" s="475"/>
      <c r="I76" s="475"/>
      <c r="J76" s="275">
        <v>1699.48</v>
      </c>
      <c r="K76" s="276"/>
      <c r="L76" s="276"/>
      <c r="M76" s="276"/>
    </row>
    <row r="77" spans="1:17" ht="13.2" customHeight="1" x14ac:dyDescent="0.25">
      <c r="A77" s="457" t="s">
        <v>132</v>
      </c>
      <c r="B77" s="475"/>
      <c r="C77" s="475"/>
      <c r="D77" s="475"/>
      <c r="E77" s="475"/>
      <c r="F77" s="475"/>
      <c r="G77" s="475"/>
      <c r="H77" s="475"/>
      <c r="I77" s="475"/>
      <c r="J77" s="276"/>
      <c r="K77" s="276"/>
      <c r="L77" s="276"/>
      <c r="M77" s="276"/>
    </row>
    <row r="78" spans="1:17" ht="13.2" customHeight="1" x14ac:dyDescent="0.25">
      <c r="A78" s="459" t="s">
        <v>133</v>
      </c>
      <c r="B78" s="475"/>
      <c r="C78" s="475"/>
      <c r="D78" s="475"/>
      <c r="E78" s="475"/>
      <c r="F78" s="475"/>
      <c r="G78" s="475"/>
      <c r="H78" s="475"/>
      <c r="I78" s="475"/>
      <c r="J78" s="275">
        <v>17540.169999999998</v>
      </c>
      <c r="K78" s="276"/>
      <c r="L78" s="276"/>
      <c r="M78" s="276"/>
    </row>
    <row r="79" spans="1:17" ht="13.2" customHeight="1" x14ac:dyDescent="0.25">
      <c r="A79" s="459" t="s">
        <v>134</v>
      </c>
      <c r="B79" s="475"/>
      <c r="C79" s="475"/>
      <c r="D79" s="475"/>
      <c r="E79" s="475"/>
      <c r="F79" s="475"/>
      <c r="G79" s="475"/>
      <c r="H79" s="475"/>
      <c r="I79" s="475"/>
      <c r="J79" s="275">
        <v>136734.88</v>
      </c>
      <c r="K79" s="276"/>
      <c r="L79" s="276"/>
      <c r="M79" s="276"/>
    </row>
    <row r="80" spans="1:17" ht="13.8" x14ac:dyDescent="0.25">
      <c r="A80" s="459" t="s">
        <v>135</v>
      </c>
      <c r="B80" s="475"/>
      <c r="C80" s="475"/>
      <c r="D80" s="475"/>
      <c r="E80" s="475"/>
      <c r="F80" s="475"/>
      <c r="G80" s="475"/>
      <c r="H80" s="475"/>
      <c r="I80" s="475"/>
      <c r="J80" s="275">
        <v>536.09</v>
      </c>
      <c r="K80" s="276"/>
      <c r="L80" s="276"/>
      <c r="M80" s="276"/>
    </row>
    <row r="81" spans="1:13" ht="13.2" customHeight="1" x14ac:dyDescent="0.25">
      <c r="A81" s="459" t="s">
        <v>136</v>
      </c>
      <c r="B81" s="475"/>
      <c r="C81" s="475"/>
      <c r="D81" s="475"/>
      <c r="E81" s="475"/>
      <c r="F81" s="475"/>
      <c r="G81" s="475"/>
      <c r="H81" s="475"/>
      <c r="I81" s="475"/>
      <c r="J81" s="275">
        <v>154811.14000000001</v>
      </c>
      <c r="K81" s="276"/>
      <c r="L81" s="276"/>
      <c r="M81" s="276"/>
    </row>
    <row r="82" spans="1:13" ht="13.2" customHeight="1" x14ac:dyDescent="0.25">
      <c r="A82" s="457" t="s">
        <v>137</v>
      </c>
      <c r="B82" s="475"/>
      <c r="C82" s="475"/>
      <c r="D82" s="475"/>
      <c r="E82" s="475"/>
      <c r="F82" s="475"/>
      <c r="G82" s="475"/>
      <c r="H82" s="475"/>
      <c r="I82" s="475"/>
      <c r="J82" s="278">
        <v>154811.14000000001</v>
      </c>
      <c r="K82" s="276"/>
      <c r="L82" s="276"/>
      <c r="M82" s="276"/>
    </row>
    <row r="83" spans="1:13" x14ac:dyDescent="0.25">
      <c r="A83" s="223"/>
      <c r="B83" s="254"/>
      <c r="C83" s="254"/>
      <c r="D83" s="254"/>
      <c r="E83" s="254"/>
      <c r="F83" s="254"/>
      <c r="G83" s="254"/>
      <c r="H83" s="254"/>
      <c r="I83" s="254"/>
      <c r="J83" s="183"/>
      <c r="K83" s="262"/>
      <c r="L83" s="262"/>
      <c r="M83" s="262"/>
    </row>
    <row r="84" spans="1:13" x14ac:dyDescent="0.25">
      <c r="A84" s="222"/>
      <c r="B84" s="254"/>
      <c r="C84" s="254"/>
      <c r="D84" s="254"/>
      <c r="E84" s="254"/>
      <c r="F84" s="254"/>
      <c r="G84" s="254"/>
      <c r="H84" s="254"/>
      <c r="I84" s="254"/>
      <c r="J84" s="262"/>
      <c r="K84" s="262"/>
      <c r="L84" s="262"/>
      <c r="M84" s="262"/>
    </row>
    <row r="85" spans="1:13" x14ac:dyDescent="0.25">
      <c r="A85" s="223"/>
      <c r="B85" s="254"/>
      <c r="C85" s="254"/>
      <c r="D85" s="254"/>
      <c r="E85" s="254"/>
      <c r="F85" s="254"/>
      <c r="G85" s="254"/>
      <c r="H85" s="254"/>
      <c r="I85" s="254"/>
      <c r="J85" s="183"/>
      <c r="K85" s="262"/>
      <c r="L85" s="262"/>
      <c r="M85" s="262"/>
    </row>
    <row r="86" spans="1:13" x14ac:dyDescent="0.25">
      <c r="A86" s="260"/>
      <c r="B86" s="255"/>
      <c r="C86" s="256"/>
      <c r="D86" s="257"/>
      <c r="E86" s="257"/>
      <c r="F86" s="258"/>
      <c r="G86" s="258"/>
      <c r="H86" s="258"/>
      <c r="I86" s="258"/>
      <c r="J86" s="258"/>
      <c r="K86" s="258"/>
      <c r="L86" s="258"/>
      <c r="M86" s="258"/>
    </row>
    <row r="87" spans="1:13" x14ac:dyDescent="0.25">
      <c r="A87" s="260"/>
      <c r="B87" s="255"/>
      <c r="C87" s="256"/>
      <c r="D87" s="257"/>
      <c r="E87" s="257"/>
      <c r="F87" s="258"/>
      <c r="G87" s="258"/>
      <c r="H87" s="258"/>
      <c r="I87" s="258"/>
      <c r="J87" s="258"/>
      <c r="K87" s="258"/>
      <c r="L87" s="258"/>
      <c r="M87" s="258"/>
    </row>
    <row r="88" spans="1:13" x14ac:dyDescent="0.25">
      <c r="A88" s="260"/>
      <c r="B88" s="255"/>
      <c r="C88" s="256"/>
      <c r="D88" s="257"/>
      <c r="E88" s="257"/>
      <c r="F88" s="258"/>
      <c r="G88" s="258"/>
      <c r="H88" s="258"/>
      <c r="I88" s="258"/>
      <c r="J88" s="258"/>
      <c r="K88" s="258"/>
      <c r="L88" s="258"/>
      <c r="M88" s="258"/>
    </row>
    <row r="89" spans="1:13" x14ac:dyDescent="0.25">
      <c r="A89" s="260"/>
      <c r="B89" s="477" t="s">
        <v>255</v>
      </c>
      <c r="C89" s="477"/>
      <c r="D89" s="477"/>
      <c r="E89" s="20"/>
      <c r="F89" s="20"/>
      <c r="G89" s="20"/>
      <c r="H89" s="258"/>
      <c r="I89" s="258"/>
      <c r="J89" s="258"/>
      <c r="K89" s="258"/>
      <c r="L89" s="258"/>
      <c r="M89" s="258"/>
    </row>
    <row r="90" spans="1:13" ht="13.8" x14ac:dyDescent="0.25">
      <c r="A90" s="260"/>
      <c r="B90" s="249"/>
      <c r="C90" s="437"/>
      <c r="D90" s="437"/>
      <c r="E90" s="437"/>
      <c r="F90" s="437"/>
      <c r="G90" s="437"/>
      <c r="H90" s="258"/>
      <c r="I90" s="258"/>
      <c r="J90" s="258"/>
      <c r="K90" s="258"/>
      <c r="L90" s="258"/>
      <c r="M90" s="258"/>
    </row>
    <row r="91" spans="1:13" ht="13.8" x14ac:dyDescent="0.25">
      <c r="A91" s="260"/>
      <c r="B91" s="249"/>
      <c r="C91" s="116"/>
      <c r="D91" s="116"/>
      <c r="E91" s="210"/>
      <c r="F91" s="116"/>
      <c r="G91" s="116"/>
      <c r="H91" s="258"/>
      <c r="I91" s="258"/>
      <c r="J91" s="258"/>
      <c r="K91" s="258"/>
      <c r="L91" s="258"/>
      <c r="M91" s="258"/>
    </row>
    <row r="92" spans="1:13" x14ac:dyDescent="0.25">
      <c r="A92" s="260"/>
      <c r="B92" s="170"/>
      <c r="C92" s="170"/>
      <c r="D92" s="118"/>
      <c r="E92" s="118"/>
      <c r="F92" s="118"/>
      <c r="G92" s="118"/>
      <c r="H92" s="258"/>
      <c r="I92" s="258"/>
      <c r="J92" s="258"/>
      <c r="K92" s="258"/>
      <c r="L92" s="258"/>
      <c r="M92" s="258"/>
    </row>
    <row r="93" spans="1:13" x14ac:dyDescent="0.25">
      <c r="A93" s="260"/>
      <c r="B93" s="255"/>
      <c r="C93" s="256"/>
      <c r="D93" s="257"/>
      <c r="E93" s="257"/>
      <c r="F93" s="258"/>
      <c r="G93" s="258"/>
      <c r="H93" s="258"/>
      <c r="I93" s="258"/>
      <c r="J93" s="258"/>
      <c r="K93" s="258"/>
      <c r="L93" s="258"/>
      <c r="M93" s="258"/>
    </row>
    <row r="94" spans="1:13" x14ac:dyDescent="0.25">
      <c r="A94" s="260"/>
      <c r="B94" s="255"/>
      <c r="C94" s="256"/>
      <c r="D94" s="257"/>
      <c r="E94" s="257"/>
      <c r="F94" s="258"/>
      <c r="G94" s="258"/>
      <c r="H94" s="258"/>
      <c r="I94" s="258"/>
      <c r="J94" s="258"/>
      <c r="K94" s="258"/>
      <c r="L94" s="258"/>
      <c r="M94" s="258"/>
    </row>
    <row r="95" spans="1:13" x14ac:dyDescent="0.25">
      <c r="A95" s="260"/>
      <c r="B95" s="255"/>
      <c r="C95" s="256"/>
      <c r="D95" s="257"/>
      <c r="E95" s="257"/>
      <c r="F95" s="258"/>
      <c r="G95" s="258"/>
      <c r="H95" s="258"/>
      <c r="I95" s="258"/>
      <c r="J95" s="258"/>
      <c r="K95" s="258"/>
      <c r="L95" s="258"/>
      <c r="M95" s="258"/>
    </row>
    <row r="96" spans="1:13" x14ac:dyDescent="0.25">
      <c r="A96" s="260"/>
      <c r="B96" s="255"/>
      <c r="C96" s="256"/>
      <c r="D96" s="257"/>
      <c r="E96" s="257"/>
      <c r="F96" s="258"/>
      <c r="G96" s="258"/>
      <c r="H96" s="258"/>
      <c r="I96" s="258"/>
      <c r="J96" s="258"/>
      <c r="K96" s="258"/>
      <c r="L96" s="258"/>
      <c r="M96" s="258"/>
    </row>
    <row r="97" spans="1:13" x14ac:dyDescent="0.25">
      <c r="A97" s="260"/>
      <c r="B97" s="255"/>
      <c r="C97" s="256"/>
      <c r="D97" s="257"/>
      <c r="E97" s="257"/>
      <c r="F97" s="258"/>
      <c r="G97" s="258"/>
      <c r="H97" s="258"/>
      <c r="I97" s="258"/>
      <c r="J97" s="258"/>
      <c r="K97" s="258"/>
      <c r="L97" s="258"/>
      <c r="M97" s="258"/>
    </row>
    <row r="98" spans="1:13" x14ac:dyDescent="0.25">
      <c r="A98" s="260"/>
      <c r="B98" s="255"/>
      <c r="C98" s="256"/>
      <c r="D98" s="257"/>
      <c r="E98" s="257"/>
      <c r="F98" s="258"/>
      <c r="G98" s="258"/>
      <c r="H98" s="258"/>
      <c r="I98" s="258"/>
      <c r="J98" s="258"/>
      <c r="K98" s="258"/>
      <c r="L98" s="258"/>
      <c r="M98" s="258"/>
    </row>
    <row r="99" spans="1:13" x14ac:dyDescent="0.25">
      <c r="A99" s="260"/>
      <c r="B99" s="255"/>
      <c r="C99" s="256"/>
      <c r="D99" s="257"/>
      <c r="E99" s="257"/>
      <c r="F99" s="258"/>
      <c r="G99" s="258"/>
      <c r="H99" s="258"/>
      <c r="I99" s="258"/>
      <c r="J99" s="258"/>
      <c r="K99" s="258"/>
      <c r="L99" s="258"/>
      <c r="M99" s="258"/>
    </row>
    <row r="100" spans="1:13" x14ac:dyDescent="0.25">
      <c r="A100" s="260"/>
      <c r="B100" s="255"/>
      <c r="C100" s="256"/>
      <c r="D100" s="257"/>
      <c r="E100" s="257"/>
      <c r="F100" s="258"/>
      <c r="G100" s="258"/>
      <c r="H100" s="258"/>
      <c r="I100" s="258"/>
      <c r="J100" s="258"/>
      <c r="K100" s="258"/>
      <c r="L100" s="258"/>
      <c r="M100" s="258"/>
    </row>
    <row r="101" spans="1:13" x14ac:dyDescent="0.25">
      <c r="A101" s="260"/>
      <c r="B101" s="255"/>
      <c r="C101" s="256"/>
      <c r="D101" s="257"/>
      <c r="E101" s="257"/>
      <c r="F101" s="258"/>
      <c r="G101" s="258"/>
      <c r="H101" s="258"/>
      <c r="I101" s="258"/>
      <c r="J101" s="258"/>
      <c r="K101" s="258"/>
      <c r="L101" s="258"/>
      <c r="M101" s="258"/>
    </row>
    <row r="102" spans="1:13" x14ac:dyDescent="0.25">
      <c r="A102" s="260"/>
      <c r="B102" s="255"/>
      <c r="C102" s="256"/>
      <c r="D102" s="257"/>
      <c r="E102" s="257"/>
      <c r="F102" s="258"/>
      <c r="G102" s="258"/>
      <c r="H102" s="258"/>
      <c r="I102" s="258"/>
      <c r="J102" s="258"/>
      <c r="K102" s="258"/>
      <c r="L102" s="258"/>
      <c r="M102" s="258"/>
    </row>
    <row r="103" spans="1:13" x14ac:dyDescent="0.25">
      <c r="A103" s="260"/>
      <c r="B103" s="255"/>
      <c r="C103" s="256"/>
      <c r="D103" s="257"/>
      <c r="E103" s="257"/>
      <c r="F103" s="258"/>
      <c r="G103" s="258"/>
      <c r="H103" s="258"/>
      <c r="I103" s="258"/>
      <c r="J103" s="258"/>
      <c r="K103" s="258"/>
      <c r="L103" s="258"/>
      <c r="M103" s="258"/>
    </row>
    <row r="104" spans="1:13" x14ac:dyDescent="0.25">
      <c r="A104" s="260"/>
      <c r="B104" s="255"/>
      <c r="C104" s="256"/>
      <c r="D104" s="257"/>
      <c r="E104" s="257"/>
      <c r="F104" s="258"/>
      <c r="G104" s="258"/>
      <c r="H104" s="258"/>
      <c r="I104" s="258"/>
      <c r="J104" s="258"/>
      <c r="K104" s="258"/>
      <c r="L104" s="258"/>
      <c r="M104" s="258"/>
    </row>
    <row r="105" spans="1:13" x14ac:dyDescent="0.25">
      <c r="A105" s="260"/>
      <c r="B105" s="255"/>
      <c r="C105" s="256"/>
      <c r="D105" s="257"/>
      <c r="E105" s="257"/>
      <c r="F105" s="258"/>
      <c r="G105" s="258"/>
      <c r="H105" s="258"/>
      <c r="I105" s="258"/>
      <c r="J105" s="258"/>
      <c r="K105" s="258"/>
      <c r="L105" s="258"/>
      <c r="M105" s="258"/>
    </row>
    <row r="106" spans="1:13" x14ac:dyDescent="0.25">
      <c r="A106" s="260"/>
      <c r="B106" s="255"/>
      <c r="C106" s="256"/>
      <c r="D106" s="257"/>
      <c r="E106" s="257"/>
      <c r="F106" s="258"/>
      <c r="G106" s="258"/>
      <c r="H106" s="258"/>
      <c r="I106" s="258"/>
      <c r="J106" s="258"/>
      <c r="K106" s="258"/>
      <c r="L106" s="258"/>
      <c r="M106" s="258"/>
    </row>
    <row r="107" spans="1:13" x14ac:dyDescent="0.25">
      <c r="A107" s="260"/>
      <c r="B107" s="255"/>
      <c r="C107" s="256"/>
      <c r="D107" s="257"/>
      <c r="E107" s="257"/>
      <c r="F107" s="258"/>
      <c r="G107" s="258"/>
      <c r="H107" s="258"/>
      <c r="I107" s="258"/>
      <c r="J107" s="258"/>
      <c r="K107" s="258"/>
      <c r="L107" s="258"/>
      <c r="M107" s="258"/>
    </row>
    <row r="108" spans="1:13" x14ac:dyDescent="0.25">
      <c r="A108" s="260"/>
      <c r="B108" s="255"/>
      <c r="C108" s="256"/>
      <c r="D108" s="257"/>
      <c r="E108" s="257"/>
      <c r="F108" s="258"/>
      <c r="G108" s="258"/>
      <c r="H108" s="258"/>
      <c r="I108" s="258"/>
      <c r="J108" s="258"/>
      <c r="K108" s="258"/>
      <c r="L108" s="258"/>
      <c r="M108" s="258"/>
    </row>
    <row r="109" spans="1:13" x14ac:dyDescent="0.25">
      <c r="A109" s="260"/>
      <c r="B109" s="255"/>
      <c r="C109" s="256"/>
      <c r="D109" s="257"/>
      <c r="E109" s="257"/>
      <c r="F109" s="258"/>
      <c r="G109" s="258"/>
      <c r="H109" s="258"/>
      <c r="I109" s="258"/>
      <c r="J109" s="258"/>
      <c r="K109" s="258"/>
      <c r="L109" s="258"/>
      <c r="M109" s="258"/>
    </row>
    <row r="110" spans="1:13" x14ac:dyDescent="0.25">
      <c r="A110" s="260"/>
      <c r="B110" s="255"/>
      <c r="C110" s="256"/>
      <c r="D110" s="257"/>
      <c r="E110" s="257"/>
      <c r="F110" s="258"/>
      <c r="G110" s="258"/>
      <c r="H110" s="258"/>
      <c r="I110" s="258"/>
      <c r="J110" s="258"/>
      <c r="K110" s="258"/>
      <c r="L110" s="258"/>
      <c r="M110" s="258"/>
    </row>
    <row r="111" spans="1:13" x14ac:dyDescent="0.25">
      <c r="A111" s="260"/>
      <c r="B111" s="255"/>
      <c r="C111" s="256"/>
      <c r="D111" s="257"/>
      <c r="E111" s="257"/>
      <c r="F111" s="258"/>
      <c r="G111" s="258"/>
      <c r="H111" s="258"/>
      <c r="I111" s="258"/>
      <c r="J111" s="258"/>
      <c r="K111" s="258"/>
      <c r="L111" s="258"/>
      <c r="M111" s="258"/>
    </row>
    <row r="112" spans="1:13" x14ac:dyDescent="0.25">
      <c r="A112" s="260"/>
      <c r="B112" s="255"/>
      <c r="C112" s="256"/>
      <c r="D112" s="257"/>
      <c r="E112" s="257"/>
      <c r="F112" s="258"/>
      <c r="G112" s="258"/>
      <c r="H112" s="258"/>
      <c r="I112" s="258"/>
      <c r="J112" s="258"/>
      <c r="K112" s="258"/>
      <c r="L112" s="258"/>
      <c r="M112" s="258"/>
    </row>
    <row r="113" spans="1:13" x14ac:dyDescent="0.25">
      <c r="A113" s="260"/>
      <c r="B113" s="255"/>
      <c r="C113" s="256"/>
      <c r="D113" s="257"/>
      <c r="E113" s="257"/>
      <c r="F113" s="258"/>
      <c r="G113" s="258"/>
      <c r="H113" s="258"/>
      <c r="I113" s="258"/>
      <c r="J113" s="258"/>
      <c r="K113" s="258"/>
      <c r="L113" s="258"/>
      <c r="M113" s="258"/>
    </row>
    <row r="114" spans="1:13" x14ac:dyDescent="0.25">
      <c r="A114" s="260"/>
      <c r="B114" s="255"/>
      <c r="C114" s="256"/>
      <c r="D114" s="257"/>
      <c r="E114" s="257"/>
      <c r="F114" s="258"/>
      <c r="G114" s="258"/>
      <c r="H114" s="258"/>
      <c r="I114" s="258"/>
      <c r="J114" s="258"/>
      <c r="K114" s="258"/>
      <c r="L114" s="258"/>
      <c r="M114" s="258"/>
    </row>
    <row r="115" spans="1:13" x14ac:dyDescent="0.25">
      <c r="A115" s="260"/>
      <c r="B115" s="255"/>
      <c r="C115" s="256"/>
      <c r="D115" s="257"/>
      <c r="E115" s="257"/>
      <c r="F115" s="258"/>
      <c r="G115" s="258"/>
      <c r="H115" s="258"/>
      <c r="I115" s="258"/>
      <c r="J115" s="258"/>
      <c r="K115" s="258"/>
      <c r="L115" s="258"/>
      <c r="M115" s="258"/>
    </row>
    <row r="116" spans="1:13" x14ac:dyDescent="0.25">
      <c r="A116" s="260"/>
      <c r="B116" s="255"/>
      <c r="C116" s="256"/>
      <c r="D116" s="257"/>
      <c r="E116" s="257"/>
      <c r="F116" s="258"/>
      <c r="G116" s="258"/>
      <c r="H116" s="258"/>
      <c r="I116" s="258"/>
      <c r="J116" s="258"/>
      <c r="K116" s="258"/>
      <c r="L116" s="258"/>
      <c r="M116" s="258"/>
    </row>
    <row r="117" spans="1:13" x14ac:dyDescent="0.25">
      <c r="A117" s="260"/>
      <c r="B117" s="255"/>
      <c r="C117" s="256"/>
      <c r="D117" s="257"/>
      <c r="E117" s="257"/>
      <c r="F117" s="258"/>
      <c r="G117" s="258"/>
      <c r="H117" s="258"/>
      <c r="I117" s="258"/>
      <c r="J117" s="258"/>
      <c r="K117" s="258"/>
      <c r="L117" s="258"/>
      <c r="M117" s="258"/>
    </row>
    <row r="118" spans="1:13" x14ac:dyDescent="0.25">
      <c r="A118" s="260"/>
      <c r="B118" s="255"/>
      <c r="C118" s="256"/>
      <c r="D118" s="257"/>
      <c r="E118" s="257"/>
      <c r="F118" s="258"/>
      <c r="G118" s="258"/>
      <c r="H118" s="258"/>
      <c r="I118" s="258"/>
      <c r="J118" s="258"/>
      <c r="K118" s="258"/>
      <c r="L118" s="258"/>
      <c r="M118" s="258"/>
    </row>
    <row r="119" spans="1:13" x14ac:dyDescent="0.25">
      <c r="A119" s="260"/>
      <c r="B119" s="255"/>
      <c r="C119" s="256"/>
      <c r="D119" s="257"/>
      <c r="E119" s="257"/>
      <c r="F119" s="258"/>
      <c r="G119" s="258"/>
      <c r="H119" s="258"/>
      <c r="I119" s="258"/>
      <c r="J119" s="258"/>
      <c r="K119" s="258"/>
      <c r="L119" s="258"/>
      <c r="M119" s="258"/>
    </row>
    <row r="120" spans="1:13" x14ac:dyDescent="0.25">
      <c r="A120" s="260"/>
      <c r="B120" s="255"/>
      <c r="C120" s="256"/>
      <c r="D120" s="257"/>
      <c r="E120" s="257"/>
      <c r="F120" s="258"/>
      <c r="G120" s="258"/>
      <c r="H120" s="258"/>
      <c r="I120" s="258"/>
      <c r="J120" s="258"/>
      <c r="K120" s="258"/>
      <c r="L120" s="258"/>
      <c r="M120" s="258"/>
    </row>
    <row r="121" spans="1:13" x14ac:dyDescent="0.25">
      <c r="A121" s="260"/>
      <c r="B121" s="255"/>
      <c r="C121" s="256"/>
      <c r="D121" s="257"/>
      <c r="E121" s="257"/>
      <c r="F121" s="258"/>
      <c r="G121" s="258"/>
      <c r="H121" s="258"/>
      <c r="I121" s="258"/>
      <c r="J121" s="258"/>
      <c r="K121" s="258"/>
      <c r="L121" s="258"/>
      <c r="M121" s="258"/>
    </row>
    <row r="122" spans="1:13" x14ac:dyDescent="0.25">
      <c r="A122" s="260"/>
      <c r="B122" s="255"/>
      <c r="C122" s="256"/>
      <c r="D122" s="257"/>
      <c r="E122" s="257"/>
      <c r="F122" s="258"/>
      <c r="G122" s="258"/>
      <c r="H122" s="258"/>
      <c r="I122" s="258"/>
      <c r="J122" s="258"/>
      <c r="K122" s="258"/>
      <c r="L122" s="258"/>
      <c r="M122" s="258"/>
    </row>
    <row r="123" spans="1:13" x14ac:dyDescent="0.25">
      <c r="A123" s="260"/>
      <c r="B123" s="255"/>
      <c r="C123" s="256"/>
      <c r="D123" s="257"/>
      <c r="E123" s="257"/>
      <c r="F123" s="258"/>
      <c r="G123" s="258"/>
      <c r="H123" s="258"/>
      <c r="I123" s="258"/>
      <c r="J123" s="258"/>
      <c r="K123" s="258"/>
      <c r="L123" s="258"/>
      <c r="M123" s="258"/>
    </row>
    <row r="124" spans="1:13" x14ac:dyDescent="0.25">
      <c r="A124" s="260"/>
      <c r="B124" s="255"/>
      <c r="C124" s="256"/>
      <c r="D124" s="257"/>
      <c r="E124" s="257"/>
      <c r="F124" s="258"/>
      <c r="G124" s="258"/>
      <c r="H124" s="258"/>
      <c r="I124" s="258"/>
      <c r="J124" s="258"/>
      <c r="K124" s="258"/>
      <c r="L124" s="258"/>
      <c r="M124" s="258"/>
    </row>
    <row r="125" spans="1:13" x14ac:dyDescent="0.25">
      <c r="A125" s="260"/>
      <c r="B125" s="255"/>
      <c r="C125" s="256"/>
      <c r="D125" s="257"/>
      <c r="E125" s="257"/>
      <c r="F125" s="258"/>
      <c r="G125" s="258"/>
      <c r="H125" s="258"/>
      <c r="I125" s="258"/>
      <c r="J125" s="258"/>
      <c r="K125" s="258"/>
      <c r="L125" s="258"/>
      <c r="M125" s="258"/>
    </row>
    <row r="126" spans="1:13" x14ac:dyDescent="0.25">
      <c r="A126" s="260"/>
      <c r="B126" s="255"/>
      <c r="C126" s="256"/>
      <c r="D126" s="257"/>
      <c r="E126" s="257"/>
      <c r="F126" s="258"/>
      <c r="G126" s="258"/>
      <c r="H126" s="258"/>
      <c r="I126" s="258"/>
      <c r="J126" s="258"/>
      <c r="K126" s="258"/>
      <c r="L126" s="258"/>
      <c r="M126" s="258"/>
    </row>
    <row r="127" spans="1:13" x14ac:dyDescent="0.25">
      <c r="A127" s="260"/>
      <c r="B127" s="255"/>
      <c r="C127" s="256"/>
      <c r="D127" s="257"/>
      <c r="E127" s="257"/>
      <c r="F127" s="258"/>
      <c r="G127" s="258"/>
      <c r="H127" s="258"/>
      <c r="I127" s="258"/>
      <c r="J127" s="258"/>
      <c r="K127" s="258"/>
      <c r="L127" s="258"/>
      <c r="M127" s="258"/>
    </row>
    <row r="128" spans="1:13" x14ac:dyDescent="0.25">
      <c r="A128" s="260"/>
      <c r="B128" s="255"/>
      <c r="C128" s="256"/>
      <c r="D128" s="257"/>
      <c r="E128" s="257"/>
      <c r="F128" s="258"/>
      <c r="G128" s="258"/>
      <c r="H128" s="258"/>
      <c r="I128" s="258"/>
      <c r="J128" s="258"/>
      <c r="K128" s="258"/>
      <c r="L128" s="258"/>
      <c r="M128" s="258"/>
    </row>
    <row r="129" spans="1:13" x14ac:dyDescent="0.25">
      <c r="A129" s="260"/>
      <c r="B129" s="255"/>
      <c r="C129" s="256"/>
      <c r="D129" s="257"/>
      <c r="E129" s="257"/>
      <c r="F129" s="258"/>
      <c r="G129" s="258"/>
      <c r="H129" s="258"/>
      <c r="I129" s="258"/>
      <c r="J129" s="258"/>
      <c r="K129" s="258"/>
      <c r="L129" s="258"/>
      <c r="M129" s="258"/>
    </row>
    <row r="130" spans="1:13" x14ac:dyDescent="0.25">
      <c r="A130" s="260"/>
      <c r="B130" s="255"/>
      <c r="C130" s="256"/>
      <c r="D130" s="257"/>
      <c r="E130" s="257"/>
      <c r="F130" s="258"/>
      <c r="G130" s="258"/>
      <c r="H130" s="258"/>
      <c r="I130" s="258"/>
      <c r="J130" s="258"/>
      <c r="K130" s="258"/>
      <c r="L130" s="258"/>
      <c r="M130" s="258"/>
    </row>
    <row r="131" spans="1:13" x14ac:dyDescent="0.25">
      <c r="A131" s="260"/>
      <c r="B131" s="255"/>
      <c r="C131" s="256"/>
      <c r="D131" s="257"/>
      <c r="E131" s="257"/>
      <c r="F131" s="258"/>
      <c r="G131" s="258"/>
      <c r="H131" s="258"/>
      <c r="I131" s="258"/>
      <c r="J131" s="258"/>
      <c r="K131" s="258"/>
      <c r="L131" s="258"/>
      <c r="M131" s="258"/>
    </row>
    <row r="132" spans="1:13" x14ac:dyDescent="0.25">
      <c r="A132" s="260"/>
      <c r="B132" s="255"/>
      <c r="C132" s="256"/>
      <c r="D132" s="257"/>
      <c r="E132" s="257"/>
      <c r="F132" s="258"/>
      <c r="G132" s="258"/>
      <c r="H132" s="258"/>
      <c r="I132" s="258"/>
      <c r="J132" s="258"/>
      <c r="K132" s="258"/>
      <c r="L132" s="258"/>
      <c r="M132" s="258"/>
    </row>
    <row r="133" spans="1:13" x14ac:dyDescent="0.25">
      <c r="A133" s="260"/>
      <c r="B133" s="255"/>
      <c r="C133" s="256"/>
      <c r="D133" s="257"/>
      <c r="E133" s="257"/>
      <c r="F133" s="258"/>
      <c r="G133" s="258"/>
      <c r="H133" s="258"/>
      <c r="I133" s="258"/>
      <c r="J133" s="258"/>
      <c r="K133" s="258"/>
      <c r="L133" s="258"/>
      <c r="M133" s="258"/>
    </row>
    <row r="134" spans="1:13" x14ac:dyDescent="0.25">
      <c r="A134" s="260"/>
      <c r="B134" s="255"/>
      <c r="C134" s="256"/>
      <c r="D134" s="257"/>
      <c r="E134" s="257"/>
      <c r="F134" s="258"/>
      <c r="G134" s="258"/>
      <c r="H134" s="258"/>
      <c r="I134" s="258"/>
      <c r="J134" s="258"/>
      <c r="K134" s="258"/>
      <c r="L134" s="258"/>
      <c r="M134" s="258"/>
    </row>
    <row r="135" spans="1:13" x14ac:dyDescent="0.25">
      <c r="A135" s="260"/>
      <c r="B135" s="255"/>
      <c r="C135" s="256"/>
      <c r="D135" s="257"/>
      <c r="E135" s="257"/>
      <c r="F135" s="258"/>
      <c r="G135" s="258"/>
      <c r="H135" s="258"/>
      <c r="I135" s="258"/>
      <c r="J135" s="258"/>
      <c r="K135" s="258"/>
      <c r="L135" s="258"/>
      <c r="M135" s="258"/>
    </row>
    <row r="136" spans="1:13" x14ac:dyDescent="0.25">
      <c r="A136" s="231"/>
      <c r="B136" s="226"/>
      <c r="C136" s="227"/>
      <c r="D136" s="228"/>
      <c r="E136" s="228"/>
      <c r="F136" s="229"/>
      <c r="G136" s="229"/>
      <c r="H136" s="229"/>
      <c r="I136" s="229"/>
      <c r="J136" s="229"/>
      <c r="K136" s="229"/>
      <c r="L136" s="229"/>
      <c r="M136" s="229"/>
    </row>
    <row r="137" spans="1:13" x14ac:dyDescent="0.25">
      <c r="A137" s="231"/>
      <c r="B137" s="226"/>
      <c r="C137" s="227"/>
      <c r="D137" s="228"/>
      <c r="E137" s="228"/>
      <c r="F137" s="229"/>
      <c r="G137" s="229"/>
      <c r="H137" s="229"/>
      <c r="I137" s="229"/>
      <c r="J137" s="229"/>
      <c r="K137" s="229"/>
      <c r="L137" s="229"/>
      <c r="M137" s="229"/>
    </row>
    <row r="138" spans="1:13" x14ac:dyDescent="0.25">
      <c r="A138" s="231"/>
      <c r="B138" s="226"/>
      <c r="C138" s="227"/>
      <c r="D138" s="228"/>
      <c r="E138" s="228"/>
      <c r="F138" s="229"/>
      <c r="G138" s="229"/>
      <c r="H138" s="229"/>
      <c r="I138" s="229"/>
      <c r="J138" s="229"/>
      <c r="K138" s="229"/>
      <c r="L138" s="229"/>
      <c r="M138" s="229"/>
    </row>
    <row r="139" spans="1:13" x14ac:dyDescent="0.25">
      <c r="A139" s="231"/>
      <c r="B139" s="226"/>
      <c r="C139" s="227"/>
      <c r="D139" s="228"/>
      <c r="E139" s="228"/>
      <c r="F139" s="229"/>
      <c r="G139" s="229"/>
      <c r="H139" s="229"/>
      <c r="I139" s="229"/>
      <c r="J139" s="229"/>
      <c r="K139" s="229"/>
      <c r="L139" s="229"/>
      <c r="M139" s="229"/>
    </row>
    <row r="140" spans="1:13" x14ac:dyDescent="0.25">
      <c r="A140" s="231"/>
      <c r="B140" s="226"/>
      <c r="C140" s="227"/>
      <c r="D140" s="228"/>
      <c r="E140" s="228"/>
      <c r="F140" s="229"/>
      <c r="G140" s="229"/>
      <c r="H140" s="229"/>
      <c r="I140" s="229"/>
      <c r="J140" s="229"/>
      <c r="K140" s="229"/>
      <c r="L140" s="229"/>
      <c r="M140" s="229"/>
    </row>
    <row r="141" spans="1:13" x14ac:dyDescent="0.25">
      <c r="A141" s="231"/>
      <c r="B141" s="226"/>
      <c r="C141" s="227"/>
      <c r="D141" s="228"/>
      <c r="E141" s="228"/>
      <c r="F141" s="229"/>
      <c r="G141" s="229"/>
      <c r="H141" s="229"/>
      <c r="I141" s="229"/>
      <c r="J141" s="229"/>
      <c r="K141" s="229"/>
      <c r="L141" s="229"/>
      <c r="M141" s="229"/>
    </row>
  </sheetData>
  <mergeCells count="40">
    <mergeCell ref="A40:M40"/>
    <mergeCell ref="A43:I43"/>
    <mergeCell ref="E13:F13"/>
    <mergeCell ref="E17:F17"/>
    <mergeCell ref="E18:F18"/>
    <mergeCell ref="E16:F16"/>
    <mergeCell ref="E15:F15"/>
    <mergeCell ref="E14:F14"/>
    <mergeCell ref="A74:I74"/>
    <mergeCell ref="A75:I75"/>
    <mergeCell ref="A46:I46"/>
    <mergeCell ref="J20:M20"/>
    <mergeCell ref="F21:F22"/>
    <mergeCell ref="G21:I21"/>
    <mergeCell ref="J21:J22"/>
    <mergeCell ref="K21:M21"/>
    <mergeCell ref="A24:M24"/>
    <mergeCell ref="A20:A22"/>
    <mergeCell ref="B20:B22"/>
    <mergeCell ref="C20:C22"/>
    <mergeCell ref="D20:D22"/>
    <mergeCell ref="E20:E22"/>
    <mergeCell ref="F20:I20"/>
    <mergeCell ref="A38:M38"/>
    <mergeCell ref="A44:I44"/>
    <mergeCell ref="A45:I45"/>
    <mergeCell ref="B9:N9"/>
    <mergeCell ref="C90:G90"/>
    <mergeCell ref="B89:D89"/>
    <mergeCell ref="A47:M47"/>
    <mergeCell ref="A82:I82"/>
    <mergeCell ref="A76:I76"/>
    <mergeCell ref="A77:I77"/>
    <mergeCell ref="A78:I78"/>
    <mergeCell ref="A79:I79"/>
    <mergeCell ref="A80:I80"/>
    <mergeCell ref="A81:I81"/>
    <mergeCell ref="A71:I71"/>
    <mergeCell ref="A72:I72"/>
    <mergeCell ref="A73:M7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0"/>
  <sheetViews>
    <sheetView workbookViewId="0">
      <selection activeCell="D25" sqref="D25"/>
    </sheetView>
  </sheetViews>
  <sheetFormatPr defaultRowHeight="13.2" x14ac:dyDescent="0.25"/>
  <cols>
    <col min="1" max="1" width="4.44140625" customWidth="1"/>
    <col min="2" max="2" width="9.44140625" customWidth="1"/>
    <col min="3" max="3" width="35.6640625" customWidth="1"/>
    <col min="4" max="4" width="44.77734375" customWidth="1"/>
    <col min="5" max="5" width="11.21875" customWidth="1"/>
    <col min="6" max="6" width="11.77734375" customWidth="1"/>
    <col min="7" max="7" width="11.21875" customWidth="1"/>
    <col min="8" max="8" width="10" customWidth="1"/>
    <col min="9" max="9" width="10.44140625" customWidth="1"/>
    <col min="10" max="10" width="11.21875" customWidth="1"/>
  </cols>
  <sheetData>
    <row r="5" spans="1:10" ht="15.6" x14ac:dyDescent="0.25">
      <c r="A5" s="481" t="s">
        <v>194</v>
      </c>
      <c r="B5" s="481"/>
      <c r="C5" s="481"/>
      <c r="D5" s="481"/>
      <c r="E5" s="481"/>
      <c r="F5" s="481"/>
      <c r="G5" s="481"/>
      <c r="H5" s="481"/>
      <c r="I5" s="481"/>
    </row>
    <row r="6" spans="1:10" x14ac:dyDescent="0.25">
      <c r="A6" s="482" t="s">
        <v>263</v>
      </c>
      <c r="B6" s="483"/>
      <c r="C6" s="483"/>
      <c r="D6" s="483"/>
      <c r="E6" s="483"/>
      <c r="F6" s="483"/>
      <c r="G6" s="483"/>
      <c r="H6" s="483"/>
      <c r="I6" s="483"/>
    </row>
    <row r="7" spans="1:10" ht="15.6" customHeight="1" x14ac:dyDescent="0.25">
      <c r="A7" s="482" t="s">
        <v>206</v>
      </c>
      <c r="B7" s="482"/>
      <c r="C7" s="482"/>
      <c r="D7" s="482"/>
      <c r="E7" s="482"/>
      <c r="F7" s="482"/>
      <c r="G7" s="482"/>
      <c r="H7" s="482"/>
      <c r="I7" s="482"/>
      <c r="J7" s="482"/>
    </row>
    <row r="8" spans="1:10" x14ac:dyDescent="0.25">
      <c r="A8" s="46"/>
      <c r="B8" s="187"/>
      <c r="C8" s="447"/>
      <c r="D8" s="447"/>
      <c r="E8" s="447"/>
      <c r="F8" s="447"/>
      <c r="G8" s="447"/>
      <c r="H8" s="447"/>
      <c r="I8" s="19"/>
    </row>
    <row r="9" spans="1:10" x14ac:dyDescent="0.25">
      <c r="A9" s="176"/>
      <c r="B9" s="1"/>
      <c r="C9" s="2"/>
      <c r="D9" s="2"/>
      <c r="E9" s="20"/>
      <c r="F9" s="20"/>
      <c r="G9" s="20"/>
      <c r="H9" s="20"/>
      <c r="I9" s="19"/>
    </row>
    <row r="10" spans="1:10" x14ac:dyDescent="0.25">
      <c r="A10" s="176"/>
      <c r="B10" s="1" t="s">
        <v>95</v>
      </c>
      <c r="C10" s="2"/>
      <c r="D10" s="2"/>
      <c r="E10" s="21"/>
      <c r="F10" s="3"/>
      <c r="G10" s="3"/>
      <c r="H10" s="3"/>
      <c r="I10" s="3"/>
    </row>
    <row r="11" spans="1:10" ht="13.2" customHeight="1" x14ac:dyDescent="0.25">
      <c r="A11" s="416" t="s">
        <v>2</v>
      </c>
      <c r="B11" s="417" t="s">
        <v>3</v>
      </c>
      <c r="C11" s="418" t="s">
        <v>4</v>
      </c>
      <c r="D11" s="419"/>
      <c r="E11" s="484" t="s">
        <v>86</v>
      </c>
      <c r="F11" s="485"/>
      <c r="G11" s="485"/>
      <c r="H11" s="485"/>
      <c r="I11" s="486"/>
      <c r="J11" s="416" t="s">
        <v>6</v>
      </c>
    </row>
    <row r="12" spans="1:10" x14ac:dyDescent="0.25">
      <c r="A12" s="416"/>
      <c r="B12" s="417"/>
      <c r="C12" s="420"/>
      <c r="D12" s="421"/>
      <c r="E12" s="416" t="s">
        <v>190</v>
      </c>
      <c r="F12" s="416" t="s">
        <v>191</v>
      </c>
      <c r="G12" s="438" t="s">
        <v>192</v>
      </c>
      <c r="H12" s="438" t="s">
        <v>189</v>
      </c>
      <c r="I12" s="438" t="s">
        <v>193</v>
      </c>
      <c r="J12" s="416"/>
    </row>
    <row r="13" spans="1:10" x14ac:dyDescent="0.25">
      <c r="A13" s="416"/>
      <c r="B13" s="417"/>
      <c r="C13" s="420"/>
      <c r="D13" s="421"/>
      <c r="E13" s="416"/>
      <c r="F13" s="416"/>
      <c r="G13" s="439"/>
      <c r="H13" s="439"/>
      <c r="I13" s="439"/>
      <c r="J13" s="416"/>
    </row>
    <row r="14" spans="1:10" x14ac:dyDescent="0.25">
      <c r="A14" s="416"/>
      <c r="B14" s="417"/>
      <c r="C14" s="422"/>
      <c r="D14" s="423"/>
      <c r="E14" s="416"/>
      <c r="F14" s="416"/>
      <c r="G14" s="440"/>
      <c r="H14" s="440"/>
      <c r="I14" s="440"/>
      <c r="J14" s="416"/>
    </row>
    <row r="15" spans="1:10" x14ac:dyDescent="0.25">
      <c r="A15" s="174">
        <v>1</v>
      </c>
      <c r="B15" s="22">
        <v>2</v>
      </c>
      <c r="C15" s="71">
        <v>3</v>
      </c>
      <c r="D15" s="72"/>
      <c r="E15" s="181">
        <v>4</v>
      </c>
      <c r="F15" s="181">
        <v>5</v>
      </c>
      <c r="G15" s="181">
        <v>6</v>
      </c>
      <c r="H15" s="181">
        <v>7</v>
      </c>
      <c r="I15" s="181">
        <v>8</v>
      </c>
      <c r="J15" s="181">
        <v>8</v>
      </c>
    </row>
    <row r="16" spans="1:10" x14ac:dyDescent="0.25">
      <c r="A16" s="185"/>
      <c r="B16" s="186"/>
      <c r="C16" s="186"/>
      <c r="D16" s="186"/>
      <c r="E16" s="188"/>
      <c r="F16" s="188"/>
      <c r="G16" s="188"/>
      <c r="H16" s="188"/>
      <c r="I16" s="74"/>
      <c r="J16" s="74"/>
    </row>
    <row r="17" spans="1:10" ht="16.2" customHeight="1" x14ac:dyDescent="0.25">
      <c r="A17" s="30">
        <v>1</v>
      </c>
      <c r="B17" s="161" t="s">
        <v>265</v>
      </c>
      <c r="C17" s="441" t="s">
        <v>261</v>
      </c>
      <c r="D17" s="442"/>
      <c r="E17" s="189">
        <v>360.99</v>
      </c>
      <c r="F17" s="189">
        <v>2461.317</v>
      </c>
      <c r="G17" s="191">
        <v>0</v>
      </c>
      <c r="H17" s="189">
        <v>20.382999999999999</v>
      </c>
      <c r="I17" s="191">
        <v>96.257000000000005</v>
      </c>
      <c r="J17" s="191">
        <f>SUM(E17:I17)</f>
        <v>2938.9469999999997</v>
      </c>
    </row>
    <row r="18" spans="1:10" ht="16.2" customHeight="1" x14ac:dyDescent="0.25">
      <c r="A18" s="30"/>
      <c r="B18" s="161" t="s">
        <v>266</v>
      </c>
      <c r="C18" s="441" t="s">
        <v>262</v>
      </c>
      <c r="D18" s="442"/>
      <c r="E18" s="189">
        <v>111.684</v>
      </c>
      <c r="F18" s="189">
        <v>765.06399999999996</v>
      </c>
      <c r="G18" s="191">
        <v>0</v>
      </c>
      <c r="H18" s="191">
        <v>6.2385000000000002</v>
      </c>
      <c r="I18" s="191">
        <v>29.918600000000001</v>
      </c>
      <c r="J18" s="191">
        <f>SUM(E18:I18)</f>
        <v>912.90509999999995</v>
      </c>
    </row>
    <row r="19" spans="1:10" ht="17.399999999999999" customHeight="1" x14ac:dyDescent="0.25">
      <c r="A19" s="30">
        <v>2</v>
      </c>
      <c r="B19" s="161" t="s">
        <v>267</v>
      </c>
      <c r="C19" s="441" t="s">
        <v>264</v>
      </c>
      <c r="D19" s="442"/>
      <c r="E19" s="252">
        <v>3.5150000000000001</v>
      </c>
      <c r="F19" s="253">
        <v>21.305</v>
      </c>
      <c r="G19" s="253">
        <v>108.259</v>
      </c>
      <c r="H19" s="253">
        <v>3.18</v>
      </c>
      <c r="I19" s="252">
        <v>5.2759999999999998</v>
      </c>
      <c r="J19" s="253">
        <f t="shared" ref="J19:J20" si="0">SUM(E19:I19)</f>
        <v>141.53500000000003</v>
      </c>
    </row>
    <row r="20" spans="1:10" ht="18" customHeight="1" x14ac:dyDescent="0.25">
      <c r="A20" s="23">
        <v>3</v>
      </c>
      <c r="B20" s="161" t="s">
        <v>278</v>
      </c>
      <c r="C20" s="441" t="s">
        <v>280</v>
      </c>
      <c r="D20" s="442"/>
      <c r="E20" s="190">
        <v>16.684699999999999</v>
      </c>
      <c r="F20" s="190">
        <v>241.07</v>
      </c>
      <c r="G20" s="190">
        <v>0</v>
      </c>
      <c r="H20" s="190">
        <v>1.3385</v>
      </c>
      <c r="I20" s="190">
        <v>8.2992000000000008</v>
      </c>
      <c r="J20" s="191">
        <f t="shared" si="0"/>
        <v>267.39240000000001</v>
      </c>
    </row>
    <row r="21" spans="1:10" x14ac:dyDescent="0.25">
      <c r="A21" s="26">
        <v>4</v>
      </c>
      <c r="B21" s="272"/>
      <c r="C21" s="73" t="s">
        <v>142</v>
      </c>
      <c r="D21" s="74"/>
      <c r="E21" s="194">
        <f t="shared" ref="E21:J21" si="1">SUM(E17:E20)</f>
        <v>492.87369999999999</v>
      </c>
      <c r="F21" s="194">
        <f t="shared" si="1"/>
        <v>3488.7559999999999</v>
      </c>
      <c r="G21" s="194">
        <f t="shared" si="1"/>
        <v>108.259</v>
      </c>
      <c r="H21" s="194">
        <f t="shared" si="1"/>
        <v>31.139999999999997</v>
      </c>
      <c r="I21" s="190">
        <f t="shared" si="1"/>
        <v>139.75080000000003</v>
      </c>
      <c r="J21" s="190">
        <f t="shared" si="1"/>
        <v>4260.7794999999996</v>
      </c>
    </row>
    <row r="22" spans="1:10" x14ac:dyDescent="0.25">
      <c r="A22" s="26">
        <v>5</v>
      </c>
      <c r="B22" s="43"/>
      <c r="C22" s="79" t="s">
        <v>39</v>
      </c>
      <c r="D22" s="80"/>
      <c r="E22" s="192">
        <f>E21*0.18</f>
        <v>88.717265999999995</v>
      </c>
      <c r="F22" s="192">
        <f t="shared" ref="F22:J22" si="2">F21*0.18</f>
        <v>627.97607999999991</v>
      </c>
      <c r="G22" s="192">
        <f t="shared" si="2"/>
        <v>19.486619999999998</v>
      </c>
      <c r="H22" s="192">
        <f t="shared" si="2"/>
        <v>5.6051999999999991</v>
      </c>
      <c r="I22" s="192">
        <f t="shared" si="2"/>
        <v>25.155144000000004</v>
      </c>
      <c r="J22" s="192">
        <f t="shared" si="2"/>
        <v>766.94030999999995</v>
      </c>
    </row>
    <row r="23" spans="1:10" x14ac:dyDescent="0.25">
      <c r="A23" s="26">
        <v>6</v>
      </c>
      <c r="B23" s="272"/>
      <c r="C23" s="81" t="s">
        <v>27</v>
      </c>
      <c r="D23" s="82"/>
      <c r="E23" s="193">
        <f t="shared" ref="E23:J23" si="3">E21+E22</f>
        <v>581.59096599999998</v>
      </c>
      <c r="F23" s="193">
        <f t="shared" si="3"/>
        <v>4116.7320799999998</v>
      </c>
      <c r="G23" s="193">
        <f t="shared" si="3"/>
        <v>127.74562</v>
      </c>
      <c r="H23" s="193">
        <f t="shared" si="3"/>
        <v>36.745199999999997</v>
      </c>
      <c r="I23" s="193">
        <f t="shared" si="3"/>
        <v>164.90594400000003</v>
      </c>
      <c r="J23" s="193">
        <f t="shared" si="3"/>
        <v>5027.7198099999996</v>
      </c>
    </row>
    <row r="24" spans="1:10" x14ac:dyDescent="0.25">
      <c r="A24" s="46"/>
      <c r="B24" s="47"/>
      <c r="C24" s="48"/>
      <c r="D24" s="48"/>
      <c r="E24" s="49"/>
      <c r="F24" s="49"/>
      <c r="G24" s="49"/>
      <c r="H24" s="49"/>
      <c r="I24" s="50"/>
    </row>
    <row r="25" spans="1:10" x14ac:dyDescent="0.25">
      <c r="A25" s="46"/>
      <c r="B25" s="47"/>
      <c r="C25" s="48"/>
      <c r="D25" s="48"/>
      <c r="E25" s="49"/>
      <c r="F25" s="147"/>
      <c r="G25" s="49"/>
      <c r="H25" s="147"/>
      <c r="I25" s="50"/>
    </row>
    <row r="26" spans="1:10" x14ac:dyDescent="0.25">
      <c r="A26" s="46"/>
      <c r="B26" s="1"/>
      <c r="C26" s="47"/>
      <c r="D26" s="47"/>
      <c r="E26" s="51"/>
      <c r="F26" s="146"/>
      <c r="G26" s="20"/>
      <c r="H26" s="20"/>
      <c r="I26" s="20"/>
    </row>
    <row r="27" spans="1:10" x14ac:dyDescent="0.25">
      <c r="A27" s="46"/>
      <c r="B27" s="47"/>
      <c r="C27" s="51"/>
      <c r="D27" s="51"/>
      <c r="E27" s="20"/>
      <c r="F27" s="20"/>
      <c r="G27" s="20"/>
      <c r="H27" s="20"/>
      <c r="I27" s="20"/>
    </row>
    <row r="28" spans="1:10" x14ac:dyDescent="0.25">
      <c r="A28" s="176"/>
      <c r="B28" s="1"/>
      <c r="C28" s="170" t="s">
        <v>139</v>
      </c>
      <c r="D28" s="170" t="s">
        <v>140</v>
      </c>
      <c r="E28" s="20"/>
      <c r="F28" s="20"/>
      <c r="G28" s="20"/>
      <c r="H28" s="20"/>
      <c r="I28" s="20"/>
    </row>
    <row r="29" spans="1:10" ht="13.8" x14ac:dyDescent="0.25">
      <c r="A29" s="98"/>
      <c r="B29" s="115"/>
      <c r="C29" s="436"/>
      <c r="D29" s="437"/>
      <c r="E29" s="437"/>
      <c r="F29" s="437"/>
      <c r="G29" s="437"/>
      <c r="H29" s="437"/>
      <c r="I29" s="437"/>
    </row>
    <row r="30" spans="1:10" ht="13.8" x14ac:dyDescent="0.25">
      <c r="A30" s="98"/>
      <c r="B30" s="115"/>
      <c r="C30" s="436"/>
      <c r="D30" s="116"/>
      <c r="E30" s="116"/>
      <c r="F30" s="178"/>
      <c r="G30" s="116"/>
      <c r="H30" s="116"/>
      <c r="I30" s="437"/>
    </row>
  </sheetData>
  <mergeCells count="21">
    <mergeCell ref="A5:I5"/>
    <mergeCell ref="A6:I6"/>
    <mergeCell ref="C8:H8"/>
    <mergeCell ref="A11:A14"/>
    <mergeCell ref="B11:B14"/>
    <mergeCell ref="C11:D14"/>
    <mergeCell ref="E12:E14"/>
    <mergeCell ref="F12:F14"/>
    <mergeCell ref="G12:G14"/>
    <mergeCell ref="H12:H14"/>
    <mergeCell ref="A7:J7"/>
    <mergeCell ref="J11:J14"/>
    <mergeCell ref="E11:I11"/>
    <mergeCell ref="I12:I14"/>
    <mergeCell ref="C20:D20"/>
    <mergeCell ref="C29:C30"/>
    <mergeCell ref="D29:H29"/>
    <mergeCell ref="I29:I30"/>
    <mergeCell ref="C17:D17"/>
    <mergeCell ref="C19:D19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18</vt:i4>
      </vt:variant>
    </vt:vector>
  </HeadingPairs>
  <TitlesOfParts>
    <vt:vector size="31" baseType="lpstr">
      <vt:lpstr>4 КВ 2010</vt:lpstr>
      <vt:lpstr>Свод</vt:lpstr>
      <vt:lpstr>ССР-СТП-25кВА</vt:lpstr>
      <vt:lpstr>ЛСР. СТП-25кВА</vt:lpstr>
      <vt:lpstr>ССР-РЛК-10кВ-2шт</vt:lpstr>
      <vt:lpstr>ЛСР РЛК-10кВ-1шт</vt:lpstr>
      <vt:lpstr>ССР.ВЛ-10кВ-0,6км</vt:lpstr>
      <vt:lpstr>ЛСР№2.  ВЛ-10кВ-0,6км</vt:lpstr>
      <vt:lpstr>Сводный расчет </vt:lpstr>
      <vt:lpstr>ССР-КЛ-10кВ</vt:lpstr>
      <vt:lpstr>ЛСР. КЛ-10кВ</vt:lpstr>
      <vt:lpstr>Лист3</vt:lpstr>
      <vt:lpstr>Лист1</vt:lpstr>
      <vt:lpstr>'4 КВ 2010'!Constr</vt:lpstr>
      <vt:lpstr>Свод!Constr</vt:lpstr>
      <vt:lpstr>'ССР-СТП-25кВА'!Constr</vt:lpstr>
      <vt:lpstr>'4 КВ 2010'!FOT</vt:lpstr>
      <vt:lpstr>Свод!FOT</vt:lpstr>
      <vt:lpstr>'ССР-СТП-25кВА'!FOT</vt:lpstr>
      <vt:lpstr>'4 КВ 2010'!Ind</vt:lpstr>
      <vt:lpstr>Свод!Ind</vt:lpstr>
      <vt:lpstr>'ССР-СТП-25кВА'!Ind</vt:lpstr>
      <vt:lpstr>'4 КВ 2010'!Obj</vt:lpstr>
      <vt:lpstr>Свод!Obj</vt:lpstr>
      <vt:lpstr>'ССР-СТП-25кВА'!Obj</vt:lpstr>
      <vt:lpstr>'4 КВ 2010'!Obosn</vt:lpstr>
      <vt:lpstr>Свод!Obosn</vt:lpstr>
      <vt:lpstr>'ССР-СТП-25кВА'!Obosn</vt:lpstr>
      <vt:lpstr>'4 КВ 2010'!Область_печати</vt:lpstr>
      <vt:lpstr>Свод!Область_печати</vt:lpstr>
      <vt:lpstr>'ССР-СТП-25кВА'!Область_печати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Bahmutova.NA</dc:creator>
  <cp:lastModifiedBy>volodina.ea</cp:lastModifiedBy>
  <cp:lastPrinted>2016-04-13T10:21:14Z</cp:lastPrinted>
  <dcterms:created xsi:type="dcterms:W3CDTF">2011-09-12T10:28:51Z</dcterms:created>
  <dcterms:modified xsi:type="dcterms:W3CDTF">2016-08-10T12:18:08Z</dcterms:modified>
</cp:coreProperties>
</file>