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1" activeTab="1"/>
  </bookViews>
  <sheets>
    <sheet name="68_лот_(Все)" sheetId="2" state="hidden" r:id="rId1"/>
    <sheet name="68_лот_(Юго-Запад)" sheetId="4" r:id="rId2"/>
  </sheets>
  <definedNames>
    <definedName name="_xlnm._FilterDatabase" localSheetId="0" hidden="1">'68_лот_(Все)'!$A$2:$BM$188</definedName>
    <definedName name="_xlnm._FilterDatabase" localSheetId="1" hidden="1">'68_лот_(Юго-Запад)'!$A$2:$BM$48</definedName>
    <definedName name="_xlnm.Print_Titles" localSheetId="0">'68_лот_(Все)'!$2:$2</definedName>
    <definedName name="_xlnm.Print_Titles" localSheetId="1">'68_лот_(Юго-Запад)'!$2:$2</definedName>
    <definedName name="_xlnm.Print_Area" localSheetId="0">'68_лот_(Все)'!$A$1:$BM$104</definedName>
    <definedName name="_xlnm.Print_Area" localSheetId="1">'68_лот_(Юго-Запад)'!$A$1:$BM$53</definedName>
  </definedNames>
  <calcPr calcId="145621"/>
</workbook>
</file>

<file path=xl/calcChain.xml><?xml version="1.0" encoding="utf-8"?>
<calcChain xmlns="http://schemas.openxmlformats.org/spreadsheetml/2006/main">
  <c r="S5" i="4" l="1"/>
  <c r="Q5" i="4"/>
  <c r="P5" i="4"/>
  <c r="BB46" i="4"/>
  <c r="BB29" i="4"/>
  <c r="BB4" i="4"/>
  <c r="N23" i="4"/>
  <c r="N14" i="4"/>
  <c r="N5" i="4"/>
  <c r="T38" i="4" l="1"/>
  <c r="N38" i="4" s="1"/>
  <c r="S37" i="4"/>
  <c r="R37" i="4"/>
  <c r="Q37" i="4"/>
  <c r="P37" i="4"/>
  <c r="T36" i="4"/>
  <c r="N36" i="4" s="1"/>
  <c r="Q33" i="4"/>
  <c r="S33" i="4"/>
  <c r="R22" i="4"/>
  <c r="Q22" i="4"/>
  <c r="P22" i="4"/>
  <c r="T22" i="4" s="1"/>
  <c r="R10" i="4"/>
  <c r="Q10" i="4"/>
  <c r="P10" i="4"/>
  <c r="T10" i="4" s="1"/>
  <c r="N10" i="4" s="1"/>
  <c r="S8" i="4"/>
  <c r="Q8" i="4"/>
  <c r="T8" i="4" s="1"/>
  <c r="N8" i="4" s="1"/>
  <c r="Q9" i="4"/>
  <c r="T37" i="4" l="1"/>
  <c r="T33" i="4"/>
  <c r="BB31" i="4" s="1"/>
  <c r="N32" i="4"/>
  <c r="AZ31" i="4"/>
  <c r="BK31" i="4" l="1"/>
  <c r="AC48" i="4"/>
  <c r="AD48" i="4"/>
  <c r="AH48" i="4"/>
  <c r="AL48" i="4"/>
  <c r="AN48" i="4"/>
  <c r="AP48" i="4"/>
  <c r="AV48" i="4"/>
  <c r="AX48" i="4"/>
  <c r="BD48" i="4"/>
  <c r="BF48" i="4"/>
  <c r="BH48" i="4"/>
  <c r="BJ48" i="4"/>
  <c r="M47" i="4"/>
  <c r="N47" i="4" s="1"/>
  <c r="BK46" i="4"/>
  <c r="AB46" i="4"/>
  <c r="AB48" i="4" s="1"/>
  <c r="AA46" i="4"/>
  <c r="AA48" i="4" s="1"/>
  <c r="Z46" i="4"/>
  <c r="Z48" i="4" s="1"/>
  <c r="Y46" i="4"/>
  <c r="Y48" i="4" s="1"/>
  <c r="X46" i="4"/>
  <c r="X48" i="4" s="1"/>
  <c r="W46" i="4"/>
  <c r="W48" i="4" s="1"/>
  <c r="V46" i="4"/>
  <c r="V48" i="4" s="1"/>
  <c r="U46" i="4"/>
  <c r="U48" i="4" s="1"/>
  <c r="R46" i="4"/>
  <c r="O46" i="4"/>
  <c r="M44" i="4"/>
  <c r="N44" i="4" s="1"/>
  <c r="R43" i="4"/>
  <c r="O43" i="4"/>
  <c r="M39" i="4"/>
  <c r="N39" i="4" s="1"/>
  <c r="M38" i="4"/>
  <c r="AR34" i="4"/>
  <c r="M37" i="4"/>
  <c r="M36" i="4"/>
  <c r="M35" i="4"/>
  <c r="AT34" i="4"/>
  <c r="AT48" i="4" s="1"/>
  <c r="O34" i="4"/>
  <c r="M30" i="4"/>
  <c r="N30" i="4" s="1"/>
  <c r="BK29" i="4"/>
  <c r="R29" i="4"/>
  <c r="O29" i="4"/>
  <c r="Q23" i="4"/>
  <c r="Q21" i="4" s="1"/>
  <c r="AZ21" i="4"/>
  <c r="R21" i="4"/>
  <c r="M17" i="4"/>
  <c r="O16" i="4"/>
  <c r="Q14" i="4"/>
  <c r="Q13" i="4" s="1"/>
  <c r="R13" i="4"/>
  <c r="N13" i="4"/>
  <c r="M10" i="4"/>
  <c r="L10" i="4"/>
  <c r="T9" i="4"/>
  <c r="L8" i="4"/>
  <c r="S7" i="4"/>
  <c r="Q7" i="4"/>
  <c r="P7" i="4"/>
  <c r="N7" i="4"/>
  <c r="S4" i="4"/>
  <c r="Q4" i="4"/>
  <c r="P4" i="4"/>
  <c r="N4" i="4"/>
  <c r="M5" i="4"/>
  <c r="L5" i="4"/>
  <c r="BK4" i="4"/>
  <c r="R4" i="4"/>
  <c r="O4" i="4"/>
  <c r="N35" i="4" l="1"/>
  <c r="P35" i="4" s="1"/>
  <c r="N17" i="4"/>
  <c r="Q17" i="4" s="1"/>
  <c r="Q16" i="4" s="1"/>
  <c r="O48" i="4"/>
  <c r="T7" i="4"/>
  <c r="N22" i="4"/>
  <c r="N21" i="4" s="1"/>
  <c r="R7" i="4"/>
  <c r="AZ48" i="4"/>
  <c r="AJ34" i="4"/>
  <c r="AJ48" i="4" s="1"/>
  <c r="N29" i="4"/>
  <c r="Q30" i="4"/>
  <c r="Q29" i="4" s="1"/>
  <c r="Q44" i="4"/>
  <c r="Q43" i="4" s="1"/>
  <c r="N43" i="4"/>
  <c r="Q47" i="4"/>
  <c r="Q46" i="4" s="1"/>
  <c r="N46" i="4"/>
  <c r="T4" i="4"/>
  <c r="T5" i="4"/>
  <c r="AR7" i="4"/>
  <c r="S14" i="4"/>
  <c r="S13" i="4" s="1"/>
  <c r="P14" i="4"/>
  <c r="P13" i="4" s="1"/>
  <c r="N16" i="4"/>
  <c r="P17" i="4"/>
  <c r="S17" i="4"/>
  <c r="S16" i="4" s="1"/>
  <c r="P23" i="4"/>
  <c r="S23" i="4"/>
  <c r="S21" i="4" s="1"/>
  <c r="S30" i="4"/>
  <c r="S29" i="4" s="1"/>
  <c r="P30" i="4"/>
  <c r="Q35" i="4"/>
  <c r="S35" i="4"/>
  <c r="S39" i="4"/>
  <c r="P39" i="4"/>
  <c r="Q39" i="4"/>
  <c r="R34" i="4"/>
  <c r="N37" i="4"/>
  <c r="N34" i="4" s="1"/>
  <c r="P44" i="4"/>
  <c r="S44" i="4"/>
  <c r="S43" i="4" s="1"/>
  <c r="P47" i="4"/>
  <c r="S47" i="4"/>
  <c r="S46" i="4" s="1"/>
  <c r="R48" i="4" l="1"/>
  <c r="BK7" i="4"/>
  <c r="AR48" i="4"/>
  <c r="N48" i="4"/>
  <c r="Q34" i="4"/>
  <c r="Q48" i="4" s="1"/>
  <c r="T39" i="4"/>
  <c r="BB34" i="4" s="1"/>
  <c r="S34" i="4"/>
  <c r="S48" i="4" s="1"/>
  <c r="T14" i="4"/>
  <c r="T13" i="4" s="1"/>
  <c r="T47" i="4"/>
  <c r="T46" i="4" s="1"/>
  <c r="P46" i="4"/>
  <c r="T44" i="4"/>
  <c r="P43" i="4"/>
  <c r="T30" i="4"/>
  <c r="P29" i="4"/>
  <c r="T29" i="4" s="1"/>
  <c r="T35" i="4"/>
  <c r="T23" i="4"/>
  <c r="P21" i="4"/>
  <c r="T17" i="4"/>
  <c r="P16" i="4"/>
  <c r="P34" i="4"/>
  <c r="P48" i="4" l="1"/>
  <c r="BB13" i="4"/>
  <c r="T34" i="4"/>
  <c r="AF34" i="4"/>
  <c r="T43" i="4"/>
  <c r="BB43" i="4"/>
  <c r="BK43" i="4" s="1"/>
  <c r="T16" i="4"/>
  <c r="T48" i="4" s="1"/>
  <c r="BB16" i="4"/>
  <c r="BK16" i="4" s="1"/>
  <c r="BB21" i="4"/>
  <c r="BK21" i="4" s="1"/>
  <c r="T21" i="4"/>
  <c r="BB48" i="4" l="1"/>
  <c r="BK34" i="4"/>
  <c r="AF48" i="4"/>
  <c r="BK13" i="4"/>
  <c r="BK48" i="4" s="1"/>
  <c r="N72" i="2"/>
  <c r="N48" i="2"/>
  <c r="S11" i="2"/>
  <c r="S10" i="2" s="1"/>
  <c r="Q11" i="2"/>
  <c r="P11" i="2"/>
  <c r="P10" i="2" s="1"/>
  <c r="N82" i="2"/>
  <c r="N22" i="2"/>
  <c r="S22" i="2" s="1"/>
  <c r="S21" i="2" s="1"/>
  <c r="N11" i="2"/>
  <c r="N10" i="2" s="1"/>
  <c r="BB104" i="2"/>
  <c r="BK104" i="2" s="1"/>
  <c r="BB101" i="2"/>
  <c r="BK101" i="2" s="1"/>
  <c r="N99" i="2"/>
  <c r="N85" i="2"/>
  <c r="BB78" i="2"/>
  <c r="BK78" i="2" s="1"/>
  <c r="N76" i="2"/>
  <c r="N68" i="2"/>
  <c r="N63" i="2"/>
  <c r="N58" i="2"/>
  <c r="N56" i="2"/>
  <c r="N52" i="2"/>
  <c r="BB39" i="2"/>
  <c r="BK39" i="2" s="1"/>
  <c r="N37" i="2"/>
  <c r="N35" i="2"/>
  <c r="BB32" i="2"/>
  <c r="BK32" i="2" s="1"/>
  <c r="N28" i="2"/>
  <c r="BB21" i="2"/>
  <c r="BK21" i="2" s="1"/>
  <c r="BB10" i="2"/>
  <c r="BK10" i="2" s="1"/>
  <c r="N8" i="2"/>
  <c r="BB5" i="2"/>
  <c r="BK5" i="2" s="1"/>
  <c r="BB3" i="2"/>
  <c r="BK3" i="2" s="1"/>
  <c r="O39" i="2"/>
  <c r="R39" i="2"/>
  <c r="O104" i="2"/>
  <c r="R104" i="2"/>
  <c r="M105" i="2"/>
  <c r="N105" i="2" s="1"/>
  <c r="O101" i="2"/>
  <c r="R101" i="2"/>
  <c r="U101" i="2"/>
  <c r="V101" i="2"/>
  <c r="W101" i="2"/>
  <c r="X101" i="2"/>
  <c r="Y101" i="2"/>
  <c r="Z101" i="2"/>
  <c r="AA101" i="2"/>
  <c r="AB101" i="2"/>
  <c r="M102" i="2"/>
  <c r="O78" i="2"/>
  <c r="R78" i="2"/>
  <c r="M79" i="2"/>
  <c r="R60" i="2"/>
  <c r="BH60" i="2"/>
  <c r="BK60" i="2" s="1"/>
  <c r="N61" i="2"/>
  <c r="S61" i="2" s="1"/>
  <c r="S60" i="2" s="1"/>
  <c r="M40" i="2"/>
  <c r="N40" i="2" s="1"/>
  <c r="O32" i="2"/>
  <c r="R32" i="2"/>
  <c r="M33" i="2"/>
  <c r="N33" i="2" s="1"/>
  <c r="Q33" i="2" s="1"/>
  <c r="Q32" i="2" s="1"/>
  <c r="R21" i="2"/>
  <c r="N21" i="2"/>
  <c r="L23" i="2"/>
  <c r="L22" i="2"/>
  <c r="S15" i="2"/>
  <c r="Q15" i="2"/>
  <c r="P15" i="2"/>
  <c r="N15" i="2"/>
  <c r="T18" i="2"/>
  <c r="M18" i="2"/>
  <c r="L18" i="2"/>
  <c r="T17" i="2"/>
  <c r="R16" i="2"/>
  <c r="R15" i="2" s="1"/>
  <c r="L16" i="2"/>
  <c r="O10" i="2"/>
  <c r="Q10" i="2"/>
  <c r="R10" i="2"/>
  <c r="L11" i="2"/>
  <c r="M11" i="2"/>
  <c r="O5" i="2"/>
  <c r="R5" i="2"/>
  <c r="M6" i="2"/>
  <c r="N6" i="2" s="1"/>
  <c r="S6" i="2" s="1"/>
  <c r="S5" i="2" s="1"/>
  <c r="L6" i="2"/>
  <c r="O3" i="2"/>
  <c r="R3" i="2"/>
  <c r="M4" i="2"/>
  <c r="N4" i="2" s="1"/>
  <c r="L4" i="2"/>
  <c r="N31" i="2"/>
  <c r="S31" i="2" s="1"/>
  <c r="N30" i="2"/>
  <c r="Q30" i="2" s="1"/>
  <c r="R29" i="2"/>
  <c r="T16" i="2" l="1"/>
  <c r="AR15" i="2" s="1"/>
  <c r="BK15" i="2" s="1"/>
  <c r="P22" i="2"/>
  <c r="T11" i="2"/>
  <c r="N102" i="2"/>
  <c r="Q102" i="2" s="1"/>
  <c r="Q101" i="2" s="1"/>
  <c r="N79" i="2"/>
  <c r="S79" i="2" s="1"/>
  <c r="S78" i="2" s="1"/>
  <c r="T10" i="2"/>
  <c r="N104" i="2"/>
  <c r="Q4" i="2"/>
  <c r="Q3" i="2" s="1"/>
  <c r="N3" i="2"/>
  <c r="Q40" i="2"/>
  <c r="Q39" i="2" s="1"/>
  <c r="N39" i="2"/>
  <c r="N5" i="2"/>
  <c r="T15" i="2"/>
  <c r="Q22" i="2"/>
  <c r="Q21" i="2" s="1"/>
  <c r="N32" i="2"/>
  <c r="P30" i="2"/>
  <c r="N60" i="2"/>
  <c r="N101" i="2"/>
  <c r="P40" i="2"/>
  <c r="S40" i="2"/>
  <c r="S39" i="2" s="1"/>
  <c r="Q105" i="2"/>
  <c r="Q104" i="2" s="1"/>
  <c r="S105" i="2"/>
  <c r="S104" i="2" s="1"/>
  <c r="P105" i="2"/>
  <c r="P104" i="2" s="1"/>
  <c r="P102" i="2"/>
  <c r="P101" i="2" s="1"/>
  <c r="S102" i="2"/>
  <c r="S101" i="2" s="1"/>
  <c r="Q61" i="2"/>
  <c r="Q60" i="2" s="1"/>
  <c r="P61" i="2"/>
  <c r="P60" i="2" s="1"/>
  <c r="P33" i="2"/>
  <c r="P32" i="2" s="1"/>
  <c r="S33" i="2"/>
  <c r="S32" i="2" s="1"/>
  <c r="P21" i="2"/>
  <c r="T21" i="2" s="1"/>
  <c r="Q6" i="2"/>
  <c r="Q5" i="2" s="1"/>
  <c r="P6" i="2"/>
  <c r="P5" i="2" s="1"/>
  <c r="P4" i="2"/>
  <c r="P3" i="2" s="1"/>
  <c r="S4" i="2"/>
  <c r="S3" i="2" s="1"/>
  <c r="S30" i="2"/>
  <c r="T30" i="2" s="1"/>
  <c r="BF29" i="2" s="1"/>
  <c r="Q31" i="2"/>
  <c r="Q29" i="2" s="1"/>
  <c r="N29" i="2"/>
  <c r="P31" i="2"/>
  <c r="Q79" i="2" l="1"/>
  <c r="Q78" i="2" s="1"/>
  <c r="P79" i="2"/>
  <c r="P78" i="2" s="1"/>
  <c r="N78" i="2"/>
  <c r="T22" i="2"/>
  <c r="S29" i="2"/>
  <c r="T60" i="2"/>
  <c r="T40" i="2"/>
  <c r="T39" i="2" s="1"/>
  <c r="P39" i="2"/>
  <c r="T105" i="2"/>
  <c r="T104" i="2" s="1"/>
  <c r="T102" i="2"/>
  <c r="T101" i="2" s="1"/>
  <c r="T79" i="2"/>
  <c r="T61" i="2"/>
  <c r="T33" i="2"/>
  <c r="T32" i="2" s="1"/>
  <c r="T6" i="2"/>
  <c r="T5" i="2" s="1"/>
  <c r="T4" i="2"/>
  <c r="T3" i="2" s="1"/>
  <c r="T31" i="2"/>
  <c r="P29" i="2"/>
  <c r="T78" i="2" l="1"/>
  <c r="T29" i="2"/>
  <c r="BH29" i="2"/>
  <c r="BK29" i="2" s="1"/>
  <c r="M14" i="2"/>
  <c r="N14" i="2" s="1"/>
  <c r="O13" i="2"/>
  <c r="Q14" i="2" l="1"/>
  <c r="Q13" i="2" s="1"/>
  <c r="S14" i="2"/>
  <c r="S13" i="2" s="1"/>
  <c r="P14" i="2"/>
  <c r="N13" i="2"/>
  <c r="T14" i="2" l="1"/>
  <c r="P13" i="2"/>
  <c r="T13" i="2" l="1"/>
  <c r="BH13" i="2"/>
  <c r="BK13" i="2" s="1"/>
  <c r="Q68" i="2" l="1"/>
  <c r="Q67" i="2" s="1"/>
  <c r="R67" i="2"/>
  <c r="N67" i="2"/>
  <c r="S35" i="2"/>
  <c r="S34" i="2" s="1"/>
  <c r="R34" i="2"/>
  <c r="N34" i="2"/>
  <c r="Q8" i="2"/>
  <c r="Q7" i="2" s="1"/>
  <c r="R7" i="2"/>
  <c r="N7" i="2"/>
  <c r="P68" i="2" l="1"/>
  <c r="S68" i="2"/>
  <c r="S67" i="2" s="1"/>
  <c r="Q35" i="2"/>
  <c r="Q34" i="2" s="1"/>
  <c r="P35" i="2"/>
  <c r="P8" i="2"/>
  <c r="S8" i="2"/>
  <c r="S7" i="2" s="1"/>
  <c r="T68" i="2" l="1"/>
  <c r="P67" i="2"/>
  <c r="P34" i="2"/>
  <c r="T35" i="2"/>
  <c r="T8" i="2"/>
  <c r="P7" i="2"/>
  <c r="T7" i="2" l="1"/>
  <c r="BB7" i="2"/>
  <c r="BK7" i="2" s="1"/>
  <c r="T34" i="2"/>
  <c r="BB34" i="2"/>
  <c r="BK34" i="2" s="1"/>
  <c r="T67" i="2"/>
  <c r="BB67" i="2"/>
  <c r="BK67" i="2" s="1"/>
  <c r="M43" i="2"/>
  <c r="N43" i="2" s="1"/>
  <c r="S43" i="2" s="1"/>
  <c r="S42" i="2" s="1"/>
  <c r="O42" i="2"/>
  <c r="M91" i="2"/>
  <c r="M90" i="2"/>
  <c r="M89" i="2"/>
  <c r="M88" i="2"/>
  <c r="M87" i="2"/>
  <c r="N87" i="2" s="1"/>
  <c r="T90" i="2"/>
  <c r="AT86" i="2" s="1"/>
  <c r="T89" i="2"/>
  <c r="AR86" i="2" s="1"/>
  <c r="R89" i="2"/>
  <c r="N89" i="2"/>
  <c r="S88" i="2"/>
  <c r="R88" i="2"/>
  <c r="T88" i="2" s="1"/>
  <c r="AJ86" i="2" s="1"/>
  <c r="O86" i="2"/>
  <c r="M96" i="2"/>
  <c r="N96" i="2" s="1"/>
  <c r="R95" i="2"/>
  <c r="O95" i="2"/>
  <c r="S82" i="2"/>
  <c r="S80" i="2" s="1"/>
  <c r="Q81" i="2"/>
  <c r="P81" i="2"/>
  <c r="R80" i="2"/>
  <c r="O80" i="2"/>
  <c r="Q58" i="2"/>
  <c r="Q57" i="2" s="1"/>
  <c r="R57" i="2"/>
  <c r="O57" i="2"/>
  <c r="M57" i="2"/>
  <c r="L57" i="2"/>
  <c r="M25" i="2"/>
  <c r="N25" i="2" s="1"/>
  <c r="O24" i="2"/>
  <c r="N91" i="2" l="1"/>
  <c r="S91" i="2" s="1"/>
  <c r="T81" i="2"/>
  <c r="AH80" i="2" s="1"/>
  <c r="N80" i="2"/>
  <c r="R86" i="2"/>
  <c r="Q43" i="2"/>
  <c r="Q42" i="2" s="1"/>
  <c r="N42" i="2"/>
  <c r="P43" i="2"/>
  <c r="S87" i="2"/>
  <c r="N86" i="2"/>
  <c r="Q87" i="2"/>
  <c r="Q91" i="2"/>
  <c r="P87" i="2"/>
  <c r="P91" i="2"/>
  <c r="Q96" i="2"/>
  <c r="Q95" i="2" s="1"/>
  <c r="N95" i="2"/>
  <c r="S96" i="2"/>
  <c r="S95" i="2" s="1"/>
  <c r="P96" i="2"/>
  <c r="Q82" i="2"/>
  <c r="Q80" i="2" s="1"/>
  <c r="P82" i="2"/>
  <c r="N57" i="2"/>
  <c r="P58" i="2"/>
  <c r="S58" i="2"/>
  <c r="S57" i="2" s="1"/>
  <c r="Q25" i="2"/>
  <c r="Q24" i="2" s="1"/>
  <c r="S25" i="2"/>
  <c r="S24" i="2" s="1"/>
  <c r="P25" i="2"/>
  <c r="N24" i="2"/>
  <c r="S86" i="2" l="1"/>
  <c r="T91" i="2"/>
  <c r="BB86" i="2" s="1"/>
  <c r="P42" i="2"/>
  <c r="T43" i="2"/>
  <c r="T87" i="2"/>
  <c r="P86" i="2"/>
  <c r="Q86" i="2"/>
  <c r="T96" i="2"/>
  <c r="P95" i="2"/>
  <c r="T82" i="2"/>
  <c r="P80" i="2"/>
  <c r="T58" i="2"/>
  <c r="P57" i="2"/>
  <c r="T25" i="2"/>
  <c r="P24" i="2"/>
  <c r="T42" i="2" l="1"/>
  <c r="BB42" i="2"/>
  <c r="BK42" i="2" s="1"/>
  <c r="T86" i="2"/>
  <c r="AF86" i="2"/>
  <c r="BK86" i="2" s="1"/>
  <c r="T57" i="2"/>
  <c r="BB57" i="2"/>
  <c r="BK57" i="2" s="1"/>
  <c r="T80" i="2"/>
  <c r="BB80" i="2"/>
  <c r="BK80" i="2" s="1"/>
  <c r="T95" i="2"/>
  <c r="BB95" i="2"/>
  <c r="BK95" i="2" s="1"/>
  <c r="T24" i="2"/>
  <c r="BB24" i="2"/>
  <c r="BK24" i="2" s="1"/>
  <c r="Q56" i="2" l="1"/>
  <c r="Q54" i="2" s="1"/>
  <c r="T55" i="2"/>
  <c r="N55" i="2" s="1"/>
  <c r="R54" i="2"/>
  <c r="Q85" i="2"/>
  <c r="S84" i="2"/>
  <c r="R84" i="2"/>
  <c r="R83" i="2" s="1"/>
  <c r="Q84" i="2"/>
  <c r="P84" i="2"/>
  <c r="Q52" i="2"/>
  <c r="T51" i="2"/>
  <c r="AT47" i="2" s="1"/>
  <c r="R50" i="2"/>
  <c r="T50" i="2" s="1"/>
  <c r="R49" i="2"/>
  <c r="T49" i="2" s="1"/>
  <c r="AJ47" i="2" s="1"/>
  <c r="Q48" i="2"/>
  <c r="Q47" i="2" s="1"/>
  <c r="Q37" i="2"/>
  <c r="Q36" i="2" s="1"/>
  <c r="R36" i="2"/>
  <c r="N36" i="2"/>
  <c r="Q76" i="2"/>
  <c r="T75" i="2"/>
  <c r="AT71" i="2" s="1"/>
  <c r="R74" i="2"/>
  <c r="T74" i="2" s="1"/>
  <c r="N74" i="2" s="1"/>
  <c r="R73" i="2"/>
  <c r="T73" i="2" s="1"/>
  <c r="AJ71" i="2" s="1"/>
  <c r="S72" i="2"/>
  <c r="Q28" i="2"/>
  <c r="Q26" i="2" s="1"/>
  <c r="T27" i="2"/>
  <c r="N27" i="2" s="1"/>
  <c r="N26" i="2" s="1"/>
  <c r="R26" i="2"/>
  <c r="R47" i="2" l="1"/>
  <c r="T84" i="2"/>
  <c r="AZ83" i="2" s="1"/>
  <c r="N54" i="2"/>
  <c r="P28" i="2"/>
  <c r="P26" i="2" s="1"/>
  <c r="N71" i="2"/>
  <c r="P48" i="2"/>
  <c r="T48" i="2" s="1"/>
  <c r="AD47" i="2" s="1"/>
  <c r="AR47" i="2"/>
  <c r="N50" i="2"/>
  <c r="N47" i="2" s="1"/>
  <c r="S48" i="2"/>
  <c r="AZ54" i="2"/>
  <c r="AZ26" i="2"/>
  <c r="S76" i="2"/>
  <c r="S28" i="2"/>
  <c r="S26" i="2" s="1"/>
  <c r="S71" i="2"/>
  <c r="P76" i="2"/>
  <c r="Q83" i="2"/>
  <c r="AR71" i="2"/>
  <c r="P56" i="2"/>
  <c r="S56" i="2"/>
  <c r="S54" i="2" s="1"/>
  <c r="N84" i="2"/>
  <c r="N83" i="2" s="1"/>
  <c r="P85" i="2"/>
  <c r="S85" i="2"/>
  <c r="S83" i="2" s="1"/>
  <c r="P52" i="2"/>
  <c r="S52" i="2"/>
  <c r="S47" i="2" s="1"/>
  <c r="P37" i="2"/>
  <c r="S37" i="2"/>
  <c r="S36" i="2" s="1"/>
  <c r="Q72" i="2"/>
  <c r="Q71" i="2" s="1"/>
  <c r="R71" i="2"/>
  <c r="P72" i="2"/>
  <c r="T76" i="2" l="1"/>
  <c r="BB71" i="2" s="1"/>
  <c r="T28" i="2"/>
  <c r="T26" i="2" s="1"/>
  <c r="T56" i="2"/>
  <c r="P54" i="2"/>
  <c r="T85" i="2"/>
  <c r="P83" i="2"/>
  <c r="T52" i="2"/>
  <c r="P47" i="2"/>
  <c r="T37" i="2"/>
  <c r="P36" i="2"/>
  <c r="P71" i="2"/>
  <c r="T72" i="2"/>
  <c r="BB26" i="2" l="1"/>
  <c r="BK26" i="2" s="1"/>
  <c r="T36" i="2"/>
  <c r="BB36" i="2"/>
  <c r="BK36" i="2" s="1"/>
  <c r="T83" i="2"/>
  <c r="BB83" i="2"/>
  <c r="BK83" i="2" s="1"/>
  <c r="T54" i="2"/>
  <c r="BB54" i="2"/>
  <c r="BK54" i="2" s="1"/>
  <c r="T71" i="2"/>
  <c r="AF71" i="2"/>
  <c r="BK71" i="2" s="1"/>
  <c r="T47" i="2"/>
  <c r="BB47" i="2"/>
  <c r="BK47" i="2" s="1"/>
  <c r="S63" i="2" l="1"/>
  <c r="S62" i="2" s="1"/>
  <c r="R62" i="2"/>
  <c r="N62" i="2"/>
  <c r="Q99" i="2"/>
  <c r="Q98" i="2" s="1"/>
  <c r="R98" i="2"/>
  <c r="N98" i="2"/>
  <c r="N107" i="2" l="1"/>
  <c r="S99" i="2"/>
  <c r="S98" i="2" s="1"/>
  <c r="P99" i="2"/>
  <c r="P98" i="2" s="1"/>
  <c r="Q63" i="2"/>
  <c r="Q62" i="2" s="1"/>
  <c r="P63" i="2"/>
  <c r="T99" i="2" l="1"/>
  <c r="T98" i="2" s="1"/>
  <c r="P62" i="2"/>
  <c r="T63" i="2"/>
  <c r="BB98" i="2" l="1"/>
  <c r="BK98" i="2" s="1"/>
  <c r="T62" i="2"/>
  <c r="T107" i="2" s="1"/>
  <c r="BB62" i="2"/>
  <c r="BK62" i="2" s="1"/>
  <c r="BK107" i="2" s="1"/>
</calcChain>
</file>

<file path=xl/sharedStrings.xml><?xml version="1.0" encoding="utf-8"?>
<sst xmlns="http://schemas.openxmlformats.org/spreadsheetml/2006/main" count="878" uniqueCount="464">
  <si>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</si>
  <si>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</si>
  <si>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</si>
  <si>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</si>
  <si>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</si>
  <si>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</si>
  <si>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</si>
  <si>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</si>
  <si>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</si>
  <si>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</si>
  <si>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</si>
  <si>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</si>
  <si>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</si>
  <si>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</si>
  <si>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</si>
  <si>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</si>
  <si>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</si>
  <si>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</si>
  <si>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</si>
  <si>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</si>
  <si>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</si>
  <si>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</si>
  <si>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</si>
  <si>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</si>
  <si>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</si>
  <si>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</si>
  <si>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</si>
  <si>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</si>
  <si>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</si>
  <si>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</si>
  <si>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</si>
  <si>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</si>
  <si>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Реконструкция ВЛ-0,4 кВ с монтажем 2-х дополнительных проводов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</si>
  <si>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</si>
  <si>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</si>
  <si>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</si>
  <si>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</si>
  <si>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</si>
  <si>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</si>
  <si>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</si>
  <si>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</si>
  <si>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</si>
  <si>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</si>
  <si>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ЩРЭС</t>
  </si>
  <si>
    <t>ЖРЭС</t>
  </si>
  <si>
    <t>ФРЭС</t>
  </si>
  <si>
    <t>КРЭС</t>
  </si>
  <si>
    <t>БРЭС</t>
  </si>
  <si>
    <t>-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</si>
  <si>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Ц-9560.</t>
  </si>
  <si>
    <t>41168111 (ВЭС-3118/2015)</t>
  </si>
  <si>
    <t>41180435 (СЭС-2764/2015)</t>
  </si>
  <si>
    <t>41183003 (СЭС-2766/2015)</t>
  </si>
  <si>
    <t>41181256 (ЦЭС-11849/2015)</t>
  </si>
  <si>
    <t>41180171 (ЦЭС-11911/2015)</t>
  </si>
  <si>
    <t>41180231 (ЦЭС-11914/2015)</t>
  </si>
  <si>
    <t>41181269 (ЦЭС-11923/2015)</t>
  </si>
  <si>
    <t>41183105 (ЦЭС-11938/2015)</t>
  </si>
  <si>
    <t>41183377 (ЦЭС-11942/2015)</t>
  </si>
  <si>
    <t>41183409 (ЦЭС-11943/2015)</t>
  </si>
  <si>
    <t>41183435 (ЦЭС-11944/2015)</t>
  </si>
  <si>
    <t>41183638 (ЦЭС-11946/2015)</t>
  </si>
  <si>
    <t>41183586 (ЦЭС-11947/2015)</t>
  </si>
  <si>
    <t>41183612 (ЦЭС-11952/2015)</t>
  </si>
  <si>
    <t>41183662 (ЦЭС-11956/2015)</t>
  </si>
  <si>
    <t>41168111</t>
  </si>
  <si>
    <t>41180435</t>
  </si>
  <si>
    <t>41183003</t>
  </si>
  <si>
    <t>41181256</t>
  </si>
  <si>
    <t>41180171</t>
  </si>
  <si>
    <t>41180231</t>
  </si>
  <si>
    <t>41181269</t>
  </si>
  <si>
    <t>41183105</t>
  </si>
  <si>
    <t>41183377</t>
  </si>
  <si>
    <t>41183409</t>
  </si>
  <si>
    <t>41183435</t>
  </si>
  <si>
    <t>41183638</t>
  </si>
  <si>
    <t>41183586</t>
  </si>
  <si>
    <t>41183612</t>
  </si>
  <si>
    <t>41183662</t>
  </si>
  <si>
    <t>Геворгян Георги Владимирович</t>
  </si>
  <si>
    <t>ИП Кузнецова Татьяна Иосифовна</t>
  </si>
  <si>
    <t>Непорезова Мария Ивановна</t>
  </si>
  <si>
    <t>Недригайлов Андрей Владимирович</t>
  </si>
  <si>
    <t>Сапронов Андрей Анатольевич</t>
  </si>
  <si>
    <t>Константинова Виктория Валерьевна</t>
  </si>
  <si>
    <t>Зуборев Роман Николаевич</t>
  </si>
  <si>
    <t>Федеральное государственное унитарное предприятие "Почта России"</t>
  </si>
  <si>
    <t>Кочинова Екатерина Александровна</t>
  </si>
  <si>
    <t>Кошман Николай Митрофанович</t>
  </si>
  <si>
    <t>Плаксин Дмитрий Юрьевич</t>
  </si>
  <si>
    <t>Павлов Владимир Матвеевич</t>
  </si>
  <si>
    <t>Павлова Валентина Михайловна</t>
  </si>
  <si>
    <t>Анпилогов Владимир Николаевич</t>
  </si>
  <si>
    <t>Моисеева Лидия Ивановна</t>
  </si>
  <si>
    <t>Курская область, Советский  район, п. Кшенский, ул. Свердлова, д. 3а,  кад. № 46:21:010103:504</t>
  </si>
  <si>
    <t>307116,Курская обл, Фатежский р-н, с. Большое Жирово</t>
  </si>
  <si>
    <t>Курская обл.,г.Железногорск,пос. Трубичено,ул. Заречная дом 4А,</t>
  </si>
  <si>
    <t>307207 Курская обл. Октябрьский р-он, Большедолженковский с/с.</t>
  </si>
  <si>
    <t>Курская область, Курский р-он, Новопоселеновский с/с, д.Кукуевка, кад. 46:11:121203:302</t>
  </si>
  <si>
    <t>Курская область, Курский р-он, Щетинский с/с, с/т «Лазурное», уч.238, кад. 46:11:211501:0195</t>
  </si>
  <si>
    <t>Курская обл., Курский район, д. Кукуевка, уч. 46:11:121203:1646</t>
  </si>
  <si>
    <t>Курская обл., Курский р-н, Винниковский с/с, п.Малиновый, д.12</t>
  </si>
  <si>
    <t>Курская обл., Курский р-н, Моковский с/с, д. Касторная, ул. Дачная, д. 23</t>
  </si>
  <si>
    <t>Курская обл., Курский р-н, д.2-я Моква, ул.Гагарина, уч.12</t>
  </si>
  <si>
    <t>Курская обл., Курский р-н, Рышковский с/с, д.Зорино</t>
  </si>
  <si>
    <t>Курская обл., Курский р-н, Нижнемедведицкий с/с, д.Татаренкова, уч. 46:11:111809:125</t>
  </si>
  <si>
    <t>Курская обл., Курский р-н, Нижнемедведицкий с/с, д.Татаренкова, уч.46:11:111809:180</t>
  </si>
  <si>
    <t>Курский р-н, Новопоселеновский с/с, д.Кукуевка, уч.46:11:121203:684</t>
  </si>
  <si>
    <t>Курская обл., д. Духовец, ул. Никольская, д. 6</t>
  </si>
  <si>
    <t>СоРЭС</t>
  </si>
  <si>
    <t>ЗРЭС</t>
  </si>
  <si>
    <t>ОРЭС</t>
  </si>
  <si>
    <t>- строительство ответвления протяженностью 0,065 км от опоры существующей   ВЛ-0,4 кВ № 1 (инв. № 4166 В)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</si>
  <si>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4166 В)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</si>
  <si>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ответвления протяженностью 0,15 км от опоры № 9 ВЛ-0,4 кВ № 1 (инв. № 3011302500400)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</si>
  <si>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3011302500400)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</si>
  <si>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0,12 км от опоры существующей ВЛ-0,4 кВ № 1 (инв. № 311146202)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</si>
  <si>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311146202)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</si>
  <si>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0,3 км от опоры существующей ВЛ-0,4 кВ № 1 (инв. № 8652)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</si>
  <si>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</si>
  <si>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в части замены ТП-10/0,4 кВ № 684/25 кВА (инв. № 13011769-00) на ТП с силовым трансформатором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 – за счет средств тарифа на передачу электроэнергии по техническим условиям Ц-8553, Ц-9415,                  Ц-9781.</t>
  </si>
  <si>
    <t>- строительство ответвления протяженностью 0,67 км от опоры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в т.ч. 0,67 км по техническим условиям Ц-9560.
 строительство ВЛ-0,4 кВ протяженностью  0,615 км от проектируемой ТП-10/0,4 кВ до границы земельного участка заявителя (марку и сечение провода, протяженность уточнить при проектировании) - в т.ч. 0,615 км по техническим условиям Ц-11256,      Ц-11512.
строительство ТП-10/0,4 кВ с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Ц-9560.</t>
  </si>
  <si>
    <t>- строительство ответвления протяженностью 0,04 км от опоры № 1 существующей ВЛ-0,4 кВ № 1 (инв. № 12012728-00)  до границы земельного участка заявителя, с увеличением протяженности существующей ВЛ-0,4 кВ; (точку врезки, марку и сечение провода, протяженность уточнить при проектировании).</t>
  </si>
  <si>
    <t>реконструкция существующей ВЛ-0,4 кВ № 1 (инв. № 12012728-00)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</si>
  <si>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2 (инв. № 3403) в части монтажа дополнительного провода на участке протяженностью 0,52 км в пролетах опор №№ 4…27 и двух дополнительных проводов на участке протяженностью 0,2 км в пролетах опор №№ 27…33 (объем реконструкции уточнить при проектировании) – за счет средств тарифа на передачу электроэнергии, по техническим условиям Ц-11079.</t>
  </si>
  <si>
    <t>реконструкция в части замены ТП-10/0,4 кВ № 10/100 (инв. № 13010320-00) на ТП-10/0,4 кВ с силовым трансформатором большей мощности (160 кВА) (тип и мощность ТП уточнить при проектировании) – за счет средств тарифа на передачу электроэнергии,    по техническим условиям Ц-10436, Ц-10442, Ц-10444, Ц-10622, Ц-10636, Ц-10715, Ц-11048, Ц-11282, Ц-11486, Ц-11649.</t>
  </si>
  <si>
    <t>- строительство ответвления протяженностью 0,65 км от опоры  существующей  ВЛ-10 кВ № 423.16 (инв. № 4005) до проектируемой ТП-10/0,4 кВ с увеличением протяженности существующей ВЛ-10 кВ (марку и сечение провода, протяженность уточнить при проектировании)- по техническим условиям Ц-10275.
 строительство ВЛ-0,4 кВ протяженностью  0,46 км от проектируемой ТП-10/0,4 кВ  до границы земельного участка заявителя (марку и сечение провода, протяженность уточнить при проектировании)- в т.ч. 0,46 км по техническим условиям Ц-10405
строительство ТП-10/0,4 кВ с силовым трансформатором мощностью 63 кВА и возможностью установки трансформатора большей мощности (до 250 кВА)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Ц-10275.</t>
  </si>
  <si>
    <t>реконструкция существующей ВЛ-10 кВ № 423.16 (инв. № 4005)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Ц-11508.</t>
  </si>
  <si>
    <t>- строительство ВЛ-0,4 кВ протяженностью 0,27 км от ТП-10/0,4 кВ № 647  (инв.№13011676-00) до границы земельного участка заявителя (марку и сечение провода, протяженность уточнить при проектировании) - в т.ч. 0,27 км по техническим условиям Ц-8041.</t>
  </si>
  <si>
    <t>реконструкция в части замены ТП-10/0,4 кВ № 647 (инв. № 13011676-00) на ТП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 – за счет средств тарифа на передачу электроэнергии,  по техническим условиям Ц-10042, Ц-11947.</t>
  </si>
  <si>
    <t>реконструкция в части замены ТП-10/0,4 кВ № 647 (инв. № 13011676-00) на ТП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 – за счет средств тарифа на передачу электроэнергии,  по техническим условиям Ц-10042</t>
  </si>
  <si>
    <t>выполнить замену силового трансформатора в ТП-10/0,4 кВ №673 (инв. № 13012328) на трансформатор мощностью 250 кВА (тип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проектом), при необходимости выполнить замену автоматических выключателей, предохранителей, щитовых приборов (тип и параметры оборудования уточнить при проектировании) – за счет средств тарифа на передачу электроэнергии по техническим условиям Ц-7690.</t>
  </si>
  <si>
    <t>замена силового трансформатора ТП-10/0,4 кВ № 627/40 кВА (инв. № 13011523-00) на силовой трансформатор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Ц-10723</t>
  </si>
  <si>
    <t>41148306 (ЦЭС-11503/2015)</t>
  </si>
  <si>
    <t>41180300 (ЦЭС-11916/2015)</t>
  </si>
  <si>
    <t>41073942 (ЦЭС-10975/2015)</t>
  </si>
  <si>
    <t>41175585 (ЦЭС-11863/2015)</t>
  </si>
  <si>
    <t>41187376 (ВЭС-3135/2015)</t>
  </si>
  <si>
    <t>41192160 (ВЭС-3139/2015)</t>
  </si>
  <si>
    <t>41176061 (ВЭС-3124/2015)</t>
  </si>
  <si>
    <t>41187345 (СЭС-2778/2015)</t>
  </si>
  <si>
    <t>41182981 (СЭС-2769/2015)</t>
  </si>
  <si>
    <t>41190042 (ЦЭС-12000/2015)</t>
  </si>
  <si>
    <t>41186168 (ЦЭС-11970/2015)</t>
  </si>
  <si>
    <t>41188623 (ЦЭС-12011/2015)</t>
  </si>
  <si>
    <t>41186332 (ЦЭС-11982/2015)</t>
  </si>
  <si>
    <t>41187267 (ЦЭС-11990/2015)</t>
  </si>
  <si>
    <t>41190063 (ЦЭС-11754/2015)</t>
  </si>
  <si>
    <t>41187153 (ЦЭС-11927/2015)</t>
  </si>
  <si>
    <t>41186360 (ЦЭС-11978/2015)</t>
  </si>
  <si>
    <t>41174888 (ЦЭС-11856/2015)</t>
  </si>
  <si>
    <t>41187188 (ЦЭС-11937/2015)</t>
  </si>
  <si>
    <t>41189976 (ЦЭС-12004/2015)</t>
  </si>
  <si>
    <t>41190205 (ЦЭС-12026/2015)</t>
  </si>
  <si>
    <t>41186387 (ЦЭС-11979/2015)</t>
  </si>
  <si>
    <t>41188605 (ЦЭС-11994/2015)</t>
  </si>
  <si>
    <t>41193602 (ЦЭС-12048/2015)</t>
  </si>
  <si>
    <t>41187071 (ЦЭС-11933/2015)</t>
  </si>
  <si>
    <t>41190142 (ЦЭС-11822/2015)</t>
  </si>
  <si>
    <t>41190008 (ЦЭС-12006/2015)</t>
  </si>
  <si>
    <t>41191338 (ЦЭС-12027/2015)</t>
  </si>
  <si>
    <t>41190020 (ЦЭС-11999/2015)</t>
  </si>
  <si>
    <t>41187120 (ЦЭС-11934/2015)</t>
  </si>
  <si>
    <t>41187309 (ЦЭС-11996/2015)</t>
  </si>
  <si>
    <t>41190090 (ЦЭС-12014/2015)</t>
  </si>
  <si>
    <t>41187036 (ЦЭС-11936/2015)</t>
  </si>
  <si>
    <t>41187915 (ЦЭС-12007/2015)</t>
  </si>
  <si>
    <t>41194214 (ЦЭС-12021/2015)</t>
  </si>
  <si>
    <t>41188587 (ЦЭС-11988/2015)</t>
  </si>
  <si>
    <t>41185377 (ЦЭС-11869/2015)</t>
  </si>
  <si>
    <t>41187018 (ЦЭС-11974/2015)</t>
  </si>
  <si>
    <t>41148306</t>
  </si>
  <si>
    <t>41180300</t>
  </si>
  <si>
    <t>41073942</t>
  </si>
  <si>
    <t>41175585</t>
  </si>
  <si>
    <t>41187376</t>
  </si>
  <si>
    <t>41192160</t>
  </si>
  <si>
    <t>41176061</t>
  </si>
  <si>
    <t>41187345</t>
  </si>
  <si>
    <t>41182981</t>
  </si>
  <si>
    <t>41190042</t>
  </si>
  <si>
    <t>41186168</t>
  </si>
  <si>
    <t>41188623</t>
  </si>
  <si>
    <t>41186332</t>
  </si>
  <si>
    <t>41187267</t>
  </si>
  <si>
    <t>41190063</t>
  </si>
  <si>
    <t>41187153</t>
  </si>
  <si>
    <t>41186360</t>
  </si>
  <si>
    <t>41174888</t>
  </si>
  <si>
    <t>41187188</t>
  </si>
  <si>
    <t>41189976</t>
  </si>
  <si>
    <t>41190205</t>
  </si>
  <si>
    <t>41186387</t>
  </si>
  <si>
    <t>41188605</t>
  </si>
  <si>
    <t>41193602</t>
  </si>
  <si>
    <t>41187071</t>
  </si>
  <si>
    <t>41190142</t>
  </si>
  <si>
    <t>41190008</t>
  </si>
  <si>
    <t>41191338</t>
  </si>
  <si>
    <t>41190020</t>
  </si>
  <si>
    <t>41187120</t>
  </si>
  <si>
    <t>41187309</t>
  </si>
  <si>
    <t>41190090</t>
  </si>
  <si>
    <t>41187036</t>
  </si>
  <si>
    <t>41187915</t>
  </si>
  <si>
    <t>41194214</t>
  </si>
  <si>
    <t>41188587</t>
  </si>
  <si>
    <t>41185377</t>
  </si>
  <si>
    <t>41187018</t>
  </si>
  <si>
    <t>Бартенева Людмила Афанасьевна</t>
  </si>
  <si>
    <t>Кондратьева Надежда Леоновна</t>
  </si>
  <si>
    <t>Исакова Татьяна Николаевна</t>
  </si>
  <si>
    <t>Афанасьев Леонид Иванович</t>
  </si>
  <si>
    <t>Сенотов Эдуард Владимирович</t>
  </si>
  <si>
    <t>ОБПОУ "Советский социально-аграрный техникум имени В.И. Клыкова"</t>
  </si>
  <si>
    <t>Безгина Наталья Вячеславовна</t>
  </si>
  <si>
    <t>Городенский Дмитрий Александрович</t>
  </si>
  <si>
    <t>Смольников Евгений Александрович</t>
  </si>
  <si>
    <t>Гулян Рональд Григорьевич</t>
  </si>
  <si>
    <t>Абрамов Анатолий Николаевич</t>
  </si>
  <si>
    <t>Озерова Наталья Викторовна</t>
  </si>
  <si>
    <t>Шатунов Евгений Анатольевич</t>
  </si>
  <si>
    <t>Чекмарев Дмитрий Сергеевич</t>
  </si>
  <si>
    <t>Бейзер Наталья Васильевна</t>
  </si>
  <si>
    <t>Чернецкий Сергей Александрович</t>
  </si>
  <si>
    <t>Нидзельский Роман Андреевич</t>
  </si>
  <si>
    <t>Симоненков Сергей Вячеславович</t>
  </si>
  <si>
    <t>Игнатенко Ольга Вячеславовна</t>
  </si>
  <si>
    <t>Струков Владимир Иванович</t>
  </si>
  <si>
    <t>Атанова Наталья Вячеславовна</t>
  </si>
  <si>
    <t>Ефремов Владимир Васильевич</t>
  </si>
  <si>
    <t>Разиньков Сергей Иванович</t>
  </si>
  <si>
    <t>К(Ф)Х Умеренков Алексей Александрович</t>
  </si>
  <si>
    <t>Савенкова Алла Викторовна</t>
  </si>
  <si>
    <t>Общество с ограниченной ответственностью «ПЕГАС»</t>
  </si>
  <si>
    <t>Евдокимов Сергей Владимирович</t>
  </si>
  <si>
    <t>Бредихин Владимир Вячеславович</t>
  </si>
  <si>
    <t>Корольков Геннадий Николаевич</t>
  </si>
  <si>
    <t>Разаев Дмитрий Михайлович</t>
  </si>
  <si>
    <t>Бирюков Сергей Леонидович</t>
  </si>
  <si>
    <t>Русанова Татьяна Александровна</t>
  </si>
  <si>
    <t>Котельникова Мария Александровна</t>
  </si>
  <si>
    <t>Хардикова Инна Викторовна</t>
  </si>
  <si>
    <t>Симченко Виктор Павлович</t>
  </si>
  <si>
    <t>Головин Сергей Владимирович</t>
  </si>
  <si>
    <t>Аторина Ольга Александровна</t>
  </si>
  <si>
    <t>Винюков Максим Николаевич</t>
  </si>
  <si>
    <t>ГоРЭС</t>
  </si>
  <si>
    <t>ЦРЭС</t>
  </si>
  <si>
    <t>Курская обл., Курский р-он, с. Лебяжье</t>
  </si>
  <si>
    <t>Курская область, Золотухинский р-он, Донской с/с, с. Боево, д. №31</t>
  </si>
  <si>
    <t>Курский р-н, Рышковский с/с, д.Зорино</t>
  </si>
  <si>
    <t>д. Гремячка уч. 46:11:091203:210</t>
  </si>
  <si>
    <t>Курская область, Щигровский район, Вишневский сельсовет, д. Полевое, кад. № 46:28:020101:26</t>
  </si>
  <si>
    <t>Курская область, Щигровский район, Охочевский сельсовет, кад. № 46:28:141206:85</t>
  </si>
  <si>
    <t>Курская область, Горшеченский район, Сосновский сельсовет, с. Сосновка, ул. Центральная, д. 234</t>
  </si>
  <si>
    <t>Курская обл., Железногорский р-н,Разветьевский с/с,с.Разветье</t>
  </si>
  <si>
    <t>Курская обл., Железногорский р-н,Студенокский с/с,д. Погарище</t>
  </si>
  <si>
    <t>д. Майская Заря, уч. 46:11:091204:678</t>
  </si>
  <si>
    <t>Курский р-н, Нижнемедведицкий с/с, д.Татаренкова, уч. 46:11:111802:896</t>
  </si>
  <si>
    <t>Курский р-н, Нижнемедведицкий с/с, д.Хмелевая, уч.46:11:111713:190</t>
  </si>
  <si>
    <t>д. 1-е Цветово, уч. 46:11:121205:190</t>
  </si>
  <si>
    <t>Курский р-н, Новопоселеновский с/с, д.Кукуевка, уч.46:11:121203:1798</t>
  </si>
  <si>
    <t>Пашковский с/с, снт "Зеленая роща", уч. 168</t>
  </si>
  <si>
    <t>Курская обл., Курский р-н, Клюквинский с/с, д. Долгое, уч. 46:11:071002:840</t>
  </si>
  <si>
    <t>д. Кукуевка уч. 46:11:121203:1189</t>
  </si>
  <si>
    <t>г.Курск, пр-т В.Клыкова, д.22 "Б"</t>
  </si>
  <si>
    <t>Курская обл., Курский р-н, Клюквинский с/с, д. Долгое, уч. 46:11:071002:599</t>
  </si>
  <si>
    <t>Курская обл., Золотухинский р-н, д. Гусинка, д. 5</t>
  </si>
  <si>
    <t>Курская обл., д. Кукуевка, уч. 46:11:121202:32</t>
  </si>
  <si>
    <t>305516, Курский р-н, Нижнемедведицкий с/с, д.Татаренкова, уч.46:11:110903:16</t>
  </si>
  <si>
    <t>Курский р-н, Щетинский с/с, д.Муравлево, уч.46:11:210801:166</t>
  </si>
  <si>
    <t>Курская обл., Золотухинский р-н, д. Шумская</t>
  </si>
  <si>
    <t>Курская обл., Курский р-н, Клюквинский с/с, д. Долгое, уч. 46:11:071002:598</t>
  </si>
  <si>
    <t>Курский р-н, д.2-я Моква, ул.Пионерская, д.23</t>
  </si>
  <si>
    <t>х. Кислино, уч. 46:11:170607:292</t>
  </si>
  <si>
    <t>Курская обл., 305524 д. Зорино, ул. Железнодорожная, уч. 46:11:170604:388</t>
  </si>
  <si>
    <t>Курская обл., Курский р-он, Камышинский с/с</t>
  </si>
  <si>
    <t>Курская обл., Курский р-н, Клюквинский с/с, д. Долгое, уч. 46:11:071002:617</t>
  </si>
  <si>
    <t>г.Курск, ул. Льва Кононова, д.43</t>
  </si>
  <si>
    <t>Курский р-н, Моковский с/с, д. 2-я Моква, кад. №46:11:090502:177.</t>
  </si>
  <si>
    <t>Курская обл., Курский р-н, Клюквинский с/с, д. Долгое, уч. 46:11:071002:864</t>
  </si>
  <si>
    <t>д. Духовец, уч. 46:11:091207:398</t>
  </si>
  <si>
    <t>Курская обл., Камышинский с/с, д. Букреевка, уч. 46:11:061911:305</t>
  </si>
  <si>
    <t>Курский р-н, Нижнемедведицкий с/с, д.Татаренкова, уч.46:11:110906:0003</t>
  </si>
  <si>
    <t>307202 Курская обл., Октябрьский р-н, Катыринский сельсовет, д.Н.Малыхина.</t>
  </si>
  <si>
    <t>305513 Курская область, Курский район, с.Ноздрачево, кад.№46:11:131105:60</t>
  </si>
  <si>
    <t>- строительство ответвления протяженностью 0,04 км от опоры существующей ВЛ-0,4 кВ №1 (инв. № 12011400-00) до границы земельного участка заявителя, с увеличением протяженности существующей ВЛ-0,4 кВ с применением повышенных опор для обеспечения  перехода через автомобильную дорогу (марку и сечение провода, протяженность уточнить при проектировании).</t>
  </si>
  <si>
    <t>строительство ответвления протяженностью 0,35 км от опоры существующей ВЛ-0,4 кВ № 1 (инв. № 12013326-00) совместным подвесом по опорам ВЛ-10 кВ №415.10 (инв. № 4054)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</si>
  <si>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- строительство ответвления протяженностью 0,22 км от опоры № 6 существующей ВЛ-0,4 кВ № 1 (инв. № 3425Б) до границы земельного участка заявителя (марку и сечение провода, протяженность уточнить при проектировании)</t>
  </si>
  <si>
    <t>- строительство ВЛ-0,4 кВ протяженностью 0,46 км от существующей ТП-10/0,4 кВ 7512 3/25 (инв. № 13009647-00) до границы земельного участка заявителя (точку врезки, марку и сечение провода, протяженность уточнить при проектировании)</t>
  </si>
  <si>
    <t>строительство ответвления протяженностью 0,08 км от существующей ВЛ-0,4 кВ №5 (инв.№31154300) до границы земельного участка заявителя, с увеличением протяженности существующей ВЛ-0,4 кВ (номер опоры, марку и сечение провода, протяженность уточнить при проектировании)</t>
  </si>
  <si>
    <t>- строительство ответвления протяженностью 0,08 км от опоры существующей ВЛ-0,4 кВ № 1 (инв. № 12013360-00)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</si>
  <si>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- строительство ответвления протяженностью 1 км от опоры  существующей  ВЛ-10 кВ № 415.02 (инв. № 12002155) до проектируемой ТП-10/0,4 кВ с увеличением протяженности существующей ВЛ-10 кВ (марку и сечение провода, протяженность уточнить при проектировании)- за счет средств тарифа на передачу э/э, по техническим условиям Ц-9248, Ц-10445.
строительство ВЛ-0,4 кВ протяженностью  0,67 км (совместным подвесом по опорам проектируемой ВЛ-10 кВ) от проектируемой ТП-10/0,4 кВ до границы земельного участка заявителя (марку и сечение провода, протяженность уточнить при проектировании) - в т.ч. 0,23 км по техническим условиям Ц-10445.
строительство ТП-10/0,4 кВ с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за счет средств тарифа на передачу э/э, по техническим условиям Ц-9248, 10445.</t>
  </si>
  <si>
    <t>- строительство ответвления протяженностью 0,38 км от опоры  существующей  ВЛ-10 кВ № 412.16 (инв. №4009)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Ц-11816. 
 строительство ВЛ-0,4 кВ протяженностью  0,34 км от проектируемой ТП-10/0,4 кВ до границы земельного участка заявителя (марку и сечение провода, протяженность уточнить при проектировании) - в т.ч. 0,08 км по техническим условиям Ц-10981.
строительство ТП-10/0,4 кВ с силовым трансформатором мощностью 160 кВА и возможностью установки трансформатора большей мощности (до 250 кВА)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Ц-11816.</t>
  </si>
  <si>
    <t>- строительство ответвления протяженностью 0,15 км от опоры существующей  ВЛ-10 кВ № 129.12 (инв. № 15577)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Ц-11936.
 строительство ВЛ-0,4 кВ протяженностью  0,65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по техническим условиям Ц-11936.
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Ц-11936.</t>
  </si>
  <si>
    <t>- строительство ответвления протяженностью 0,15 км от опоры существующей  ВЛ-10 кВ № 129.12 (инв. № 15577)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Ц-11936. 
 строительство ВЛ-0,4 кВ протяженностью  0,2 км от проектируемой ТП-10/0,4 кВ до границы земельного участка заявителя (марку и сечение провода, протяженность уточнить при проектировании) - в т.ч.  0,2 км по техническим условиям Ц-11936.
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Ц-11936.</t>
  </si>
  <si>
    <t>- строительство ответвления протяженностью 0,5 км от опоры №9  ВЛ-10 кВ № 335.2 (инв. № 5830) до проектируемой ТП-10/0,4 кВ с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0,03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и возможностью увеличения мощности трансформатора до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</si>
  <si>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от ТП-10/0,4 кВ №620 (инв. № 13011453-00) до границы земельного участка заявителя протяженностью 0,14 км (марку и сечение провода, протяженность уточнить при проектировании).</t>
  </si>
  <si>
    <t>- строительство ответвления протяженностью 0,03 км от опоры существующей ВЛ-0,4 кВ №1                      (инв.№1301062-00)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</si>
  <si>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ответвления протяженностью 0,145 км от опоры № 3 существующей ВЛ-0,4 кВ № 2 (инв. № 6043)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проектировании).</t>
  </si>
  <si>
    <t>- строительство ответвления протяженностью 0,15 км от опоры существующей ВЛ-10 кВ № 129.12 (инв. № 15577)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Ц-11936. 
 строительство ВЛ-0,4 кВ протяженностью  0,2 км от проектируемой ТП-10/0,4 кВ до границы земельного участка заявителя (марку и сечение провода, протяженность уточнить при проектировании) - в т.ч.  0,2 км по техническим условиям Ц-11936.
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Ц-11936</t>
  </si>
  <si>
    <t>- строительство ответвления протяженностью 0,18 км от опоры существующей ВЛ-10 кВ № 420.16 (инв. № 15257) до проектируемой ТП-10/0,4 кВ, с увеличением протяженности существующей ВЛ-10 кВ;
строительство ВЛ-0,4 кВ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ТП-10/0,4 кВ с силовым трансформатором 100 кВА и возможностью установки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</si>
  <si>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- строительство ответвления протяженностью 0,15 км от опоры существующей  ВЛ-10 кВ № 129.12 (инв. № 15577)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Ц-11936. 
 строительство ВЛ-0,4 кВ протяженностью  0,4 км от проектируемой ТП-10/0,4 кВ до границы земельного участка заявителя (марку и сечение провода, протяженность уточнить при проектировании) - в т.ч.  0,4 км по техническим условиям Ц-11936.
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Ц-11936.</t>
  </si>
  <si>
    <t>- строительство участка ВЛ-0,4 кВ № 2 протяженностью 0,035 км совместной подвеской по опорам ВЛ-10 кВ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</si>
  <si>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протяженностью 0,2 км от ТП-10/0,4 кВ № 586 до границы земельного участка заявителя (марку и сечение провода, протяженность уточнить при проектировании).</t>
  </si>
  <si>
    <t>- строительство ответвления протяженностью 0,15 км от опоры существующей ВЛ-10 кВ № 129.12 (инв. № 15577) до проектируемой ТП-10/0,4 кВ с увеличением протяженности существующей ВЛ-10 кВ (марку и сечение провода, протяженность уточнить при проектировании).
строительство ВЛ-0,4 кВ протяженностью  0,5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</si>
  <si>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ответвления протяженностью 1,3 км от опоры существующей ВЛ-10 кВ № 424.08 (кад. № 4134) до проектируемой ТП-10/0,4 кВ, с увеличением протяженности существующей ВЛ-0,4 кВ (марку и сечение провода, протяженность уточнить при проектировании) – по техническим условиям Ц-11163.
строительство ВЛ-0,4 кВ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и возможностью установки трансформатора большей мощности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Ц-11163.</t>
  </si>
  <si>
    <t>строительство ВЛ-0,4 кВ протяженностью 0,6 км, в том числе 0,3 км совместной подвеской по опорам существующей ВЛ-10 кВ № 427.13, от ТП-10/0,4 кВ № 3/100 до границы земельного участка заявителя (марку и сечение провода, протяженность уточнить при проектировании) – по техническим условиям Ц-6314.</t>
  </si>
  <si>
    <t>строительство ответвления протяженностью 0,02 км от опоры  № 6-15  ВЛ-10 кВ № 556.7 (инв. № 8740) до проектируемой ТП-10/0,4 кВ с увеличением протяженности существующей ВЛ-10 кВ (марку и сечение провода, протяженность уточнить при проектировании)- за счет средств тарифа на передачу э/э,  по техническим условиям Ц-8969
строительство ВЛ-0,4 кВ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проектировании)- в т.ч. 0,3 км по техническим условиям Ц-8969
строительство ТП-10/0,4 кВ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за счет средств тарифа на передачу э/э,  по техническим условиям Ц-8969</t>
  </si>
  <si>
    <t>- строительство ВЛ-0,4 кВ протяженностью 0,72 км от ТП-10/0,4 кВ № 032/100 (инв. № 2327) до границы земельного участка заявителя (марку и сечение провода, протяженность уточнить при проектировании) - в т.ч. 0,37 км по техническим условиям Ц-11444.</t>
  </si>
  <si>
    <t>реконструкция существующей ВЛ-0,4 кВ № 1 (инв. № 12011400-00) 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</t>
  </si>
  <si>
    <t>реконструкция существующей ВЛ-0,4 кВ № 1 (инв. № 6015) в части монтажа двух дополнительных проводов на участке протяженностью 0,16 км по трассе, в пролетах опор №№ 16…20 (объем реконструкции уточнить при проектировании) – за счет средств тарифа на передачу электроэнергии.</t>
  </si>
  <si>
    <t>реконструкция ТП-10/0,4 кВ № 380/160 кВА в части замены силового трансформатора 160 кВА на силовой трансформатор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- /аналогично техническим условиям Ц-10617/.</t>
  </si>
  <si>
    <t>реконструкция существующей ВЛ-10 кВ № 415.10 (инв. № 4054) в части установки шести дополнительных опор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</si>
  <si>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3425Б)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</si>
  <si>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ТП-10/0,4 кВ 7512 3/25 (инв. № 13009647-00) в части монтажа дополнительного коммутационного аппарата отходящей ЛЭП-0,4 кВ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</si>
  <si>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344А) в части монтажа одного дополнительного провода на участке протяженностью 0,37 км по трассе (в пролетах опор №№ 1…10) и двух дополнительных проводов на участке протяженностью 0,2 км по трассе (в пролетах опор №№ 10…15) (объем реконструкции уточнить при проектировании) – за счет средств тарифа на передачу электроэнергии</t>
  </si>
  <si>
    <t/>
  </si>
  <si>
    <t>реконструкция существующей ВЛ-0,4 кВ №5 (инв.№31154300)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</si>
  <si>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12013360-00)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</si>
  <si>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415.02 (инв. № 12002155)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Ц-11749.</t>
  </si>
  <si>
    <t>реконструкция ТП-10/0,4 кВ № 708 (инв. № 13012390-00) в части  замены силового трансформатора на трансформатор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электроэнергии, по техническим условиям Ц-10062, Ц-10063.</t>
  </si>
  <si>
    <t>реконструкция существующей ВЛ-10 кВ № 438.07 (инв. № 4138) в части монтажа ответвительной арматуры в точке врезки (марку и сечение провода и объем реконструкции уточнить при проектировании) – за счет средств тарифа на передачу электроэнергии по техническим условиям Ц-11576</t>
  </si>
  <si>
    <t>замена ТП-10/0,4кВ №6/250кВА на ТП-10/0,4 кВ с силовым трансформатором мощностью 400 кВА        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 по техническим условиям Ц-8947.</t>
  </si>
  <si>
    <t>реконструкция существующей ВЛ-10 кВ № 412.16 (инв. №4009)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Ц-11816.</t>
  </si>
  <si>
    <t>реконструкция ТП-10/0,4 кВ № 653 (инв. № 13011698-00) в части  замены силового трансформатора на трансформатор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электроэнергии, по техническим условиям Ц-9476,  Ц-9726,  Ц-9942, Ц-9943, Ц-9988, Ц-10000 .</t>
  </si>
  <si>
    <t>реконструкция существующей ВЛ-10 кВ № 129.12 (инв. № 15577)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Ц-11936.</t>
  </si>
  <si>
    <t>выполнить замену силового трансформатора в ТП-10/0,4 кВ №673 на трансформатор мощностью 250 кВА (тип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проектом), при необходимости выполнить замену автоматических выключателей, предохранителей, щитовых приборов, ТТ и РЗиА (тип и параметры оборудования уточнить при проектировании) – за счет средств тарифа на передачу электроэнергии, по техническим условиям Ц-7690</t>
  </si>
  <si>
    <t>реконструкция существующей ТП-10/0,4 кВ № 035 (инв. № 10000329-00) в части монтажа дополнительного коммутационного аппарата отходящей ЛЭП-0,4 кВ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</si>
  <si>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129.12 (инв. № 15577)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Ц-11936</t>
  </si>
  <si>
    <t>реконструкция существующей ВЛ-10 кВ № 335.2 (инв. № 5830)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</si>
  <si>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расширение РУ-0,4 кВ ТП-10/0,4 кВ № 620 (инв. № 13011453-00)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электроэнергии.</t>
  </si>
  <si>
    <t>реконструкция существующей ВЛ-0,4 кВ №1 (инв.№1301062-00)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</si>
  <si>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2917) в части монтажа двух дополнительных проводов в пролетах опор №№ 2…5 – 0,06 км по трассе (объем реконструкции уточнить при проектировании).</t>
  </si>
  <si>
    <t>реконструкция существующей ВЛ-0,4 кВ № 2 (инв. № 6043) в части замены промежуточной опоры № 3 на анкерную ответвительную (объем реконструкции уточнить при проектировании) – за счет средств тарифа на передачу электроэнергии.</t>
  </si>
  <si>
    <t>реконструкция в части замены ТП-10/0,4 кВ № 10/100 (инв. № 13010320-00) на ТП-10/0,4 кВ с силовым трансформатором большей мощности (160 кВА) (тип и мощность ТП уточнить при проектировании) – за счет средств тарифа на передачу электроэнергии,    по техническим условиям  Ц-10436,  Ц-10442, Ц-10444, Ц-10622, Ц-10636, Ц-10715,                      Ц-11048,  Ц-11282,  Ц-11486,  Ц-11649,  Ц-11943.</t>
  </si>
  <si>
    <t>реконструкция ТП-10/0,4 кВ № 705 (инв. № 13012389-00) в части  замены силового трансформатора на трансформатор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электроэнергии, по техническим условиям Ц-11633.</t>
  </si>
  <si>
    <t>реконструкция ТП-10/0,4 кВ № 380 (инв. № 2847) в части замены силового трансформатора 160 кВА на силовой трансформатор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электроэнергии,  по  техническим условиям Ц-10975, Ц-11903.</t>
  </si>
  <si>
    <t>реконструкция существующей ВЛ-10 кВ № 420.16 (инв. № 15257)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</si>
  <si>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403.204 (инв.№ 4159)  в части монтажа дополнительной опоры в пролете опор №№ 40…41 для обеспечения возможности совместной подвески ВЛ-0,4 кВ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</si>
  <si>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586 (инв. № 13011177-00) в части замены силового трансформатора на трансформатора мощностью  160 кВА (объем реконструкции уточнить при проектировании) – за счет средств тарифа на передачу электроэенергии.</t>
  </si>
  <si>
    <t>реконструкция существующей ВЛ-10 кВ № 129.12 (инв. № 15577)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</si>
  <si>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ТП-10/0,4 кВ № 627 (инв. № 13011523-00)  с заменой силового трансформатора на трансформатор мощностью 160 кВА (тип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электроэнергии,  по техническим условиям Ц-10723,  Ц-10805, Ц-10838, Ц-10889, Ц-11014, Ц-11030, Ц-11283, Ц-11286, Ц-11356, Ц-11495, Ц-11714, Ц-11727, Ц-11956.</t>
  </si>
  <si>
    <t>реконструкция существующей ВЛ-10 кВ № 424.08 (кад. № 4134)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Ц-11163.</t>
  </si>
  <si>
    <t>реконструкция участка существующей ВЛ-10 кВ № 427.13 (инв. № 4019) протяженностью 0,3 км в части установки 4-х дополнительных опор для совместной подвески участка проектируемой ВЛИ-0,4 кВ (объем реконструкции уточнить при проектировании) – за счет средств тарифа на передачу электроэнергии по техническим условиям Ц-6314</t>
  </si>
  <si>
    <t>расширение РУ-0,4 кВ ТП-10/0,4 кВ № 032/100 (инв. № 2327)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электроэнергии, по техническим условиям Ц-11444.</t>
  </si>
  <si>
    <t>реконструкция ТП-10/0,4 кВ № 654/40 кВА (инв. № 13011695-00) с заменой  силового трансформатора на трансформатор большей мощности (250 кВА)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 – за счет средств тарифа на передачу электроэнергии по техническим условиям Ц-10122, Ц-10314, Ц-10363, Ц-10762, Ц-10855, Ц-10933, Ц-10941, Ц-10973, Ц-11125, Ц-11455,  Ц-11788.</t>
  </si>
  <si>
    <t xml:space="preserve"> ВЛ-10 кВ № 424.08 (кад. № 4134)</t>
  </si>
  <si>
    <t>Остальной объем строительства включен в Ц-11163 (Лот № 53 льготники)</t>
  </si>
  <si>
    <t>ВЛ-0,4 кВ № 2 (инв. № 6043)</t>
  </si>
  <si>
    <t>0,145 (с заменой одной промежуточной опоры на анкерную ответвительную)</t>
  </si>
  <si>
    <t>ТП-10/0,4 кВ 7512 3/25 (инв. № 13009647-00)</t>
  </si>
  <si>
    <t>Монтаж автоматического выключателя 0,4 кВ (до 63 А)</t>
  </si>
  <si>
    <t>Объем строительства включен в Ц-9476 (Лот № 39 льготники Северо-Восток); Ц-9943 (Лот № 43 льготники)</t>
  </si>
  <si>
    <t>Объем строительства включен в Ц-10436 (Лот № 46 льготники)</t>
  </si>
  <si>
    <t>ВЛ-10 кВ № 420.16 (инв. № 15257)</t>
  </si>
  <si>
    <t>КТП 160 кВА (с трансформатором 100 кВА)</t>
  </si>
  <si>
    <t xml:space="preserve"> ВЛ-10 кВ № 415.02 (инв. № 12002155)</t>
  </si>
  <si>
    <t>0,44 км (совместным подвесом по опорам проектируемой ВЛ-10 кВ)</t>
  </si>
  <si>
    <t>Остальной объем строительства включен в Ц-9248 (Лот № 36 льготники Юго-Запад); Ц-10445 (Лот № 46 Юго-Запад)</t>
  </si>
  <si>
    <t>ВЛ-10 кВ № 335.2 (инв. № 5830)</t>
  </si>
  <si>
    <t>КТП 100 кВА (с трансформатором 63 кВА)</t>
  </si>
  <si>
    <t>Объем строительства включен в Ц-11633 (Лот № 64 льготники)</t>
  </si>
  <si>
    <t>ТП-10/0,4 кВ № 586 (инв. № 13011177-00)</t>
  </si>
  <si>
    <t>Замена силового трансформатора на трансформатор 160 кВА (с заменой вводного  автоматического выключателя Iном=250 А, предохранителей 10 кВ - 3 шт., ТТ-0,4 кВ - 3 шт.)</t>
  </si>
  <si>
    <t>ТП-10/0,4 кВ № 620 (инв. № 13011453-00)</t>
  </si>
  <si>
    <t>Монтаж автоматического выключателя 0,4 кВ (до 100 А)</t>
  </si>
  <si>
    <t>Объем строительства включен в Ц-11903 (Лот № 66 льготники)</t>
  </si>
  <si>
    <t>ВЛ-0,4 кВ № 1 (инв. № 3425Б)</t>
  </si>
  <si>
    <t>Объем строительства включен в Ц-10063 (Лот № 43 льготники Северо-Восток)</t>
  </si>
  <si>
    <t>Остальной объем строительства включен в Ц-11496 (Лот № 60); Ц-11444 (Лот № 61)</t>
  </si>
  <si>
    <t>Объем строительства включен в Ц-7690 (Лот № 26 льготники ЦЭС)</t>
  </si>
  <si>
    <t xml:space="preserve"> ВЛ-0,4 кВ №1 (инв.№1301062-00) </t>
  </si>
  <si>
    <t>Объем строительства включен в Ц-8947 (Лот № 36 льготники ЦЭС Юго-Запад)</t>
  </si>
  <si>
    <t>ВЛ-10 кВ № 403.204 (инв.№ 4159)</t>
  </si>
  <si>
    <t xml:space="preserve">Монтаж дополнительной опоры в пролете опор ВЛ-10 кВ для обеспечения возможности совместной подвески ВЛ-0,4 кВ </t>
  </si>
  <si>
    <t>0,035 совместной подвеской по опорам ВЛ-10 кВ</t>
  </si>
  <si>
    <t>ВЛ-10 кВ № 129.12 (инв. № 15577)</t>
  </si>
  <si>
    <t>Остальной объем строительства включен в Ц-11936 (физ.объемы от 25.11.15)</t>
  </si>
  <si>
    <t>Объем строительства включен в Ц-11936 (физ.объемы от 25.11.15)</t>
  </si>
  <si>
    <t>КТП 250 кВА (с трансформатором 160 кВА)</t>
  </si>
  <si>
    <t>ВЛ-10 кВ № 412.16 (инв. №4009)</t>
  </si>
  <si>
    <t>Остальной объем строительства включен в Ц-11816 (Лот № 65 Юго-Запад)</t>
  </si>
  <si>
    <t>Объем строительства включен в Ц-10723 (Лот № 48 Юго-Запад)</t>
  </si>
  <si>
    <t>ВЛ-0,4 кВ № 1 (инв. № 311146202)</t>
  </si>
  <si>
    <t>ВЛ-0,4 кВ № 1 (инв. № 12013360-00)</t>
  </si>
  <si>
    <t>ВЛ-0,4 кВ № 1 (инв. № 12012728-00)</t>
  </si>
  <si>
    <t>Объем строительства включен в Ц-11079 (Лот № 52 Юго-Запад)</t>
  </si>
  <si>
    <t>Объем строительства включен в Ц-10436 (Лот № 46 Юго-Запад)</t>
  </si>
  <si>
    <t>Объем строительства включен в Ц-10405 и Ц-10413 (Лот № 45 льготники Юго-Запад)</t>
  </si>
  <si>
    <t>Объем строительства включен в Ц-8041 (Лот № 29 льготники ЦЭС Северная часть); Ц-10042 (Лот № 43 льготники Северо-Восток)</t>
  </si>
  <si>
    <t>Объем строительства включен в Ц-10042 (Лот № 43 льготники Северо-Восток)</t>
  </si>
  <si>
    <t>Объем строительства включен в Ц-10723 (Лот 48 Юго-Запад)</t>
  </si>
  <si>
    <t>ВЛ-0,4 кВ № 1 (инв. № 6015)</t>
  </si>
  <si>
    <t>Реконструкция ВЛ-0,4 кВ с монтажом 2-х дополнительных проводов</t>
  </si>
  <si>
    <t xml:space="preserve"> ВЛ-0,4 кВ № 1 (инв. № 344А)</t>
  </si>
  <si>
    <t>Реконструкция ВЛ-0,4 кВ с монтажом дополнительного провода</t>
  </si>
  <si>
    <t>ВЛ-0,4 кВ № 1 (инв. № 4166 В)</t>
  </si>
  <si>
    <t>ВЛ-0,4 кВ № 1 (инв. № 3011302500400)</t>
  </si>
  <si>
    <t>ВЛ-10 кВ № 423.16 (инв. № 4005)</t>
  </si>
  <si>
    <t>ВЛ-0,4 кВ № 1 (инв. № 12011400-00)</t>
  </si>
  <si>
    <t>0,04 км с применением повышенных опор для обеспечения  перехода через автомобильную дорогу</t>
  </si>
  <si>
    <t>строительство ответвления протяженностью 0,11 км от опоры существующей ВЛ-0,4 кВ № 3 (инв. № 12013575-00)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проектировании), в т.ч. 0,11 км по техническим условиям Ц-10617.</t>
  </si>
  <si>
    <t>ВЛ-0,4 кВ № 3 (инв. № 12013575-00)</t>
  </si>
  <si>
    <t>ВЛ-10 кВ № 412.16 (инв. № 4009)</t>
  </si>
  <si>
    <t>ТП-10/0,4 кВ №673 (инв. № 13012328)</t>
  </si>
  <si>
    <t>КТП 250 кВА - 1 шт. (Демонтаж ТП 160 кВА)</t>
  </si>
  <si>
    <t>Остальной объем строительства включен в Ц-10975 (Лот № 49 Юго-Запад)</t>
  </si>
  <si>
    <t>Объем строительства включен в Ц-8118 (Лот № 31 льготники ЦЭС-Южный)-/Договор ТП №Ц-8118/1031-ОРЗТП/2014 (Ладейщикова С.Н.) включен в корректировку ИПР 2014г./; Ц-10163 (Лот № 44 льготники ЦЭС Юго-Запад); Ц-10262 (Лот 45 льготники Юго-Запад.); Ц-10831 (Лот № 48 Юго-Запад); Ц-9560 (Лот № 40 льготники Юго-Запад); Ц-11256 (Лот № 55 ВЭС, ЗЭС, ЦЭС)</t>
  </si>
  <si>
    <t>ВЛ-0,4 кВ № 1 (инв. № 12013326-00); ВЛ-10 кВ № 415.10 (инв. № 4054)</t>
  </si>
  <si>
    <t>0,35 км совместным подвесом по опорам ВЛ-10 кВ</t>
  </si>
  <si>
    <t>Установка 6 дополнительных опор для обеспечения возможности совместного подвеса</t>
  </si>
  <si>
    <t>ВЛ-0,4 кВ №5 (инв.№31154300)</t>
  </si>
  <si>
    <t>строительство ответвления протяженностью 0,03 км от опоры существующей ВЛ-10 кВ № 438.07 (инв. № 4138)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Ц-10899;
строительство ВЛ-0,4 кВ протяженностью 0,47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0,44 км по техническим условиям Ц-11206.
строительство ТП-10/0,4 кВ с силовым трансформатором мощностью 63 кВА и возможностью установки трансформатора большей мощности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Ц-10899.</t>
  </si>
  <si>
    <t>Остальной объем строительства включен в Ц-10894 (Лот № 48 Северо-Восток); Ц-10899 (Лот № 49 Северо-Восток); Ц-11206 (Лот № 54 льготники)</t>
  </si>
  <si>
    <t>ТП-10/0,4 кВ № 708 (инв. № 13012390-00)</t>
  </si>
  <si>
    <t xml:space="preserve">ВЛ-10 кВ № 438.07 (инв. № 4138) </t>
  </si>
  <si>
    <t>ТП-10/0,4 кВ № 653 (инв. № 13011698-00)</t>
  </si>
  <si>
    <t xml:space="preserve"> ТП-10/0,4 кВ № 654/40 кВА (инв. № 13011695-00)</t>
  </si>
  <si>
    <t>ВЛ-0,4 кВ № 1 (инв. № 2917)</t>
  </si>
  <si>
    <t>Объем строительства включен в Ц-10122 (Лот № 45 льготники Юго-Запад)</t>
  </si>
  <si>
    <t>0,06 (по трассе)</t>
  </si>
  <si>
    <t>ТП-10/0,4 кВ № 627/40 кВА (инв. № 13011523-00)</t>
  </si>
  <si>
    <t xml:space="preserve">ВЛ-0,4 кВ № 1 (инв. № 8652) </t>
  </si>
  <si>
    <t>ТП-10/0,4 кВ № 647 (инв. № 13011676-00)</t>
  </si>
  <si>
    <t>ТП-10/0,4 кВ № 380 (инв. № 2847)</t>
  </si>
  <si>
    <t xml:space="preserve">ТП-10/0,4 кВ № 10/100 (инв. № 13010320-00) </t>
  </si>
  <si>
    <t xml:space="preserve"> ТП-10/0,4 кВ № 705 (инв. № 13012389-00)</t>
  </si>
  <si>
    <t>ТП-10/0,4 кВ № 10/100 (инв. № 13010320-00)</t>
  </si>
  <si>
    <t>ВЛ-10 кВ № 427.13 (инв. № 4019)</t>
  </si>
  <si>
    <t>ВЛ-10 кВ № 556.7 (инв. № 8740)</t>
  </si>
  <si>
    <t xml:space="preserve"> ТП-10/0,4 кВ № 684/25 кВА (инв. № 13011769-00) </t>
  </si>
  <si>
    <t>Объем строительства включен в Ц-6314 (Лот № 19 ЦЭС-2, ЦЭС-3)</t>
  </si>
  <si>
    <t>Объем строительства включен в Ц-8553 (Лот № 33 льготники КРЭС Северо-Восток); Ц-9781 (Лот № 42 Льготники)</t>
  </si>
  <si>
    <t>ТП-10/0,4 кВ № 032/100 (инв. № 2327)</t>
  </si>
  <si>
    <t>Остальной объем строительства включен в Ц-8969 (Лот № 34 Льготники ОРЭС)</t>
  </si>
  <si>
    <t>(Демонтаж ТП 160 кВА)</t>
  </si>
  <si>
    <t>КТП 250 кВА - 1 шт.</t>
  </si>
  <si>
    <t>возврат</t>
  </si>
  <si>
    <t>Установка 6 дополнительных опор для обеспечения возможности совместного подвеса. Строительство ВЛИ-0,4 кВ 0,35 км совместным подвесом по опорам ВЛ-10 кВ</t>
  </si>
  <si>
    <t>Заместитель директора по КС</t>
  </si>
  <si>
    <t>Начальник УПР</t>
  </si>
  <si>
    <t>Начальник УИ</t>
  </si>
  <si>
    <t>Начальник УТП</t>
  </si>
  <si>
    <t>____________________</t>
  </si>
  <si>
    <t>И.Н. Смахтин</t>
  </si>
  <si>
    <t>В.В. Волошин</t>
  </si>
  <si>
    <t>В.В. Тупицкий</t>
  </si>
  <si>
    <t>М.В. Филипкин</t>
  </si>
  <si>
    <t>Строительство ответвления протяженностью 0,65 км от опоры  существующей  ВЛ-10 кВ № 423.16 (инв. № 4005) до проектируемой ТП-10/0,4 кВ с увеличением протяженности существующей ВЛ-10 кВ (марку и сечение провода, протяженность уточнить при проектировании)- по техническим условиям Ц-10275.
 строительство ВЛ-0,4 кВ протяженностью  0,46 км от проектируемой ТП-10/0,4 кВ  до границы земельного участка заявителя (марку и сечение провода, протяженность уточнить при проектировании)- в т.ч. 0,46 км по техническим условиям Ц-10405
строительство ТП-10/0,4 кВ с силовым трансформатором мощностью 63 кВА и возможностью установки трансформатора большей мощности (до 250 кВА)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Ц-10275.</t>
  </si>
  <si>
    <t>Строительство ответвления протяженностью 0,04 км от опоры существующей ВЛ-0,4 кВ №1 (инв. № 12011400-00) до границы земельного участка заявителя, с увеличением протяженности существующей ВЛ-0,4 кВ с применением повышенных опор для обеспечения  перехода через автомобильную дорогу (марку и сечение провода, протяженность уточнить при проектировании).</t>
  </si>
  <si>
    <t>строительство ответвления протяженностью 0,67 км от опоры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в т.ч. 0,67 км по техническим условиям Ц-9560.
 строительство ВЛ-0,4 кВ протяженностью  0,615 км от проектируемой ТП-10/0,4 кВ до границы земельного участка заявителя (марку и сечение провода, протяженность уточнить при проектировании) - в т.ч. 0,615 км по техническим условиям Ц-11256,      Ц-11512.
строительство ТП-10/0,4 кВ с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Ц-9560.</t>
  </si>
  <si>
    <t>строительство ответвления протяженностью 1 км от опоры  существующей  ВЛ-10 кВ № 415.02 (инв. № 12002155) до проектируемой ТП-10/0,4 кВ с увеличением протяженности существующей ВЛ-10 кВ (марку и сечение провода, протяженность уточнить при проектировании)- за счет средств тарифа на передачу э/э, по техническим условиям Ц-9248, Ц-10445.строительство ВЛ-0,4 кВ протяженностью  0,67 км (совместным подвесом по опорам проектируемой ВЛ-10 кВ) от проектируемой ТП-10/0,4 кВ до границы земельного участка заявителя (марку и сечение провода, протяженность уточнить при проектировании) - в т.ч. 0,23 км по техническим условиям Ц-10445.строительство ТП-10/0,4 кВ с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за счет средств тарифа на передачу э/э, по техническим условиям Ц-9248, 10445.</t>
  </si>
  <si>
    <t>строительство ответвления протяженностью 0,38 км от опоры  существующей  ВЛ-10 кВ № 412.16 (инв. №4009)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Ц-11816 строительство ВЛ-0,4 кВ протяженностью  0,34 км от проектируемой ТП-10/0,4 кВ до границы земельного участка заявителя (марку и сечение провода, протяженность уточнить при проектировании) - в т.ч. 0,08 км по техническим условиям Ц-10981.строительство ТП-10/0,4 кВ с силовым трансформатором мощностью 160 кВА и возможностью установки трансформатора большей мощности (до 250 кВА)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Ц-11816.</t>
  </si>
  <si>
    <t>строительство ответвления протяженностью 0,15 км от опоры существующей ВЛ-10 кВ № 129.12 (инв. № 15577) до проектируемой ТП-10/0,4 кВ с увеличением протяженности существующей ВЛ-10 кВ (марку и сечение провода, протяженность уточнить при проектировании).
строительство ВЛ-0,4 кВ протяженностью  0,5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</si>
  <si>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строительство ответвления протяженностью 0,15 км от опоры существующей  ВЛ-10 кВ № 129.12 (инв. № 15577)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Ц-11936. 
 строительство ВЛ-0,4 кВ протяженностью  0,4 км от проектируемой ТП-10/0,4 кВ до границы земельного участка заявителя (марку и сечение провода, протяженность уточнить при проектировании) - в т.ч.  0,4 км по техническим условиям Ц-11936.
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Ц-11936.</t>
  </si>
  <si>
    <t>строительство ответвления протяженностью 0,15 км от опоры существующей ВЛ-10 кВ № 129.12 (инв. № 15577)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Ц-11936. 
 строительство ВЛ-0,4 кВ протяженностью  0,2 км от проектируемой ТП-10/0,4 кВ до границы земельного участка заявителя (марку и сечение провода, протяженность уточнить при проектировании) - в т.ч.  0,2 км по техническим условиям Ц-11936.
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Ц-11936</t>
  </si>
  <si>
    <t>строительство ответвления протяженностью 0,02 км от опоры  № 6-15  ВЛ-10 кВ № 556.7 (инв. № 8740) до проектируемой ТП-10/0,4 кВ с увеличением протяженности существующей ВЛ-10 кВ (марку и сечение провода, протяженность уточнить при проектировании)- за счет средств тарифа на передачу э/э,  по техническим условиям Ц-8969. строительство ВЛ-0,4 кВ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проектировании)- в т.ч. 0,3 км по техническим условиям Ц-8969. строительство ТП-10/0,4 кВ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за счет средств тарифа на передачу э/э,  по техническим условиям Ц-8969</t>
  </si>
  <si>
    <t>1) КТП 250 кВА (с трансформатором 160 кВА).
2) КТП 250 кВА - 1 шт. (Демонтаж ТП 160 кВА)</t>
  </si>
  <si>
    <t>Приложение к очереди № 68 Юго-Запад (SAP № 8500005099)</t>
  </si>
  <si>
    <t>Монтаж автоматического выключателя 0,4 кВ - 1 шт.</t>
  </si>
  <si>
    <t>2,11, в т.ч. 0,04 км с применением повышенных опор для обеспечения  перехода через автомобильную дорогу; 0,44 км (совместным подвесом по опорам проектируемой ВЛ-10 кВ)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</si>
</sst>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8"/>
      <name val="Arial"/>
      <family val="2"/>
      <charset val="204"/>
    </font>
    <font>
      <sz val="85"/>
      <name val="Arial"/>
      <family val="2"/>
      <charset val="204"/>
    </font>
    <font>
      <b/>
      <sz val="30"/>
      <name val="Arial"/>
      <family val="2"/>
      <charset val="204"/>
    </font>
    <font>
      <b/>
      <sz val="30"/>
      <color theme="1"/>
      <name val="Arial"/>
      <family val="2"/>
      <charset val="204"/>
    </font>
    <font>
      <sz val="60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sz val="26"/>
      <name val="Arial"/>
      <family val="2"/>
      <charset val="204"/>
    </font>
    <font>
      <sz val="25"/>
      <name val="Arial"/>
      <family val="2"/>
      <charset val="204"/>
    </font>
    <font>
      <sz val="24"/>
      <name val="Arial"/>
      <family val="2"/>
      <charset val="204"/>
    </font>
    <font>
      <b/>
      <sz val="31"/>
      <name val="Arial"/>
      <family val="2"/>
      <charset val="204"/>
    </font>
    <font>
      <b/>
      <sz val="3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2" fontId="2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2" fillId="5" borderId="3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164" fontId="2" fillId="6" borderId="3" xfId="0" applyNumberFormat="1" applyFont="1" applyFill="1" applyBorder="1" applyAlignment="1">
      <alignment horizontal="center" vertical="center" wrapText="1"/>
    </xf>
    <xf numFmtId="2" fontId="2" fillId="6" borderId="3" xfId="0" applyNumberFormat="1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/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4" borderId="4" xfId="0" applyNumberFormat="1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16"/>
  <sheetViews>
    <sheetView zoomScale="30" zoomScaleNormal="30" zoomScaleSheetLayoutView="10" workbookViewId="0">
      <pane ySplit="2" topLeftCell="A3" activePane="bottomLeft" state="frozen"/>
      <selection pane="bottomLeft" activeCell="A107" sqref="A107:XFD107"/>
    </sheetView>
  </sheetViews>
  <sheetFormatPr defaultColWidth="9.140625" defaultRowHeight="34.5" x14ac:dyDescent="0.45"/>
  <cols>
    <col min="1" max="1" width="50.7109375" style="24" customWidth="1"/>
    <col min="2" max="2" width="25.5703125" style="24" customWidth="1"/>
    <col min="3" max="3" width="46.42578125" style="24" hidden="1" customWidth="1"/>
    <col min="4" max="4" width="36.85546875" style="24" hidden="1" customWidth="1"/>
    <col min="5" max="5" width="16.42578125" style="24" hidden="1" customWidth="1"/>
    <col min="6" max="6" width="58" style="24" customWidth="1"/>
    <col min="7" max="7" width="23.5703125" style="24" hidden="1" customWidth="1"/>
    <col min="8" max="8" width="59.7109375" style="24" customWidth="1"/>
    <col min="9" max="9" width="83.7109375" style="24" customWidth="1"/>
    <col min="10" max="10" width="92.85546875" style="24" customWidth="1"/>
    <col min="11" max="11" width="41.42578125" style="24" customWidth="1"/>
    <col min="12" max="12" width="42.5703125" style="24" customWidth="1"/>
    <col min="13" max="13" width="53.42578125" style="24" customWidth="1"/>
    <col min="14" max="14" width="40.85546875" style="24" customWidth="1"/>
    <col min="15" max="15" width="20.28515625" style="24" customWidth="1"/>
    <col min="16" max="16" width="36.5703125" style="24" customWidth="1"/>
    <col min="17" max="17" width="33.28515625" style="24" customWidth="1"/>
    <col min="18" max="18" width="23.140625" style="24" customWidth="1"/>
    <col min="19" max="19" width="29.85546875" style="24" customWidth="1"/>
    <col min="20" max="20" width="33.7109375" style="24" customWidth="1"/>
    <col min="21" max="21" width="12.42578125" style="24" hidden="1" customWidth="1"/>
    <col min="22" max="22" width="9.140625" style="24" hidden="1" customWidth="1"/>
    <col min="23" max="24" width="10.140625" style="24" hidden="1" customWidth="1"/>
    <col min="25" max="27" width="17" style="24" hidden="1" customWidth="1"/>
    <col min="28" max="28" width="24.85546875" style="24" hidden="1" customWidth="1"/>
    <col min="29" max="29" width="25.7109375" style="24" hidden="1" customWidth="1"/>
    <col min="30" max="30" width="19.7109375" style="24" hidden="1" customWidth="1"/>
    <col min="31" max="31" width="21" style="24" hidden="1" customWidth="1"/>
    <col min="32" max="32" width="20.140625" style="24" hidden="1" customWidth="1"/>
    <col min="33" max="33" width="68.140625" style="24" hidden="1" customWidth="1"/>
    <col min="34" max="34" width="21" style="24" customWidth="1"/>
    <col min="35" max="35" width="13.42578125" style="24" customWidth="1"/>
    <col min="36" max="36" width="23" style="24" customWidth="1"/>
    <col min="37" max="37" width="26" style="24" customWidth="1"/>
    <col min="38" max="38" width="19.7109375" style="24" customWidth="1"/>
    <col min="39" max="39" width="12.7109375" style="24" customWidth="1"/>
    <col min="40" max="40" width="9.140625" style="24" customWidth="1"/>
    <col min="41" max="41" width="9.5703125" style="24" customWidth="1"/>
    <col min="42" max="42" width="9.140625" style="24" customWidth="1"/>
    <col min="43" max="43" width="27.140625" style="24" customWidth="1"/>
    <col min="44" max="44" width="22" style="24" customWidth="1"/>
    <col min="45" max="45" width="21.42578125" style="24" customWidth="1"/>
    <col min="46" max="46" width="23.42578125" style="24" customWidth="1"/>
    <col min="47" max="50" width="9.140625" style="24" customWidth="1"/>
    <col min="51" max="51" width="32.7109375" style="24" customWidth="1"/>
    <col min="52" max="52" width="24.28515625" style="24" customWidth="1"/>
    <col min="53" max="53" width="45.42578125" style="24" customWidth="1"/>
    <col min="54" max="54" width="21.85546875" style="24" customWidth="1"/>
    <col min="55" max="55" width="23.140625" style="24" customWidth="1"/>
    <col min="56" max="56" width="18.140625" style="24" customWidth="1"/>
    <col min="57" max="57" width="22.5703125" style="24" customWidth="1"/>
    <col min="58" max="58" width="24.140625" style="24" customWidth="1"/>
    <col min="59" max="59" width="33.85546875" style="24" customWidth="1"/>
    <col min="60" max="60" width="18.5703125" style="24" customWidth="1"/>
    <col min="61" max="61" width="32.5703125" style="24" customWidth="1"/>
    <col min="62" max="62" width="33" style="24" customWidth="1"/>
    <col min="63" max="63" width="31.5703125" style="36" customWidth="1"/>
    <col min="64" max="64" width="37.28515625" style="37" customWidth="1"/>
    <col min="65" max="65" width="54.28515625" style="24" customWidth="1"/>
    <col min="66" max="66" width="17.7109375" style="38" customWidth="1"/>
    <col min="67" max="67" width="9.140625" style="24"/>
    <col min="68" max="68" width="16.42578125" style="24" bestFit="1" customWidth="1"/>
    <col min="69" max="16384" width="9.140625" style="24"/>
  </cols>
  <sheetData>
    <row r="1" spans="1:70" ht="35.1" x14ac:dyDescent="0.7">
      <c r="C1" s="35"/>
    </row>
    <row r="2" spans="1:70" s="6" customFormat="1" ht="282.75" customHeight="1" x14ac:dyDescent="0.25">
      <c r="A2" s="4" t="s">
        <v>0</v>
      </c>
      <c r="B2" s="4" t="s">
        <v>25</v>
      </c>
      <c r="C2" s="4" t="s">
        <v>26</v>
      </c>
      <c r="D2" s="4" t="s">
        <v>33</v>
      </c>
      <c r="E2" s="4" t="s">
        <v>28</v>
      </c>
      <c r="F2" s="4" t="s">
        <v>1</v>
      </c>
      <c r="G2" s="4" t="s">
        <v>2</v>
      </c>
      <c r="H2" s="4" t="s">
        <v>20</v>
      </c>
      <c r="I2" s="4" t="s">
        <v>24</v>
      </c>
      <c r="J2" s="4" t="s">
        <v>3</v>
      </c>
      <c r="K2" s="4" t="s">
        <v>29</v>
      </c>
      <c r="L2" s="20" t="s">
        <v>34</v>
      </c>
      <c r="M2" s="20" t="s">
        <v>35</v>
      </c>
      <c r="N2" s="20" t="s">
        <v>36</v>
      </c>
      <c r="O2" s="20"/>
      <c r="P2" s="20" t="s">
        <v>37</v>
      </c>
      <c r="Q2" s="20" t="s">
        <v>38</v>
      </c>
      <c r="R2" s="20" t="s">
        <v>39</v>
      </c>
      <c r="S2" s="20" t="s">
        <v>40</v>
      </c>
      <c r="T2" s="20" t="s">
        <v>41</v>
      </c>
      <c r="U2" s="4" t="s">
        <v>4</v>
      </c>
      <c r="V2" s="4"/>
      <c r="W2" s="4" t="s">
        <v>23</v>
      </c>
      <c r="X2" s="4"/>
      <c r="Y2" s="4" t="s">
        <v>30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27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36</v>
      </c>
      <c r="BA2" s="4" t="s">
        <v>16</v>
      </c>
      <c r="BB2" s="4" t="s">
        <v>42</v>
      </c>
      <c r="BC2" s="4" t="s">
        <v>17</v>
      </c>
      <c r="BD2" s="4"/>
      <c r="BE2" s="4" t="s">
        <v>18</v>
      </c>
      <c r="BF2" s="4"/>
      <c r="BG2" s="4" t="s">
        <v>32</v>
      </c>
      <c r="BH2" s="4"/>
      <c r="BI2" s="4" t="s">
        <v>31</v>
      </c>
      <c r="BJ2" s="4"/>
      <c r="BK2" s="13" t="s">
        <v>22</v>
      </c>
      <c r="BL2" s="8" t="s">
        <v>21</v>
      </c>
      <c r="BM2" s="21" t="s">
        <v>19</v>
      </c>
      <c r="BN2" s="22"/>
    </row>
    <row r="3" spans="1:70" s="66" customFormat="1" ht="195" customHeight="1" x14ac:dyDescent="0.25">
      <c r="A3" s="55" t="s">
        <v>50</v>
      </c>
      <c r="B3" s="56" t="s">
        <v>65</v>
      </c>
      <c r="C3" s="57">
        <v>466.1</v>
      </c>
      <c r="D3" s="57">
        <v>466.1</v>
      </c>
      <c r="E3" s="58">
        <v>15</v>
      </c>
      <c r="F3" s="56" t="s">
        <v>80</v>
      </c>
      <c r="G3" s="56" t="s">
        <v>110</v>
      </c>
      <c r="H3" s="56" t="s">
        <v>95</v>
      </c>
      <c r="I3" s="56" t="s">
        <v>113</v>
      </c>
      <c r="J3" s="56" t="s">
        <v>114</v>
      </c>
      <c r="K3" s="58" t="s">
        <v>399</v>
      </c>
      <c r="L3" s="58"/>
      <c r="M3" s="58"/>
      <c r="N3" s="59">
        <f>N4</f>
        <v>76.78125</v>
      </c>
      <c r="O3" s="59">
        <f t="shared" ref="O3:T3" si="0">O4</f>
        <v>0</v>
      </c>
      <c r="P3" s="59">
        <f t="shared" si="0"/>
        <v>6.1425000000000001</v>
      </c>
      <c r="Q3" s="59">
        <f t="shared" si="0"/>
        <v>66.031874999999999</v>
      </c>
      <c r="R3" s="59">
        <f t="shared" si="0"/>
        <v>0</v>
      </c>
      <c r="S3" s="59">
        <f t="shared" si="0"/>
        <v>4.6068749999999996</v>
      </c>
      <c r="T3" s="59">
        <f t="shared" si="0"/>
        <v>76.78125</v>
      </c>
      <c r="U3" s="60"/>
      <c r="V3" s="60"/>
      <c r="W3" s="60"/>
      <c r="X3" s="60"/>
      <c r="Y3" s="60"/>
      <c r="Z3" s="60"/>
      <c r="AA3" s="60"/>
      <c r="AB3" s="60"/>
      <c r="AC3" s="61"/>
      <c r="AD3" s="62"/>
      <c r="AE3" s="62"/>
      <c r="AF3" s="60"/>
      <c r="AG3" s="60"/>
      <c r="AH3" s="60"/>
      <c r="AI3" s="61"/>
      <c r="AJ3" s="62"/>
      <c r="AK3" s="62"/>
      <c r="AL3" s="60"/>
      <c r="AM3" s="60"/>
      <c r="AN3" s="60"/>
      <c r="AO3" s="60"/>
      <c r="AP3" s="60"/>
      <c r="AQ3" s="61"/>
      <c r="AR3" s="62"/>
      <c r="AS3" s="61"/>
      <c r="AT3" s="62"/>
      <c r="AU3" s="60"/>
      <c r="AV3" s="60"/>
      <c r="AW3" s="60"/>
      <c r="AX3" s="60"/>
      <c r="AY3" s="58"/>
      <c r="AZ3" s="59"/>
      <c r="BA3" s="61">
        <v>6.5000000000000002E-2</v>
      </c>
      <c r="BB3" s="63">
        <f>BA3*1125*1.05</f>
        <v>76.78125</v>
      </c>
      <c r="BC3" s="62"/>
      <c r="BD3" s="59"/>
      <c r="BE3" s="60"/>
      <c r="BF3" s="60"/>
      <c r="BG3" s="60"/>
      <c r="BH3" s="60"/>
      <c r="BI3" s="60"/>
      <c r="BJ3" s="60"/>
      <c r="BK3" s="59">
        <f>BB3</f>
        <v>76.78125</v>
      </c>
      <c r="BL3" s="64">
        <v>42510</v>
      </c>
      <c r="BM3" s="60"/>
      <c r="BN3" s="60"/>
      <c r="BO3" s="59"/>
      <c r="BP3" s="59"/>
      <c r="BQ3" s="64"/>
      <c r="BR3" s="65"/>
    </row>
    <row r="4" spans="1:70" s="51" customFormat="1" ht="195" customHeight="1" x14ac:dyDescent="0.35">
      <c r="A4" s="41"/>
      <c r="B4" s="42"/>
      <c r="C4" s="43"/>
      <c r="D4" s="43"/>
      <c r="E4" s="27"/>
      <c r="F4" s="42"/>
      <c r="G4" s="42"/>
      <c r="H4" s="42"/>
      <c r="I4" s="42"/>
      <c r="J4" s="42"/>
      <c r="K4" s="27"/>
      <c r="L4" s="27" t="str">
        <f>BA2</f>
        <v>Строительство ВЛИ-0,4 кВ</v>
      </c>
      <c r="M4" s="44">
        <f>BA3</f>
        <v>6.5000000000000002E-2</v>
      </c>
      <c r="N4" s="7">
        <f>1125*M4*1.05</f>
        <v>76.78125</v>
      </c>
      <c r="O4" s="7"/>
      <c r="P4" s="7">
        <f>0.08*N4</f>
        <v>6.1425000000000001</v>
      </c>
      <c r="Q4" s="7">
        <f>0.86*N4</f>
        <v>66.031874999999999</v>
      </c>
      <c r="R4" s="7">
        <v>0</v>
      </c>
      <c r="S4" s="7">
        <f>0.06*N4</f>
        <v>4.6068749999999996</v>
      </c>
      <c r="T4" s="7">
        <f>P4+Q4+R4+S4</f>
        <v>76.78125</v>
      </c>
      <c r="U4" s="44"/>
      <c r="V4" s="44"/>
      <c r="W4" s="44"/>
      <c r="X4" s="44"/>
      <c r="Y4" s="44"/>
      <c r="Z4" s="44"/>
      <c r="AA4" s="44"/>
      <c r="AB4" s="44"/>
      <c r="AC4" s="46"/>
      <c r="AD4" s="47"/>
      <c r="AE4" s="47"/>
      <c r="AF4" s="44"/>
      <c r="AG4" s="44"/>
      <c r="AH4" s="44"/>
      <c r="AI4" s="46"/>
      <c r="AJ4" s="47"/>
      <c r="AK4" s="47"/>
      <c r="AL4" s="44"/>
      <c r="AM4" s="44"/>
      <c r="AN4" s="44"/>
      <c r="AO4" s="44"/>
      <c r="AP4" s="44"/>
      <c r="AQ4" s="46"/>
      <c r="AR4" s="47"/>
      <c r="AS4" s="46"/>
      <c r="AT4" s="47"/>
      <c r="AU4" s="44"/>
      <c r="AV4" s="44"/>
      <c r="AW4" s="44"/>
      <c r="AX4" s="44"/>
      <c r="AY4" s="27"/>
      <c r="AZ4" s="45"/>
      <c r="BA4" s="46"/>
      <c r="BB4" s="48"/>
      <c r="BC4" s="47"/>
      <c r="BD4" s="45"/>
      <c r="BE4" s="44"/>
      <c r="BF4" s="44"/>
      <c r="BG4" s="44"/>
      <c r="BH4" s="44"/>
      <c r="BI4" s="44"/>
      <c r="BJ4" s="44"/>
      <c r="BK4" s="45"/>
      <c r="BL4" s="49"/>
      <c r="BM4" s="44"/>
      <c r="BN4" s="44"/>
      <c r="BO4" s="45"/>
      <c r="BP4" s="45"/>
      <c r="BQ4" s="49"/>
      <c r="BR4" s="50"/>
    </row>
    <row r="5" spans="1:70" s="66" customFormat="1" ht="203.25" customHeight="1" x14ac:dyDescent="0.25">
      <c r="A5" s="55" t="s">
        <v>51</v>
      </c>
      <c r="B5" s="56" t="s">
        <v>66</v>
      </c>
      <c r="C5" s="57">
        <v>466.1</v>
      </c>
      <c r="D5" s="57">
        <v>466.1</v>
      </c>
      <c r="E5" s="58">
        <v>5</v>
      </c>
      <c r="F5" s="56" t="s">
        <v>81</v>
      </c>
      <c r="G5" s="56" t="s">
        <v>45</v>
      </c>
      <c r="H5" s="56" t="s">
        <v>96</v>
      </c>
      <c r="I5" s="56" t="s">
        <v>115</v>
      </c>
      <c r="J5" s="56" t="s">
        <v>116</v>
      </c>
      <c r="K5" s="58" t="s">
        <v>400</v>
      </c>
      <c r="L5" s="58"/>
      <c r="M5" s="58"/>
      <c r="N5" s="59">
        <f>N6</f>
        <v>177.1875</v>
      </c>
      <c r="O5" s="59">
        <f t="shared" ref="O5:T5" si="1">O6</f>
        <v>0</v>
      </c>
      <c r="P5" s="59">
        <f t="shared" si="1"/>
        <v>14.175000000000001</v>
      </c>
      <c r="Q5" s="59">
        <f t="shared" si="1"/>
        <v>152.38124999999999</v>
      </c>
      <c r="R5" s="59">
        <f t="shared" si="1"/>
        <v>0</v>
      </c>
      <c r="S5" s="59">
        <f t="shared" si="1"/>
        <v>10.63125</v>
      </c>
      <c r="T5" s="59">
        <f t="shared" si="1"/>
        <v>177.1875</v>
      </c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58"/>
      <c r="AZ5" s="59"/>
      <c r="BA5" s="61">
        <v>0.15</v>
      </c>
      <c r="BB5" s="58">
        <f>BA5*1125*1.05</f>
        <v>177.1875</v>
      </c>
      <c r="BC5" s="58"/>
      <c r="BD5" s="59"/>
      <c r="BE5" s="60"/>
      <c r="BF5" s="60"/>
      <c r="BG5" s="60"/>
      <c r="BH5" s="60"/>
      <c r="BI5" s="60"/>
      <c r="BJ5" s="60"/>
      <c r="BK5" s="59">
        <f>BB5</f>
        <v>177.1875</v>
      </c>
      <c r="BL5" s="64">
        <v>42509</v>
      </c>
      <c r="BM5" s="60"/>
      <c r="BN5" s="60"/>
      <c r="BO5" s="59"/>
      <c r="BP5" s="59"/>
      <c r="BQ5" s="64"/>
      <c r="BR5" s="65"/>
    </row>
    <row r="6" spans="1:70" s="51" customFormat="1" ht="203.25" customHeight="1" x14ac:dyDescent="0.35">
      <c r="A6" s="41"/>
      <c r="B6" s="42"/>
      <c r="C6" s="43"/>
      <c r="D6" s="43"/>
      <c r="E6" s="27"/>
      <c r="F6" s="42"/>
      <c r="G6" s="42"/>
      <c r="H6" s="42"/>
      <c r="I6" s="42"/>
      <c r="J6" s="42"/>
      <c r="K6" s="27"/>
      <c r="L6" s="27" t="str">
        <f>BA2</f>
        <v>Строительство ВЛИ-0,4 кВ</v>
      </c>
      <c r="M6" s="27">
        <f>BA5</f>
        <v>0.15</v>
      </c>
      <c r="N6" s="7">
        <f>1125*M6*1.05</f>
        <v>177.1875</v>
      </c>
      <c r="O6" s="7"/>
      <c r="P6" s="7">
        <f>0.08*N6</f>
        <v>14.175000000000001</v>
      </c>
      <c r="Q6" s="7">
        <f>0.86*N6</f>
        <v>152.38124999999999</v>
      </c>
      <c r="R6" s="7">
        <v>0</v>
      </c>
      <c r="S6" s="7">
        <f>0.06*N6</f>
        <v>10.63125</v>
      </c>
      <c r="T6" s="7">
        <f>P6+Q6+R6+S6</f>
        <v>177.1875</v>
      </c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27"/>
      <c r="AZ6" s="45"/>
      <c r="BA6" s="46"/>
      <c r="BB6" s="27"/>
      <c r="BC6" s="27"/>
      <c r="BD6" s="45"/>
      <c r="BE6" s="44"/>
      <c r="BF6" s="44"/>
      <c r="BG6" s="44"/>
      <c r="BH6" s="44"/>
      <c r="BI6" s="44"/>
      <c r="BJ6" s="44"/>
      <c r="BK6" s="45"/>
      <c r="BL6" s="49"/>
      <c r="BM6" s="44"/>
      <c r="BN6" s="44"/>
      <c r="BO6" s="45"/>
      <c r="BP6" s="45"/>
      <c r="BQ6" s="49"/>
      <c r="BR6" s="50"/>
    </row>
    <row r="7" spans="1:70" s="66" customFormat="1" ht="216.75" customHeight="1" x14ac:dyDescent="0.25">
      <c r="A7" s="55" t="s">
        <v>52</v>
      </c>
      <c r="B7" s="56" t="s">
        <v>67</v>
      </c>
      <c r="C7" s="57">
        <v>466.1</v>
      </c>
      <c r="D7" s="57">
        <v>466.1</v>
      </c>
      <c r="E7" s="58">
        <v>12</v>
      </c>
      <c r="F7" s="56" t="s">
        <v>82</v>
      </c>
      <c r="G7" s="56" t="s">
        <v>44</v>
      </c>
      <c r="H7" s="56" t="s">
        <v>97</v>
      </c>
      <c r="I7" s="56" t="s">
        <v>117</v>
      </c>
      <c r="J7" s="56" t="s">
        <v>118</v>
      </c>
      <c r="K7" s="58" t="s">
        <v>386</v>
      </c>
      <c r="L7" s="58"/>
      <c r="M7" s="58"/>
      <c r="N7" s="59">
        <f>N8</f>
        <v>141.75</v>
      </c>
      <c r="O7" s="59"/>
      <c r="P7" s="59">
        <f t="shared" ref="P7:T7" si="2">P8</f>
        <v>11.34</v>
      </c>
      <c r="Q7" s="59">
        <f t="shared" si="2"/>
        <v>121.905</v>
      </c>
      <c r="R7" s="59">
        <f t="shared" si="2"/>
        <v>0</v>
      </c>
      <c r="S7" s="59">
        <f t="shared" si="2"/>
        <v>8.504999999999999</v>
      </c>
      <c r="T7" s="59">
        <f t="shared" si="2"/>
        <v>141.75</v>
      </c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1">
        <v>0.12</v>
      </c>
      <c r="BB7" s="58">
        <f>T8</f>
        <v>141.75</v>
      </c>
      <c r="BC7" s="58"/>
      <c r="BD7" s="60"/>
      <c r="BE7" s="60"/>
      <c r="BF7" s="60"/>
      <c r="BG7" s="60"/>
      <c r="BH7" s="60"/>
      <c r="BI7" s="60"/>
      <c r="BJ7" s="60"/>
      <c r="BK7" s="59">
        <f>BB7</f>
        <v>141.75</v>
      </c>
      <c r="BL7" s="64">
        <v>42509</v>
      </c>
      <c r="BM7" s="60"/>
      <c r="BN7" s="60"/>
      <c r="BO7" s="59"/>
      <c r="BP7" s="59"/>
      <c r="BQ7" s="64"/>
      <c r="BR7" s="65"/>
    </row>
    <row r="8" spans="1:70" s="6" customFormat="1" ht="216.75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16</v>
      </c>
      <c r="M8" s="18">
        <v>0.12</v>
      </c>
      <c r="N8" s="7">
        <f>1125*M8*1.05</f>
        <v>141.75</v>
      </c>
      <c r="O8" s="7"/>
      <c r="P8" s="7">
        <f>0.08*N8</f>
        <v>11.34</v>
      </c>
      <c r="Q8" s="7">
        <f>0.86*N8</f>
        <v>121.905</v>
      </c>
      <c r="R8" s="7"/>
      <c r="S8" s="7">
        <f>0.06*N8</f>
        <v>8.504999999999999</v>
      </c>
      <c r="T8" s="7">
        <f>P8+Q8+R8+S8</f>
        <v>141.75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18"/>
      <c r="BB8" s="18"/>
      <c r="BC8" s="4"/>
      <c r="BD8" s="5"/>
      <c r="BE8" s="5"/>
      <c r="BF8" s="5"/>
      <c r="BG8" s="5"/>
      <c r="BH8" s="5"/>
      <c r="BI8" s="5"/>
      <c r="BJ8" s="5"/>
      <c r="BK8" s="25"/>
      <c r="BL8" s="8"/>
      <c r="BM8" s="5"/>
      <c r="BN8" s="5"/>
      <c r="BO8" s="7"/>
      <c r="BP8" s="7"/>
      <c r="BQ8" s="8"/>
      <c r="BR8" s="9"/>
    </row>
    <row r="9" spans="1:70" s="78" customFormat="1" ht="409.6" customHeight="1" x14ac:dyDescent="0.25">
      <c r="A9" s="67" t="s">
        <v>60</v>
      </c>
      <c r="B9" s="68" t="s">
        <v>75</v>
      </c>
      <c r="C9" s="69">
        <v>466.1</v>
      </c>
      <c r="D9" s="69">
        <v>466.1</v>
      </c>
      <c r="E9" s="70">
        <v>12</v>
      </c>
      <c r="F9" s="68" t="s">
        <v>90</v>
      </c>
      <c r="G9" s="68" t="s">
        <v>46</v>
      </c>
      <c r="H9" s="68" t="s">
        <v>105</v>
      </c>
      <c r="I9" s="68" t="s">
        <v>127</v>
      </c>
      <c r="J9" s="68" t="s">
        <v>128</v>
      </c>
      <c r="K9" s="70" t="s">
        <v>401</v>
      </c>
      <c r="L9" s="70"/>
      <c r="M9" s="71"/>
      <c r="N9" s="72"/>
      <c r="O9" s="72"/>
      <c r="P9" s="72"/>
      <c r="Q9" s="72"/>
      <c r="R9" s="72"/>
      <c r="S9" s="72"/>
      <c r="T9" s="72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4"/>
      <c r="BB9" s="74"/>
      <c r="BC9" s="73"/>
      <c r="BD9" s="73"/>
      <c r="BE9" s="73"/>
      <c r="BF9" s="73"/>
      <c r="BG9" s="73"/>
      <c r="BH9" s="73"/>
      <c r="BI9" s="73"/>
      <c r="BJ9" s="73"/>
      <c r="BK9" s="75"/>
      <c r="BL9" s="76">
        <v>42513</v>
      </c>
      <c r="BM9" s="73" t="s">
        <v>391</v>
      </c>
      <c r="BN9" s="73"/>
      <c r="BO9" s="72"/>
      <c r="BP9" s="72"/>
      <c r="BQ9" s="76"/>
      <c r="BR9" s="77"/>
    </row>
    <row r="10" spans="1:70" s="78" customFormat="1" ht="201.75" customHeight="1" x14ac:dyDescent="0.25">
      <c r="A10" s="67" t="s">
        <v>134</v>
      </c>
      <c r="B10" s="68" t="s">
        <v>172</v>
      </c>
      <c r="C10" s="69">
        <v>466.1</v>
      </c>
      <c r="D10" s="69">
        <v>466.1</v>
      </c>
      <c r="E10" s="70">
        <v>15</v>
      </c>
      <c r="F10" s="68" t="s">
        <v>210</v>
      </c>
      <c r="G10" s="68" t="s">
        <v>46</v>
      </c>
      <c r="H10" s="68" t="s">
        <v>250</v>
      </c>
      <c r="I10" s="68" t="s">
        <v>288</v>
      </c>
      <c r="J10" s="68" t="s">
        <v>312</v>
      </c>
      <c r="K10" s="70" t="s">
        <v>402</v>
      </c>
      <c r="L10" s="70"/>
      <c r="M10" s="70"/>
      <c r="N10" s="72">
        <f>N11</f>
        <v>47.25</v>
      </c>
      <c r="O10" s="72">
        <f t="shared" ref="O10:S10" si="3">O11</f>
        <v>0</v>
      </c>
      <c r="P10" s="72">
        <f t="shared" si="3"/>
        <v>3.7800000000000002</v>
      </c>
      <c r="Q10" s="72">
        <f t="shared" si="3"/>
        <v>40.635000000000005</v>
      </c>
      <c r="R10" s="72">
        <f t="shared" si="3"/>
        <v>0</v>
      </c>
      <c r="S10" s="72">
        <f t="shared" si="3"/>
        <v>2.835</v>
      </c>
      <c r="T10" s="72">
        <f>P10+Q10+R10+S10</f>
        <v>47.250000000000007</v>
      </c>
      <c r="U10" s="73"/>
      <c r="V10" s="73"/>
      <c r="W10" s="73"/>
      <c r="X10" s="73"/>
      <c r="Y10" s="73"/>
      <c r="Z10" s="73"/>
      <c r="AA10" s="73"/>
      <c r="AB10" s="73"/>
      <c r="AC10" s="71"/>
      <c r="AD10" s="79"/>
      <c r="AE10" s="70"/>
      <c r="AF10" s="73"/>
      <c r="AG10" s="73"/>
      <c r="AH10" s="73"/>
      <c r="AI10" s="71"/>
      <c r="AJ10" s="79"/>
      <c r="AK10" s="70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4" t="s">
        <v>403</v>
      </c>
      <c r="BB10" s="74">
        <f>0.04*1125*1.05</f>
        <v>47.25</v>
      </c>
      <c r="BC10" s="73"/>
      <c r="BD10" s="73"/>
      <c r="BE10" s="70"/>
      <c r="BF10" s="72"/>
      <c r="BG10" s="72"/>
      <c r="BH10" s="73"/>
      <c r="BI10" s="73"/>
      <c r="BJ10" s="73"/>
      <c r="BK10" s="75">
        <f>BB10</f>
        <v>47.25</v>
      </c>
      <c r="BL10" s="76">
        <v>42516</v>
      </c>
      <c r="BM10" s="73"/>
      <c r="BN10" s="73"/>
      <c r="BO10" s="72"/>
      <c r="BP10" s="72"/>
      <c r="BQ10" s="76"/>
      <c r="BR10" s="77"/>
    </row>
    <row r="11" spans="1:70" s="51" customFormat="1" ht="284.10000000000002" customHeight="1" x14ac:dyDescent="0.35">
      <c r="A11" s="41"/>
      <c r="B11" s="42"/>
      <c r="C11" s="43"/>
      <c r="D11" s="43"/>
      <c r="E11" s="27"/>
      <c r="F11" s="42"/>
      <c r="G11" s="42"/>
      <c r="H11" s="42"/>
      <c r="I11" s="42"/>
      <c r="J11" s="42"/>
      <c r="K11" s="27"/>
      <c r="L11" s="44" t="str">
        <f>BA2</f>
        <v>Строительство ВЛИ-0,4 кВ</v>
      </c>
      <c r="M11" s="53" t="str">
        <f>BA10</f>
        <v>0,04 км с применением повышенных опор для обеспечения  перехода через автомобильную дорогу</v>
      </c>
      <c r="N11" s="7">
        <f>0.04*1125*1.05</f>
        <v>47.25</v>
      </c>
      <c r="O11" s="7"/>
      <c r="P11" s="7">
        <f>0.04*0.08*1125*1.05</f>
        <v>3.7800000000000002</v>
      </c>
      <c r="Q11" s="7">
        <f>0.04*1125*0.86*1.05</f>
        <v>40.635000000000005</v>
      </c>
      <c r="R11" s="7">
        <v>0</v>
      </c>
      <c r="S11" s="7">
        <f>0.04*1125*0.06*1.05</f>
        <v>2.835</v>
      </c>
      <c r="T11" s="7">
        <f>P11+Q11+R11+S11</f>
        <v>47.250000000000007</v>
      </c>
      <c r="U11" s="44"/>
      <c r="V11" s="44"/>
      <c r="W11" s="44"/>
      <c r="X11" s="44"/>
      <c r="Y11" s="44"/>
      <c r="Z11" s="44"/>
      <c r="AA11" s="44"/>
      <c r="AB11" s="44"/>
      <c r="AC11" s="46"/>
      <c r="AD11" s="52"/>
      <c r="AE11" s="27"/>
      <c r="AF11" s="44"/>
      <c r="AG11" s="44"/>
      <c r="AH11" s="44"/>
      <c r="AI11" s="46"/>
      <c r="AJ11" s="52"/>
      <c r="AK11" s="27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53"/>
      <c r="BB11" s="53"/>
      <c r="BC11" s="44"/>
      <c r="BD11" s="44"/>
      <c r="BE11" s="27"/>
      <c r="BF11" s="45"/>
      <c r="BG11" s="45"/>
      <c r="BH11" s="44"/>
      <c r="BI11" s="44"/>
      <c r="BJ11" s="44"/>
      <c r="BK11" s="54"/>
      <c r="BL11" s="49"/>
      <c r="BM11" s="44"/>
      <c r="BN11" s="44"/>
      <c r="BO11" s="45"/>
      <c r="BP11" s="45"/>
      <c r="BQ11" s="49"/>
      <c r="BR11" s="50"/>
    </row>
    <row r="12" spans="1:70" s="78" customFormat="1" ht="201.75" customHeight="1" x14ac:dyDescent="0.25">
      <c r="A12" s="67" t="s">
        <v>58</v>
      </c>
      <c r="B12" s="68" t="s">
        <v>73</v>
      </c>
      <c r="C12" s="69">
        <v>466.1</v>
      </c>
      <c r="D12" s="69">
        <v>466.1</v>
      </c>
      <c r="E12" s="70">
        <v>15</v>
      </c>
      <c r="F12" s="68" t="s">
        <v>88</v>
      </c>
      <c r="G12" s="68" t="s">
        <v>46</v>
      </c>
      <c r="H12" s="68" t="s">
        <v>103</v>
      </c>
      <c r="I12" s="68" t="s">
        <v>48</v>
      </c>
      <c r="J12" s="68" t="s">
        <v>125</v>
      </c>
      <c r="K12" s="70"/>
      <c r="L12" s="70"/>
      <c r="M12" s="71"/>
      <c r="N12" s="72"/>
      <c r="O12" s="72"/>
      <c r="P12" s="72"/>
      <c r="Q12" s="72"/>
      <c r="R12" s="72"/>
      <c r="S12" s="72"/>
      <c r="T12" s="72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4"/>
      <c r="BB12" s="74"/>
      <c r="BC12" s="73"/>
      <c r="BD12" s="73"/>
      <c r="BE12" s="70"/>
      <c r="BF12" s="72"/>
      <c r="BG12" s="72"/>
      <c r="BH12" s="73"/>
      <c r="BI12" s="73"/>
      <c r="BJ12" s="73"/>
      <c r="BK12" s="75"/>
      <c r="BL12" s="76">
        <v>42510</v>
      </c>
      <c r="BM12" s="73" t="s">
        <v>389</v>
      </c>
      <c r="BN12" s="73"/>
      <c r="BO12" s="72"/>
      <c r="BP12" s="72"/>
      <c r="BQ12" s="76"/>
      <c r="BR12" s="77"/>
    </row>
    <row r="13" spans="1:70" s="66" customFormat="1" ht="201.75" customHeight="1" x14ac:dyDescent="0.25">
      <c r="A13" s="55" t="s">
        <v>135</v>
      </c>
      <c r="B13" s="56" t="s">
        <v>173</v>
      </c>
      <c r="C13" s="57">
        <v>466.1</v>
      </c>
      <c r="D13" s="57">
        <v>466.1</v>
      </c>
      <c r="E13" s="58">
        <v>15</v>
      </c>
      <c r="F13" s="56" t="s">
        <v>211</v>
      </c>
      <c r="G13" s="56" t="s">
        <v>111</v>
      </c>
      <c r="H13" s="56" t="s">
        <v>251</v>
      </c>
      <c r="I13" s="56" t="s">
        <v>48</v>
      </c>
      <c r="J13" s="56" t="s">
        <v>313</v>
      </c>
      <c r="K13" s="58" t="s">
        <v>395</v>
      </c>
      <c r="L13" s="58"/>
      <c r="M13" s="58"/>
      <c r="N13" s="59">
        <f>N14</f>
        <v>43.36</v>
      </c>
      <c r="O13" s="59">
        <f t="shared" ref="O13:T13" si="4">O14</f>
        <v>0</v>
      </c>
      <c r="P13" s="59">
        <f t="shared" si="4"/>
        <v>3.4687999999999999</v>
      </c>
      <c r="Q13" s="59">
        <f t="shared" si="4"/>
        <v>39.024000000000001</v>
      </c>
      <c r="R13" s="59"/>
      <c r="S13" s="59">
        <f t="shared" si="4"/>
        <v>0.86719999999999997</v>
      </c>
      <c r="T13" s="59">
        <f t="shared" si="4"/>
        <v>43.36</v>
      </c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80"/>
      <c r="BB13" s="80"/>
      <c r="BC13" s="60"/>
      <c r="BD13" s="60"/>
      <c r="BE13" s="58"/>
      <c r="BF13" s="59"/>
      <c r="BG13" s="58">
        <v>0.16</v>
      </c>
      <c r="BH13" s="58">
        <f>T14</f>
        <v>43.36</v>
      </c>
      <c r="BI13" s="58"/>
      <c r="BJ13" s="60"/>
      <c r="BK13" s="81">
        <f>BH13</f>
        <v>43.36</v>
      </c>
      <c r="BL13" s="64">
        <v>42520</v>
      </c>
      <c r="BM13" s="60"/>
      <c r="BN13" s="60"/>
      <c r="BO13" s="59"/>
      <c r="BP13" s="59"/>
      <c r="BQ13" s="64"/>
      <c r="BR13" s="65"/>
    </row>
    <row r="14" spans="1:70" s="6" customFormat="1" ht="201.7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396</v>
      </c>
      <c r="M14" s="4">
        <f>BG13</f>
        <v>0.16</v>
      </c>
      <c r="N14" s="7">
        <f>135.5*2*M14</f>
        <v>43.36</v>
      </c>
      <c r="O14" s="7"/>
      <c r="P14" s="7">
        <f>0.08*N14</f>
        <v>3.4687999999999999</v>
      </c>
      <c r="Q14" s="7">
        <f>0.9*N14</f>
        <v>39.024000000000001</v>
      </c>
      <c r="R14" s="7"/>
      <c r="S14" s="7">
        <f>0.02*N14</f>
        <v>0.86719999999999997</v>
      </c>
      <c r="T14" s="7">
        <f>P14+Q14+R14+S14</f>
        <v>43.36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39"/>
      <c r="BB14" s="39"/>
      <c r="BC14" s="5"/>
      <c r="BD14" s="5"/>
      <c r="BE14" s="4"/>
      <c r="BF14" s="7"/>
      <c r="BG14" s="7"/>
      <c r="BH14" s="5"/>
      <c r="BI14" s="5"/>
      <c r="BJ14" s="5"/>
      <c r="BK14" s="25"/>
      <c r="BL14" s="8"/>
      <c r="BM14" s="5"/>
      <c r="BN14" s="5"/>
      <c r="BO14" s="7"/>
      <c r="BP14" s="7"/>
      <c r="BQ14" s="8"/>
      <c r="BR14" s="9"/>
    </row>
    <row r="15" spans="1:70" s="78" customFormat="1" ht="222" customHeight="1" x14ac:dyDescent="0.25">
      <c r="A15" s="67" t="s">
        <v>136</v>
      </c>
      <c r="B15" s="68" t="s">
        <v>174</v>
      </c>
      <c r="C15" s="69">
        <v>466.1</v>
      </c>
      <c r="D15" s="69">
        <v>466.1</v>
      </c>
      <c r="E15" s="70">
        <v>12</v>
      </c>
      <c r="F15" s="68" t="s">
        <v>212</v>
      </c>
      <c r="G15" s="68" t="s">
        <v>46</v>
      </c>
      <c r="H15" s="68" t="s">
        <v>252</v>
      </c>
      <c r="I15" s="68" t="s">
        <v>404</v>
      </c>
      <c r="J15" s="68" t="s">
        <v>314</v>
      </c>
      <c r="K15" s="70" t="s">
        <v>405</v>
      </c>
      <c r="L15" s="70"/>
      <c r="M15" s="70"/>
      <c r="N15" s="72">
        <f>N16+N17+N18</f>
        <v>595.92999999999995</v>
      </c>
      <c r="O15" s="72"/>
      <c r="P15" s="72">
        <f>P16+P17+P18</f>
        <v>14.989999999999998</v>
      </c>
      <c r="Q15" s="72">
        <f>Q16+Q17+Q18</f>
        <v>84.02</v>
      </c>
      <c r="R15" s="72">
        <f>R16+R18</f>
        <v>491.70528000000002</v>
      </c>
      <c r="S15" s="72">
        <f>S16+S17+S18</f>
        <v>5.21</v>
      </c>
      <c r="T15" s="72">
        <f>T16+T17+T18</f>
        <v>595.92528000000004</v>
      </c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 t="s">
        <v>408</v>
      </c>
      <c r="AR15" s="73">
        <f>T16+T17</f>
        <v>583.42528000000004</v>
      </c>
      <c r="AS15" s="73">
        <v>1</v>
      </c>
      <c r="AT15" s="73">
        <v>12.5</v>
      </c>
      <c r="AU15" s="73"/>
      <c r="AV15" s="73"/>
      <c r="AW15" s="73"/>
      <c r="AX15" s="73"/>
      <c r="AY15" s="73"/>
      <c r="AZ15" s="73"/>
      <c r="BA15" s="71"/>
      <c r="BB15" s="70"/>
      <c r="BC15" s="70"/>
      <c r="BD15" s="70"/>
      <c r="BE15" s="70"/>
      <c r="BF15" s="72"/>
      <c r="BG15" s="70"/>
      <c r="BH15" s="70"/>
      <c r="BI15" s="72"/>
      <c r="BJ15" s="73"/>
      <c r="BK15" s="75">
        <f>AR15+AT15</f>
        <v>595.92528000000004</v>
      </c>
      <c r="BL15" s="76">
        <v>42322</v>
      </c>
      <c r="BM15" s="73" t="s">
        <v>409</v>
      </c>
      <c r="BN15" s="73"/>
      <c r="BO15" s="72"/>
      <c r="BP15" s="72"/>
      <c r="BQ15" s="76"/>
      <c r="BR15" s="77"/>
    </row>
    <row r="16" spans="1:70" s="51" customFormat="1" ht="222" customHeight="1" x14ac:dyDescent="0.25">
      <c r="A16" s="41"/>
      <c r="B16" s="42"/>
      <c r="C16" s="43"/>
      <c r="D16" s="43"/>
      <c r="E16" s="27"/>
      <c r="F16" s="42"/>
      <c r="G16" s="42"/>
      <c r="H16" s="42"/>
      <c r="I16" s="42"/>
      <c r="J16" s="42"/>
      <c r="K16" s="27"/>
      <c r="L16" s="27" t="str">
        <f>AQ2</f>
        <v>Монтаж ТП 10 (6)/0,4 кВ</v>
      </c>
      <c r="M16" s="44" t="s">
        <v>439</v>
      </c>
      <c r="N16" s="45">
        <v>551.30999999999995</v>
      </c>
      <c r="O16" s="45"/>
      <c r="P16" s="45">
        <v>11.86</v>
      </c>
      <c r="Q16" s="45">
        <v>52.75</v>
      </c>
      <c r="R16" s="45">
        <f>449.24*1.072</f>
        <v>481.58528000000001</v>
      </c>
      <c r="S16" s="45">
        <v>5.1100000000000003</v>
      </c>
      <c r="T16" s="45">
        <f>SUM(P16:S16)</f>
        <v>551.30528000000004</v>
      </c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6"/>
      <c r="BB16" s="46"/>
      <c r="BC16" s="27"/>
      <c r="BD16" s="27"/>
      <c r="BE16" s="27"/>
      <c r="BF16" s="45"/>
      <c r="BG16" s="27"/>
      <c r="BH16" s="27"/>
      <c r="BI16" s="45"/>
      <c r="BJ16" s="44"/>
      <c r="BK16" s="54"/>
      <c r="BL16" s="49"/>
      <c r="BM16" s="44"/>
      <c r="BN16" s="44"/>
      <c r="BO16" s="45"/>
      <c r="BP16" s="45"/>
      <c r="BQ16" s="49"/>
      <c r="BR16" s="50"/>
    </row>
    <row r="17" spans="1:70" s="51" customFormat="1" ht="222" customHeight="1" x14ac:dyDescent="0.25">
      <c r="A17" s="41"/>
      <c r="B17" s="42"/>
      <c r="C17" s="43"/>
      <c r="D17" s="43"/>
      <c r="E17" s="27"/>
      <c r="F17" s="42"/>
      <c r="G17" s="42"/>
      <c r="H17" s="42"/>
      <c r="I17" s="42"/>
      <c r="J17" s="42"/>
      <c r="K17" s="27"/>
      <c r="L17" s="27"/>
      <c r="M17" s="44" t="s">
        <v>438</v>
      </c>
      <c r="N17" s="45">
        <v>32.119999999999997</v>
      </c>
      <c r="O17" s="45"/>
      <c r="P17" s="45">
        <v>2.38</v>
      </c>
      <c r="Q17" s="45">
        <v>29.74</v>
      </c>
      <c r="R17" s="45" t="s">
        <v>440</v>
      </c>
      <c r="S17" s="45">
        <v>0</v>
      </c>
      <c r="T17" s="45">
        <f>P17+Q17+S17</f>
        <v>32.119999999999997</v>
      </c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6"/>
      <c r="BB17" s="46"/>
      <c r="BC17" s="27"/>
      <c r="BD17" s="27"/>
      <c r="BE17" s="27"/>
      <c r="BF17" s="45"/>
      <c r="BG17" s="27"/>
      <c r="BH17" s="27"/>
      <c r="BI17" s="45"/>
      <c r="BJ17" s="44"/>
      <c r="BK17" s="54"/>
      <c r="BL17" s="49"/>
      <c r="BM17" s="44"/>
      <c r="BN17" s="44"/>
      <c r="BO17" s="45"/>
      <c r="BP17" s="45"/>
      <c r="BQ17" s="49"/>
      <c r="BR17" s="50"/>
    </row>
    <row r="18" spans="1:70" s="51" customFormat="1" ht="222" customHeight="1" x14ac:dyDescent="0.25">
      <c r="A18" s="41"/>
      <c r="B18" s="42"/>
      <c r="C18" s="43"/>
      <c r="D18" s="43"/>
      <c r="E18" s="27"/>
      <c r="F18" s="42"/>
      <c r="G18" s="42"/>
      <c r="H18" s="42"/>
      <c r="I18" s="42"/>
      <c r="J18" s="42"/>
      <c r="K18" s="27"/>
      <c r="L18" s="27" t="str">
        <f>AS2</f>
        <v>Монтаж учёта в ТП 10 (6)/0,4 кВ</v>
      </c>
      <c r="M18" s="44">
        <f>AS15</f>
        <v>1</v>
      </c>
      <c r="N18" s="12">
        <v>12.5</v>
      </c>
      <c r="O18" s="12"/>
      <c r="P18" s="12">
        <v>0.75</v>
      </c>
      <c r="Q18" s="12">
        <v>1.53</v>
      </c>
      <c r="R18" s="12">
        <v>10.119999999999999</v>
      </c>
      <c r="S18" s="12">
        <v>0.1</v>
      </c>
      <c r="T18" s="12">
        <f t="shared" ref="T18" si="5">P18+Q18+R18+S18</f>
        <v>12.499999999999998</v>
      </c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6"/>
      <c r="BB18" s="46"/>
      <c r="BC18" s="27"/>
      <c r="BD18" s="27"/>
      <c r="BE18" s="27"/>
      <c r="BF18" s="45"/>
      <c r="BG18" s="27"/>
      <c r="BH18" s="27"/>
      <c r="BI18" s="45"/>
      <c r="BJ18" s="44"/>
      <c r="BK18" s="54"/>
      <c r="BL18" s="49"/>
      <c r="BM18" s="44"/>
      <c r="BN18" s="44"/>
      <c r="BO18" s="45"/>
      <c r="BP18" s="45"/>
      <c r="BQ18" s="49"/>
      <c r="BR18" s="50"/>
    </row>
    <row r="19" spans="1:70" s="78" customFormat="1" ht="409.5" customHeight="1" x14ac:dyDescent="0.25">
      <c r="A19" s="67" t="s">
        <v>56</v>
      </c>
      <c r="B19" s="68" t="s">
        <v>71</v>
      </c>
      <c r="C19" s="69">
        <v>466.1</v>
      </c>
      <c r="D19" s="69">
        <v>466.1</v>
      </c>
      <c r="E19" s="70">
        <v>15</v>
      </c>
      <c r="F19" s="68" t="s">
        <v>86</v>
      </c>
      <c r="G19" s="68" t="s">
        <v>46</v>
      </c>
      <c r="H19" s="68" t="s">
        <v>101</v>
      </c>
      <c r="I19" s="68" t="s">
        <v>122</v>
      </c>
      <c r="J19" s="68" t="s">
        <v>49</v>
      </c>
      <c r="K19" s="70" t="s">
        <v>406</v>
      </c>
      <c r="L19" s="70"/>
      <c r="M19" s="70"/>
      <c r="N19" s="72"/>
      <c r="O19" s="72"/>
      <c r="P19" s="72"/>
      <c r="Q19" s="72"/>
      <c r="R19" s="72"/>
      <c r="S19" s="72"/>
      <c r="T19" s="72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1"/>
      <c r="BB19" s="75"/>
      <c r="BC19" s="72"/>
      <c r="BD19" s="70"/>
      <c r="BE19" s="70"/>
      <c r="BF19" s="72"/>
      <c r="BG19" s="70"/>
      <c r="BH19" s="70"/>
      <c r="BI19" s="72"/>
      <c r="BJ19" s="73"/>
      <c r="BK19" s="75"/>
      <c r="BL19" s="76">
        <v>42507</v>
      </c>
      <c r="BM19" s="73" t="s">
        <v>410</v>
      </c>
      <c r="BN19" s="73"/>
      <c r="BO19" s="72"/>
      <c r="BP19" s="72"/>
      <c r="BQ19" s="76"/>
      <c r="BR19" s="77"/>
    </row>
    <row r="20" spans="1:70" s="78" customFormat="1" ht="282" customHeight="1" x14ac:dyDescent="0.25">
      <c r="A20" s="67" t="s">
        <v>63</v>
      </c>
      <c r="B20" s="68" t="s">
        <v>78</v>
      </c>
      <c r="C20" s="69">
        <v>466.1</v>
      </c>
      <c r="D20" s="69">
        <v>466.1</v>
      </c>
      <c r="E20" s="70">
        <v>9</v>
      </c>
      <c r="F20" s="68" t="s">
        <v>93</v>
      </c>
      <c r="G20" s="68" t="s">
        <v>46</v>
      </c>
      <c r="H20" s="68" t="s">
        <v>108</v>
      </c>
      <c r="I20" s="68" t="s">
        <v>48</v>
      </c>
      <c r="J20" s="68" t="s">
        <v>132</v>
      </c>
      <c r="K20" s="70" t="s">
        <v>407</v>
      </c>
      <c r="L20" s="70"/>
      <c r="M20" s="70"/>
      <c r="N20" s="72"/>
      <c r="O20" s="72"/>
      <c r="P20" s="72"/>
      <c r="Q20" s="72"/>
      <c r="R20" s="72"/>
      <c r="S20" s="72"/>
      <c r="T20" s="72"/>
      <c r="U20" s="73"/>
      <c r="V20" s="73"/>
      <c r="W20" s="73"/>
      <c r="X20" s="73"/>
      <c r="Y20" s="73"/>
      <c r="Z20" s="73"/>
      <c r="AA20" s="73"/>
      <c r="AB20" s="73"/>
      <c r="AC20" s="71"/>
      <c r="AD20" s="79"/>
      <c r="AE20" s="70"/>
      <c r="AF20" s="73"/>
      <c r="AG20" s="73"/>
      <c r="AH20" s="73"/>
      <c r="AI20" s="71"/>
      <c r="AJ20" s="79"/>
      <c r="AK20" s="70"/>
      <c r="AL20" s="73"/>
      <c r="AM20" s="73"/>
      <c r="AN20" s="73"/>
      <c r="AO20" s="73"/>
      <c r="AP20" s="73"/>
      <c r="AQ20" s="71"/>
      <c r="AR20" s="82"/>
      <c r="AS20" s="71"/>
      <c r="AT20" s="72"/>
      <c r="AU20" s="73"/>
      <c r="AV20" s="73"/>
      <c r="AW20" s="73"/>
      <c r="AX20" s="73"/>
      <c r="AY20" s="73"/>
      <c r="AZ20" s="73"/>
      <c r="BA20" s="71"/>
      <c r="BB20" s="72"/>
      <c r="BC20" s="70"/>
      <c r="BD20" s="70"/>
      <c r="BE20" s="70"/>
      <c r="BF20" s="72"/>
      <c r="BG20" s="70"/>
      <c r="BH20" s="70"/>
      <c r="BI20" s="72"/>
      <c r="BJ20" s="73"/>
      <c r="BK20" s="72"/>
      <c r="BL20" s="76">
        <v>42513</v>
      </c>
      <c r="BM20" s="73" t="s">
        <v>373</v>
      </c>
      <c r="BN20" s="73"/>
      <c r="BO20" s="72"/>
      <c r="BP20" s="72"/>
      <c r="BQ20" s="76"/>
      <c r="BR20" s="77"/>
    </row>
    <row r="21" spans="1:70" s="66" customFormat="1" ht="249.75" customHeight="1" x14ac:dyDescent="0.25">
      <c r="A21" s="55" t="s">
        <v>137</v>
      </c>
      <c r="B21" s="56" t="s">
        <v>175</v>
      </c>
      <c r="C21" s="57">
        <v>466.1</v>
      </c>
      <c r="D21" s="57">
        <v>466.1</v>
      </c>
      <c r="E21" s="58">
        <v>12</v>
      </c>
      <c r="F21" s="56" t="s">
        <v>213</v>
      </c>
      <c r="G21" s="56" t="s">
        <v>46</v>
      </c>
      <c r="H21" s="56" t="s">
        <v>253</v>
      </c>
      <c r="I21" s="56" t="s">
        <v>289</v>
      </c>
      <c r="J21" s="56" t="s">
        <v>315</v>
      </c>
      <c r="K21" s="58" t="s">
        <v>411</v>
      </c>
      <c r="L21" s="58"/>
      <c r="M21" s="61"/>
      <c r="N21" s="59">
        <f>N22</f>
        <v>413.4375</v>
      </c>
      <c r="O21" s="59"/>
      <c r="P21" s="59">
        <f>P22</f>
        <v>33.075000000000003</v>
      </c>
      <c r="Q21" s="59">
        <f t="shared" ref="Q21:S21" si="6">Q22</f>
        <v>355.55624999999998</v>
      </c>
      <c r="R21" s="59">
        <f t="shared" si="6"/>
        <v>0</v>
      </c>
      <c r="S21" s="59">
        <f t="shared" si="6"/>
        <v>24.806249999999999</v>
      </c>
      <c r="T21" s="59">
        <f>P21+Q21+R21+S21</f>
        <v>413.43749999999994</v>
      </c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 t="s">
        <v>413</v>
      </c>
      <c r="AH21" s="60">
        <v>0</v>
      </c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1" t="s">
        <v>412</v>
      </c>
      <c r="BB21" s="81">
        <f>0.35*1125*1.05</f>
        <v>413.4375</v>
      </c>
      <c r="BC21" s="59"/>
      <c r="BD21" s="58"/>
      <c r="BE21" s="58"/>
      <c r="BF21" s="59"/>
      <c r="BG21" s="58"/>
      <c r="BH21" s="58"/>
      <c r="BI21" s="59"/>
      <c r="BJ21" s="60"/>
      <c r="BK21" s="59">
        <f>BB21</f>
        <v>413.4375</v>
      </c>
      <c r="BL21" s="64">
        <v>42514</v>
      </c>
      <c r="BM21" s="60"/>
      <c r="BN21" s="60"/>
      <c r="BO21" s="59"/>
      <c r="BP21" s="59"/>
      <c r="BQ21" s="64"/>
      <c r="BR21" s="65"/>
    </row>
    <row r="22" spans="1:70" s="51" customFormat="1" ht="249.75" customHeight="1" x14ac:dyDescent="0.25">
      <c r="A22" s="41"/>
      <c r="B22" s="42"/>
      <c r="C22" s="43"/>
      <c r="D22" s="43"/>
      <c r="E22" s="27"/>
      <c r="F22" s="42"/>
      <c r="G22" s="42"/>
      <c r="H22" s="42"/>
      <c r="I22" s="42"/>
      <c r="J22" s="42"/>
      <c r="K22" s="27"/>
      <c r="L22" s="27" t="str">
        <f>AG2</f>
        <v xml:space="preserve">Реконструкция ВЛ-10 (6) кВ </v>
      </c>
      <c r="M22" s="122" t="s">
        <v>441</v>
      </c>
      <c r="N22" s="120">
        <f>0.35*1125*1.05</f>
        <v>413.4375</v>
      </c>
      <c r="O22" s="120"/>
      <c r="P22" s="118">
        <f t="shared" ref="P22" si="7">0.08*N22</f>
        <v>33.075000000000003</v>
      </c>
      <c r="Q22" s="118">
        <f t="shared" ref="Q22" si="8">0.86*N22</f>
        <v>355.55624999999998</v>
      </c>
      <c r="R22" s="118"/>
      <c r="S22" s="118">
        <f t="shared" ref="S22" si="9">0.06*N22</f>
        <v>24.806249999999999</v>
      </c>
      <c r="T22" s="118">
        <f t="shared" ref="T22" si="10">P22+Q22+R22+S22</f>
        <v>413.43749999999994</v>
      </c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6"/>
      <c r="BB22" s="54"/>
      <c r="BC22" s="45"/>
      <c r="BD22" s="27"/>
      <c r="BE22" s="27"/>
      <c r="BF22" s="45"/>
      <c r="BG22" s="27"/>
      <c r="BH22" s="27"/>
      <c r="BI22" s="45"/>
      <c r="BJ22" s="44"/>
      <c r="BK22" s="45"/>
      <c r="BL22" s="49"/>
      <c r="BM22" s="44"/>
      <c r="BN22" s="44"/>
      <c r="BO22" s="45"/>
      <c r="BP22" s="45"/>
      <c r="BQ22" s="49"/>
      <c r="BR22" s="50"/>
    </row>
    <row r="23" spans="1:70" s="51" customFormat="1" ht="249.75" customHeight="1" x14ac:dyDescent="0.25">
      <c r="A23" s="41"/>
      <c r="B23" s="42"/>
      <c r="C23" s="43"/>
      <c r="D23" s="43"/>
      <c r="E23" s="27"/>
      <c r="F23" s="42"/>
      <c r="G23" s="42"/>
      <c r="H23" s="42"/>
      <c r="I23" s="42"/>
      <c r="J23" s="42"/>
      <c r="K23" s="27"/>
      <c r="L23" s="27" t="str">
        <f>BA2</f>
        <v>Строительство ВЛИ-0,4 кВ</v>
      </c>
      <c r="M23" s="123"/>
      <c r="N23" s="121"/>
      <c r="O23" s="121"/>
      <c r="P23" s="119"/>
      <c r="Q23" s="119"/>
      <c r="R23" s="119"/>
      <c r="S23" s="119"/>
      <c r="T23" s="119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6"/>
      <c r="BB23" s="54"/>
      <c r="BC23" s="45"/>
      <c r="BD23" s="27"/>
      <c r="BE23" s="27"/>
      <c r="BF23" s="45"/>
      <c r="BG23" s="27"/>
      <c r="BH23" s="27"/>
      <c r="BI23" s="45"/>
      <c r="BJ23" s="44"/>
      <c r="BK23" s="45"/>
      <c r="BL23" s="49"/>
      <c r="BM23" s="44"/>
      <c r="BN23" s="44"/>
      <c r="BO23" s="45"/>
      <c r="BP23" s="45"/>
      <c r="BQ23" s="49"/>
      <c r="BR23" s="50"/>
    </row>
    <row r="24" spans="1:70" s="66" customFormat="1" ht="207" customHeight="1" x14ac:dyDescent="0.25">
      <c r="A24" s="55" t="s">
        <v>138</v>
      </c>
      <c r="B24" s="56" t="s">
        <v>176</v>
      </c>
      <c r="C24" s="57">
        <v>466.1</v>
      </c>
      <c r="D24" s="57"/>
      <c r="E24" s="58">
        <v>15</v>
      </c>
      <c r="F24" s="56" t="s">
        <v>214</v>
      </c>
      <c r="G24" s="56" t="s">
        <v>43</v>
      </c>
      <c r="H24" s="56" t="s">
        <v>254</v>
      </c>
      <c r="I24" s="56" t="s">
        <v>290</v>
      </c>
      <c r="J24" s="56" t="s">
        <v>316</v>
      </c>
      <c r="K24" s="58" t="s">
        <v>370</v>
      </c>
      <c r="L24" s="58"/>
      <c r="M24" s="58"/>
      <c r="N24" s="59">
        <f>N25</f>
        <v>259.875</v>
      </c>
      <c r="O24" s="59">
        <f t="shared" ref="O24:T24" si="11">O25</f>
        <v>0</v>
      </c>
      <c r="P24" s="59">
        <f t="shared" si="11"/>
        <v>20.79</v>
      </c>
      <c r="Q24" s="59">
        <f t="shared" si="11"/>
        <v>223.49250000000001</v>
      </c>
      <c r="R24" s="59"/>
      <c r="S24" s="59">
        <f t="shared" si="11"/>
        <v>15.592499999999999</v>
      </c>
      <c r="T24" s="59">
        <f t="shared" si="11"/>
        <v>259.875</v>
      </c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1">
        <v>0.22</v>
      </c>
      <c r="BB24" s="58">
        <f>T25</f>
        <v>259.875</v>
      </c>
      <c r="BC24" s="58"/>
      <c r="BD24" s="58"/>
      <c r="BE24" s="58"/>
      <c r="BF24" s="59"/>
      <c r="BG24" s="58"/>
      <c r="BH24" s="58"/>
      <c r="BI24" s="59"/>
      <c r="BJ24" s="60"/>
      <c r="BK24" s="59">
        <f>BB24</f>
        <v>259.875</v>
      </c>
      <c r="BL24" s="64">
        <v>42524</v>
      </c>
      <c r="BM24" s="60"/>
      <c r="BN24" s="60"/>
      <c r="BO24" s="59"/>
      <c r="BP24" s="59"/>
      <c r="BQ24" s="64"/>
      <c r="BR24" s="65"/>
    </row>
    <row r="25" spans="1:70" s="6" customFormat="1" ht="207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16</v>
      </c>
      <c r="M25" s="4">
        <f>BA24</f>
        <v>0.22</v>
      </c>
      <c r="N25" s="7">
        <f>1125*M25*1.05</f>
        <v>259.875</v>
      </c>
      <c r="O25" s="7"/>
      <c r="P25" s="7">
        <f>0.08*N25</f>
        <v>20.79</v>
      </c>
      <c r="Q25" s="7">
        <f>0.86*N25</f>
        <v>223.49250000000001</v>
      </c>
      <c r="R25" s="7"/>
      <c r="S25" s="7">
        <f>0.06*N25</f>
        <v>15.592499999999999</v>
      </c>
      <c r="T25" s="7">
        <f>P25+Q25+R25+S25</f>
        <v>259.875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18"/>
      <c r="BB25" s="25"/>
      <c r="BC25" s="7"/>
      <c r="BD25" s="4"/>
      <c r="BE25" s="4"/>
      <c r="BF25" s="7"/>
      <c r="BG25" s="4"/>
      <c r="BH25" s="4"/>
      <c r="BI25" s="7"/>
      <c r="BJ25" s="5"/>
      <c r="BK25" s="7"/>
      <c r="BL25" s="8"/>
      <c r="BM25" s="5"/>
      <c r="BN25" s="5"/>
      <c r="BO25" s="7"/>
      <c r="BP25" s="7"/>
      <c r="BQ25" s="8"/>
      <c r="BR25" s="9"/>
    </row>
    <row r="26" spans="1:70" s="66" customFormat="1" ht="192" customHeight="1" x14ac:dyDescent="0.25">
      <c r="A26" s="55" t="s">
        <v>139</v>
      </c>
      <c r="B26" s="56" t="s">
        <v>177</v>
      </c>
      <c r="C26" s="57">
        <v>466.1</v>
      </c>
      <c r="D26" s="57"/>
      <c r="E26" s="58">
        <v>4</v>
      </c>
      <c r="F26" s="56" t="s">
        <v>215</v>
      </c>
      <c r="G26" s="56" t="s">
        <v>43</v>
      </c>
      <c r="H26" s="56" t="s">
        <v>255</v>
      </c>
      <c r="I26" s="56" t="s">
        <v>291</v>
      </c>
      <c r="J26" s="56" t="s">
        <v>317</v>
      </c>
      <c r="K26" s="83" t="s">
        <v>353</v>
      </c>
      <c r="L26" s="83"/>
      <c r="M26" s="83"/>
      <c r="N26" s="84">
        <f>N27+N28</f>
        <v>551.57500000000005</v>
      </c>
      <c r="O26" s="84"/>
      <c r="P26" s="84">
        <f t="shared" ref="P26:T26" si="12">P27+P28</f>
        <v>43.73</v>
      </c>
      <c r="Q26" s="84">
        <f t="shared" si="12"/>
        <v>468.46250000000003</v>
      </c>
      <c r="R26" s="84">
        <f t="shared" si="12"/>
        <v>6.7</v>
      </c>
      <c r="S26" s="84">
        <f t="shared" si="12"/>
        <v>32.682499999999997</v>
      </c>
      <c r="T26" s="84">
        <f t="shared" si="12"/>
        <v>551.57500000000005</v>
      </c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83" t="s">
        <v>354</v>
      </c>
      <c r="AZ26" s="84">
        <f>T27</f>
        <v>8.2000000000000011</v>
      </c>
      <c r="BA26" s="85">
        <v>0.46</v>
      </c>
      <c r="BB26" s="84">
        <f>T28</f>
        <v>543.375</v>
      </c>
      <c r="BC26" s="83"/>
      <c r="BD26" s="83"/>
      <c r="BE26" s="58"/>
      <c r="BF26" s="59"/>
      <c r="BG26" s="58"/>
      <c r="BH26" s="58"/>
      <c r="BI26" s="59"/>
      <c r="BJ26" s="60"/>
      <c r="BK26" s="59">
        <f>AZ26+BB26</f>
        <v>551.57500000000005</v>
      </c>
      <c r="BL26" s="64">
        <v>42529</v>
      </c>
      <c r="BM26" s="60"/>
      <c r="BN26" s="60"/>
      <c r="BO26" s="59"/>
      <c r="BP26" s="59"/>
      <c r="BQ26" s="64"/>
      <c r="BR26" s="65"/>
    </row>
    <row r="27" spans="1:70" s="6" customFormat="1" ht="192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23"/>
      <c r="L27" s="4" t="s">
        <v>15</v>
      </c>
      <c r="M27" s="23" t="s">
        <v>354</v>
      </c>
      <c r="N27" s="7">
        <f>T27</f>
        <v>8.2000000000000011</v>
      </c>
      <c r="O27" s="7"/>
      <c r="P27" s="7">
        <v>0.26</v>
      </c>
      <c r="Q27" s="7">
        <v>1.1599999999999999</v>
      </c>
      <c r="R27" s="7">
        <v>6.7</v>
      </c>
      <c r="S27" s="7">
        <v>0.08</v>
      </c>
      <c r="T27" s="7">
        <f t="shared" ref="T27" si="13">SUM(P27:S27)</f>
        <v>8.2000000000000011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18"/>
      <c r="BB27" s="25"/>
      <c r="BC27" s="7"/>
      <c r="BD27" s="4"/>
      <c r="BE27" s="4"/>
      <c r="BF27" s="7"/>
      <c r="BG27" s="4"/>
      <c r="BH27" s="4"/>
      <c r="BI27" s="7"/>
      <c r="BJ27" s="5"/>
      <c r="BK27" s="7"/>
      <c r="BL27" s="8"/>
      <c r="BM27" s="5"/>
      <c r="BN27" s="5"/>
      <c r="BO27" s="7"/>
      <c r="BP27" s="7"/>
      <c r="BQ27" s="8"/>
      <c r="BR27" s="9"/>
    </row>
    <row r="28" spans="1:70" s="6" customFormat="1" ht="192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23"/>
      <c r="L28" s="4" t="s">
        <v>16</v>
      </c>
      <c r="M28" s="26">
        <v>0.46</v>
      </c>
      <c r="N28" s="12">
        <f>1125*M28*1.05</f>
        <v>543.375</v>
      </c>
      <c r="O28" s="12"/>
      <c r="P28" s="12">
        <f>0.08*N28</f>
        <v>43.47</v>
      </c>
      <c r="Q28" s="12">
        <f>0.86*N28</f>
        <v>467.30250000000001</v>
      </c>
      <c r="R28" s="12"/>
      <c r="S28" s="12">
        <f>0.06*N28</f>
        <v>32.602499999999999</v>
      </c>
      <c r="T28" s="12">
        <f t="shared" ref="T28" si="14">P28+Q28+R28+S28</f>
        <v>543.375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18"/>
      <c r="BB28" s="25"/>
      <c r="BC28" s="7"/>
      <c r="BD28" s="4"/>
      <c r="BE28" s="4"/>
      <c r="BF28" s="7"/>
      <c r="BG28" s="4"/>
      <c r="BH28" s="4"/>
      <c r="BI28" s="7"/>
      <c r="BJ28" s="5"/>
      <c r="BK28" s="7"/>
      <c r="BL28" s="8"/>
      <c r="BM28" s="5"/>
      <c r="BN28" s="5"/>
      <c r="BO28" s="7"/>
      <c r="BP28" s="7"/>
      <c r="BQ28" s="8"/>
      <c r="BR28" s="9"/>
    </row>
    <row r="29" spans="1:70" s="66" customFormat="1" ht="222" customHeight="1" x14ac:dyDescent="0.25">
      <c r="A29" s="55" t="s">
        <v>140</v>
      </c>
      <c r="B29" s="56" t="s">
        <v>178</v>
      </c>
      <c r="C29" s="57">
        <v>466.1</v>
      </c>
      <c r="D29" s="57"/>
      <c r="E29" s="58">
        <v>15</v>
      </c>
      <c r="F29" s="56" t="s">
        <v>216</v>
      </c>
      <c r="G29" s="56" t="s">
        <v>248</v>
      </c>
      <c r="H29" s="56" t="s">
        <v>256</v>
      </c>
      <c r="I29" s="56" t="s">
        <v>48</v>
      </c>
      <c r="J29" s="56" t="s">
        <v>318</v>
      </c>
      <c r="K29" s="58" t="s">
        <v>397</v>
      </c>
      <c r="L29" s="58"/>
      <c r="M29" s="58"/>
      <c r="N29" s="59">
        <f>N30+N31</f>
        <v>104.33500000000001</v>
      </c>
      <c r="O29" s="59"/>
      <c r="P29" s="59">
        <f t="shared" ref="P29:T29" si="15">P30+P31</f>
        <v>8.3468</v>
      </c>
      <c r="Q29" s="59">
        <f t="shared" si="15"/>
        <v>93.901499999999999</v>
      </c>
      <c r="R29" s="59">
        <f t="shared" si="15"/>
        <v>0</v>
      </c>
      <c r="S29" s="59">
        <f t="shared" si="15"/>
        <v>2.0867</v>
      </c>
      <c r="T29" s="59">
        <f t="shared" si="15"/>
        <v>104.33500000000001</v>
      </c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1"/>
      <c r="BB29" s="81"/>
      <c r="BC29" s="59"/>
      <c r="BD29" s="58"/>
      <c r="BE29" s="58">
        <v>0.37</v>
      </c>
      <c r="BF29" s="62">
        <f>T30</f>
        <v>50.134999999999998</v>
      </c>
      <c r="BG29" s="58">
        <v>0.2</v>
      </c>
      <c r="BH29" s="62">
        <f>T31</f>
        <v>54.2</v>
      </c>
      <c r="BI29" s="58"/>
      <c r="BJ29" s="58"/>
      <c r="BK29" s="59">
        <f>BF29+BH29</f>
        <v>104.33500000000001</v>
      </c>
      <c r="BL29" s="64">
        <v>42513</v>
      </c>
      <c r="BM29" s="60"/>
      <c r="BN29" s="60"/>
      <c r="BO29" s="59"/>
      <c r="BP29" s="59"/>
      <c r="BQ29" s="64"/>
      <c r="BR29" s="65"/>
    </row>
    <row r="30" spans="1:70" s="6" customFormat="1" ht="222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398</v>
      </c>
      <c r="M30" s="4">
        <v>0.37</v>
      </c>
      <c r="N30" s="7">
        <f>0.37*135.5</f>
        <v>50.134999999999998</v>
      </c>
      <c r="O30" s="7"/>
      <c r="P30" s="7">
        <f>0.08*N30</f>
        <v>4.0107999999999997</v>
      </c>
      <c r="Q30" s="7">
        <f>0.9*N30</f>
        <v>45.121499999999997</v>
      </c>
      <c r="R30" s="7">
        <v>0</v>
      </c>
      <c r="S30" s="7">
        <f>0.02*N30</f>
        <v>1.0026999999999999</v>
      </c>
      <c r="T30" s="7">
        <f>P30+Q30+R30+S30</f>
        <v>50.134999999999998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18"/>
      <c r="BB30" s="25"/>
      <c r="BC30" s="7"/>
      <c r="BD30" s="4"/>
      <c r="BE30" s="4"/>
      <c r="BF30" s="7"/>
      <c r="BG30" s="4"/>
      <c r="BH30" s="4"/>
      <c r="BI30" s="7"/>
      <c r="BJ30" s="5"/>
      <c r="BK30" s="7"/>
      <c r="BL30" s="8"/>
      <c r="BM30" s="5"/>
      <c r="BN30" s="5"/>
      <c r="BO30" s="7"/>
      <c r="BP30" s="7"/>
      <c r="BQ30" s="8"/>
      <c r="BR30" s="9"/>
    </row>
    <row r="31" spans="1:70" s="6" customFormat="1" ht="222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 t="s">
        <v>396</v>
      </c>
      <c r="M31" s="4">
        <v>0.2</v>
      </c>
      <c r="N31" s="7">
        <f>0.2*135.5*2</f>
        <v>54.2</v>
      </c>
      <c r="O31" s="7"/>
      <c r="P31" s="7">
        <f>0.08*N31</f>
        <v>4.3360000000000003</v>
      </c>
      <c r="Q31" s="7">
        <f>0.9*N31</f>
        <v>48.78</v>
      </c>
      <c r="R31" s="7">
        <v>0</v>
      </c>
      <c r="S31" s="7">
        <f>0.02*N31</f>
        <v>1.0840000000000001</v>
      </c>
      <c r="T31" s="7">
        <f>P31+Q31+R31+S31</f>
        <v>54.2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18"/>
      <c r="BB31" s="25"/>
      <c r="BC31" s="7"/>
      <c r="BD31" s="4"/>
      <c r="BE31" s="4"/>
      <c r="BF31" s="7"/>
      <c r="BG31" s="4"/>
      <c r="BH31" s="4"/>
      <c r="BI31" s="7"/>
      <c r="BJ31" s="5"/>
      <c r="BK31" s="7"/>
      <c r="BL31" s="8"/>
      <c r="BM31" s="5"/>
      <c r="BN31" s="5"/>
      <c r="BO31" s="7"/>
      <c r="BP31" s="7"/>
      <c r="BQ31" s="8"/>
      <c r="BR31" s="9"/>
    </row>
    <row r="32" spans="1:70" s="66" customFormat="1" ht="254.25" customHeight="1" x14ac:dyDescent="0.25">
      <c r="A32" s="55" t="s">
        <v>141</v>
      </c>
      <c r="B32" s="56" t="s">
        <v>179</v>
      </c>
      <c r="C32" s="57">
        <v>466.1</v>
      </c>
      <c r="D32" s="57"/>
      <c r="E32" s="58">
        <v>15</v>
      </c>
      <c r="F32" s="56" t="s">
        <v>217</v>
      </c>
      <c r="G32" s="56" t="s">
        <v>44</v>
      </c>
      <c r="H32" s="56" t="s">
        <v>257</v>
      </c>
      <c r="I32" s="56" t="s">
        <v>292</v>
      </c>
      <c r="J32" s="56" t="s">
        <v>320</v>
      </c>
      <c r="K32" s="58" t="s">
        <v>414</v>
      </c>
      <c r="L32" s="58"/>
      <c r="M32" s="58"/>
      <c r="N32" s="59">
        <f>N33</f>
        <v>94.5</v>
      </c>
      <c r="O32" s="59">
        <f t="shared" ref="O32:T32" si="16">O33</f>
        <v>0</v>
      </c>
      <c r="P32" s="59">
        <f t="shared" si="16"/>
        <v>7.5600000000000005</v>
      </c>
      <c r="Q32" s="59">
        <f t="shared" si="16"/>
        <v>81.27</v>
      </c>
      <c r="R32" s="59">
        <f t="shared" si="16"/>
        <v>0</v>
      </c>
      <c r="S32" s="59">
        <f t="shared" si="16"/>
        <v>5.67</v>
      </c>
      <c r="T32" s="59">
        <f t="shared" si="16"/>
        <v>94.5</v>
      </c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1">
        <v>0.08</v>
      </c>
      <c r="BB32" s="58">
        <f>BA32*1125*1.05</f>
        <v>94.5</v>
      </c>
      <c r="BC32" s="58"/>
      <c r="BD32" s="58"/>
      <c r="BE32" s="58"/>
      <c r="BF32" s="59"/>
      <c r="BG32" s="58"/>
      <c r="BH32" s="58"/>
      <c r="BI32" s="59"/>
      <c r="BJ32" s="60"/>
      <c r="BK32" s="59">
        <f>BB32</f>
        <v>94.5</v>
      </c>
      <c r="BL32" s="64">
        <v>42522</v>
      </c>
      <c r="BM32" s="60"/>
      <c r="BN32" s="60"/>
      <c r="BO32" s="59"/>
      <c r="BP32" s="59"/>
      <c r="BQ32" s="64"/>
      <c r="BR32" s="65"/>
    </row>
    <row r="33" spans="1:70" s="51" customFormat="1" ht="254.25" customHeight="1" x14ac:dyDescent="0.25">
      <c r="A33" s="41"/>
      <c r="B33" s="42"/>
      <c r="C33" s="43"/>
      <c r="D33" s="43"/>
      <c r="E33" s="27"/>
      <c r="F33" s="42"/>
      <c r="G33" s="42"/>
      <c r="H33" s="42"/>
      <c r="I33" s="42"/>
      <c r="J33" s="42"/>
      <c r="K33" s="27"/>
      <c r="L33" s="27" t="s">
        <v>16</v>
      </c>
      <c r="M33" s="27">
        <f>BA32</f>
        <v>0.08</v>
      </c>
      <c r="N33" s="7">
        <f>1125*M33*1.05</f>
        <v>94.5</v>
      </c>
      <c r="O33" s="7"/>
      <c r="P33" s="7">
        <f>0.08*N33</f>
        <v>7.5600000000000005</v>
      </c>
      <c r="Q33" s="7">
        <f>0.86*N33</f>
        <v>81.27</v>
      </c>
      <c r="R33" s="7"/>
      <c r="S33" s="7">
        <f>0.06*N33</f>
        <v>5.67</v>
      </c>
      <c r="T33" s="7">
        <f>P33+Q33+R33+S33</f>
        <v>94.5</v>
      </c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6"/>
      <c r="BB33" s="27"/>
      <c r="BC33" s="27"/>
      <c r="BD33" s="27"/>
      <c r="BE33" s="27"/>
      <c r="BF33" s="45"/>
      <c r="BG33" s="27"/>
      <c r="BH33" s="27"/>
      <c r="BI33" s="45"/>
      <c r="BJ33" s="44"/>
      <c r="BK33" s="45"/>
      <c r="BL33" s="49"/>
      <c r="BM33" s="44"/>
      <c r="BN33" s="44"/>
      <c r="BO33" s="45"/>
      <c r="BP33" s="45"/>
      <c r="BQ33" s="49"/>
      <c r="BR33" s="50"/>
    </row>
    <row r="34" spans="1:70" s="66" customFormat="1" ht="236.25" customHeight="1" x14ac:dyDescent="0.25">
      <c r="A34" s="55" t="s">
        <v>142</v>
      </c>
      <c r="B34" s="56" t="s">
        <v>180</v>
      </c>
      <c r="C34" s="57">
        <v>466.1</v>
      </c>
      <c r="D34" s="57"/>
      <c r="E34" s="58">
        <v>10</v>
      </c>
      <c r="F34" s="56" t="s">
        <v>218</v>
      </c>
      <c r="G34" s="56" t="s">
        <v>44</v>
      </c>
      <c r="H34" s="56" t="s">
        <v>258</v>
      </c>
      <c r="I34" s="56" t="s">
        <v>293</v>
      </c>
      <c r="J34" s="56" t="s">
        <v>321</v>
      </c>
      <c r="K34" s="58" t="s">
        <v>387</v>
      </c>
      <c r="L34" s="58"/>
      <c r="M34" s="58"/>
      <c r="N34" s="59">
        <f>N35</f>
        <v>94.5</v>
      </c>
      <c r="O34" s="59"/>
      <c r="P34" s="59">
        <f t="shared" ref="P34:T34" si="17">P35</f>
        <v>7.5600000000000005</v>
      </c>
      <c r="Q34" s="59">
        <f t="shared" si="17"/>
        <v>81.27</v>
      </c>
      <c r="R34" s="59">
        <f t="shared" si="17"/>
        <v>0</v>
      </c>
      <c r="S34" s="59">
        <f t="shared" si="17"/>
        <v>5.67</v>
      </c>
      <c r="T34" s="59">
        <f t="shared" si="17"/>
        <v>94.5</v>
      </c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1">
        <v>0.08</v>
      </c>
      <c r="BB34" s="58">
        <f>T35</f>
        <v>94.5</v>
      </c>
      <c r="BC34" s="58"/>
      <c r="BD34" s="58"/>
      <c r="BE34" s="58"/>
      <c r="BF34" s="59"/>
      <c r="BG34" s="58"/>
      <c r="BH34" s="58"/>
      <c r="BI34" s="59"/>
      <c r="BJ34" s="60"/>
      <c r="BK34" s="59">
        <f>BB34</f>
        <v>94.5</v>
      </c>
      <c r="BL34" s="64">
        <v>42509</v>
      </c>
      <c r="BM34" s="60"/>
      <c r="BN34" s="60"/>
      <c r="BO34" s="59"/>
      <c r="BP34" s="59"/>
      <c r="BQ34" s="64"/>
      <c r="BR34" s="65"/>
    </row>
    <row r="35" spans="1:70" s="6" customFormat="1" ht="236.2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 t="s">
        <v>16</v>
      </c>
      <c r="M35" s="18">
        <v>0.08</v>
      </c>
      <c r="N35" s="7">
        <f>1125*M35*1.05</f>
        <v>94.5</v>
      </c>
      <c r="O35" s="7"/>
      <c r="P35" s="7">
        <f>0.08*N35</f>
        <v>7.5600000000000005</v>
      </c>
      <c r="Q35" s="7">
        <f>0.86*N35</f>
        <v>81.27</v>
      </c>
      <c r="R35" s="7"/>
      <c r="S35" s="7">
        <f>0.06*N35</f>
        <v>5.67</v>
      </c>
      <c r="T35" s="7">
        <f>P35+Q35+R35+S35</f>
        <v>94.5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18"/>
      <c r="BB35" s="4"/>
      <c r="BC35" s="4"/>
      <c r="BD35" s="4"/>
      <c r="BE35" s="4"/>
      <c r="BF35" s="7"/>
      <c r="BG35" s="4"/>
      <c r="BH35" s="4"/>
      <c r="BI35" s="7"/>
      <c r="BJ35" s="5"/>
      <c r="BK35" s="7"/>
      <c r="BL35" s="8"/>
      <c r="BM35" s="5"/>
      <c r="BN35" s="5"/>
      <c r="BO35" s="7"/>
      <c r="BP35" s="7"/>
      <c r="BQ35" s="8"/>
      <c r="BR35" s="9"/>
    </row>
    <row r="36" spans="1:70" s="78" customFormat="1" ht="408.75" customHeight="1" x14ac:dyDescent="0.25">
      <c r="A36" s="67" t="s">
        <v>143</v>
      </c>
      <c r="B36" s="68" t="s">
        <v>181</v>
      </c>
      <c r="C36" s="69">
        <v>466.1</v>
      </c>
      <c r="D36" s="69"/>
      <c r="E36" s="70">
        <v>15</v>
      </c>
      <c r="F36" s="68" t="s">
        <v>219</v>
      </c>
      <c r="G36" s="68" t="s">
        <v>46</v>
      </c>
      <c r="H36" s="68" t="s">
        <v>259</v>
      </c>
      <c r="I36" s="68" t="s">
        <v>294</v>
      </c>
      <c r="J36" s="68" t="s">
        <v>322</v>
      </c>
      <c r="K36" s="70" t="s">
        <v>359</v>
      </c>
      <c r="L36" s="70" t="s">
        <v>16</v>
      </c>
      <c r="M36" s="70"/>
      <c r="N36" s="72">
        <f>N37</f>
        <v>519.75</v>
      </c>
      <c r="O36" s="72"/>
      <c r="P36" s="72">
        <f t="shared" ref="P36:T36" si="18">P37</f>
        <v>41.58</v>
      </c>
      <c r="Q36" s="72">
        <f t="shared" si="18"/>
        <v>446.98500000000001</v>
      </c>
      <c r="R36" s="72">
        <f t="shared" si="18"/>
        <v>0</v>
      </c>
      <c r="S36" s="72">
        <f t="shared" si="18"/>
        <v>31.184999999999999</v>
      </c>
      <c r="T36" s="72">
        <f t="shared" si="18"/>
        <v>519.75</v>
      </c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1" t="s">
        <v>360</v>
      </c>
      <c r="BB36" s="72">
        <f>T37</f>
        <v>519.75</v>
      </c>
      <c r="BC36" s="72"/>
      <c r="BD36" s="70"/>
      <c r="BE36" s="70"/>
      <c r="BF36" s="72"/>
      <c r="BG36" s="70"/>
      <c r="BH36" s="70"/>
      <c r="BI36" s="72"/>
      <c r="BJ36" s="73"/>
      <c r="BK36" s="72">
        <f>BB36</f>
        <v>519.75</v>
      </c>
      <c r="BL36" s="76">
        <v>42524</v>
      </c>
      <c r="BM36" s="73" t="s">
        <v>361</v>
      </c>
      <c r="BN36" s="73"/>
      <c r="BO36" s="72"/>
      <c r="BP36" s="72"/>
      <c r="BQ36" s="76"/>
      <c r="BR36" s="77"/>
    </row>
    <row r="37" spans="1:70" s="6" customFormat="1" ht="223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16</v>
      </c>
      <c r="M37" s="18" t="s">
        <v>360</v>
      </c>
      <c r="N37" s="12">
        <f>1125*0.44*1.05</f>
        <v>519.75</v>
      </c>
      <c r="O37" s="12"/>
      <c r="P37" s="12">
        <f>0.08*N37</f>
        <v>41.58</v>
      </c>
      <c r="Q37" s="12">
        <f>0.86*N37</f>
        <v>446.98500000000001</v>
      </c>
      <c r="R37" s="12"/>
      <c r="S37" s="12">
        <f>0.06*N37</f>
        <v>31.184999999999999</v>
      </c>
      <c r="T37" s="12">
        <f t="shared" ref="T37" si="19">P37+Q37+R37+S37</f>
        <v>519.75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9"/>
      <c r="AJ37" s="5"/>
      <c r="AK37" s="5"/>
      <c r="AL37" s="5"/>
      <c r="AM37" s="5"/>
      <c r="AN37" s="5"/>
      <c r="AO37" s="5"/>
      <c r="AP37" s="5"/>
      <c r="AQ37" s="39"/>
      <c r="AR37" s="5"/>
      <c r="AS37" s="39"/>
      <c r="AT37" s="5"/>
      <c r="AU37" s="5"/>
      <c r="AV37" s="5"/>
      <c r="AW37" s="5"/>
      <c r="AX37" s="5"/>
      <c r="AY37" s="5"/>
      <c r="AZ37" s="5"/>
      <c r="BA37" s="18"/>
      <c r="BB37" s="25"/>
      <c r="BC37" s="7"/>
      <c r="BD37" s="4"/>
      <c r="BE37" s="4"/>
      <c r="BF37" s="7"/>
      <c r="BG37" s="4"/>
      <c r="BH37" s="4"/>
      <c r="BI37" s="7"/>
      <c r="BJ37" s="5"/>
      <c r="BK37" s="7"/>
      <c r="BL37" s="8"/>
      <c r="BM37" s="5"/>
      <c r="BN37" s="5"/>
      <c r="BO37" s="7"/>
      <c r="BP37" s="7"/>
      <c r="BQ37" s="8"/>
      <c r="BR37" s="9"/>
    </row>
    <row r="38" spans="1:70" s="66" customFormat="1" ht="264.75" customHeight="1" x14ac:dyDescent="0.25">
      <c r="A38" s="55" t="s">
        <v>144</v>
      </c>
      <c r="B38" s="56" t="s">
        <v>182</v>
      </c>
      <c r="C38" s="57">
        <v>466.1</v>
      </c>
      <c r="D38" s="57"/>
      <c r="E38" s="58">
        <v>14.5</v>
      </c>
      <c r="F38" s="56" t="s">
        <v>220</v>
      </c>
      <c r="G38" s="56" t="s">
        <v>46</v>
      </c>
      <c r="H38" s="56" t="s">
        <v>260</v>
      </c>
      <c r="I38" s="56" t="s">
        <v>48</v>
      </c>
      <c r="J38" s="56" t="s">
        <v>323</v>
      </c>
      <c r="K38" s="58" t="s">
        <v>417</v>
      </c>
      <c r="L38" s="58"/>
      <c r="M38" s="58"/>
      <c r="N38" s="59"/>
      <c r="O38" s="59"/>
      <c r="P38" s="59"/>
      <c r="Q38" s="59"/>
      <c r="R38" s="59"/>
      <c r="S38" s="59"/>
      <c r="T38" s="59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58"/>
      <c r="AF38" s="62"/>
      <c r="AG38" s="62"/>
      <c r="AH38" s="60"/>
      <c r="AI38" s="61"/>
      <c r="AJ38" s="62"/>
      <c r="AK38" s="62"/>
      <c r="AL38" s="60"/>
      <c r="AM38" s="60"/>
      <c r="AN38" s="60"/>
      <c r="AO38" s="60"/>
      <c r="AP38" s="60"/>
      <c r="AQ38" s="61"/>
      <c r="AR38" s="62"/>
      <c r="AS38" s="61"/>
      <c r="AT38" s="62"/>
      <c r="AU38" s="60"/>
      <c r="AV38" s="60"/>
      <c r="AW38" s="60"/>
      <c r="AX38" s="60"/>
      <c r="AY38" s="60"/>
      <c r="AZ38" s="60"/>
      <c r="BA38" s="61"/>
      <c r="BB38" s="62"/>
      <c r="BC38" s="62"/>
      <c r="BD38" s="58"/>
      <c r="BE38" s="58"/>
      <c r="BF38" s="59"/>
      <c r="BG38" s="58"/>
      <c r="BH38" s="58"/>
      <c r="BI38" s="59"/>
      <c r="BJ38" s="60"/>
      <c r="BK38" s="59"/>
      <c r="BL38" s="64">
        <v>42523</v>
      </c>
      <c r="BM38" s="60" t="s">
        <v>371</v>
      </c>
      <c r="BN38" s="60"/>
      <c r="BO38" s="59"/>
      <c r="BP38" s="59"/>
      <c r="BQ38" s="64"/>
      <c r="BR38" s="65"/>
    </row>
    <row r="39" spans="1:70" s="66" customFormat="1" ht="408.75" customHeight="1" x14ac:dyDescent="0.25">
      <c r="A39" s="55" t="s">
        <v>145</v>
      </c>
      <c r="B39" s="56" t="s">
        <v>183</v>
      </c>
      <c r="C39" s="57">
        <v>466.1</v>
      </c>
      <c r="D39" s="57"/>
      <c r="E39" s="58">
        <v>14.5</v>
      </c>
      <c r="F39" s="56" t="s">
        <v>221</v>
      </c>
      <c r="G39" s="56" t="s">
        <v>46</v>
      </c>
      <c r="H39" s="56" t="s">
        <v>261</v>
      </c>
      <c r="I39" s="56" t="s">
        <v>415</v>
      </c>
      <c r="J39" s="56" t="s">
        <v>324</v>
      </c>
      <c r="K39" s="58" t="s">
        <v>418</v>
      </c>
      <c r="L39" s="58"/>
      <c r="M39" s="58"/>
      <c r="N39" s="59">
        <f>N40</f>
        <v>35.4375</v>
      </c>
      <c r="O39" s="59">
        <f t="shared" ref="O39:T39" si="20">O40</f>
        <v>0</v>
      </c>
      <c r="P39" s="59">
        <f t="shared" si="20"/>
        <v>2.835</v>
      </c>
      <c r="Q39" s="59">
        <f t="shared" si="20"/>
        <v>30.47625</v>
      </c>
      <c r="R39" s="59">
        <f t="shared" si="20"/>
        <v>0</v>
      </c>
      <c r="S39" s="59">
        <f t="shared" si="20"/>
        <v>2.1262499999999998</v>
      </c>
      <c r="T39" s="59">
        <f t="shared" si="20"/>
        <v>35.4375</v>
      </c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1">
        <v>0.03</v>
      </c>
      <c r="BB39" s="61">
        <f>BA39*1125*1.05</f>
        <v>35.4375</v>
      </c>
      <c r="BC39" s="58"/>
      <c r="BD39" s="58"/>
      <c r="BE39" s="58"/>
      <c r="BF39" s="59"/>
      <c r="BG39" s="58"/>
      <c r="BH39" s="58"/>
      <c r="BI39" s="59"/>
      <c r="BJ39" s="60"/>
      <c r="BK39" s="59">
        <f>BB39</f>
        <v>35.4375</v>
      </c>
      <c r="BL39" s="64">
        <v>42525</v>
      </c>
      <c r="BM39" s="60" t="s">
        <v>416</v>
      </c>
      <c r="BN39" s="60"/>
      <c r="BO39" s="59"/>
      <c r="BP39" s="59"/>
      <c r="BQ39" s="64"/>
      <c r="BR39" s="65"/>
    </row>
    <row r="40" spans="1:70" s="51" customFormat="1" ht="253.5" customHeight="1" x14ac:dyDescent="0.25">
      <c r="A40" s="41"/>
      <c r="B40" s="42"/>
      <c r="C40" s="43"/>
      <c r="D40" s="43"/>
      <c r="E40" s="27"/>
      <c r="F40" s="42"/>
      <c r="G40" s="42"/>
      <c r="H40" s="42"/>
      <c r="I40" s="42"/>
      <c r="J40" s="42"/>
      <c r="K40" s="27"/>
      <c r="L40" s="4" t="s">
        <v>16</v>
      </c>
      <c r="M40" s="27">
        <f>BA39</f>
        <v>0.03</v>
      </c>
      <c r="N40" s="7">
        <f>1125*M40*1.05</f>
        <v>35.4375</v>
      </c>
      <c r="O40" s="7"/>
      <c r="P40" s="7">
        <f>0.08*N40</f>
        <v>2.835</v>
      </c>
      <c r="Q40" s="7">
        <f>0.86*N40</f>
        <v>30.47625</v>
      </c>
      <c r="R40" s="7"/>
      <c r="S40" s="7">
        <f>0.06*N40</f>
        <v>2.1262499999999998</v>
      </c>
      <c r="T40" s="7">
        <f>P40+Q40+R40+S40</f>
        <v>35.4375</v>
      </c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6"/>
      <c r="BB40" s="46"/>
      <c r="BC40" s="27"/>
      <c r="BD40" s="27"/>
      <c r="BE40" s="27"/>
      <c r="BF40" s="45"/>
      <c r="BG40" s="27"/>
      <c r="BH40" s="27"/>
      <c r="BI40" s="45"/>
      <c r="BJ40" s="44"/>
      <c r="BK40" s="45"/>
      <c r="BL40" s="49"/>
      <c r="BM40" s="44"/>
      <c r="BN40" s="44"/>
      <c r="BO40" s="45"/>
      <c r="BP40" s="45"/>
      <c r="BQ40" s="49"/>
      <c r="BR40" s="50"/>
    </row>
    <row r="41" spans="1:70" s="78" customFormat="1" ht="273.95" customHeight="1" x14ac:dyDescent="0.25">
      <c r="A41" s="67" t="s">
        <v>146</v>
      </c>
      <c r="B41" s="68" t="s">
        <v>184</v>
      </c>
      <c r="C41" s="69">
        <v>466.1</v>
      </c>
      <c r="D41" s="69"/>
      <c r="E41" s="70">
        <v>15</v>
      </c>
      <c r="F41" s="68" t="s">
        <v>222</v>
      </c>
      <c r="G41" s="68" t="s">
        <v>46</v>
      </c>
      <c r="H41" s="68" t="s">
        <v>262</v>
      </c>
      <c r="I41" s="68" t="s">
        <v>48</v>
      </c>
      <c r="J41" s="68" t="s">
        <v>325</v>
      </c>
      <c r="K41" s="70"/>
      <c r="L41" s="70"/>
      <c r="M41" s="70"/>
      <c r="N41" s="72"/>
      <c r="O41" s="72"/>
      <c r="P41" s="72"/>
      <c r="Q41" s="72"/>
      <c r="R41" s="72"/>
      <c r="S41" s="72"/>
      <c r="T41" s="72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1"/>
      <c r="BB41" s="71"/>
      <c r="BC41" s="70"/>
      <c r="BD41" s="70"/>
      <c r="BE41" s="70"/>
      <c r="BF41" s="72"/>
      <c r="BG41" s="70"/>
      <c r="BH41" s="70"/>
      <c r="BI41" s="72"/>
      <c r="BJ41" s="73"/>
      <c r="BK41" s="72"/>
      <c r="BL41" s="76">
        <v>42529</v>
      </c>
      <c r="BM41" s="73" t="s">
        <v>375</v>
      </c>
      <c r="BN41" s="73"/>
      <c r="BO41" s="72"/>
      <c r="BP41" s="72"/>
      <c r="BQ41" s="76"/>
      <c r="BR41" s="77"/>
    </row>
    <row r="42" spans="1:70" s="78" customFormat="1" ht="408.75" customHeight="1" x14ac:dyDescent="0.25">
      <c r="A42" s="67" t="s">
        <v>147</v>
      </c>
      <c r="B42" s="68" t="s">
        <v>185</v>
      </c>
      <c r="C42" s="69">
        <v>466.1</v>
      </c>
      <c r="D42" s="69"/>
      <c r="E42" s="70">
        <v>7</v>
      </c>
      <c r="F42" s="68" t="s">
        <v>223</v>
      </c>
      <c r="G42" s="68" t="s">
        <v>46</v>
      </c>
      <c r="H42" s="68" t="s">
        <v>263</v>
      </c>
      <c r="I42" s="68" t="s">
        <v>295</v>
      </c>
      <c r="J42" s="68" t="s">
        <v>326</v>
      </c>
      <c r="K42" s="70" t="s">
        <v>383</v>
      </c>
      <c r="L42" s="70"/>
      <c r="M42" s="70"/>
      <c r="N42" s="72">
        <f>N43</f>
        <v>401.625</v>
      </c>
      <c r="O42" s="72">
        <f t="shared" ref="O42:T42" si="21">O43</f>
        <v>0</v>
      </c>
      <c r="P42" s="72">
        <f t="shared" si="21"/>
        <v>32.130000000000003</v>
      </c>
      <c r="Q42" s="72">
        <f t="shared" si="21"/>
        <v>345.39749999999998</v>
      </c>
      <c r="R42" s="72"/>
      <c r="S42" s="72">
        <f t="shared" si="21"/>
        <v>24.0975</v>
      </c>
      <c r="T42" s="72">
        <f t="shared" si="21"/>
        <v>401.625</v>
      </c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1">
        <v>0.34</v>
      </c>
      <c r="BB42" s="70">
        <f>T43</f>
        <v>401.625</v>
      </c>
      <c r="BC42" s="70"/>
      <c r="BD42" s="70"/>
      <c r="BE42" s="70"/>
      <c r="BF42" s="72"/>
      <c r="BG42" s="70"/>
      <c r="BH42" s="70"/>
      <c r="BI42" s="72"/>
      <c r="BJ42" s="73"/>
      <c r="BK42" s="72">
        <f>BB42</f>
        <v>401.625</v>
      </c>
      <c r="BL42" s="76">
        <v>42509</v>
      </c>
      <c r="BM42" s="73" t="s">
        <v>384</v>
      </c>
      <c r="BN42" s="73"/>
      <c r="BO42" s="72"/>
      <c r="BP42" s="72"/>
      <c r="BQ42" s="76"/>
      <c r="BR42" s="77"/>
    </row>
    <row r="43" spans="1:70" s="6" customFormat="1" ht="151.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16</v>
      </c>
      <c r="M43" s="4">
        <f>BA42</f>
        <v>0.34</v>
      </c>
      <c r="N43" s="7">
        <f>1125*M43*1.05</f>
        <v>401.625</v>
      </c>
      <c r="O43" s="7"/>
      <c r="P43" s="7">
        <f>0.08*N43</f>
        <v>32.130000000000003</v>
      </c>
      <c r="Q43" s="7">
        <f>0.86*N43</f>
        <v>345.39749999999998</v>
      </c>
      <c r="R43" s="7"/>
      <c r="S43" s="7">
        <f>0.06*N43</f>
        <v>24.0975</v>
      </c>
      <c r="T43" s="7">
        <f>P43+Q43+R43+S43</f>
        <v>401.625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18"/>
      <c r="BB43" s="18"/>
      <c r="BC43" s="4"/>
      <c r="BD43" s="4"/>
      <c r="BE43" s="4"/>
      <c r="BF43" s="7"/>
      <c r="BG43" s="4"/>
      <c r="BH43" s="4"/>
      <c r="BI43" s="7"/>
      <c r="BJ43" s="5"/>
      <c r="BK43" s="7"/>
      <c r="BL43" s="8"/>
      <c r="BM43" s="5"/>
      <c r="BN43" s="5"/>
      <c r="BO43" s="7"/>
      <c r="BP43" s="7"/>
      <c r="BQ43" s="8"/>
      <c r="BR43" s="9"/>
    </row>
    <row r="44" spans="1:70" s="66" customFormat="1" ht="225" customHeight="1" x14ac:dyDescent="0.25">
      <c r="A44" s="55" t="s">
        <v>148</v>
      </c>
      <c r="B44" s="56" t="s">
        <v>186</v>
      </c>
      <c r="C44" s="57">
        <v>466.1</v>
      </c>
      <c r="D44" s="57"/>
      <c r="E44" s="58">
        <v>12</v>
      </c>
      <c r="F44" s="56" t="s">
        <v>224</v>
      </c>
      <c r="G44" s="56" t="s">
        <v>46</v>
      </c>
      <c r="H44" s="56" t="s">
        <v>264</v>
      </c>
      <c r="I44" s="56" t="s">
        <v>48</v>
      </c>
      <c r="J44" s="56" t="s">
        <v>327</v>
      </c>
      <c r="K44" s="58" t="s">
        <v>419</v>
      </c>
      <c r="L44" s="58"/>
      <c r="M44" s="58"/>
      <c r="N44" s="59"/>
      <c r="O44" s="59"/>
      <c r="P44" s="59"/>
      <c r="Q44" s="59"/>
      <c r="R44" s="59"/>
      <c r="S44" s="59"/>
      <c r="T44" s="59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1"/>
      <c r="BB44" s="61"/>
      <c r="BC44" s="58"/>
      <c r="BD44" s="58"/>
      <c r="BE44" s="58"/>
      <c r="BF44" s="59"/>
      <c r="BG44" s="58"/>
      <c r="BH44" s="58"/>
      <c r="BI44" s="59"/>
      <c r="BJ44" s="60"/>
      <c r="BK44" s="59"/>
      <c r="BL44" s="64">
        <v>42528</v>
      </c>
      <c r="BM44" s="60" t="s">
        <v>355</v>
      </c>
      <c r="BN44" s="60"/>
      <c r="BO44" s="59"/>
      <c r="BP44" s="59"/>
      <c r="BQ44" s="64"/>
      <c r="BR44" s="65"/>
    </row>
    <row r="45" spans="1:70" s="78" customFormat="1" ht="246.75" customHeight="1" x14ac:dyDescent="0.25">
      <c r="A45" s="67" t="s">
        <v>150</v>
      </c>
      <c r="B45" s="68" t="s">
        <v>188</v>
      </c>
      <c r="C45" s="69">
        <v>466.1</v>
      </c>
      <c r="D45" s="69"/>
      <c r="E45" s="70">
        <v>12</v>
      </c>
      <c r="F45" s="68" t="s">
        <v>226</v>
      </c>
      <c r="G45" s="68" t="s">
        <v>46</v>
      </c>
      <c r="H45" s="68" t="s">
        <v>266</v>
      </c>
      <c r="I45" s="68" t="s">
        <v>48</v>
      </c>
      <c r="J45" s="68" t="s">
        <v>329</v>
      </c>
      <c r="K45" s="70"/>
      <c r="L45" s="70"/>
      <c r="M45" s="70"/>
      <c r="N45" s="72"/>
      <c r="O45" s="72"/>
      <c r="P45" s="72"/>
      <c r="Q45" s="72"/>
      <c r="R45" s="72"/>
      <c r="S45" s="72"/>
      <c r="T45" s="72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1"/>
      <c r="BB45" s="75"/>
      <c r="BC45" s="72"/>
      <c r="BD45" s="70"/>
      <c r="BE45" s="70"/>
      <c r="BF45" s="72"/>
      <c r="BG45" s="70"/>
      <c r="BH45" s="70"/>
      <c r="BI45" s="72"/>
      <c r="BJ45" s="73"/>
      <c r="BK45" s="72"/>
      <c r="BL45" s="76">
        <v>42525</v>
      </c>
      <c r="BM45" s="73" t="s">
        <v>373</v>
      </c>
      <c r="BN45" s="73"/>
      <c r="BO45" s="72"/>
      <c r="BP45" s="72"/>
      <c r="BQ45" s="76"/>
      <c r="BR45" s="77"/>
    </row>
    <row r="46" spans="1:70" s="78" customFormat="1" ht="244.5" customHeight="1" x14ac:dyDescent="0.25">
      <c r="A46" s="67" t="s">
        <v>151</v>
      </c>
      <c r="B46" s="68" t="s">
        <v>189</v>
      </c>
      <c r="C46" s="69">
        <v>466.1</v>
      </c>
      <c r="D46" s="69"/>
      <c r="E46" s="70">
        <v>15</v>
      </c>
      <c r="F46" s="68" t="s">
        <v>227</v>
      </c>
      <c r="G46" s="68" t="s">
        <v>249</v>
      </c>
      <c r="H46" s="68" t="s">
        <v>267</v>
      </c>
      <c r="I46" s="68" t="s">
        <v>48</v>
      </c>
      <c r="J46" s="68" t="s">
        <v>330</v>
      </c>
      <c r="K46" s="70"/>
      <c r="L46" s="70"/>
      <c r="M46" s="70"/>
      <c r="N46" s="72"/>
      <c r="O46" s="72"/>
      <c r="P46" s="72"/>
      <c r="Q46" s="72"/>
      <c r="R46" s="72"/>
      <c r="S46" s="72"/>
      <c r="T46" s="72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4"/>
      <c r="AJ46" s="73"/>
      <c r="AK46" s="73"/>
      <c r="AL46" s="73"/>
      <c r="AM46" s="73"/>
      <c r="AN46" s="73"/>
      <c r="AO46" s="73"/>
      <c r="AP46" s="73"/>
      <c r="AQ46" s="74"/>
      <c r="AR46" s="73"/>
      <c r="AS46" s="74"/>
      <c r="AT46" s="73"/>
      <c r="AU46" s="73"/>
      <c r="AV46" s="73"/>
      <c r="AW46" s="73"/>
      <c r="AX46" s="73"/>
      <c r="AY46" s="70"/>
      <c r="AZ46" s="82"/>
      <c r="BA46" s="82"/>
      <c r="BB46" s="82"/>
      <c r="BC46" s="82"/>
      <c r="BD46" s="73"/>
      <c r="BE46" s="73"/>
      <c r="BF46" s="73"/>
      <c r="BG46" s="73"/>
      <c r="BH46" s="73"/>
      <c r="BI46" s="73"/>
      <c r="BJ46" s="73"/>
      <c r="BK46" s="72"/>
      <c r="BL46" s="76">
        <v>42531</v>
      </c>
      <c r="BM46" s="73"/>
      <c r="BN46" s="73"/>
      <c r="BO46" s="72"/>
      <c r="BP46" s="72"/>
      <c r="BQ46" s="76"/>
      <c r="BR46" s="77"/>
    </row>
    <row r="47" spans="1:70" s="66" customFormat="1" ht="409.5" customHeight="1" x14ac:dyDescent="0.25">
      <c r="A47" s="55" t="s">
        <v>153</v>
      </c>
      <c r="B47" s="56" t="s">
        <v>191</v>
      </c>
      <c r="C47" s="57">
        <v>466.1</v>
      </c>
      <c r="D47" s="57"/>
      <c r="E47" s="58">
        <v>15</v>
      </c>
      <c r="F47" s="56" t="s">
        <v>229</v>
      </c>
      <c r="G47" s="56" t="s">
        <v>111</v>
      </c>
      <c r="H47" s="56" t="s">
        <v>269</v>
      </c>
      <c r="I47" s="56" t="s">
        <v>298</v>
      </c>
      <c r="J47" s="56" t="s">
        <v>332</v>
      </c>
      <c r="K47" s="58" t="s">
        <v>362</v>
      </c>
      <c r="L47" s="58"/>
      <c r="M47" s="58"/>
      <c r="N47" s="59">
        <f>N48+N49+N50+N51+N52</f>
        <v>1318.7135000000001</v>
      </c>
      <c r="O47" s="59"/>
      <c r="P47" s="59">
        <f t="shared" ref="P47:T47" si="22">P48+P49+P50+P51+P52</f>
        <v>79.771000000000001</v>
      </c>
      <c r="Q47" s="59">
        <f t="shared" si="22"/>
        <v>769.55400000000009</v>
      </c>
      <c r="R47" s="59">
        <f t="shared" si="22"/>
        <v>423.29724000000004</v>
      </c>
      <c r="S47" s="59">
        <f t="shared" si="22"/>
        <v>46.087500000000006</v>
      </c>
      <c r="T47" s="59">
        <f t="shared" si="22"/>
        <v>1318.70974</v>
      </c>
      <c r="U47" s="60"/>
      <c r="V47" s="60"/>
      <c r="W47" s="60"/>
      <c r="X47" s="60"/>
      <c r="Y47" s="60"/>
      <c r="Z47" s="60"/>
      <c r="AA47" s="60"/>
      <c r="AB47" s="60"/>
      <c r="AC47" s="58">
        <v>0.5</v>
      </c>
      <c r="AD47" s="59">
        <f>T48</f>
        <v>762.82500000000005</v>
      </c>
      <c r="AE47" s="59"/>
      <c r="AF47" s="62"/>
      <c r="AG47" s="62"/>
      <c r="AH47" s="60"/>
      <c r="AI47" s="61">
        <v>1</v>
      </c>
      <c r="AJ47" s="59">
        <f>T49</f>
        <v>60.476240000000004</v>
      </c>
      <c r="AK47" s="59"/>
      <c r="AL47" s="60"/>
      <c r="AM47" s="60"/>
      <c r="AN47" s="60"/>
      <c r="AO47" s="60"/>
      <c r="AP47" s="60"/>
      <c r="AQ47" s="61" t="s">
        <v>363</v>
      </c>
      <c r="AR47" s="59">
        <f>T50</f>
        <v>447.47100000000006</v>
      </c>
      <c r="AS47" s="61">
        <v>1</v>
      </c>
      <c r="AT47" s="59">
        <f>T51</f>
        <v>12.499999999999998</v>
      </c>
      <c r="AU47" s="60"/>
      <c r="AV47" s="60"/>
      <c r="AW47" s="60"/>
      <c r="AX47" s="60"/>
      <c r="AY47" s="58"/>
      <c r="AZ47" s="59"/>
      <c r="BA47" s="61">
        <v>0.03</v>
      </c>
      <c r="BB47" s="59">
        <f>T52</f>
        <v>35.4375</v>
      </c>
      <c r="BC47" s="59"/>
      <c r="BD47" s="60"/>
      <c r="BE47" s="60"/>
      <c r="BF47" s="60"/>
      <c r="BG47" s="60"/>
      <c r="BH47" s="60"/>
      <c r="BI47" s="60"/>
      <c r="BJ47" s="60"/>
      <c r="BK47" s="59">
        <f>AD47+AJ47+AR47+AT47+BB47</f>
        <v>1318.70974</v>
      </c>
      <c r="BL47" s="64">
        <v>42532</v>
      </c>
      <c r="BM47" s="60"/>
      <c r="BN47" s="60"/>
      <c r="BO47" s="59"/>
      <c r="BP47" s="59"/>
      <c r="BQ47" s="64"/>
      <c r="BR47" s="65"/>
    </row>
    <row r="48" spans="1:70" s="6" customFormat="1" ht="126.7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 t="s">
        <v>6</v>
      </c>
      <c r="M48" s="4">
        <v>0.5</v>
      </c>
      <c r="N48" s="12">
        <f>1453*M48*1.05</f>
        <v>762.82500000000005</v>
      </c>
      <c r="O48" s="12"/>
      <c r="P48" s="12">
        <f>0.08*N48</f>
        <v>61.026000000000003</v>
      </c>
      <c r="Q48" s="12">
        <f>0.87*N48</f>
        <v>663.65775000000008</v>
      </c>
      <c r="R48" s="12"/>
      <c r="S48" s="12">
        <f>0.05*N48</f>
        <v>38.141250000000007</v>
      </c>
      <c r="T48" s="12">
        <f>P48+Q48+R48+S48</f>
        <v>762.82500000000005</v>
      </c>
      <c r="U48" s="5"/>
      <c r="V48" s="5"/>
      <c r="W48" s="5"/>
      <c r="X48" s="5"/>
      <c r="Y48" s="5"/>
      <c r="Z48" s="5"/>
      <c r="AA48" s="5"/>
      <c r="AB48" s="5"/>
      <c r="AC48" s="39"/>
      <c r="AD48" s="5"/>
      <c r="AE48" s="4"/>
      <c r="AF48" s="13"/>
      <c r="AG48" s="13"/>
      <c r="AH48" s="5"/>
      <c r="AI48" s="18"/>
      <c r="AJ48" s="13"/>
      <c r="AK48" s="13"/>
      <c r="AL48" s="5"/>
      <c r="AM48" s="5"/>
      <c r="AN48" s="5"/>
      <c r="AO48" s="5"/>
      <c r="AP48" s="5"/>
      <c r="AQ48" s="18"/>
      <c r="AR48" s="13"/>
      <c r="AS48" s="18"/>
      <c r="AT48" s="13"/>
      <c r="AU48" s="5"/>
      <c r="AV48" s="5"/>
      <c r="AW48" s="5"/>
      <c r="AX48" s="5"/>
      <c r="AY48" s="4"/>
      <c r="AZ48" s="7"/>
      <c r="BA48" s="18"/>
      <c r="BB48" s="13"/>
      <c r="BC48" s="13"/>
      <c r="BD48" s="5"/>
      <c r="BE48" s="5"/>
      <c r="BF48" s="5"/>
      <c r="BG48" s="5"/>
      <c r="BH48" s="5"/>
      <c r="BI48" s="5"/>
      <c r="BJ48" s="5"/>
      <c r="BK48" s="7"/>
      <c r="BL48" s="8"/>
      <c r="BM48" s="5"/>
      <c r="BN48" s="5"/>
      <c r="BO48" s="7"/>
      <c r="BP48" s="7"/>
      <c r="BQ48" s="8"/>
      <c r="BR48" s="9"/>
    </row>
    <row r="49" spans="1:70" s="6" customFormat="1" ht="126.7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 t="s">
        <v>9</v>
      </c>
      <c r="M49" s="18">
        <v>1</v>
      </c>
      <c r="N49" s="12">
        <v>60.48</v>
      </c>
      <c r="O49" s="12"/>
      <c r="P49" s="12">
        <v>3.91</v>
      </c>
      <c r="Q49" s="12">
        <v>12.09</v>
      </c>
      <c r="R49" s="12">
        <f>40.92*1.072</f>
        <v>43.866240000000005</v>
      </c>
      <c r="S49" s="12">
        <v>0.61</v>
      </c>
      <c r="T49" s="12">
        <f t="shared" ref="T49:T52" si="23">P49+Q49+R49+S49</f>
        <v>60.476240000000004</v>
      </c>
      <c r="U49" s="5"/>
      <c r="V49" s="5"/>
      <c r="W49" s="5"/>
      <c r="X49" s="5"/>
      <c r="Y49" s="5"/>
      <c r="Z49" s="5"/>
      <c r="AA49" s="5"/>
      <c r="AB49" s="5"/>
      <c r="AC49" s="39"/>
      <c r="AD49" s="5"/>
      <c r="AE49" s="4"/>
      <c r="AF49" s="13"/>
      <c r="AG49" s="13"/>
      <c r="AH49" s="5"/>
      <c r="AI49" s="18"/>
      <c r="AJ49" s="13"/>
      <c r="AK49" s="13"/>
      <c r="AL49" s="5"/>
      <c r="AM49" s="5"/>
      <c r="AN49" s="5"/>
      <c r="AO49" s="5"/>
      <c r="AP49" s="5"/>
      <c r="AQ49" s="18"/>
      <c r="AR49" s="13"/>
      <c r="AS49" s="18"/>
      <c r="AT49" s="13"/>
      <c r="AU49" s="5"/>
      <c r="AV49" s="5"/>
      <c r="AW49" s="5"/>
      <c r="AX49" s="5"/>
      <c r="AY49" s="4"/>
      <c r="AZ49" s="7"/>
      <c r="BA49" s="18"/>
      <c r="BB49" s="13"/>
      <c r="BC49" s="13"/>
      <c r="BD49" s="5"/>
      <c r="BE49" s="5"/>
      <c r="BF49" s="5"/>
      <c r="BG49" s="5"/>
      <c r="BH49" s="5"/>
      <c r="BI49" s="5"/>
      <c r="BJ49" s="5"/>
      <c r="BK49" s="7"/>
      <c r="BL49" s="8"/>
      <c r="BM49" s="5"/>
      <c r="BN49" s="5"/>
      <c r="BO49" s="7"/>
      <c r="BP49" s="7"/>
      <c r="BQ49" s="8"/>
      <c r="BR49" s="9"/>
    </row>
    <row r="50" spans="1:70" s="6" customFormat="1" ht="126.7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 t="s">
        <v>12</v>
      </c>
      <c r="M50" s="18" t="s">
        <v>363</v>
      </c>
      <c r="N50" s="12">
        <f>T50</f>
        <v>447.47100000000006</v>
      </c>
      <c r="O50" s="12"/>
      <c r="P50" s="12">
        <v>11.25</v>
      </c>
      <c r="Q50" s="12">
        <v>61.8</v>
      </c>
      <c r="R50" s="12">
        <f>417.126-138.487+90.672</f>
        <v>369.31100000000004</v>
      </c>
      <c r="S50" s="12">
        <v>5.1100000000000003</v>
      </c>
      <c r="T50" s="12">
        <f t="shared" si="23"/>
        <v>447.47100000000006</v>
      </c>
      <c r="U50" s="5"/>
      <c r="V50" s="5"/>
      <c r="W50" s="5"/>
      <c r="X50" s="5"/>
      <c r="Y50" s="5"/>
      <c r="Z50" s="5"/>
      <c r="AA50" s="5"/>
      <c r="AB50" s="5"/>
      <c r="AC50" s="39"/>
      <c r="AD50" s="5"/>
      <c r="AE50" s="4"/>
      <c r="AF50" s="13"/>
      <c r="AG50" s="13"/>
      <c r="AH50" s="5"/>
      <c r="AI50" s="18"/>
      <c r="AJ50" s="13"/>
      <c r="AK50" s="13"/>
      <c r="AL50" s="5"/>
      <c r="AM50" s="5"/>
      <c r="AN50" s="5"/>
      <c r="AO50" s="5"/>
      <c r="AP50" s="5"/>
      <c r="AQ50" s="18"/>
      <c r="AR50" s="13"/>
      <c r="AS50" s="18"/>
      <c r="AT50" s="13"/>
      <c r="AU50" s="5"/>
      <c r="AV50" s="5"/>
      <c r="AW50" s="5"/>
      <c r="AX50" s="5"/>
      <c r="AY50" s="4"/>
      <c r="AZ50" s="7"/>
      <c r="BA50" s="18"/>
      <c r="BB50" s="13"/>
      <c r="BC50" s="13"/>
      <c r="BD50" s="5"/>
      <c r="BE50" s="5"/>
      <c r="BF50" s="5"/>
      <c r="BG50" s="5"/>
      <c r="BH50" s="5"/>
      <c r="BI50" s="5"/>
      <c r="BJ50" s="5"/>
      <c r="BK50" s="7"/>
      <c r="BL50" s="8"/>
      <c r="BM50" s="5"/>
      <c r="BN50" s="5"/>
      <c r="BO50" s="7"/>
      <c r="BP50" s="7"/>
      <c r="BQ50" s="8"/>
      <c r="BR50" s="9"/>
    </row>
    <row r="51" spans="1:70" s="6" customFormat="1" ht="126.7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 t="s">
        <v>27</v>
      </c>
      <c r="M51" s="18">
        <v>1</v>
      </c>
      <c r="N51" s="12">
        <v>12.5</v>
      </c>
      <c r="O51" s="12"/>
      <c r="P51" s="12">
        <v>0.75</v>
      </c>
      <c r="Q51" s="12">
        <v>1.53</v>
      </c>
      <c r="R51" s="12">
        <v>10.119999999999999</v>
      </c>
      <c r="S51" s="12">
        <v>0.1</v>
      </c>
      <c r="T51" s="12">
        <f t="shared" si="23"/>
        <v>12.499999999999998</v>
      </c>
      <c r="U51" s="5"/>
      <c r="V51" s="5"/>
      <c r="W51" s="5"/>
      <c r="X51" s="5"/>
      <c r="Y51" s="5"/>
      <c r="Z51" s="5"/>
      <c r="AA51" s="5"/>
      <c r="AB51" s="5"/>
      <c r="AC51" s="39"/>
      <c r="AD51" s="5"/>
      <c r="AE51" s="4"/>
      <c r="AF51" s="13"/>
      <c r="AG51" s="13"/>
      <c r="AH51" s="5"/>
      <c r="AI51" s="18"/>
      <c r="AJ51" s="13"/>
      <c r="AK51" s="13"/>
      <c r="AL51" s="5"/>
      <c r="AM51" s="5"/>
      <c r="AN51" s="5"/>
      <c r="AO51" s="5"/>
      <c r="AP51" s="5"/>
      <c r="AQ51" s="18"/>
      <c r="AR51" s="13"/>
      <c r="AS51" s="18"/>
      <c r="AT51" s="13"/>
      <c r="AU51" s="5"/>
      <c r="AV51" s="5"/>
      <c r="AW51" s="5"/>
      <c r="AX51" s="5"/>
      <c r="AY51" s="4"/>
      <c r="AZ51" s="7"/>
      <c r="BA51" s="18"/>
      <c r="BB51" s="13"/>
      <c r="BC51" s="13"/>
      <c r="BD51" s="5"/>
      <c r="BE51" s="5"/>
      <c r="BF51" s="5"/>
      <c r="BG51" s="5"/>
      <c r="BH51" s="5"/>
      <c r="BI51" s="5"/>
      <c r="BJ51" s="5"/>
      <c r="BK51" s="7"/>
      <c r="BL51" s="8"/>
      <c r="BM51" s="5"/>
      <c r="BN51" s="5"/>
      <c r="BO51" s="7"/>
      <c r="BP51" s="7"/>
      <c r="BQ51" s="8"/>
      <c r="BR51" s="9"/>
    </row>
    <row r="52" spans="1:70" s="6" customFormat="1" ht="126.7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 t="s">
        <v>16</v>
      </c>
      <c r="M52" s="18">
        <v>0.03</v>
      </c>
      <c r="N52" s="12">
        <f>1125*M52*1.05</f>
        <v>35.4375</v>
      </c>
      <c r="O52" s="12"/>
      <c r="P52" s="12">
        <f>0.08*N52</f>
        <v>2.835</v>
      </c>
      <c r="Q52" s="12">
        <f>0.86*N52</f>
        <v>30.47625</v>
      </c>
      <c r="R52" s="12"/>
      <c r="S52" s="12">
        <f>0.06*N52</f>
        <v>2.1262499999999998</v>
      </c>
      <c r="T52" s="12">
        <f t="shared" si="23"/>
        <v>35.4375</v>
      </c>
      <c r="U52" s="5"/>
      <c r="V52" s="5"/>
      <c r="W52" s="5"/>
      <c r="X52" s="5"/>
      <c r="Y52" s="5"/>
      <c r="Z52" s="5"/>
      <c r="AA52" s="5"/>
      <c r="AB52" s="5"/>
      <c r="AC52" s="39"/>
      <c r="AD52" s="5"/>
      <c r="AE52" s="4"/>
      <c r="AF52" s="13"/>
      <c r="AG52" s="13"/>
      <c r="AH52" s="5"/>
      <c r="AI52" s="18"/>
      <c r="AJ52" s="13"/>
      <c r="AK52" s="13"/>
      <c r="AL52" s="5"/>
      <c r="AM52" s="5"/>
      <c r="AN52" s="5"/>
      <c r="AO52" s="5"/>
      <c r="AP52" s="5"/>
      <c r="AQ52" s="18"/>
      <c r="AR52" s="13"/>
      <c r="AS52" s="18"/>
      <c r="AT52" s="13"/>
      <c r="AU52" s="5"/>
      <c r="AV52" s="5"/>
      <c r="AW52" s="5"/>
      <c r="AX52" s="5"/>
      <c r="AY52" s="4"/>
      <c r="AZ52" s="7"/>
      <c r="BA52" s="18"/>
      <c r="BB52" s="13"/>
      <c r="BC52" s="13"/>
      <c r="BD52" s="5"/>
      <c r="BE52" s="5"/>
      <c r="BF52" s="5"/>
      <c r="BG52" s="5"/>
      <c r="BH52" s="5"/>
      <c r="BI52" s="5"/>
      <c r="BJ52" s="5"/>
      <c r="BK52" s="7"/>
      <c r="BL52" s="8"/>
      <c r="BM52" s="5"/>
      <c r="BN52" s="5"/>
      <c r="BO52" s="7"/>
      <c r="BP52" s="7"/>
      <c r="BQ52" s="8"/>
      <c r="BR52" s="9"/>
    </row>
    <row r="53" spans="1:70" s="78" customFormat="1" ht="244.5" customHeight="1" x14ac:dyDescent="0.25">
      <c r="A53" s="67" t="s">
        <v>59</v>
      </c>
      <c r="B53" s="68" t="s">
        <v>74</v>
      </c>
      <c r="C53" s="69">
        <v>466.1</v>
      </c>
      <c r="D53" s="69"/>
      <c r="E53" s="70">
        <v>15</v>
      </c>
      <c r="F53" s="68" t="s">
        <v>89</v>
      </c>
      <c r="G53" s="68" t="s">
        <v>46</v>
      </c>
      <c r="H53" s="68" t="s">
        <v>104</v>
      </c>
      <c r="I53" s="68" t="s">
        <v>48</v>
      </c>
      <c r="J53" s="68" t="s">
        <v>126</v>
      </c>
      <c r="K53" s="70" t="s">
        <v>430</v>
      </c>
      <c r="L53" s="70"/>
      <c r="M53" s="70"/>
      <c r="N53" s="72"/>
      <c r="O53" s="72"/>
      <c r="P53" s="72"/>
      <c r="Q53" s="72"/>
      <c r="R53" s="72"/>
      <c r="S53" s="72"/>
      <c r="T53" s="72"/>
      <c r="U53" s="73"/>
      <c r="V53" s="73"/>
      <c r="W53" s="73"/>
      <c r="X53" s="73"/>
      <c r="Y53" s="73"/>
      <c r="Z53" s="73"/>
      <c r="AA53" s="73"/>
      <c r="AB53" s="73"/>
      <c r="AC53" s="71"/>
      <c r="AD53" s="82"/>
      <c r="AE53" s="82"/>
      <c r="AF53" s="73"/>
      <c r="AG53" s="73"/>
      <c r="AH53" s="73"/>
      <c r="AI53" s="71"/>
      <c r="AJ53" s="82"/>
      <c r="AK53" s="82"/>
      <c r="AL53" s="73"/>
      <c r="AM53" s="73"/>
      <c r="AN53" s="73"/>
      <c r="AO53" s="73"/>
      <c r="AP53" s="73"/>
      <c r="AQ53" s="71"/>
      <c r="AR53" s="82"/>
      <c r="AS53" s="71"/>
      <c r="AT53" s="82"/>
      <c r="AU53" s="73"/>
      <c r="AV53" s="73"/>
      <c r="AW53" s="73"/>
      <c r="AX53" s="73"/>
      <c r="AY53" s="70"/>
      <c r="AZ53" s="72"/>
      <c r="BA53" s="71"/>
      <c r="BB53" s="82"/>
      <c r="BC53" s="82"/>
      <c r="BD53" s="73"/>
      <c r="BE53" s="73"/>
      <c r="BF53" s="73"/>
      <c r="BG53" s="73"/>
      <c r="BH53" s="73"/>
      <c r="BI53" s="73"/>
      <c r="BJ53" s="73"/>
      <c r="BK53" s="72"/>
      <c r="BL53" s="76">
        <v>42510</v>
      </c>
      <c r="BM53" s="73" t="s">
        <v>390</v>
      </c>
      <c r="BN53" s="73"/>
      <c r="BO53" s="72"/>
      <c r="BP53" s="72"/>
      <c r="BQ53" s="76"/>
      <c r="BR53" s="77"/>
    </row>
    <row r="54" spans="1:70" s="78" customFormat="1" ht="298.5" customHeight="1" x14ac:dyDescent="0.25">
      <c r="A54" s="67" t="s">
        <v>154</v>
      </c>
      <c r="B54" s="68" t="s">
        <v>192</v>
      </c>
      <c r="C54" s="69">
        <v>55551</v>
      </c>
      <c r="D54" s="69"/>
      <c r="E54" s="70">
        <v>100</v>
      </c>
      <c r="F54" s="68" t="s">
        <v>230</v>
      </c>
      <c r="G54" s="68" t="s">
        <v>46</v>
      </c>
      <c r="H54" s="68" t="s">
        <v>270</v>
      </c>
      <c r="I54" s="68" t="s">
        <v>299</v>
      </c>
      <c r="J54" s="68" t="s">
        <v>333</v>
      </c>
      <c r="K54" s="70" t="s">
        <v>367</v>
      </c>
      <c r="L54" s="70"/>
      <c r="M54" s="70"/>
      <c r="N54" s="72">
        <f>N55+N56</f>
        <v>173.57500000000002</v>
      </c>
      <c r="O54" s="72"/>
      <c r="P54" s="72">
        <f t="shared" ref="P54:T54" si="24">P55+P56</f>
        <v>13.490000000000002</v>
      </c>
      <c r="Q54" s="72">
        <f t="shared" si="24"/>
        <v>143.38250000000002</v>
      </c>
      <c r="R54" s="72">
        <f t="shared" si="24"/>
        <v>6.7</v>
      </c>
      <c r="S54" s="72">
        <f t="shared" si="24"/>
        <v>10.002500000000001</v>
      </c>
      <c r="T54" s="72">
        <f t="shared" si="24"/>
        <v>173.57500000000002</v>
      </c>
      <c r="U54" s="73"/>
      <c r="V54" s="73"/>
      <c r="W54" s="73"/>
      <c r="X54" s="73"/>
      <c r="Y54" s="73"/>
      <c r="Z54" s="73"/>
      <c r="AA54" s="73"/>
      <c r="AB54" s="73"/>
      <c r="AC54" s="71"/>
      <c r="AD54" s="79"/>
      <c r="AE54" s="79"/>
      <c r="AF54" s="73"/>
      <c r="AG54" s="73"/>
      <c r="AH54" s="73"/>
      <c r="AI54" s="71"/>
      <c r="AJ54" s="79"/>
      <c r="AK54" s="79"/>
      <c r="AL54" s="73"/>
      <c r="AM54" s="73"/>
      <c r="AN54" s="73"/>
      <c r="AO54" s="73"/>
      <c r="AP54" s="73"/>
      <c r="AQ54" s="71"/>
      <c r="AR54" s="82"/>
      <c r="AS54" s="71"/>
      <c r="AT54" s="72"/>
      <c r="AU54" s="73"/>
      <c r="AV54" s="73"/>
      <c r="AW54" s="73"/>
      <c r="AX54" s="73"/>
      <c r="AY54" s="70" t="s">
        <v>368</v>
      </c>
      <c r="AZ54" s="72">
        <f>T55</f>
        <v>8.2000000000000011</v>
      </c>
      <c r="BA54" s="71">
        <v>0.14000000000000001</v>
      </c>
      <c r="BB54" s="72">
        <f>T56</f>
        <v>165.37500000000003</v>
      </c>
      <c r="BC54" s="72"/>
      <c r="BD54" s="73"/>
      <c r="BE54" s="73"/>
      <c r="BF54" s="73"/>
      <c r="BG54" s="73"/>
      <c r="BH54" s="73"/>
      <c r="BI54" s="73"/>
      <c r="BJ54" s="73"/>
      <c r="BK54" s="72">
        <f>AZ54+BB54</f>
        <v>173.57500000000002</v>
      </c>
      <c r="BL54" s="76">
        <v>42713</v>
      </c>
      <c r="BM54" s="73"/>
      <c r="BN54" s="73"/>
      <c r="BO54" s="72"/>
      <c r="BP54" s="72"/>
      <c r="BQ54" s="76"/>
      <c r="BR54" s="77"/>
    </row>
    <row r="55" spans="1:70" s="6" customFormat="1" ht="131.2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 t="s">
        <v>15</v>
      </c>
      <c r="M55" s="4" t="s">
        <v>368</v>
      </c>
      <c r="N55" s="7">
        <f>T55</f>
        <v>8.2000000000000011</v>
      </c>
      <c r="O55" s="7"/>
      <c r="P55" s="7">
        <v>0.26</v>
      </c>
      <c r="Q55" s="7">
        <v>1.1599999999999999</v>
      </c>
      <c r="R55" s="7">
        <v>6.7</v>
      </c>
      <c r="S55" s="7">
        <v>0.08</v>
      </c>
      <c r="T55" s="7">
        <f t="shared" ref="T55" si="25">SUM(P55:S55)</f>
        <v>8.2000000000000011</v>
      </c>
      <c r="U55" s="5"/>
      <c r="V55" s="5"/>
      <c r="W55" s="5"/>
      <c r="X55" s="5"/>
      <c r="Y55" s="5"/>
      <c r="Z55" s="5"/>
      <c r="AA55" s="5"/>
      <c r="AB55" s="5"/>
      <c r="AC55" s="18"/>
      <c r="AD55" s="17"/>
      <c r="AE55" s="17"/>
      <c r="AF55" s="5"/>
      <c r="AG55" s="5"/>
      <c r="AH55" s="5"/>
      <c r="AI55" s="18"/>
      <c r="AJ55" s="17"/>
      <c r="AK55" s="17"/>
      <c r="AL55" s="5"/>
      <c r="AM55" s="5"/>
      <c r="AN55" s="5"/>
      <c r="AO55" s="5"/>
      <c r="AP55" s="5"/>
      <c r="AQ55" s="18"/>
      <c r="AR55" s="13"/>
      <c r="AS55" s="18"/>
      <c r="AT55" s="7"/>
      <c r="AU55" s="5"/>
      <c r="AV55" s="5"/>
      <c r="AW55" s="5"/>
      <c r="AX55" s="5"/>
      <c r="AY55" s="4"/>
      <c r="AZ55" s="7"/>
      <c r="BA55" s="18"/>
      <c r="BB55" s="7"/>
      <c r="BC55" s="4"/>
      <c r="BD55" s="5"/>
      <c r="BE55" s="5"/>
      <c r="BF55" s="5"/>
      <c r="BG55" s="5"/>
      <c r="BH55" s="5"/>
      <c r="BI55" s="5"/>
      <c r="BJ55" s="5"/>
      <c r="BK55" s="7"/>
      <c r="BL55" s="8"/>
      <c r="BM55" s="5"/>
      <c r="BN55" s="5"/>
      <c r="BO55" s="7"/>
      <c r="BP55" s="7"/>
      <c r="BQ55" s="8"/>
      <c r="BR55" s="9"/>
    </row>
    <row r="56" spans="1:70" s="6" customFormat="1" ht="156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 t="s">
        <v>16</v>
      </c>
      <c r="M56" s="18">
        <v>0.14000000000000001</v>
      </c>
      <c r="N56" s="12">
        <f>1125*M56*1.05</f>
        <v>165.37500000000003</v>
      </c>
      <c r="O56" s="12"/>
      <c r="P56" s="12">
        <f>0.08*N56</f>
        <v>13.230000000000002</v>
      </c>
      <c r="Q56" s="12">
        <f>0.86*N56</f>
        <v>142.22250000000003</v>
      </c>
      <c r="R56" s="12"/>
      <c r="S56" s="12">
        <f>0.06*N56</f>
        <v>9.9225000000000012</v>
      </c>
      <c r="T56" s="12">
        <f t="shared" ref="T56" si="26">P56+Q56+R56+S56</f>
        <v>165.37500000000003</v>
      </c>
      <c r="U56" s="5"/>
      <c r="V56" s="5"/>
      <c r="W56" s="5"/>
      <c r="X56" s="5"/>
      <c r="Y56" s="5"/>
      <c r="Z56" s="5"/>
      <c r="AA56" s="5"/>
      <c r="AB56" s="5"/>
      <c r="AC56" s="18"/>
      <c r="AD56" s="17"/>
      <c r="AE56" s="17"/>
      <c r="AF56" s="5"/>
      <c r="AG56" s="5"/>
      <c r="AH56" s="5"/>
      <c r="AI56" s="18"/>
      <c r="AJ56" s="17"/>
      <c r="AK56" s="17"/>
      <c r="AL56" s="5"/>
      <c r="AM56" s="5"/>
      <c r="AN56" s="5"/>
      <c r="AO56" s="5"/>
      <c r="AP56" s="5"/>
      <c r="AQ56" s="18"/>
      <c r="AR56" s="13"/>
      <c r="AS56" s="18"/>
      <c r="AT56" s="7"/>
      <c r="AU56" s="5"/>
      <c r="AV56" s="5"/>
      <c r="AW56" s="5"/>
      <c r="AX56" s="5"/>
      <c r="AY56" s="4"/>
      <c r="AZ56" s="7"/>
      <c r="BA56" s="18"/>
      <c r="BB56" s="7"/>
      <c r="BC56" s="4"/>
      <c r="BD56" s="5"/>
      <c r="BE56" s="5"/>
      <c r="BF56" s="5"/>
      <c r="BG56" s="5"/>
      <c r="BH56" s="5"/>
      <c r="BI56" s="5"/>
      <c r="BJ56" s="5"/>
      <c r="BK56" s="7"/>
      <c r="BL56" s="8"/>
      <c r="BM56" s="5"/>
      <c r="BN56" s="5"/>
      <c r="BO56" s="7"/>
      <c r="BP56" s="7"/>
      <c r="BQ56" s="8"/>
      <c r="BR56" s="9"/>
    </row>
    <row r="57" spans="1:70" s="66" customFormat="1" ht="233.25" customHeight="1" x14ac:dyDescent="0.25">
      <c r="A57" s="55" t="s">
        <v>155</v>
      </c>
      <c r="B57" s="56" t="s">
        <v>193</v>
      </c>
      <c r="C57" s="57">
        <v>466.1</v>
      </c>
      <c r="D57" s="57"/>
      <c r="E57" s="58">
        <v>9</v>
      </c>
      <c r="F57" s="56" t="s">
        <v>231</v>
      </c>
      <c r="G57" s="56" t="s">
        <v>46</v>
      </c>
      <c r="H57" s="56" t="s">
        <v>271</v>
      </c>
      <c r="I57" s="56" t="s">
        <v>300</v>
      </c>
      <c r="J57" s="56" t="s">
        <v>334</v>
      </c>
      <c r="K57" s="58" t="s">
        <v>374</v>
      </c>
      <c r="L57" s="58" t="str">
        <f>BM45</f>
        <v>Объем строительства включен в Ц-7690 (Лот № 26 льготники ЦЭС)</v>
      </c>
      <c r="M57" s="58">
        <f>BM57</f>
        <v>0</v>
      </c>
      <c r="N57" s="59">
        <f>N58</f>
        <v>47.25</v>
      </c>
      <c r="O57" s="59">
        <f t="shared" ref="O57:T57" si="27">O58</f>
        <v>0</v>
      </c>
      <c r="P57" s="59">
        <f>P58</f>
        <v>3.7800000000000002</v>
      </c>
      <c r="Q57" s="59">
        <f t="shared" si="27"/>
        <v>40.634999999999998</v>
      </c>
      <c r="R57" s="59">
        <f t="shared" si="27"/>
        <v>0</v>
      </c>
      <c r="S57" s="59">
        <f t="shared" si="27"/>
        <v>2.835</v>
      </c>
      <c r="T57" s="59">
        <f t="shared" si="27"/>
        <v>47.25</v>
      </c>
      <c r="U57" s="60"/>
      <c r="V57" s="60"/>
      <c r="W57" s="60"/>
      <c r="X57" s="60"/>
      <c r="Y57" s="60"/>
      <c r="Z57" s="60"/>
      <c r="AA57" s="60"/>
      <c r="AB57" s="60"/>
      <c r="AC57" s="61"/>
      <c r="AD57" s="86"/>
      <c r="AE57" s="58"/>
      <c r="AF57" s="60"/>
      <c r="AG57" s="60"/>
      <c r="AH57" s="60"/>
      <c r="AI57" s="61"/>
      <c r="AJ57" s="86"/>
      <c r="AK57" s="58"/>
      <c r="AL57" s="60"/>
      <c r="AM57" s="60"/>
      <c r="AN57" s="60"/>
      <c r="AO57" s="60"/>
      <c r="AP57" s="60"/>
      <c r="AQ57" s="61"/>
      <c r="AR57" s="59"/>
      <c r="AS57" s="61"/>
      <c r="AT57" s="59"/>
      <c r="AU57" s="60"/>
      <c r="AV57" s="60"/>
      <c r="AW57" s="60"/>
      <c r="AX57" s="60"/>
      <c r="AY57" s="58"/>
      <c r="AZ57" s="59"/>
      <c r="BA57" s="61">
        <v>0.04</v>
      </c>
      <c r="BB57" s="62">
        <f>T58</f>
        <v>47.25</v>
      </c>
      <c r="BC57" s="58"/>
      <c r="BD57" s="60"/>
      <c r="BE57" s="60"/>
      <c r="BF57" s="60"/>
      <c r="BG57" s="60"/>
      <c r="BH57" s="60"/>
      <c r="BI57" s="60"/>
      <c r="BJ57" s="60"/>
      <c r="BK57" s="59">
        <f>BB57</f>
        <v>47.25</v>
      </c>
      <c r="BL57" s="64">
        <v>42523</v>
      </c>
      <c r="BM57" s="60"/>
      <c r="BN57" s="60"/>
      <c r="BO57" s="59"/>
      <c r="BP57" s="59"/>
      <c r="BQ57" s="64"/>
      <c r="BR57" s="65"/>
    </row>
    <row r="58" spans="1:70" s="6" customFormat="1" ht="163.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 t="s">
        <v>16</v>
      </c>
      <c r="M58" s="27">
        <v>0.04</v>
      </c>
      <c r="N58" s="7">
        <f>M58*1125*1.05</f>
        <v>47.25</v>
      </c>
      <c r="O58" s="7"/>
      <c r="P58" s="7">
        <f>0.08*N58</f>
        <v>3.7800000000000002</v>
      </c>
      <c r="Q58" s="7">
        <f>0.86*N58</f>
        <v>40.634999999999998</v>
      </c>
      <c r="R58" s="7"/>
      <c r="S58" s="7">
        <f>0.06*N58</f>
        <v>2.835</v>
      </c>
      <c r="T58" s="7">
        <f>P58+Q58+R58+S58</f>
        <v>47.25</v>
      </c>
      <c r="U58" s="5"/>
      <c r="V58" s="5"/>
      <c r="W58" s="5"/>
      <c r="X58" s="5"/>
      <c r="Y58" s="5"/>
      <c r="Z58" s="5"/>
      <c r="AA58" s="5"/>
      <c r="AB58" s="5"/>
      <c r="AC58" s="18"/>
      <c r="AD58" s="17"/>
      <c r="AE58" s="4"/>
      <c r="AF58" s="5"/>
      <c r="AG58" s="5"/>
      <c r="AH58" s="5"/>
      <c r="AI58" s="18"/>
      <c r="AJ58" s="17"/>
      <c r="AK58" s="4"/>
      <c r="AL58" s="5"/>
      <c r="AM58" s="5"/>
      <c r="AN58" s="5"/>
      <c r="AO58" s="5"/>
      <c r="AP58" s="5"/>
      <c r="AQ58" s="18"/>
      <c r="AR58" s="7"/>
      <c r="AS58" s="18"/>
      <c r="AT58" s="7"/>
      <c r="AU58" s="5"/>
      <c r="AV58" s="5"/>
      <c r="AW58" s="5"/>
      <c r="AX58" s="5"/>
      <c r="AY58" s="4"/>
      <c r="AZ58" s="7"/>
      <c r="BA58" s="18"/>
      <c r="BB58" s="7"/>
      <c r="BC58" s="4"/>
      <c r="BD58" s="5"/>
      <c r="BE58" s="5"/>
      <c r="BF58" s="5"/>
      <c r="BG58" s="5"/>
      <c r="BH58" s="5"/>
      <c r="BI58" s="5"/>
      <c r="BJ58" s="5"/>
      <c r="BK58" s="7"/>
      <c r="BL58" s="8"/>
      <c r="BM58" s="5"/>
      <c r="BN58" s="5"/>
      <c r="BO58" s="7"/>
      <c r="BP58" s="7"/>
      <c r="BQ58" s="8"/>
      <c r="BR58" s="9"/>
    </row>
    <row r="59" spans="1:70" s="78" customFormat="1" ht="258.75" customHeight="1" x14ac:dyDescent="0.25">
      <c r="A59" s="67" t="s">
        <v>54</v>
      </c>
      <c r="B59" s="68" t="s">
        <v>69</v>
      </c>
      <c r="C59" s="69">
        <v>466.1</v>
      </c>
      <c r="D59" s="69"/>
      <c r="E59" s="70">
        <v>9</v>
      </c>
      <c r="F59" s="68" t="s">
        <v>84</v>
      </c>
      <c r="G59" s="68" t="s">
        <v>46</v>
      </c>
      <c r="H59" s="68" t="s">
        <v>99</v>
      </c>
      <c r="I59" s="68" t="s">
        <v>48</v>
      </c>
      <c r="J59" s="68" t="s">
        <v>348</v>
      </c>
      <c r="K59" s="70" t="s">
        <v>420</v>
      </c>
      <c r="L59" s="70"/>
      <c r="M59" s="71"/>
      <c r="N59" s="72"/>
      <c r="O59" s="72"/>
      <c r="P59" s="72"/>
      <c r="Q59" s="72"/>
      <c r="R59" s="72"/>
      <c r="S59" s="72"/>
      <c r="T59" s="72"/>
      <c r="U59" s="73"/>
      <c r="V59" s="73"/>
      <c r="W59" s="73"/>
      <c r="X59" s="73"/>
      <c r="Y59" s="73"/>
      <c r="Z59" s="73"/>
      <c r="AA59" s="73"/>
      <c r="AB59" s="73"/>
      <c r="AC59" s="71"/>
      <c r="AD59" s="79"/>
      <c r="AE59" s="70"/>
      <c r="AF59" s="73"/>
      <c r="AG59" s="73"/>
      <c r="AH59" s="73"/>
      <c r="AI59" s="71"/>
      <c r="AJ59" s="79"/>
      <c r="AK59" s="70"/>
      <c r="AL59" s="73"/>
      <c r="AM59" s="73"/>
      <c r="AN59" s="73"/>
      <c r="AO59" s="73"/>
      <c r="AP59" s="73"/>
      <c r="AQ59" s="71"/>
      <c r="AR59" s="72"/>
      <c r="AS59" s="71"/>
      <c r="AT59" s="72"/>
      <c r="AU59" s="73"/>
      <c r="AV59" s="73"/>
      <c r="AW59" s="73"/>
      <c r="AX59" s="73"/>
      <c r="AY59" s="70"/>
      <c r="AZ59" s="72"/>
      <c r="BA59" s="71"/>
      <c r="BB59" s="72"/>
      <c r="BC59" s="70"/>
      <c r="BD59" s="73"/>
      <c r="BE59" s="73"/>
      <c r="BF59" s="73"/>
      <c r="BG59" s="73"/>
      <c r="BH59" s="73"/>
      <c r="BI59" s="73"/>
      <c r="BJ59" s="73"/>
      <c r="BK59" s="72"/>
      <c r="BL59" s="76">
        <v>42509</v>
      </c>
      <c r="BM59" s="73" t="s">
        <v>422</v>
      </c>
      <c r="BN59" s="73"/>
      <c r="BO59" s="72"/>
      <c r="BP59" s="72"/>
      <c r="BQ59" s="76"/>
      <c r="BR59" s="77"/>
    </row>
    <row r="60" spans="1:70" s="66" customFormat="1" ht="201" customHeight="1" x14ac:dyDescent="0.25">
      <c r="A60" s="55" t="s">
        <v>156</v>
      </c>
      <c r="B60" s="56" t="s">
        <v>194</v>
      </c>
      <c r="C60" s="57">
        <v>466.1</v>
      </c>
      <c r="D60" s="57"/>
      <c r="E60" s="58">
        <v>14.5</v>
      </c>
      <c r="F60" s="56" t="s">
        <v>232</v>
      </c>
      <c r="G60" s="56" t="s">
        <v>46</v>
      </c>
      <c r="H60" s="56" t="s">
        <v>272</v>
      </c>
      <c r="I60" s="56" t="s">
        <v>48</v>
      </c>
      <c r="J60" s="56" t="s">
        <v>335</v>
      </c>
      <c r="K60" s="58" t="s">
        <v>421</v>
      </c>
      <c r="L60" s="58"/>
      <c r="M60" s="61"/>
      <c r="N60" s="59">
        <f>N61</f>
        <v>16.259999999999998</v>
      </c>
      <c r="O60" s="59"/>
      <c r="P60" s="59">
        <f>P61</f>
        <v>1.3008</v>
      </c>
      <c r="Q60" s="59">
        <f t="shared" ref="Q60:S60" si="28">Q61</f>
        <v>14.633999999999999</v>
      </c>
      <c r="R60" s="59">
        <f t="shared" si="28"/>
        <v>0</v>
      </c>
      <c r="S60" s="59">
        <f t="shared" si="28"/>
        <v>0.32519999999999999</v>
      </c>
      <c r="T60" s="59">
        <f>P60+Q60+R60+S60</f>
        <v>16.259999999999998</v>
      </c>
      <c r="U60" s="60"/>
      <c r="V60" s="60"/>
      <c r="W60" s="60"/>
      <c r="X60" s="60"/>
      <c r="Y60" s="60"/>
      <c r="Z60" s="60"/>
      <c r="AA60" s="60"/>
      <c r="AB60" s="60"/>
      <c r="AC60" s="61"/>
      <c r="AD60" s="86"/>
      <c r="AE60" s="58"/>
      <c r="AF60" s="60"/>
      <c r="AG60" s="60"/>
      <c r="AH60" s="60"/>
      <c r="AI60" s="61"/>
      <c r="AJ60" s="86"/>
      <c r="AK60" s="58"/>
      <c r="AL60" s="60"/>
      <c r="AM60" s="60"/>
      <c r="AN60" s="60"/>
      <c r="AO60" s="60"/>
      <c r="AP60" s="60"/>
      <c r="AQ60" s="61"/>
      <c r="AR60" s="59"/>
      <c r="AS60" s="61"/>
      <c r="AT60" s="59"/>
      <c r="AU60" s="60"/>
      <c r="AV60" s="60"/>
      <c r="AW60" s="60"/>
      <c r="AX60" s="60"/>
      <c r="AY60" s="58"/>
      <c r="AZ60" s="59"/>
      <c r="BA60" s="61"/>
      <c r="BB60" s="59"/>
      <c r="BC60" s="58"/>
      <c r="BD60" s="60"/>
      <c r="BE60" s="60"/>
      <c r="BF60" s="60"/>
      <c r="BG60" s="60" t="s">
        <v>423</v>
      </c>
      <c r="BH60" s="60">
        <f>0.06*135.5*2</f>
        <v>16.259999999999998</v>
      </c>
      <c r="BI60" s="60"/>
      <c r="BJ60" s="60"/>
      <c r="BK60" s="59">
        <f>BH60</f>
        <v>16.259999999999998</v>
      </c>
      <c r="BL60" s="64">
        <v>42520</v>
      </c>
      <c r="BM60" s="60"/>
      <c r="BN60" s="60"/>
      <c r="BO60" s="59"/>
      <c r="BP60" s="59"/>
      <c r="BQ60" s="64"/>
      <c r="BR60" s="65"/>
    </row>
    <row r="61" spans="1:70" s="51" customFormat="1" ht="248.45" customHeight="1" x14ac:dyDescent="0.25">
      <c r="A61" s="41"/>
      <c r="B61" s="42"/>
      <c r="C61" s="43"/>
      <c r="D61" s="43"/>
      <c r="E61" s="27"/>
      <c r="F61" s="42"/>
      <c r="G61" s="42"/>
      <c r="H61" s="42"/>
      <c r="I61" s="42"/>
      <c r="J61" s="42"/>
      <c r="K61" s="27"/>
      <c r="L61" s="27" t="s">
        <v>32</v>
      </c>
      <c r="M61" s="46" t="s">
        <v>423</v>
      </c>
      <c r="N61" s="7">
        <f>0.06*135.5*2</f>
        <v>16.259999999999998</v>
      </c>
      <c r="O61" s="7"/>
      <c r="P61" s="7">
        <f>0.08*N61</f>
        <v>1.3008</v>
      </c>
      <c r="Q61" s="7">
        <f>0.9*N61</f>
        <v>14.633999999999999</v>
      </c>
      <c r="R61" s="7">
        <v>0</v>
      </c>
      <c r="S61" s="7">
        <f>0.02*N61</f>
        <v>0.32519999999999999</v>
      </c>
      <c r="T61" s="7">
        <f>P61+Q61+R61+S61</f>
        <v>16.259999999999998</v>
      </c>
      <c r="U61" s="44"/>
      <c r="V61" s="44"/>
      <c r="W61" s="44"/>
      <c r="X61" s="44"/>
      <c r="Y61" s="44"/>
      <c r="Z61" s="44"/>
      <c r="AA61" s="44"/>
      <c r="AB61" s="44"/>
      <c r="AC61" s="46"/>
      <c r="AD61" s="52"/>
      <c r="AE61" s="27"/>
      <c r="AF61" s="44"/>
      <c r="AG61" s="44"/>
      <c r="AH61" s="44"/>
      <c r="AI61" s="46"/>
      <c r="AJ61" s="52"/>
      <c r="AK61" s="27"/>
      <c r="AL61" s="44"/>
      <c r="AM61" s="44"/>
      <c r="AN61" s="44"/>
      <c r="AO61" s="44"/>
      <c r="AP61" s="44"/>
      <c r="AQ61" s="46"/>
      <c r="AR61" s="45"/>
      <c r="AS61" s="46"/>
      <c r="AT61" s="45"/>
      <c r="AU61" s="44"/>
      <c r="AV61" s="44"/>
      <c r="AW61" s="44"/>
      <c r="AX61" s="44"/>
      <c r="AY61" s="27"/>
      <c r="AZ61" s="45"/>
      <c r="BA61" s="46"/>
      <c r="BB61" s="45"/>
      <c r="BC61" s="27"/>
      <c r="BD61" s="44"/>
      <c r="BE61" s="44"/>
      <c r="BF61" s="44"/>
      <c r="BG61" s="44"/>
      <c r="BH61" s="44"/>
      <c r="BI61" s="44"/>
      <c r="BJ61" s="44"/>
      <c r="BK61" s="45"/>
      <c r="BL61" s="49"/>
      <c r="BM61" s="44"/>
      <c r="BN61" s="44"/>
      <c r="BO61" s="45"/>
      <c r="BP61" s="45"/>
      <c r="BQ61" s="49"/>
      <c r="BR61" s="50"/>
    </row>
    <row r="62" spans="1:70" s="66" customFormat="1" ht="191.25" customHeight="1" x14ac:dyDescent="0.25">
      <c r="A62" s="55" t="s">
        <v>157</v>
      </c>
      <c r="B62" s="56" t="s">
        <v>195</v>
      </c>
      <c r="C62" s="57">
        <v>466.1</v>
      </c>
      <c r="D62" s="57"/>
      <c r="E62" s="58">
        <v>15</v>
      </c>
      <c r="F62" s="56" t="s">
        <v>233</v>
      </c>
      <c r="G62" s="56" t="s">
        <v>111</v>
      </c>
      <c r="H62" s="56" t="s">
        <v>273</v>
      </c>
      <c r="I62" s="56" t="s">
        <v>301</v>
      </c>
      <c r="J62" s="56" t="s">
        <v>336</v>
      </c>
      <c r="K62" s="58" t="s">
        <v>351</v>
      </c>
      <c r="L62" s="58"/>
      <c r="M62" s="58"/>
      <c r="N62" s="59">
        <f>N63</f>
        <v>171.28125</v>
      </c>
      <c r="O62" s="59"/>
      <c r="P62" s="59">
        <f t="shared" ref="P62:T62" si="29">P63</f>
        <v>13.702500000000001</v>
      </c>
      <c r="Q62" s="59">
        <f t="shared" si="29"/>
        <v>147.301875</v>
      </c>
      <c r="R62" s="59">
        <f t="shared" si="29"/>
        <v>0</v>
      </c>
      <c r="S62" s="59">
        <f t="shared" si="29"/>
        <v>10.276875</v>
      </c>
      <c r="T62" s="59">
        <f t="shared" si="29"/>
        <v>171.28124999999997</v>
      </c>
      <c r="U62" s="60"/>
      <c r="V62" s="60"/>
      <c r="W62" s="60"/>
      <c r="X62" s="60"/>
      <c r="Y62" s="60"/>
      <c r="Z62" s="60"/>
      <c r="AA62" s="60"/>
      <c r="AB62" s="60"/>
      <c r="AC62" s="61"/>
      <c r="AD62" s="86"/>
      <c r="AE62" s="58"/>
      <c r="AF62" s="60"/>
      <c r="AG62" s="60"/>
      <c r="AH62" s="60"/>
      <c r="AI62" s="61"/>
      <c r="AJ62" s="86"/>
      <c r="AK62" s="58"/>
      <c r="AL62" s="60"/>
      <c r="AM62" s="60"/>
      <c r="AN62" s="60"/>
      <c r="AO62" s="60"/>
      <c r="AP62" s="60"/>
      <c r="AQ62" s="61"/>
      <c r="AR62" s="59"/>
      <c r="AS62" s="61"/>
      <c r="AT62" s="59"/>
      <c r="AU62" s="60"/>
      <c r="AV62" s="60"/>
      <c r="AW62" s="60"/>
      <c r="AX62" s="60"/>
      <c r="AY62" s="58"/>
      <c r="AZ62" s="59"/>
      <c r="BA62" s="61" t="s">
        <v>352</v>
      </c>
      <c r="BB62" s="59">
        <f>T63</f>
        <v>171.28124999999997</v>
      </c>
      <c r="BC62" s="59"/>
      <c r="BD62" s="60"/>
      <c r="BE62" s="60"/>
      <c r="BF62" s="60"/>
      <c r="BG62" s="60"/>
      <c r="BH62" s="60"/>
      <c r="BI62" s="60"/>
      <c r="BJ62" s="60"/>
      <c r="BK62" s="59">
        <f>BB62</f>
        <v>171.28124999999997</v>
      </c>
      <c r="BL62" s="64">
        <v>42532</v>
      </c>
      <c r="BM62" s="60"/>
      <c r="BN62" s="60"/>
      <c r="BO62" s="59"/>
      <c r="BP62" s="59"/>
      <c r="BQ62" s="64"/>
      <c r="BR62" s="65"/>
    </row>
    <row r="63" spans="1:70" s="6" customFormat="1" ht="243.7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 t="s">
        <v>16</v>
      </c>
      <c r="M63" s="18" t="s">
        <v>352</v>
      </c>
      <c r="N63" s="12">
        <f>1125*0.145*1.05</f>
        <v>171.28125</v>
      </c>
      <c r="O63" s="12"/>
      <c r="P63" s="12">
        <f>0.08*N63</f>
        <v>13.702500000000001</v>
      </c>
      <c r="Q63" s="12">
        <f>0.86*N63</f>
        <v>147.301875</v>
      </c>
      <c r="R63" s="12"/>
      <c r="S63" s="12">
        <f>0.06*N63</f>
        <v>10.276875</v>
      </c>
      <c r="T63" s="12">
        <f t="shared" ref="T63" si="30">P63+Q63+R63+S63</f>
        <v>171.28124999999997</v>
      </c>
      <c r="U63" s="5"/>
      <c r="V63" s="5"/>
      <c r="W63" s="5"/>
      <c r="X63" s="5"/>
      <c r="Y63" s="5"/>
      <c r="Z63" s="5"/>
      <c r="AA63" s="5"/>
      <c r="AB63" s="5"/>
      <c r="AC63" s="18"/>
      <c r="AD63" s="17"/>
      <c r="AE63" s="4"/>
      <c r="AF63" s="5"/>
      <c r="AG63" s="5"/>
      <c r="AH63" s="5"/>
      <c r="AI63" s="18"/>
      <c r="AJ63" s="17"/>
      <c r="AK63" s="4"/>
      <c r="AL63" s="5"/>
      <c r="AM63" s="5"/>
      <c r="AN63" s="5"/>
      <c r="AO63" s="5"/>
      <c r="AP63" s="5"/>
      <c r="AQ63" s="18"/>
      <c r="AR63" s="7"/>
      <c r="AS63" s="18"/>
      <c r="AT63" s="7"/>
      <c r="AU63" s="5"/>
      <c r="AV63" s="5"/>
      <c r="AW63" s="5"/>
      <c r="AX63" s="5"/>
      <c r="AY63" s="4"/>
      <c r="AZ63" s="7"/>
      <c r="BA63" s="18"/>
      <c r="BB63" s="7"/>
      <c r="BC63" s="4"/>
      <c r="BD63" s="5"/>
      <c r="BE63" s="5"/>
      <c r="BF63" s="5"/>
      <c r="BG63" s="5"/>
      <c r="BH63" s="5"/>
      <c r="BI63" s="5"/>
      <c r="BJ63" s="5"/>
      <c r="BK63" s="7"/>
      <c r="BL63" s="8"/>
      <c r="BM63" s="5"/>
      <c r="BN63" s="5"/>
      <c r="BO63" s="7"/>
      <c r="BP63" s="7"/>
      <c r="BQ63" s="8"/>
      <c r="BR63" s="9"/>
    </row>
    <row r="64" spans="1:70" s="78" customFormat="1" ht="247.5" customHeight="1" x14ac:dyDescent="0.25">
      <c r="A64" s="67" t="s">
        <v>159</v>
      </c>
      <c r="B64" s="68" t="s">
        <v>197</v>
      </c>
      <c r="C64" s="69">
        <v>8888.16</v>
      </c>
      <c r="D64" s="69"/>
      <c r="E64" s="70">
        <v>16</v>
      </c>
      <c r="F64" s="68" t="s">
        <v>235</v>
      </c>
      <c r="G64" s="68" t="s">
        <v>46</v>
      </c>
      <c r="H64" s="68" t="s">
        <v>275</v>
      </c>
      <c r="I64" s="68" t="s">
        <v>48</v>
      </c>
      <c r="J64" s="68" t="s">
        <v>337</v>
      </c>
      <c r="K64" s="70" t="s">
        <v>428</v>
      </c>
      <c r="L64" s="70"/>
      <c r="M64" s="71"/>
      <c r="N64" s="72"/>
      <c r="O64" s="72"/>
      <c r="P64" s="72"/>
      <c r="Q64" s="72"/>
      <c r="R64" s="72"/>
      <c r="S64" s="72"/>
      <c r="T64" s="87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4"/>
      <c r="AJ64" s="73"/>
      <c r="AK64" s="73"/>
      <c r="AL64" s="73"/>
      <c r="AM64" s="73"/>
      <c r="AN64" s="73"/>
      <c r="AO64" s="73"/>
      <c r="AP64" s="73"/>
      <c r="AQ64" s="74"/>
      <c r="AR64" s="73"/>
      <c r="AS64" s="74"/>
      <c r="AT64" s="73"/>
      <c r="AU64" s="73"/>
      <c r="AV64" s="73"/>
      <c r="AW64" s="73"/>
      <c r="AX64" s="73"/>
      <c r="AY64" s="70"/>
      <c r="AZ64" s="72"/>
      <c r="BA64" s="71"/>
      <c r="BB64" s="72"/>
      <c r="BC64" s="70"/>
      <c r="BD64" s="73"/>
      <c r="BE64" s="73"/>
      <c r="BF64" s="73"/>
      <c r="BG64" s="73"/>
      <c r="BH64" s="73"/>
      <c r="BI64" s="73"/>
      <c r="BJ64" s="73"/>
      <c r="BK64" s="72"/>
      <c r="BL64" s="76">
        <v>42524</v>
      </c>
      <c r="BM64" s="73" t="s">
        <v>356</v>
      </c>
      <c r="BN64" s="73"/>
      <c r="BO64" s="72"/>
      <c r="BP64" s="72"/>
      <c r="BQ64" s="76"/>
      <c r="BR64" s="77"/>
    </row>
    <row r="65" spans="1:70" s="78" customFormat="1" ht="271.5" customHeight="1" x14ac:dyDescent="0.25">
      <c r="A65" s="67" t="s">
        <v>160</v>
      </c>
      <c r="B65" s="68" t="s">
        <v>198</v>
      </c>
      <c r="C65" s="69">
        <v>466.1</v>
      </c>
      <c r="D65" s="69"/>
      <c r="E65" s="70">
        <v>12</v>
      </c>
      <c r="F65" s="68" t="s">
        <v>236</v>
      </c>
      <c r="G65" s="68" t="s">
        <v>46</v>
      </c>
      <c r="H65" s="68" t="s">
        <v>276</v>
      </c>
      <c r="I65" s="68" t="s">
        <v>48</v>
      </c>
      <c r="J65" s="68" t="s">
        <v>338</v>
      </c>
      <c r="K65" s="70" t="s">
        <v>429</v>
      </c>
      <c r="L65" s="70"/>
      <c r="M65" s="71"/>
      <c r="N65" s="87"/>
      <c r="O65" s="87"/>
      <c r="P65" s="87"/>
      <c r="Q65" s="87"/>
      <c r="R65" s="87"/>
      <c r="S65" s="87"/>
      <c r="T65" s="87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4"/>
      <c r="AJ65" s="73"/>
      <c r="AK65" s="73"/>
      <c r="AL65" s="73"/>
      <c r="AM65" s="73"/>
      <c r="AN65" s="73"/>
      <c r="AO65" s="73"/>
      <c r="AP65" s="73"/>
      <c r="AQ65" s="74"/>
      <c r="AR65" s="73"/>
      <c r="AS65" s="74"/>
      <c r="AT65" s="73"/>
      <c r="AU65" s="73"/>
      <c r="AV65" s="73"/>
      <c r="AW65" s="73"/>
      <c r="AX65" s="73"/>
      <c r="AY65" s="70"/>
      <c r="AZ65" s="72"/>
      <c r="BA65" s="71"/>
      <c r="BB65" s="72"/>
      <c r="BC65" s="70"/>
      <c r="BD65" s="73"/>
      <c r="BE65" s="73"/>
      <c r="BF65" s="73"/>
      <c r="BG65" s="73"/>
      <c r="BH65" s="73"/>
      <c r="BI65" s="73"/>
      <c r="BJ65" s="73"/>
      <c r="BK65" s="72"/>
      <c r="BL65" s="76">
        <v>42525</v>
      </c>
      <c r="BM65" s="73" t="s">
        <v>364</v>
      </c>
      <c r="BN65" s="73"/>
      <c r="BO65" s="72"/>
      <c r="BP65" s="72"/>
      <c r="BQ65" s="76"/>
      <c r="BR65" s="77"/>
    </row>
    <row r="66" spans="1:70" s="66" customFormat="1" ht="261" customHeight="1" x14ac:dyDescent="0.25">
      <c r="A66" s="55" t="s">
        <v>61</v>
      </c>
      <c r="B66" s="56" t="s">
        <v>76</v>
      </c>
      <c r="C66" s="57">
        <v>466.1</v>
      </c>
      <c r="D66" s="57"/>
      <c r="E66" s="58">
        <v>12</v>
      </c>
      <c r="F66" s="56" t="s">
        <v>91</v>
      </c>
      <c r="G66" s="56" t="s">
        <v>46</v>
      </c>
      <c r="H66" s="56" t="s">
        <v>106</v>
      </c>
      <c r="I66" s="56" t="s">
        <v>129</v>
      </c>
      <c r="J66" s="56" t="s">
        <v>130</v>
      </c>
      <c r="K66" s="58" t="s">
        <v>426</v>
      </c>
      <c r="L66" s="58"/>
      <c r="M66" s="61"/>
      <c r="N66" s="84"/>
      <c r="O66" s="84"/>
      <c r="P66" s="84"/>
      <c r="Q66" s="84"/>
      <c r="R66" s="84"/>
      <c r="S66" s="84"/>
      <c r="T66" s="84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80"/>
      <c r="AJ66" s="60"/>
      <c r="AK66" s="60"/>
      <c r="AL66" s="60"/>
      <c r="AM66" s="60"/>
      <c r="AN66" s="60"/>
      <c r="AO66" s="60"/>
      <c r="AP66" s="60"/>
      <c r="AQ66" s="80"/>
      <c r="AR66" s="60"/>
      <c r="AS66" s="80"/>
      <c r="AT66" s="60"/>
      <c r="AU66" s="60"/>
      <c r="AV66" s="60"/>
      <c r="AW66" s="60"/>
      <c r="AX66" s="60"/>
      <c r="AY66" s="58"/>
      <c r="AZ66" s="59"/>
      <c r="BA66" s="61"/>
      <c r="BB66" s="59"/>
      <c r="BC66" s="58"/>
      <c r="BD66" s="60"/>
      <c r="BE66" s="60"/>
      <c r="BF66" s="60"/>
      <c r="BG66" s="60"/>
      <c r="BH66" s="60"/>
      <c r="BI66" s="60"/>
      <c r="BJ66" s="60"/>
      <c r="BK66" s="59"/>
      <c r="BL66" s="64">
        <v>42513</v>
      </c>
      <c r="BM66" s="60" t="s">
        <v>392</v>
      </c>
      <c r="BN66" s="60"/>
      <c r="BO66" s="59"/>
      <c r="BP66" s="59"/>
      <c r="BQ66" s="64"/>
      <c r="BR66" s="65"/>
    </row>
    <row r="67" spans="1:70" s="66" customFormat="1" ht="204" customHeight="1" x14ac:dyDescent="0.25">
      <c r="A67" s="55" t="s">
        <v>57</v>
      </c>
      <c r="B67" s="56" t="s">
        <v>72</v>
      </c>
      <c r="C67" s="57">
        <v>466.1</v>
      </c>
      <c r="D67" s="57"/>
      <c r="E67" s="58">
        <v>2</v>
      </c>
      <c r="F67" s="56" t="s">
        <v>87</v>
      </c>
      <c r="G67" s="56" t="s">
        <v>47</v>
      </c>
      <c r="H67" s="56" t="s">
        <v>102</v>
      </c>
      <c r="I67" s="56" t="s">
        <v>123</v>
      </c>
      <c r="J67" s="56" t="s">
        <v>124</v>
      </c>
      <c r="K67" s="58" t="s">
        <v>388</v>
      </c>
      <c r="L67" s="58"/>
      <c r="M67" s="58"/>
      <c r="N67" s="59">
        <f>N68</f>
        <v>47.25</v>
      </c>
      <c r="O67" s="59"/>
      <c r="P67" s="59">
        <f t="shared" ref="P67:T67" si="31">P68</f>
        <v>3.7800000000000002</v>
      </c>
      <c r="Q67" s="59">
        <f t="shared" si="31"/>
        <v>40.634999999999998</v>
      </c>
      <c r="R67" s="59">
        <f t="shared" si="31"/>
        <v>0</v>
      </c>
      <c r="S67" s="59">
        <f t="shared" si="31"/>
        <v>2.835</v>
      </c>
      <c r="T67" s="59">
        <f t="shared" si="31"/>
        <v>47.25</v>
      </c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80"/>
      <c r="AJ67" s="60"/>
      <c r="AK67" s="60"/>
      <c r="AL67" s="60"/>
      <c r="AM67" s="60"/>
      <c r="AN67" s="60"/>
      <c r="AO67" s="60"/>
      <c r="AP67" s="60"/>
      <c r="AQ67" s="80"/>
      <c r="AR67" s="60"/>
      <c r="AS67" s="80"/>
      <c r="AT67" s="60"/>
      <c r="AU67" s="60"/>
      <c r="AV67" s="60"/>
      <c r="AW67" s="60"/>
      <c r="AX67" s="60"/>
      <c r="AY67" s="58"/>
      <c r="AZ67" s="59"/>
      <c r="BA67" s="61">
        <v>0.04</v>
      </c>
      <c r="BB67" s="58">
        <f>T68</f>
        <v>47.25</v>
      </c>
      <c r="BC67" s="58"/>
      <c r="BD67" s="60"/>
      <c r="BE67" s="60"/>
      <c r="BF67" s="60"/>
      <c r="BG67" s="60"/>
      <c r="BH67" s="60"/>
      <c r="BI67" s="60"/>
      <c r="BJ67" s="60"/>
      <c r="BK67" s="59">
        <f>BB67</f>
        <v>47.25</v>
      </c>
      <c r="BL67" s="64">
        <v>42514</v>
      </c>
      <c r="BM67" s="60"/>
      <c r="BN67" s="60"/>
      <c r="BO67" s="59"/>
      <c r="BP67" s="59"/>
      <c r="BQ67" s="64"/>
      <c r="BR67" s="65"/>
    </row>
    <row r="68" spans="1:70" s="6" customFormat="1" ht="204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 t="s">
        <v>16</v>
      </c>
      <c r="M68" s="18">
        <v>0.04</v>
      </c>
      <c r="N68" s="7">
        <f>1125*M68*1.05</f>
        <v>47.25</v>
      </c>
      <c r="O68" s="7"/>
      <c r="P68" s="7">
        <f>0.08*N68</f>
        <v>3.7800000000000002</v>
      </c>
      <c r="Q68" s="7">
        <f>0.86*N68</f>
        <v>40.634999999999998</v>
      </c>
      <c r="R68" s="7"/>
      <c r="S68" s="7">
        <f>0.06*N68</f>
        <v>2.835</v>
      </c>
      <c r="T68" s="7">
        <f>P68+Q68+R68+S68</f>
        <v>47.25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39"/>
      <c r="AJ68" s="5"/>
      <c r="AK68" s="5"/>
      <c r="AL68" s="5"/>
      <c r="AM68" s="5"/>
      <c r="AN68" s="5"/>
      <c r="AO68" s="5"/>
      <c r="AP68" s="5"/>
      <c r="AQ68" s="39"/>
      <c r="AR68" s="5"/>
      <c r="AS68" s="39"/>
      <c r="AT68" s="5"/>
      <c r="AU68" s="5"/>
      <c r="AV68" s="5"/>
      <c r="AW68" s="5"/>
      <c r="AX68" s="5"/>
      <c r="AY68" s="4"/>
      <c r="AZ68" s="7"/>
      <c r="BA68" s="18"/>
      <c r="BB68" s="7"/>
      <c r="BC68" s="4"/>
      <c r="BD68" s="5"/>
      <c r="BE68" s="5"/>
      <c r="BF68" s="5"/>
      <c r="BG68" s="5"/>
      <c r="BH68" s="5"/>
      <c r="BI68" s="5"/>
      <c r="BJ68" s="5"/>
      <c r="BK68" s="7"/>
      <c r="BL68" s="8"/>
      <c r="BM68" s="5"/>
      <c r="BN68" s="5"/>
      <c r="BO68" s="7"/>
      <c r="BP68" s="7"/>
      <c r="BQ68" s="8"/>
      <c r="BR68" s="9"/>
    </row>
    <row r="69" spans="1:70" s="66" customFormat="1" ht="204" customHeight="1" x14ac:dyDescent="0.25">
      <c r="A69" s="55" t="s">
        <v>62</v>
      </c>
      <c r="B69" s="56" t="s">
        <v>77</v>
      </c>
      <c r="C69" s="57">
        <v>466.1</v>
      </c>
      <c r="D69" s="57"/>
      <c r="E69" s="58">
        <v>12</v>
      </c>
      <c r="F69" s="56" t="s">
        <v>92</v>
      </c>
      <c r="G69" s="56" t="s">
        <v>46</v>
      </c>
      <c r="H69" s="56" t="s">
        <v>107</v>
      </c>
      <c r="I69" s="56" t="s">
        <v>48</v>
      </c>
      <c r="J69" s="56" t="s">
        <v>131</v>
      </c>
      <c r="K69" s="58" t="s">
        <v>426</v>
      </c>
      <c r="L69" s="58"/>
      <c r="M69" s="61"/>
      <c r="N69" s="84"/>
      <c r="O69" s="84"/>
      <c r="P69" s="84"/>
      <c r="Q69" s="84"/>
      <c r="R69" s="84"/>
      <c r="S69" s="84"/>
      <c r="T69" s="84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80"/>
      <c r="AJ69" s="60"/>
      <c r="AK69" s="60"/>
      <c r="AL69" s="60"/>
      <c r="AM69" s="60"/>
      <c r="AN69" s="60"/>
      <c r="AO69" s="60"/>
      <c r="AP69" s="60"/>
      <c r="AQ69" s="80"/>
      <c r="AR69" s="60"/>
      <c r="AS69" s="80"/>
      <c r="AT69" s="60"/>
      <c r="AU69" s="60"/>
      <c r="AV69" s="60"/>
      <c r="AW69" s="60"/>
      <c r="AX69" s="60"/>
      <c r="AY69" s="58"/>
      <c r="AZ69" s="59"/>
      <c r="BA69" s="61"/>
      <c r="BB69" s="59"/>
      <c r="BC69" s="58"/>
      <c r="BD69" s="60"/>
      <c r="BE69" s="60"/>
      <c r="BF69" s="60"/>
      <c r="BG69" s="60"/>
      <c r="BH69" s="60"/>
      <c r="BI69" s="60"/>
      <c r="BJ69" s="60"/>
      <c r="BK69" s="59"/>
      <c r="BL69" s="64">
        <v>42513</v>
      </c>
      <c r="BM69" s="60" t="s">
        <v>393</v>
      </c>
      <c r="BN69" s="60"/>
      <c r="BO69" s="59"/>
      <c r="BP69" s="59"/>
      <c r="BQ69" s="64"/>
      <c r="BR69" s="65"/>
    </row>
    <row r="70" spans="1:70" s="78" customFormat="1" ht="283.5" customHeight="1" x14ac:dyDescent="0.25">
      <c r="A70" s="67" t="s">
        <v>161</v>
      </c>
      <c r="B70" s="68" t="s">
        <v>199</v>
      </c>
      <c r="C70" s="69">
        <v>8332.65</v>
      </c>
      <c r="D70" s="69"/>
      <c r="E70" s="70">
        <v>15</v>
      </c>
      <c r="F70" s="68" t="s">
        <v>237</v>
      </c>
      <c r="G70" s="68" t="s">
        <v>46</v>
      </c>
      <c r="H70" s="68" t="s">
        <v>277</v>
      </c>
      <c r="I70" s="68" t="s">
        <v>48</v>
      </c>
      <c r="J70" s="68" t="s">
        <v>339</v>
      </c>
      <c r="K70" s="70" t="s">
        <v>427</v>
      </c>
      <c r="L70" s="70"/>
      <c r="M70" s="70"/>
      <c r="N70" s="72"/>
      <c r="O70" s="72"/>
      <c r="P70" s="72"/>
      <c r="Q70" s="72"/>
      <c r="R70" s="72"/>
      <c r="S70" s="72"/>
      <c r="T70" s="72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4"/>
      <c r="AJ70" s="73"/>
      <c r="AK70" s="73"/>
      <c r="AL70" s="73"/>
      <c r="AM70" s="73"/>
      <c r="AN70" s="73"/>
      <c r="AO70" s="73"/>
      <c r="AP70" s="73"/>
      <c r="AQ70" s="74"/>
      <c r="AR70" s="73"/>
      <c r="AS70" s="74"/>
      <c r="AT70" s="73"/>
      <c r="AU70" s="73"/>
      <c r="AV70" s="73"/>
      <c r="AW70" s="73"/>
      <c r="AX70" s="73"/>
      <c r="AY70" s="70"/>
      <c r="AZ70" s="72"/>
      <c r="BA70" s="71"/>
      <c r="BB70" s="72"/>
      <c r="BC70" s="70"/>
      <c r="BD70" s="73"/>
      <c r="BE70" s="73"/>
      <c r="BF70" s="73"/>
      <c r="BG70" s="73"/>
      <c r="BH70" s="73"/>
      <c r="BI70" s="73"/>
      <c r="BJ70" s="73"/>
      <c r="BK70" s="72"/>
      <c r="BL70" s="76">
        <v>42531</v>
      </c>
      <c r="BM70" s="73" t="s">
        <v>369</v>
      </c>
      <c r="BN70" s="73"/>
      <c r="BO70" s="72"/>
      <c r="BP70" s="72"/>
      <c r="BQ70" s="76"/>
      <c r="BR70" s="77"/>
    </row>
    <row r="71" spans="1:70" s="66" customFormat="1" ht="409.5" customHeight="1" x14ac:dyDescent="0.25">
      <c r="A71" s="55" t="s">
        <v>162</v>
      </c>
      <c r="B71" s="56" t="s">
        <v>200</v>
      </c>
      <c r="C71" s="57">
        <v>466.1</v>
      </c>
      <c r="D71" s="57"/>
      <c r="E71" s="58">
        <v>5</v>
      </c>
      <c r="F71" s="56" t="s">
        <v>238</v>
      </c>
      <c r="G71" s="56" t="s">
        <v>46</v>
      </c>
      <c r="H71" s="56" t="s">
        <v>278</v>
      </c>
      <c r="I71" s="56" t="s">
        <v>303</v>
      </c>
      <c r="J71" s="56" t="s">
        <v>340</v>
      </c>
      <c r="K71" s="58" t="s">
        <v>357</v>
      </c>
      <c r="L71" s="58"/>
      <c r="M71" s="58"/>
      <c r="N71" s="59">
        <f>N72+N73+N74+N75+N76</f>
        <v>1141.9845</v>
      </c>
      <c r="O71" s="59"/>
      <c r="P71" s="59">
        <f t="shared" ref="P71:S71" si="32">P72+P73+P74+P75+P76</f>
        <v>61.504359999999998</v>
      </c>
      <c r="Q71" s="59">
        <f t="shared" si="32"/>
        <v>568.30553999999995</v>
      </c>
      <c r="R71" s="59">
        <f t="shared" si="32"/>
        <v>474.90123999999997</v>
      </c>
      <c r="S71" s="59">
        <f t="shared" si="32"/>
        <v>37.269599999999997</v>
      </c>
      <c r="T71" s="59">
        <f>T72+T73+T74+T75+T76+0.01</f>
        <v>1141.99074</v>
      </c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58">
        <v>0.18</v>
      </c>
      <c r="AF71" s="59">
        <f>T72</f>
        <v>274.61699999999996</v>
      </c>
      <c r="AG71" s="59"/>
      <c r="AH71" s="60"/>
      <c r="AI71" s="61">
        <v>1</v>
      </c>
      <c r="AJ71" s="59">
        <f>T73</f>
        <v>60.476240000000004</v>
      </c>
      <c r="AK71" s="59"/>
      <c r="AL71" s="60"/>
      <c r="AM71" s="60"/>
      <c r="AN71" s="60"/>
      <c r="AO71" s="60"/>
      <c r="AP71" s="60"/>
      <c r="AQ71" s="61" t="s">
        <v>358</v>
      </c>
      <c r="AR71" s="59">
        <f>T74</f>
        <v>499.07499999999999</v>
      </c>
      <c r="AS71" s="61">
        <v>1</v>
      </c>
      <c r="AT71" s="59">
        <f>T75</f>
        <v>12.499999999999998</v>
      </c>
      <c r="AU71" s="60"/>
      <c r="AV71" s="60"/>
      <c r="AW71" s="60"/>
      <c r="AX71" s="60"/>
      <c r="AY71" s="58"/>
      <c r="AZ71" s="59"/>
      <c r="BA71" s="61">
        <v>0.25</v>
      </c>
      <c r="BB71" s="59">
        <f>T76</f>
        <v>295.3125</v>
      </c>
      <c r="BC71" s="59"/>
      <c r="BD71" s="60"/>
      <c r="BE71" s="60"/>
      <c r="BF71" s="60"/>
      <c r="BG71" s="60"/>
      <c r="BH71" s="60"/>
      <c r="BI71" s="60"/>
      <c r="BJ71" s="60"/>
      <c r="BK71" s="59">
        <f>AF71+AJ71+AR71+AT71+BB71</f>
        <v>1141.98074</v>
      </c>
      <c r="BL71" s="64">
        <v>42528</v>
      </c>
      <c r="BM71" s="60"/>
      <c r="BN71" s="60"/>
      <c r="BO71" s="59"/>
      <c r="BP71" s="59"/>
      <c r="BQ71" s="64"/>
      <c r="BR71" s="65"/>
    </row>
    <row r="72" spans="1:70" s="6" customFormat="1" ht="114.7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 t="s">
        <v>7</v>
      </c>
      <c r="M72" s="4">
        <v>0.18</v>
      </c>
      <c r="N72" s="12">
        <f>1453*M72*1.05</f>
        <v>274.61699999999996</v>
      </c>
      <c r="O72" s="12"/>
      <c r="P72" s="12">
        <f>0.08*N72</f>
        <v>21.969359999999998</v>
      </c>
      <c r="Q72" s="12">
        <f>0.87*N72</f>
        <v>238.91678999999996</v>
      </c>
      <c r="R72" s="12"/>
      <c r="S72" s="12">
        <f>0.05*N72</f>
        <v>13.730849999999998</v>
      </c>
      <c r="T72" s="12">
        <f>P72+Q72+R72+S72</f>
        <v>274.61699999999996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39"/>
      <c r="AJ72" s="5"/>
      <c r="AK72" s="5"/>
      <c r="AL72" s="5"/>
      <c r="AM72" s="5"/>
      <c r="AN72" s="5"/>
      <c r="AO72" s="5"/>
      <c r="AP72" s="5"/>
      <c r="AQ72" s="39"/>
      <c r="AR72" s="5"/>
      <c r="AS72" s="39"/>
      <c r="AT72" s="5"/>
      <c r="AU72" s="5"/>
      <c r="AV72" s="5"/>
      <c r="AW72" s="5"/>
      <c r="AX72" s="5"/>
      <c r="AY72" s="4"/>
      <c r="AZ72" s="7"/>
      <c r="BA72" s="18"/>
      <c r="BB72" s="7"/>
      <c r="BC72" s="4"/>
      <c r="BD72" s="5"/>
      <c r="BE72" s="5"/>
      <c r="BF72" s="5"/>
      <c r="BG72" s="5"/>
      <c r="BH72" s="5"/>
      <c r="BI72" s="5"/>
      <c r="BJ72" s="5"/>
      <c r="BK72" s="7"/>
      <c r="BL72" s="8"/>
      <c r="BM72" s="5"/>
      <c r="BN72" s="5"/>
      <c r="BO72" s="7"/>
      <c r="BP72" s="7"/>
      <c r="BQ72" s="8"/>
      <c r="BR72" s="9"/>
    </row>
    <row r="73" spans="1:70" s="6" customFormat="1" ht="114.7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 t="s">
        <v>9</v>
      </c>
      <c r="M73" s="18">
        <v>1</v>
      </c>
      <c r="N73" s="12">
        <v>60.48</v>
      </c>
      <c r="O73" s="12"/>
      <c r="P73" s="12">
        <v>3.91</v>
      </c>
      <c r="Q73" s="12">
        <v>12.09</v>
      </c>
      <c r="R73" s="12">
        <f>40.92*1.072</f>
        <v>43.866240000000005</v>
      </c>
      <c r="S73" s="12">
        <v>0.61</v>
      </c>
      <c r="T73" s="12">
        <f t="shared" ref="T73:T76" si="33">P73+Q73+R73+S73</f>
        <v>60.476240000000004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39"/>
      <c r="AJ73" s="5"/>
      <c r="AK73" s="5"/>
      <c r="AL73" s="5"/>
      <c r="AM73" s="5"/>
      <c r="AN73" s="5"/>
      <c r="AO73" s="5"/>
      <c r="AP73" s="5"/>
      <c r="AQ73" s="39"/>
      <c r="AR73" s="5"/>
      <c r="AS73" s="39"/>
      <c r="AT73" s="5"/>
      <c r="AU73" s="5"/>
      <c r="AV73" s="5"/>
      <c r="AW73" s="5"/>
      <c r="AX73" s="5"/>
      <c r="AY73" s="4"/>
      <c r="AZ73" s="7"/>
      <c r="BA73" s="18"/>
      <c r="BB73" s="7"/>
      <c r="BC73" s="4"/>
      <c r="BD73" s="5"/>
      <c r="BE73" s="5"/>
      <c r="BF73" s="5"/>
      <c r="BG73" s="5"/>
      <c r="BH73" s="5"/>
      <c r="BI73" s="5"/>
      <c r="BJ73" s="5"/>
      <c r="BK73" s="7"/>
      <c r="BL73" s="8"/>
      <c r="BM73" s="5"/>
      <c r="BN73" s="5"/>
      <c r="BO73" s="7"/>
      <c r="BP73" s="7"/>
      <c r="BQ73" s="8"/>
      <c r="BR73" s="9"/>
    </row>
    <row r="74" spans="1:70" s="6" customFormat="1" ht="114.7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 t="s">
        <v>12</v>
      </c>
      <c r="M74" s="18" t="s">
        <v>358</v>
      </c>
      <c r="N74" s="12">
        <f>T74</f>
        <v>499.07499999999999</v>
      </c>
      <c r="O74" s="12"/>
      <c r="P74" s="12">
        <v>11.25</v>
      </c>
      <c r="Q74" s="12">
        <v>61.8</v>
      </c>
      <c r="R74" s="12">
        <f>436.295-153.867+138.487</f>
        <v>420.91499999999996</v>
      </c>
      <c r="S74" s="12">
        <v>5.1100000000000003</v>
      </c>
      <c r="T74" s="12">
        <f t="shared" si="33"/>
        <v>499.07499999999999</v>
      </c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39"/>
      <c r="AJ74" s="5"/>
      <c r="AK74" s="5"/>
      <c r="AL74" s="5"/>
      <c r="AM74" s="5"/>
      <c r="AN74" s="5"/>
      <c r="AO74" s="5"/>
      <c r="AP74" s="5"/>
      <c r="AQ74" s="39"/>
      <c r="AR74" s="5"/>
      <c r="AS74" s="39"/>
      <c r="AT74" s="5"/>
      <c r="AU74" s="5"/>
      <c r="AV74" s="5"/>
      <c r="AW74" s="5"/>
      <c r="AX74" s="5"/>
      <c r="AY74" s="4"/>
      <c r="AZ74" s="7"/>
      <c r="BA74" s="18"/>
      <c r="BB74" s="7"/>
      <c r="BC74" s="4"/>
      <c r="BD74" s="5"/>
      <c r="BE74" s="5"/>
      <c r="BF74" s="5"/>
      <c r="BG74" s="5"/>
      <c r="BH74" s="5"/>
      <c r="BI74" s="5"/>
      <c r="BJ74" s="5"/>
      <c r="BK74" s="7"/>
      <c r="BL74" s="8"/>
      <c r="BM74" s="5"/>
      <c r="BN74" s="5"/>
      <c r="BO74" s="7"/>
      <c r="BP74" s="7"/>
      <c r="BQ74" s="8"/>
      <c r="BR74" s="9"/>
    </row>
    <row r="75" spans="1:70" s="6" customFormat="1" ht="114.7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 t="s">
        <v>27</v>
      </c>
      <c r="M75" s="18">
        <v>1</v>
      </c>
      <c r="N75" s="12">
        <v>12.5</v>
      </c>
      <c r="O75" s="12"/>
      <c r="P75" s="12">
        <v>0.75</v>
      </c>
      <c r="Q75" s="12">
        <v>1.53</v>
      </c>
      <c r="R75" s="12">
        <v>10.119999999999999</v>
      </c>
      <c r="S75" s="12">
        <v>0.1</v>
      </c>
      <c r="T75" s="12">
        <f t="shared" si="33"/>
        <v>12.499999999999998</v>
      </c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39"/>
      <c r="AJ75" s="5"/>
      <c r="AK75" s="5"/>
      <c r="AL75" s="5"/>
      <c r="AM75" s="5"/>
      <c r="AN75" s="5"/>
      <c r="AO75" s="5"/>
      <c r="AP75" s="5"/>
      <c r="AQ75" s="39"/>
      <c r="AR75" s="5"/>
      <c r="AS75" s="39"/>
      <c r="AT75" s="5"/>
      <c r="AU75" s="5"/>
      <c r="AV75" s="5"/>
      <c r="AW75" s="5"/>
      <c r="AX75" s="5"/>
      <c r="AY75" s="4"/>
      <c r="AZ75" s="7"/>
      <c r="BA75" s="18"/>
      <c r="BB75" s="7"/>
      <c r="BC75" s="4"/>
      <c r="BD75" s="5"/>
      <c r="BE75" s="5"/>
      <c r="BF75" s="5"/>
      <c r="BG75" s="5"/>
      <c r="BH75" s="5"/>
      <c r="BI75" s="5"/>
      <c r="BJ75" s="5"/>
      <c r="BK75" s="7"/>
      <c r="BL75" s="8"/>
      <c r="BM75" s="5"/>
      <c r="BN75" s="5"/>
      <c r="BO75" s="7"/>
      <c r="BP75" s="7"/>
      <c r="BQ75" s="8"/>
      <c r="BR75" s="9"/>
    </row>
    <row r="76" spans="1:70" s="6" customFormat="1" ht="114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 t="s">
        <v>16</v>
      </c>
      <c r="M76" s="18">
        <v>0.25</v>
      </c>
      <c r="N76" s="12">
        <f>1125*M76*1.05</f>
        <v>295.3125</v>
      </c>
      <c r="O76" s="12"/>
      <c r="P76" s="12">
        <f>0.08*N76</f>
        <v>23.625</v>
      </c>
      <c r="Q76" s="12">
        <f>0.86*N76</f>
        <v>253.96875</v>
      </c>
      <c r="R76" s="12"/>
      <c r="S76" s="12">
        <f>0.06*N76</f>
        <v>17.71875</v>
      </c>
      <c r="T76" s="12">
        <f t="shared" si="33"/>
        <v>295.3125</v>
      </c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39"/>
      <c r="AJ76" s="5"/>
      <c r="AK76" s="5"/>
      <c r="AL76" s="5"/>
      <c r="AM76" s="5"/>
      <c r="AN76" s="5"/>
      <c r="AO76" s="5"/>
      <c r="AP76" s="5"/>
      <c r="AQ76" s="39"/>
      <c r="AR76" s="5"/>
      <c r="AS76" s="39"/>
      <c r="AT76" s="5"/>
      <c r="AU76" s="5"/>
      <c r="AV76" s="5"/>
      <c r="AW76" s="5"/>
      <c r="AX76" s="5"/>
      <c r="AY76" s="4"/>
      <c r="AZ76" s="7"/>
      <c r="BA76" s="18"/>
      <c r="BB76" s="7"/>
      <c r="BC76" s="4"/>
      <c r="BD76" s="5"/>
      <c r="BE76" s="5"/>
      <c r="BF76" s="5"/>
      <c r="BG76" s="5"/>
      <c r="BH76" s="5"/>
      <c r="BI76" s="5"/>
      <c r="BJ76" s="5"/>
      <c r="BK76" s="7"/>
      <c r="BL76" s="8"/>
      <c r="BM76" s="5"/>
      <c r="BN76" s="5"/>
      <c r="BO76" s="7"/>
      <c r="BP76" s="7"/>
      <c r="BQ76" s="8"/>
      <c r="BR76" s="9"/>
    </row>
    <row r="77" spans="1:70" s="78" customFormat="1" ht="204" customHeight="1" x14ac:dyDescent="0.25">
      <c r="A77" s="67" t="s">
        <v>64</v>
      </c>
      <c r="B77" s="68" t="s">
        <v>79</v>
      </c>
      <c r="C77" s="69">
        <v>466.1</v>
      </c>
      <c r="D77" s="69"/>
      <c r="E77" s="70">
        <v>15</v>
      </c>
      <c r="F77" s="68" t="s">
        <v>94</v>
      </c>
      <c r="G77" s="68" t="s">
        <v>46</v>
      </c>
      <c r="H77" s="68" t="s">
        <v>109</v>
      </c>
      <c r="I77" s="68" t="s">
        <v>48</v>
      </c>
      <c r="J77" s="68" t="s">
        <v>133</v>
      </c>
      <c r="K77" s="70" t="s">
        <v>424</v>
      </c>
      <c r="L77" s="70"/>
      <c r="M77" s="70"/>
      <c r="N77" s="72"/>
      <c r="O77" s="72"/>
      <c r="P77" s="72"/>
      <c r="Q77" s="72"/>
      <c r="R77" s="72"/>
      <c r="S77" s="72"/>
      <c r="T77" s="72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4"/>
      <c r="AJ77" s="73"/>
      <c r="AK77" s="73"/>
      <c r="AL77" s="73"/>
      <c r="AM77" s="73"/>
      <c r="AN77" s="73"/>
      <c r="AO77" s="73"/>
      <c r="AP77" s="73"/>
      <c r="AQ77" s="74"/>
      <c r="AR77" s="73"/>
      <c r="AS77" s="74"/>
      <c r="AT77" s="73"/>
      <c r="AU77" s="73"/>
      <c r="AV77" s="73"/>
      <c r="AW77" s="73"/>
      <c r="AX77" s="73"/>
      <c r="AY77" s="70"/>
      <c r="AZ77" s="72"/>
      <c r="BA77" s="71"/>
      <c r="BB77" s="72"/>
      <c r="BC77" s="70"/>
      <c r="BD77" s="73"/>
      <c r="BE77" s="73"/>
      <c r="BF77" s="73"/>
      <c r="BG77" s="73"/>
      <c r="BH77" s="73"/>
      <c r="BI77" s="73"/>
      <c r="BJ77" s="73"/>
      <c r="BK77" s="72"/>
      <c r="BL77" s="76">
        <v>42513</v>
      </c>
      <c r="BM77" s="73" t="s">
        <v>394</v>
      </c>
      <c r="BN77" s="73"/>
      <c r="BO77" s="72"/>
      <c r="BP77" s="72"/>
      <c r="BQ77" s="76"/>
      <c r="BR77" s="77"/>
    </row>
    <row r="78" spans="1:70" s="78" customFormat="1" ht="204" customHeight="1" x14ac:dyDescent="0.25">
      <c r="A78" s="67" t="s">
        <v>53</v>
      </c>
      <c r="B78" s="68" t="s">
        <v>68</v>
      </c>
      <c r="C78" s="69">
        <v>466.1</v>
      </c>
      <c r="D78" s="69"/>
      <c r="E78" s="70">
        <v>15</v>
      </c>
      <c r="F78" s="68" t="s">
        <v>83</v>
      </c>
      <c r="G78" s="68" t="s">
        <v>112</v>
      </c>
      <c r="H78" s="68" t="s">
        <v>98</v>
      </c>
      <c r="I78" s="68" t="s">
        <v>119</v>
      </c>
      <c r="J78" s="68" t="s">
        <v>120</v>
      </c>
      <c r="K78" s="70" t="s">
        <v>425</v>
      </c>
      <c r="L78" s="70"/>
      <c r="M78" s="71"/>
      <c r="N78" s="87">
        <f>N79</f>
        <v>354.375</v>
      </c>
      <c r="O78" s="87">
        <f t="shared" ref="O78:S78" si="34">O79</f>
        <v>0</v>
      </c>
      <c r="P78" s="87">
        <f t="shared" si="34"/>
        <v>28.35</v>
      </c>
      <c r="Q78" s="87">
        <f t="shared" si="34"/>
        <v>304.76249999999999</v>
      </c>
      <c r="R78" s="87">
        <f t="shared" si="34"/>
        <v>0</v>
      </c>
      <c r="S78" s="87">
        <f t="shared" si="34"/>
        <v>21.262499999999999</v>
      </c>
      <c r="T78" s="87">
        <f>P78+Q78+R78+S78</f>
        <v>354.375</v>
      </c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4"/>
      <c r="AJ78" s="73"/>
      <c r="AK78" s="73"/>
      <c r="AL78" s="73"/>
      <c r="AM78" s="73"/>
      <c r="AN78" s="73"/>
      <c r="AO78" s="73"/>
      <c r="AP78" s="73"/>
      <c r="AQ78" s="74"/>
      <c r="AR78" s="73"/>
      <c r="AS78" s="74"/>
      <c r="AT78" s="73"/>
      <c r="AU78" s="73"/>
      <c r="AV78" s="73"/>
      <c r="AW78" s="73"/>
      <c r="AX78" s="73"/>
      <c r="AY78" s="70"/>
      <c r="AZ78" s="72"/>
      <c r="BA78" s="71">
        <v>0.3</v>
      </c>
      <c r="BB78" s="72">
        <f>BA78*1125*1.05</f>
        <v>354.375</v>
      </c>
      <c r="BC78" s="70"/>
      <c r="BD78" s="73"/>
      <c r="BE78" s="73"/>
      <c r="BF78" s="73"/>
      <c r="BG78" s="73"/>
      <c r="BH78" s="73"/>
      <c r="BI78" s="73"/>
      <c r="BJ78" s="73"/>
      <c r="BK78" s="72">
        <f>BB78</f>
        <v>354.375</v>
      </c>
      <c r="BL78" s="76">
        <v>42514</v>
      </c>
      <c r="BM78" s="73"/>
      <c r="BN78" s="73"/>
      <c r="BO78" s="72"/>
      <c r="BP78" s="72"/>
      <c r="BQ78" s="76"/>
      <c r="BR78" s="77"/>
    </row>
    <row r="79" spans="1:70" s="6" customFormat="1" ht="156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 t="s">
        <v>16</v>
      </c>
      <c r="M79" s="18">
        <f>BA78</f>
        <v>0.3</v>
      </c>
      <c r="N79" s="12">
        <f>1125*M79*1.05</f>
        <v>354.375</v>
      </c>
      <c r="O79" s="12"/>
      <c r="P79" s="12">
        <f>0.08*N79</f>
        <v>28.35</v>
      </c>
      <c r="Q79" s="12">
        <f>0.86*N79</f>
        <v>304.76249999999999</v>
      </c>
      <c r="R79" s="12">
        <v>0</v>
      </c>
      <c r="S79" s="12">
        <f>0.06*N79</f>
        <v>21.262499999999999</v>
      </c>
      <c r="T79" s="12">
        <f t="shared" ref="T79" si="35">P79+Q79+R79+S79</f>
        <v>354.375</v>
      </c>
      <c r="U79" s="5"/>
      <c r="V79" s="5"/>
      <c r="W79" s="5"/>
      <c r="X79" s="5"/>
      <c r="Y79" s="5"/>
      <c r="Z79" s="5"/>
      <c r="AA79" s="5"/>
      <c r="AB79" s="5"/>
      <c r="AC79" s="18"/>
      <c r="AD79" s="17"/>
      <c r="AE79" s="17"/>
      <c r="AF79" s="5"/>
      <c r="AG79" s="5"/>
      <c r="AH79" s="5"/>
      <c r="AI79" s="18"/>
      <c r="AJ79" s="17"/>
      <c r="AK79" s="17"/>
      <c r="AL79" s="5"/>
      <c r="AM79" s="5"/>
      <c r="AN79" s="5"/>
      <c r="AO79" s="5"/>
      <c r="AP79" s="5"/>
      <c r="AQ79" s="18"/>
      <c r="AR79" s="13"/>
      <c r="AS79" s="18"/>
      <c r="AT79" s="7"/>
      <c r="AU79" s="5"/>
      <c r="AV79" s="5"/>
      <c r="AW79" s="5"/>
      <c r="AX79" s="5"/>
      <c r="AY79" s="4"/>
      <c r="AZ79" s="7"/>
      <c r="BA79" s="18"/>
      <c r="BB79" s="7"/>
      <c r="BC79" s="4"/>
      <c r="BD79" s="5"/>
      <c r="BE79" s="5"/>
      <c r="BF79" s="5"/>
      <c r="BG79" s="5"/>
      <c r="BH79" s="5"/>
      <c r="BI79" s="5"/>
      <c r="BJ79" s="5"/>
      <c r="BK79" s="7"/>
      <c r="BL79" s="8"/>
      <c r="BM79" s="5"/>
      <c r="BN79" s="5"/>
      <c r="BO79" s="7"/>
      <c r="BP79" s="7"/>
      <c r="BQ79" s="8"/>
      <c r="BR79" s="9"/>
    </row>
    <row r="80" spans="1:70" s="66" customFormat="1" ht="216" customHeight="1" x14ac:dyDescent="0.25">
      <c r="A80" s="55" t="s">
        <v>164</v>
      </c>
      <c r="B80" s="56" t="s">
        <v>202</v>
      </c>
      <c r="C80" s="57">
        <v>466.1</v>
      </c>
      <c r="D80" s="57"/>
      <c r="E80" s="58">
        <v>14.5</v>
      </c>
      <c r="F80" s="56" t="s">
        <v>240</v>
      </c>
      <c r="G80" s="56" t="s">
        <v>249</v>
      </c>
      <c r="H80" s="56" t="s">
        <v>280</v>
      </c>
      <c r="I80" s="56" t="s">
        <v>305</v>
      </c>
      <c r="J80" s="56" t="s">
        <v>341</v>
      </c>
      <c r="K80" s="58" t="s">
        <v>376</v>
      </c>
      <c r="L80" s="58"/>
      <c r="M80" s="58"/>
      <c r="N80" s="59">
        <f>N81+N82</f>
        <v>66.143750000000011</v>
      </c>
      <c r="O80" s="59">
        <f t="shared" ref="O80:T80" si="36">O81+O82</f>
        <v>0</v>
      </c>
      <c r="P80" s="59">
        <f t="shared" si="36"/>
        <v>5.291500000000001</v>
      </c>
      <c r="Q80" s="59">
        <f t="shared" si="36"/>
        <v>58.371625000000009</v>
      </c>
      <c r="R80" s="59">
        <f t="shared" si="36"/>
        <v>0</v>
      </c>
      <c r="S80" s="59">
        <f t="shared" si="36"/>
        <v>2.4806250000000003</v>
      </c>
      <c r="T80" s="59">
        <f t="shared" si="36"/>
        <v>66.143750000000011</v>
      </c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58" t="s">
        <v>377</v>
      </c>
      <c r="AH80" s="86">
        <f>T81</f>
        <v>24.800000000000004</v>
      </c>
      <c r="AI80" s="80"/>
      <c r="AJ80" s="60"/>
      <c r="AK80" s="60"/>
      <c r="AL80" s="60"/>
      <c r="AM80" s="60"/>
      <c r="AN80" s="60"/>
      <c r="AO80" s="60"/>
      <c r="AP80" s="60"/>
      <c r="AQ80" s="80"/>
      <c r="AR80" s="60"/>
      <c r="AS80" s="80"/>
      <c r="AT80" s="60"/>
      <c r="AU80" s="60"/>
      <c r="AV80" s="60"/>
      <c r="AW80" s="60"/>
      <c r="AX80" s="60"/>
      <c r="AY80" s="58"/>
      <c r="AZ80" s="86"/>
      <c r="BA80" s="61" t="s">
        <v>378</v>
      </c>
      <c r="BB80" s="86">
        <f>T82</f>
        <v>41.343750000000007</v>
      </c>
      <c r="BC80" s="58"/>
      <c r="BD80" s="60"/>
      <c r="BE80" s="60"/>
      <c r="BF80" s="60"/>
      <c r="BG80" s="60"/>
      <c r="BH80" s="60"/>
      <c r="BI80" s="60"/>
      <c r="BJ80" s="60"/>
      <c r="BK80" s="59">
        <f>AH80+BB80</f>
        <v>66.143750000000011</v>
      </c>
      <c r="BL80" s="64">
        <v>42522</v>
      </c>
      <c r="BM80" s="60"/>
      <c r="BN80" s="60"/>
      <c r="BO80" s="59"/>
      <c r="BP80" s="59"/>
      <c r="BQ80" s="64"/>
      <c r="BR80" s="65"/>
    </row>
    <row r="81" spans="1:70" s="6" customFormat="1" ht="351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 t="s">
        <v>8</v>
      </c>
      <c r="M81" s="4" t="s">
        <v>377</v>
      </c>
      <c r="N81" s="7">
        <v>24.8</v>
      </c>
      <c r="O81" s="7"/>
      <c r="P81" s="7">
        <f>N81*0.08</f>
        <v>1.9840000000000002</v>
      </c>
      <c r="Q81" s="7">
        <f>N81*0.92</f>
        <v>22.816000000000003</v>
      </c>
      <c r="R81" s="7"/>
      <c r="S81" s="7"/>
      <c r="T81" s="7">
        <f>P81+Q81+R81+S81</f>
        <v>24.800000000000004</v>
      </c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39"/>
      <c r="AJ81" s="5"/>
      <c r="AK81" s="5"/>
      <c r="AL81" s="5"/>
      <c r="AM81" s="5"/>
      <c r="AN81" s="5"/>
      <c r="AO81" s="5"/>
      <c r="AP81" s="5"/>
      <c r="AQ81" s="39"/>
      <c r="AR81" s="5"/>
      <c r="AS81" s="39"/>
      <c r="AT81" s="5"/>
      <c r="AU81" s="5"/>
      <c r="AV81" s="5"/>
      <c r="AW81" s="5"/>
      <c r="AX81" s="5"/>
      <c r="AY81" s="4"/>
      <c r="AZ81" s="7"/>
      <c r="BA81" s="18"/>
      <c r="BB81" s="7"/>
      <c r="BC81" s="4"/>
      <c r="BD81" s="5"/>
      <c r="BE81" s="5"/>
      <c r="BF81" s="5"/>
      <c r="BG81" s="5"/>
      <c r="BH81" s="5"/>
      <c r="BI81" s="5"/>
      <c r="BJ81" s="5"/>
      <c r="BK81" s="7"/>
      <c r="BL81" s="8"/>
      <c r="BM81" s="5"/>
      <c r="BN81" s="5"/>
      <c r="BO81" s="7"/>
      <c r="BP81" s="7"/>
      <c r="BQ81" s="8"/>
      <c r="BR81" s="9"/>
    </row>
    <row r="82" spans="1:70" s="6" customFormat="1" ht="191.2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 t="s">
        <v>16</v>
      </c>
      <c r="M82" s="4" t="s">
        <v>378</v>
      </c>
      <c r="N82" s="7">
        <f>0.035*1125*1.05</f>
        <v>41.343750000000007</v>
      </c>
      <c r="O82" s="7"/>
      <c r="P82" s="7">
        <f>0.08*N82</f>
        <v>3.3075000000000006</v>
      </c>
      <c r="Q82" s="7">
        <f>0.86*N82</f>
        <v>35.555625000000006</v>
      </c>
      <c r="R82" s="7"/>
      <c r="S82" s="7">
        <f>N82*0.06</f>
        <v>2.4806250000000003</v>
      </c>
      <c r="T82" s="7">
        <f>P82+Q82+R82+S82</f>
        <v>41.343750000000007</v>
      </c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39"/>
      <c r="AJ82" s="5"/>
      <c r="AK82" s="5"/>
      <c r="AL82" s="5"/>
      <c r="AM82" s="5"/>
      <c r="AN82" s="5"/>
      <c r="AO82" s="5"/>
      <c r="AP82" s="5"/>
      <c r="AQ82" s="39"/>
      <c r="AR82" s="5"/>
      <c r="AS82" s="39"/>
      <c r="AT82" s="5"/>
      <c r="AU82" s="5"/>
      <c r="AV82" s="5"/>
      <c r="AW82" s="5"/>
      <c r="AX82" s="5"/>
      <c r="AY82" s="4"/>
      <c r="AZ82" s="7"/>
      <c r="BA82" s="18"/>
      <c r="BB82" s="7"/>
      <c r="BC82" s="4"/>
      <c r="BD82" s="5"/>
      <c r="BE82" s="5"/>
      <c r="BF82" s="5"/>
      <c r="BG82" s="5"/>
      <c r="BH82" s="5"/>
      <c r="BI82" s="5"/>
      <c r="BJ82" s="5"/>
      <c r="BK82" s="7"/>
      <c r="BL82" s="8"/>
      <c r="BM82" s="5"/>
      <c r="BN82" s="5"/>
      <c r="BO82" s="7"/>
      <c r="BP82" s="7"/>
      <c r="BQ82" s="8"/>
      <c r="BR82" s="9"/>
    </row>
    <row r="83" spans="1:70" s="78" customFormat="1" ht="256.5" customHeight="1" x14ac:dyDescent="0.25">
      <c r="A83" s="67" t="s">
        <v>165</v>
      </c>
      <c r="B83" s="68" t="s">
        <v>203</v>
      </c>
      <c r="C83" s="69">
        <v>466.1</v>
      </c>
      <c r="D83" s="69"/>
      <c r="E83" s="70">
        <v>14.5</v>
      </c>
      <c r="F83" s="68" t="s">
        <v>241</v>
      </c>
      <c r="G83" s="68" t="s">
        <v>46</v>
      </c>
      <c r="H83" s="68" t="s">
        <v>281</v>
      </c>
      <c r="I83" s="68" t="s">
        <v>306</v>
      </c>
      <c r="J83" s="68" t="s">
        <v>342</v>
      </c>
      <c r="K83" s="70" t="s">
        <v>365</v>
      </c>
      <c r="L83" s="70"/>
      <c r="M83" s="70"/>
      <c r="N83" s="72">
        <f>N84+N85</f>
        <v>462.24614400000002</v>
      </c>
      <c r="O83" s="72"/>
      <c r="P83" s="72">
        <f t="shared" ref="P83:T83" si="37">P84+P85</f>
        <v>24.790000000000003</v>
      </c>
      <c r="Q83" s="72">
        <f t="shared" si="37"/>
        <v>239.255</v>
      </c>
      <c r="R83" s="72">
        <f t="shared" si="37"/>
        <v>181.70614400000002</v>
      </c>
      <c r="S83" s="72">
        <f t="shared" si="37"/>
        <v>16.494999999999997</v>
      </c>
      <c r="T83" s="72">
        <f t="shared" si="37"/>
        <v>462.24614400000002</v>
      </c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0"/>
      <c r="AF83" s="72"/>
      <c r="AG83" s="72"/>
      <c r="AH83" s="73"/>
      <c r="AI83" s="71"/>
      <c r="AJ83" s="72"/>
      <c r="AK83" s="72"/>
      <c r="AL83" s="73"/>
      <c r="AM83" s="73"/>
      <c r="AN83" s="73"/>
      <c r="AO83" s="73"/>
      <c r="AP83" s="73"/>
      <c r="AQ83" s="71"/>
      <c r="AR83" s="82"/>
      <c r="AS83" s="71"/>
      <c r="AT83" s="72"/>
      <c r="AU83" s="73"/>
      <c r="AV83" s="73"/>
      <c r="AW83" s="73"/>
      <c r="AX83" s="73"/>
      <c r="AY83" s="70" t="s">
        <v>366</v>
      </c>
      <c r="AZ83" s="72">
        <f>T84</f>
        <v>225.99614400000002</v>
      </c>
      <c r="BA83" s="71">
        <v>0.2</v>
      </c>
      <c r="BB83" s="72">
        <f>T85</f>
        <v>236.25</v>
      </c>
      <c r="BC83" s="72"/>
      <c r="BD83" s="73"/>
      <c r="BE83" s="73"/>
      <c r="BF83" s="73"/>
      <c r="BG83" s="73"/>
      <c r="BH83" s="73"/>
      <c r="BI83" s="73"/>
      <c r="BJ83" s="73"/>
      <c r="BK83" s="72">
        <f>AZ83+BB83</f>
        <v>462.24614400000002</v>
      </c>
      <c r="BL83" s="76">
        <v>42524</v>
      </c>
      <c r="BM83" s="73"/>
      <c r="BN83" s="73"/>
      <c r="BO83" s="72"/>
      <c r="BP83" s="72"/>
      <c r="BQ83" s="76"/>
      <c r="BR83" s="77"/>
    </row>
    <row r="84" spans="1:70" s="6" customFormat="1" ht="408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 t="s">
        <v>15</v>
      </c>
      <c r="M84" s="4" t="s">
        <v>366</v>
      </c>
      <c r="N84" s="7">
        <f>T84</f>
        <v>225.99614400000002</v>
      </c>
      <c r="O84" s="7"/>
      <c r="P84" s="7">
        <f>5.89</f>
        <v>5.89</v>
      </c>
      <c r="Q84" s="7">
        <f>36.08</f>
        <v>36.08</v>
      </c>
      <c r="R84" s="7">
        <f>(143.532*1.072)+(25.97*1.072)</f>
        <v>181.70614400000002</v>
      </c>
      <c r="S84" s="7">
        <f>1.52+0.8</f>
        <v>2.3200000000000003</v>
      </c>
      <c r="T84" s="7">
        <f>SUM(P84:S84)</f>
        <v>225.99614400000002</v>
      </c>
      <c r="U84" s="5"/>
      <c r="V84" s="5"/>
      <c r="W84" s="5"/>
      <c r="X84" s="5"/>
      <c r="Y84" s="5"/>
      <c r="Z84" s="5"/>
      <c r="AA84" s="5"/>
      <c r="AB84" s="5"/>
      <c r="AC84" s="5"/>
      <c r="AD84" s="5"/>
      <c r="AE84" s="4"/>
      <c r="AF84" s="7"/>
      <c r="AG84" s="7"/>
      <c r="AH84" s="5"/>
      <c r="AI84" s="18"/>
      <c r="AJ84" s="7"/>
      <c r="AK84" s="7"/>
      <c r="AL84" s="5"/>
      <c r="AM84" s="5"/>
      <c r="AN84" s="5"/>
      <c r="AO84" s="5"/>
      <c r="AP84" s="5"/>
      <c r="AQ84" s="18"/>
      <c r="AR84" s="13"/>
      <c r="AS84" s="18"/>
      <c r="AT84" s="7"/>
      <c r="AU84" s="5"/>
      <c r="AV84" s="5"/>
      <c r="AW84" s="5"/>
      <c r="AX84" s="5"/>
      <c r="AY84" s="4"/>
      <c r="AZ84" s="7"/>
      <c r="BA84" s="18"/>
      <c r="BB84" s="7"/>
      <c r="BC84" s="4"/>
      <c r="BD84" s="5"/>
      <c r="BE84" s="5"/>
      <c r="BF84" s="5"/>
      <c r="BG84" s="5"/>
      <c r="BH84" s="5"/>
      <c r="BI84" s="5"/>
      <c r="BJ84" s="5"/>
      <c r="BK84" s="7"/>
      <c r="BL84" s="8"/>
      <c r="BM84" s="5"/>
      <c r="BN84" s="5"/>
      <c r="BO84" s="7"/>
      <c r="BP84" s="7"/>
      <c r="BQ84" s="8"/>
      <c r="BR84" s="9"/>
    </row>
    <row r="85" spans="1:70" s="6" customFormat="1" ht="164.2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 t="s">
        <v>16</v>
      </c>
      <c r="M85" s="18">
        <v>0.2</v>
      </c>
      <c r="N85" s="12">
        <f>1125*M85*1.05</f>
        <v>236.25</v>
      </c>
      <c r="O85" s="12"/>
      <c r="P85" s="12">
        <f>0.08*N85</f>
        <v>18.900000000000002</v>
      </c>
      <c r="Q85" s="12">
        <f>0.86*N85</f>
        <v>203.17499999999998</v>
      </c>
      <c r="R85" s="12"/>
      <c r="S85" s="12">
        <f>0.06*N85</f>
        <v>14.174999999999999</v>
      </c>
      <c r="T85" s="12">
        <f t="shared" ref="T85" si="38">P85+Q85+R85+S85</f>
        <v>236.25</v>
      </c>
      <c r="U85" s="5"/>
      <c r="V85" s="5"/>
      <c r="W85" s="5"/>
      <c r="X85" s="5"/>
      <c r="Y85" s="5"/>
      <c r="Z85" s="5"/>
      <c r="AA85" s="5"/>
      <c r="AB85" s="5"/>
      <c r="AC85" s="5"/>
      <c r="AD85" s="5"/>
      <c r="AE85" s="4"/>
      <c r="AF85" s="7"/>
      <c r="AG85" s="7"/>
      <c r="AH85" s="5"/>
      <c r="AI85" s="18"/>
      <c r="AJ85" s="7"/>
      <c r="AK85" s="7"/>
      <c r="AL85" s="5"/>
      <c r="AM85" s="5"/>
      <c r="AN85" s="5"/>
      <c r="AO85" s="5"/>
      <c r="AP85" s="5"/>
      <c r="AQ85" s="18"/>
      <c r="AR85" s="13"/>
      <c r="AS85" s="18"/>
      <c r="AT85" s="7"/>
      <c r="AU85" s="5"/>
      <c r="AV85" s="5"/>
      <c r="AW85" s="5"/>
      <c r="AX85" s="5"/>
      <c r="AY85" s="4"/>
      <c r="AZ85" s="7"/>
      <c r="BA85" s="18"/>
      <c r="BB85" s="7"/>
      <c r="BC85" s="4"/>
      <c r="BD85" s="5"/>
      <c r="BE85" s="5"/>
      <c r="BF85" s="5"/>
      <c r="BG85" s="5"/>
      <c r="BH85" s="5"/>
      <c r="BI85" s="5"/>
      <c r="BJ85" s="5"/>
      <c r="BK85" s="7"/>
      <c r="BL85" s="8"/>
      <c r="BM85" s="5"/>
      <c r="BN85" s="5"/>
      <c r="BO85" s="7"/>
      <c r="BP85" s="7"/>
      <c r="BQ85" s="8"/>
      <c r="BR85" s="9"/>
    </row>
    <row r="86" spans="1:70" s="78" customFormat="1" ht="389.25" customHeight="1" x14ac:dyDescent="0.25">
      <c r="A86" s="67" t="s">
        <v>166</v>
      </c>
      <c r="B86" s="68" t="s">
        <v>204</v>
      </c>
      <c r="C86" s="69">
        <v>466.1</v>
      </c>
      <c r="D86" s="69"/>
      <c r="E86" s="70">
        <v>15</v>
      </c>
      <c r="F86" s="68" t="s">
        <v>242</v>
      </c>
      <c r="G86" s="68" t="s">
        <v>47</v>
      </c>
      <c r="H86" s="68" t="s">
        <v>282</v>
      </c>
      <c r="I86" s="68" t="s">
        <v>307</v>
      </c>
      <c r="J86" s="68" t="s">
        <v>343</v>
      </c>
      <c r="K86" s="70" t="s">
        <v>379</v>
      </c>
      <c r="L86" s="70"/>
      <c r="M86" s="70"/>
      <c r="N86" s="72">
        <f>N87+N88+N89+N90+N91</f>
        <v>1432.6369958400001</v>
      </c>
      <c r="O86" s="72">
        <f t="shared" ref="O86:T86" si="39">O87+O88+O89+O90+O91</f>
        <v>0</v>
      </c>
      <c r="P86" s="72">
        <f t="shared" si="39"/>
        <v>82.077799999999996</v>
      </c>
      <c r="Q86" s="72">
        <f t="shared" si="39"/>
        <v>782.45482500000003</v>
      </c>
      <c r="R86" s="72">
        <f t="shared" si="39"/>
        <v>515.40073584000004</v>
      </c>
      <c r="S86" s="72">
        <f t="shared" si="39"/>
        <v>52.699875000000006</v>
      </c>
      <c r="T86" s="72">
        <f t="shared" si="39"/>
        <v>1432.63323584</v>
      </c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0">
        <v>0.15</v>
      </c>
      <c r="AF86" s="82">
        <f>T87</f>
        <v>228.8475</v>
      </c>
      <c r="AG86" s="82"/>
      <c r="AH86" s="73"/>
      <c r="AI86" s="71">
        <v>1</v>
      </c>
      <c r="AJ86" s="82">
        <f>T88</f>
        <v>60.476240000000004</v>
      </c>
      <c r="AK86" s="82"/>
      <c r="AL86" s="73"/>
      <c r="AM86" s="73"/>
      <c r="AN86" s="73"/>
      <c r="AO86" s="73"/>
      <c r="AP86" s="73"/>
      <c r="AQ86" s="71" t="s">
        <v>382</v>
      </c>
      <c r="AR86" s="82">
        <f>T89</f>
        <v>540.18449584000007</v>
      </c>
      <c r="AS86" s="71">
        <v>1</v>
      </c>
      <c r="AT86" s="82">
        <f>T90</f>
        <v>12.499999999999998</v>
      </c>
      <c r="AU86" s="73"/>
      <c r="AV86" s="73"/>
      <c r="AW86" s="73"/>
      <c r="AX86" s="73"/>
      <c r="AY86" s="70"/>
      <c r="AZ86" s="72"/>
      <c r="BA86" s="71">
        <v>0.5</v>
      </c>
      <c r="BB86" s="82">
        <f>T91</f>
        <v>590.625</v>
      </c>
      <c r="BC86" s="82"/>
      <c r="BD86" s="73"/>
      <c r="BE86" s="73"/>
      <c r="BF86" s="73"/>
      <c r="BG86" s="73"/>
      <c r="BH86" s="73"/>
      <c r="BI86" s="73"/>
      <c r="BJ86" s="73"/>
      <c r="BK86" s="72">
        <f>AF86+AJ86+AR86+AT86+BB86</f>
        <v>1432.63323584</v>
      </c>
      <c r="BL86" s="76">
        <v>42528</v>
      </c>
      <c r="BM86" s="73"/>
      <c r="BN86" s="73"/>
      <c r="BO86" s="72"/>
      <c r="BP86" s="72"/>
      <c r="BQ86" s="76"/>
      <c r="BR86" s="77"/>
    </row>
    <row r="87" spans="1:70" s="6" customFormat="1" ht="121.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 t="s">
        <v>7</v>
      </c>
      <c r="M87" s="4">
        <f>AE86</f>
        <v>0.15</v>
      </c>
      <c r="N87" s="7">
        <f>M87*1453*1.05</f>
        <v>228.8475</v>
      </c>
      <c r="O87" s="7"/>
      <c r="P87" s="7">
        <f>0.08*N87</f>
        <v>18.3078</v>
      </c>
      <c r="Q87" s="7">
        <f>0.87*N87</f>
        <v>199.09732499999998</v>
      </c>
      <c r="R87" s="7"/>
      <c r="S87" s="7">
        <f>0.05*N87</f>
        <v>11.442375</v>
      </c>
      <c r="T87" s="7">
        <f>P87+Q87+R87+S87</f>
        <v>228.8475</v>
      </c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7"/>
      <c r="AG87" s="7"/>
      <c r="AH87" s="5"/>
      <c r="AI87" s="18"/>
      <c r="AJ87" s="7"/>
      <c r="AK87" s="7"/>
      <c r="AL87" s="5"/>
      <c r="AM87" s="5"/>
      <c r="AN87" s="5"/>
      <c r="AO87" s="5"/>
      <c r="AP87" s="5"/>
      <c r="AQ87" s="18"/>
      <c r="AR87" s="7"/>
      <c r="AS87" s="18"/>
      <c r="AT87" s="7"/>
      <c r="AU87" s="5"/>
      <c r="AV87" s="5"/>
      <c r="AW87" s="5"/>
      <c r="AX87" s="5"/>
      <c r="AY87" s="4"/>
      <c r="AZ87" s="7"/>
      <c r="BA87" s="18"/>
      <c r="BB87" s="7"/>
      <c r="BC87" s="7"/>
      <c r="BD87" s="5"/>
      <c r="BE87" s="5"/>
      <c r="BF87" s="5"/>
      <c r="BG87" s="5"/>
      <c r="BH87" s="5"/>
      <c r="BI87" s="5"/>
      <c r="BJ87" s="5"/>
      <c r="BK87" s="7"/>
      <c r="BL87" s="8"/>
      <c r="BM87" s="5"/>
      <c r="BN87" s="5"/>
      <c r="BO87" s="7"/>
      <c r="BP87" s="7"/>
      <c r="BQ87" s="8"/>
      <c r="BR87" s="9"/>
    </row>
    <row r="88" spans="1:70" s="6" customFormat="1" ht="121.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 t="s">
        <v>9</v>
      </c>
      <c r="M88" s="4">
        <f>AI86</f>
        <v>1</v>
      </c>
      <c r="N88" s="7">
        <v>60.48</v>
      </c>
      <c r="O88" s="7"/>
      <c r="P88" s="7">
        <v>3.91</v>
      </c>
      <c r="Q88" s="7">
        <v>12.09</v>
      </c>
      <c r="R88" s="7">
        <f>40.92*1.072</f>
        <v>43.866240000000005</v>
      </c>
      <c r="S88" s="7">
        <f>0.61</f>
        <v>0.61</v>
      </c>
      <c r="T88" s="7">
        <f t="shared" ref="T88" si="40">P88+Q88+R88+S88</f>
        <v>60.476240000000004</v>
      </c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7"/>
      <c r="AG88" s="7"/>
      <c r="AH88" s="5"/>
      <c r="AI88" s="18"/>
      <c r="AJ88" s="7"/>
      <c r="AK88" s="7"/>
      <c r="AL88" s="5"/>
      <c r="AM88" s="5"/>
      <c r="AN88" s="5"/>
      <c r="AO88" s="5"/>
      <c r="AP88" s="5"/>
      <c r="AQ88" s="18"/>
      <c r="AR88" s="7"/>
      <c r="AS88" s="18"/>
      <c r="AT88" s="7"/>
      <c r="AU88" s="5"/>
      <c r="AV88" s="5"/>
      <c r="AW88" s="5"/>
      <c r="AX88" s="5"/>
      <c r="AY88" s="4"/>
      <c r="AZ88" s="7"/>
      <c r="BA88" s="18"/>
      <c r="BB88" s="7"/>
      <c r="BC88" s="7"/>
      <c r="BD88" s="5"/>
      <c r="BE88" s="5"/>
      <c r="BF88" s="5"/>
      <c r="BG88" s="5"/>
      <c r="BH88" s="5"/>
      <c r="BI88" s="5"/>
      <c r="BJ88" s="5"/>
      <c r="BK88" s="7"/>
      <c r="BL88" s="8"/>
      <c r="BM88" s="5"/>
      <c r="BN88" s="5"/>
      <c r="BO88" s="7"/>
      <c r="BP88" s="7"/>
      <c r="BQ88" s="8"/>
      <c r="BR88" s="9"/>
    </row>
    <row r="89" spans="1:70" s="6" customFormat="1" ht="121.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 t="s">
        <v>12</v>
      </c>
      <c r="M89" s="4" t="str">
        <f>AQ86</f>
        <v>КТП 250 кВА (с трансформатором 160 кВА)</v>
      </c>
      <c r="N89" s="7">
        <f>P89+Q89+R89+S89</f>
        <v>540.18449584000007</v>
      </c>
      <c r="O89" s="7"/>
      <c r="P89" s="7">
        <v>11.86</v>
      </c>
      <c r="Q89" s="7">
        <v>61.8</v>
      </c>
      <c r="R89" s="7">
        <f>(449.23729-162.34594+143.53262)*1.072</f>
        <v>461.41449584000003</v>
      </c>
      <c r="S89" s="7">
        <v>5.1100000000000003</v>
      </c>
      <c r="T89" s="7">
        <f>P89+Q89+R89+S89</f>
        <v>540.18449584000007</v>
      </c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7"/>
      <c r="AG89" s="7"/>
      <c r="AH89" s="5"/>
      <c r="AI89" s="18"/>
      <c r="AJ89" s="7"/>
      <c r="AK89" s="7"/>
      <c r="AL89" s="5"/>
      <c r="AM89" s="5"/>
      <c r="AN89" s="5"/>
      <c r="AO89" s="5"/>
      <c r="AP89" s="5"/>
      <c r="AQ89" s="18"/>
      <c r="AR89" s="7"/>
      <c r="AS89" s="18"/>
      <c r="AT89" s="7"/>
      <c r="AU89" s="5"/>
      <c r="AV89" s="5"/>
      <c r="AW89" s="5"/>
      <c r="AX89" s="5"/>
      <c r="AY89" s="4"/>
      <c r="AZ89" s="7"/>
      <c r="BA89" s="18"/>
      <c r="BB89" s="7"/>
      <c r="BC89" s="7"/>
      <c r="BD89" s="5"/>
      <c r="BE89" s="5"/>
      <c r="BF89" s="5"/>
      <c r="BG89" s="5"/>
      <c r="BH89" s="5"/>
      <c r="BI89" s="5"/>
      <c r="BJ89" s="5"/>
      <c r="BK89" s="7"/>
      <c r="BL89" s="8"/>
      <c r="BM89" s="5"/>
      <c r="BN89" s="5"/>
      <c r="BO89" s="7"/>
      <c r="BP89" s="7"/>
      <c r="BQ89" s="8"/>
      <c r="BR89" s="9"/>
    </row>
    <row r="90" spans="1:70" s="6" customFormat="1" ht="121.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 t="s">
        <v>27</v>
      </c>
      <c r="M90" s="4">
        <f>AS86</f>
        <v>1</v>
      </c>
      <c r="N90" s="7">
        <v>12.5</v>
      </c>
      <c r="O90" s="7"/>
      <c r="P90" s="7">
        <v>0.75</v>
      </c>
      <c r="Q90" s="7">
        <v>1.53</v>
      </c>
      <c r="R90" s="7">
        <v>10.119999999999999</v>
      </c>
      <c r="S90" s="7">
        <v>0.1</v>
      </c>
      <c r="T90" s="7">
        <f t="shared" ref="T90:T91" si="41">P90+Q90+R90+S90</f>
        <v>12.499999999999998</v>
      </c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7"/>
      <c r="AG90" s="7"/>
      <c r="AH90" s="5"/>
      <c r="AI90" s="18"/>
      <c r="AJ90" s="7"/>
      <c r="AK90" s="7"/>
      <c r="AL90" s="5"/>
      <c r="AM90" s="5"/>
      <c r="AN90" s="5"/>
      <c r="AO90" s="5"/>
      <c r="AP90" s="5"/>
      <c r="AQ90" s="18"/>
      <c r="AR90" s="7"/>
      <c r="AS90" s="18"/>
      <c r="AT90" s="7"/>
      <c r="AU90" s="5"/>
      <c r="AV90" s="5"/>
      <c r="AW90" s="5"/>
      <c r="AX90" s="5"/>
      <c r="AY90" s="4"/>
      <c r="AZ90" s="7"/>
      <c r="BA90" s="18"/>
      <c r="BB90" s="7"/>
      <c r="BC90" s="7"/>
      <c r="BD90" s="5"/>
      <c r="BE90" s="5"/>
      <c r="BF90" s="5"/>
      <c r="BG90" s="5"/>
      <c r="BH90" s="5"/>
      <c r="BI90" s="5"/>
      <c r="BJ90" s="5"/>
      <c r="BK90" s="7"/>
      <c r="BL90" s="8"/>
      <c r="BM90" s="5"/>
      <c r="BN90" s="5"/>
      <c r="BO90" s="7"/>
      <c r="BP90" s="7"/>
      <c r="BQ90" s="8"/>
      <c r="BR90" s="9"/>
    </row>
    <row r="91" spans="1:70" s="6" customFormat="1" ht="121.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 t="s">
        <v>16</v>
      </c>
      <c r="M91" s="4">
        <f>BA86</f>
        <v>0.5</v>
      </c>
      <c r="N91" s="7">
        <f>1125*M91*1.05</f>
        <v>590.625</v>
      </c>
      <c r="O91" s="7"/>
      <c r="P91" s="7">
        <f>0.08*N91</f>
        <v>47.25</v>
      </c>
      <c r="Q91" s="7">
        <f>0.86*N91</f>
        <v>507.9375</v>
      </c>
      <c r="R91" s="7"/>
      <c r="S91" s="7">
        <f>0.06*N91</f>
        <v>35.4375</v>
      </c>
      <c r="T91" s="7">
        <f t="shared" si="41"/>
        <v>590.625</v>
      </c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7"/>
      <c r="AG91" s="7"/>
      <c r="AH91" s="5"/>
      <c r="AI91" s="18"/>
      <c r="AJ91" s="7"/>
      <c r="AK91" s="7"/>
      <c r="AL91" s="5"/>
      <c r="AM91" s="5"/>
      <c r="AN91" s="5"/>
      <c r="AO91" s="5"/>
      <c r="AP91" s="5"/>
      <c r="AQ91" s="18"/>
      <c r="AR91" s="7"/>
      <c r="AS91" s="18"/>
      <c r="AT91" s="7"/>
      <c r="AU91" s="5"/>
      <c r="AV91" s="5"/>
      <c r="AW91" s="5"/>
      <c r="AX91" s="5"/>
      <c r="AY91" s="4"/>
      <c r="AZ91" s="7"/>
      <c r="BA91" s="18"/>
      <c r="BB91" s="7"/>
      <c r="BC91" s="7"/>
      <c r="BD91" s="5"/>
      <c r="BE91" s="5"/>
      <c r="BF91" s="5"/>
      <c r="BG91" s="5"/>
      <c r="BH91" s="5"/>
      <c r="BI91" s="5"/>
      <c r="BJ91" s="5"/>
      <c r="BK91" s="7"/>
      <c r="BL91" s="8"/>
      <c r="BM91" s="5"/>
      <c r="BN91" s="5"/>
      <c r="BO91" s="7"/>
      <c r="BP91" s="7"/>
      <c r="BQ91" s="8"/>
      <c r="BR91" s="9"/>
    </row>
    <row r="92" spans="1:70" s="78" customFormat="1" ht="409.6" customHeight="1" x14ac:dyDescent="0.25">
      <c r="A92" s="67" t="s">
        <v>163</v>
      </c>
      <c r="B92" s="68" t="s">
        <v>201</v>
      </c>
      <c r="C92" s="69">
        <v>466.1</v>
      </c>
      <c r="D92" s="69"/>
      <c r="E92" s="70">
        <v>15</v>
      </c>
      <c r="F92" s="68" t="s">
        <v>239</v>
      </c>
      <c r="G92" s="68" t="s">
        <v>47</v>
      </c>
      <c r="H92" s="68" t="s">
        <v>279</v>
      </c>
      <c r="I92" s="68" t="s">
        <v>304</v>
      </c>
      <c r="J92" s="68" t="s">
        <v>331</v>
      </c>
      <c r="K92" s="70"/>
      <c r="L92" s="70"/>
      <c r="M92" s="70"/>
      <c r="N92" s="72"/>
      <c r="O92" s="72"/>
      <c r="P92" s="72"/>
      <c r="Q92" s="72"/>
      <c r="R92" s="72"/>
      <c r="S92" s="72"/>
      <c r="T92" s="72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4"/>
      <c r="AJ92" s="73"/>
      <c r="AK92" s="73"/>
      <c r="AL92" s="73"/>
      <c r="AM92" s="73"/>
      <c r="AN92" s="73"/>
      <c r="AO92" s="73"/>
      <c r="AP92" s="73"/>
      <c r="AQ92" s="74"/>
      <c r="AR92" s="73"/>
      <c r="AS92" s="74"/>
      <c r="AT92" s="73"/>
      <c r="AU92" s="73"/>
      <c r="AV92" s="73"/>
      <c r="AW92" s="73"/>
      <c r="AX92" s="73"/>
      <c r="AY92" s="70"/>
      <c r="AZ92" s="72"/>
      <c r="BA92" s="71"/>
      <c r="BB92" s="72"/>
      <c r="BC92" s="70"/>
      <c r="BD92" s="73"/>
      <c r="BE92" s="73"/>
      <c r="BF92" s="73"/>
      <c r="BG92" s="73"/>
      <c r="BH92" s="73"/>
      <c r="BI92" s="73"/>
      <c r="BJ92" s="73"/>
      <c r="BK92" s="72"/>
      <c r="BL92" s="76">
        <v>42528</v>
      </c>
      <c r="BM92" s="73" t="s">
        <v>381</v>
      </c>
      <c r="BN92" s="73"/>
      <c r="BO92" s="72"/>
      <c r="BP92" s="72"/>
      <c r="BQ92" s="76"/>
      <c r="BR92" s="77"/>
    </row>
    <row r="93" spans="1:70" s="78" customFormat="1" ht="409.6" customHeight="1" x14ac:dyDescent="0.25">
      <c r="A93" s="67" t="s">
        <v>158</v>
      </c>
      <c r="B93" s="68" t="s">
        <v>196</v>
      </c>
      <c r="C93" s="69">
        <v>466.1</v>
      </c>
      <c r="D93" s="69"/>
      <c r="E93" s="70">
        <v>15</v>
      </c>
      <c r="F93" s="68" t="s">
        <v>234</v>
      </c>
      <c r="G93" s="68" t="s">
        <v>47</v>
      </c>
      <c r="H93" s="68" t="s">
        <v>274</v>
      </c>
      <c r="I93" s="68" t="s">
        <v>302</v>
      </c>
      <c r="J93" s="68" t="s">
        <v>331</v>
      </c>
      <c r="K93" s="70"/>
      <c r="L93" s="70"/>
      <c r="M93" s="71"/>
      <c r="N93" s="72"/>
      <c r="O93" s="72"/>
      <c r="P93" s="72"/>
      <c r="Q93" s="72"/>
      <c r="R93" s="72"/>
      <c r="S93" s="72"/>
      <c r="T93" s="72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4"/>
      <c r="AJ93" s="73"/>
      <c r="AK93" s="73"/>
      <c r="AL93" s="73"/>
      <c r="AM93" s="73"/>
      <c r="AN93" s="73"/>
      <c r="AO93" s="73"/>
      <c r="AP93" s="73"/>
      <c r="AQ93" s="74"/>
      <c r="AR93" s="73"/>
      <c r="AS93" s="74"/>
      <c r="AT93" s="73"/>
      <c r="AU93" s="73"/>
      <c r="AV93" s="73"/>
      <c r="AW93" s="73"/>
      <c r="AX93" s="73"/>
      <c r="AY93" s="70"/>
      <c r="AZ93" s="72"/>
      <c r="BA93" s="71"/>
      <c r="BB93" s="72"/>
      <c r="BC93" s="70"/>
      <c r="BD93" s="73"/>
      <c r="BE93" s="73"/>
      <c r="BF93" s="73"/>
      <c r="BG93" s="73"/>
      <c r="BH93" s="73"/>
      <c r="BI93" s="73"/>
      <c r="BJ93" s="73"/>
      <c r="BK93" s="72"/>
      <c r="BL93" s="76">
        <v>42528</v>
      </c>
      <c r="BM93" s="73" t="s">
        <v>381</v>
      </c>
      <c r="BN93" s="73"/>
      <c r="BO93" s="72"/>
      <c r="BP93" s="72"/>
      <c r="BQ93" s="76"/>
      <c r="BR93" s="77"/>
    </row>
    <row r="94" spans="1:70" s="78" customFormat="1" ht="409.5" customHeight="1" x14ac:dyDescent="0.25">
      <c r="A94" s="67" t="s">
        <v>152</v>
      </c>
      <c r="B94" s="68" t="s">
        <v>190</v>
      </c>
      <c r="C94" s="69">
        <v>466.1</v>
      </c>
      <c r="D94" s="69"/>
      <c r="E94" s="70">
        <v>15</v>
      </c>
      <c r="F94" s="68" t="s">
        <v>228</v>
      </c>
      <c r="G94" s="68" t="s">
        <v>47</v>
      </c>
      <c r="H94" s="68" t="s">
        <v>268</v>
      </c>
      <c r="I94" s="68" t="s">
        <v>297</v>
      </c>
      <c r="J94" s="68" t="s">
        <v>331</v>
      </c>
      <c r="K94" s="70"/>
      <c r="L94" s="70"/>
      <c r="M94" s="70"/>
      <c r="N94" s="72"/>
      <c r="O94" s="72"/>
      <c r="P94" s="72"/>
      <c r="Q94" s="72"/>
      <c r="R94" s="72"/>
      <c r="S94" s="72"/>
      <c r="T94" s="72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4"/>
      <c r="AJ94" s="73"/>
      <c r="AK94" s="73"/>
      <c r="AL94" s="73"/>
      <c r="AM94" s="73"/>
      <c r="AN94" s="73"/>
      <c r="AO94" s="73"/>
      <c r="AP94" s="73"/>
      <c r="AQ94" s="74"/>
      <c r="AR94" s="73"/>
      <c r="AS94" s="74"/>
      <c r="AT94" s="73"/>
      <c r="AU94" s="73"/>
      <c r="AV94" s="73"/>
      <c r="AW94" s="73"/>
      <c r="AX94" s="73"/>
      <c r="AY94" s="70"/>
      <c r="AZ94" s="72"/>
      <c r="BA94" s="71"/>
      <c r="BB94" s="82"/>
      <c r="BC94" s="82"/>
      <c r="BD94" s="73"/>
      <c r="BE94" s="73"/>
      <c r="BF94" s="73"/>
      <c r="BG94" s="73"/>
      <c r="BH94" s="73"/>
      <c r="BI94" s="73"/>
      <c r="BJ94" s="73"/>
      <c r="BK94" s="72"/>
      <c r="BL94" s="76">
        <v>42528</v>
      </c>
      <c r="BM94" s="73" t="s">
        <v>381</v>
      </c>
      <c r="BN94" s="73"/>
      <c r="BO94" s="72"/>
      <c r="BP94" s="72"/>
      <c r="BQ94" s="76"/>
      <c r="BR94" s="77"/>
    </row>
    <row r="95" spans="1:70" s="78" customFormat="1" ht="409.5" customHeight="1" x14ac:dyDescent="0.25">
      <c r="A95" s="67" t="s">
        <v>149</v>
      </c>
      <c r="B95" s="68" t="s">
        <v>187</v>
      </c>
      <c r="C95" s="69">
        <v>466.1</v>
      </c>
      <c r="D95" s="69"/>
      <c r="E95" s="70">
        <v>15</v>
      </c>
      <c r="F95" s="68" t="s">
        <v>225</v>
      </c>
      <c r="G95" s="68" t="s">
        <v>47</v>
      </c>
      <c r="H95" s="68" t="s">
        <v>265</v>
      </c>
      <c r="I95" s="68" t="s">
        <v>296</v>
      </c>
      <c r="J95" s="68" t="s">
        <v>328</v>
      </c>
      <c r="K95" s="70" t="s">
        <v>379</v>
      </c>
      <c r="L95" s="70"/>
      <c r="M95" s="70"/>
      <c r="N95" s="72">
        <f>N96</f>
        <v>177.1875</v>
      </c>
      <c r="O95" s="72">
        <f t="shared" ref="O95:T95" si="42">O96</f>
        <v>0</v>
      </c>
      <c r="P95" s="72">
        <f t="shared" si="42"/>
        <v>14.175000000000001</v>
      </c>
      <c r="Q95" s="72">
        <f t="shared" si="42"/>
        <v>152.38124999999999</v>
      </c>
      <c r="R95" s="72">
        <f t="shared" si="42"/>
        <v>0</v>
      </c>
      <c r="S95" s="72">
        <f t="shared" si="42"/>
        <v>10.63125</v>
      </c>
      <c r="T95" s="72">
        <f t="shared" si="42"/>
        <v>177.1875</v>
      </c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1">
        <v>0.15</v>
      </c>
      <c r="BB95" s="70">
        <f>T96</f>
        <v>177.1875</v>
      </c>
      <c r="BC95" s="70"/>
      <c r="BD95" s="70"/>
      <c r="BE95" s="70"/>
      <c r="BF95" s="72"/>
      <c r="BG95" s="70"/>
      <c r="BH95" s="70"/>
      <c r="BI95" s="72"/>
      <c r="BJ95" s="73"/>
      <c r="BK95" s="72">
        <f>BB95</f>
        <v>177.1875</v>
      </c>
      <c r="BL95" s="76">
        <v>42528</v>
      </c>
      <c r="BM95" s="73" t="s">
        <v>380</v>
      </c>
      <c r="BN95" s="73"/>
      <c r="BO95" s="72"/>
      <c r="BP95" s="72"/>
      <c r="BQ95" s="76"/>
      <c r="BR95" s="77"/>
    </row>
    <row r="96" spans="1:70" s="6" customFormat="1" ht="171.7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 t="s">
        <v>16</v>
      </c>
      <c r="M96" s="4">
        <f>BA95</f>
        <v>0.15</v>
      </c>
      <c r="N96" s="7">
        <f>1125*M96*1.05</f>
        <v>177.1875</v>
      </c>
      <c r="O96" s="7"/>
      <c r="P96" s="7">
        <f>0.08*N96</f>
        <v>14.175000000000001</v>
      </c>
      <c r="Q96" s="7">
        <f>0.86*N96</f>
        <v>152.38124999999999</v>
      </c>
      <c r="R96" s="7"/>
      <c r="S96" s="7">
        <f>0.06*N96</f>
        <v>10.63125</v>
      </c>
      <c r="T96" s="7">
        <f>P96+Q96+R96+S96</f>
        <v>177.1875</v>
      </c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18"/>
      <c r="BB96" s="18"/>
      <c r="BC96" s="4"/>
      <c r="BD96" s="4"/>
      <c r="BE96" s="4"/>
      <c r="BF96" s="7"/>
      <c r="BG96" s="4"/>
      <c r="BH96" s="4"/>
      <c r="BI96" s="7"/>
      <c r="BJ96" s="5"/>
      <c r="BK96" s="7"/>
      <c r="BL96" s="8"/>
      <c r="BM96" s="5"/>
      <c r="BN96" s="5"/>
      <c r="BO96" s="7"/>
      <c r="BP96" s="7"/>
      <c r="BQ96" s="8"/>
      <c r="BR96" s="9"/>
    </row>
    <row r="97" spans="1:70" s="78" customFormat="1" ht="251.25" customHeight="1" x14ac:dyDescent="0.25">
      <c r="A97" s="67" t="s">
        <v>167</v>
      </c>
      <c r="B97" s="68" t="s">
        <v>205</v>
      </c>
      <c r="C97" s="69">
        <v>466.1</v>
      </c>
      <c r="D97" s="69"/>
      <c r="E97" s="70">
        <v>15</v>
      </c>
      <c r="F97" s="68" t="s">
        <v>243</v>
      </c>
      <c r="G97" s="68" t="s">
        <v>46</v>
      </c>
      <c r="H97" s="68" t="s">
        <v>283</v>
      </c>
      <c r="I97" s="68" t="s">
        <v>48</v>
      </c>
      <c r="J97" s="68" t="s">
        <v>344</v>
      </c>
      <c r="K97" s="70"/>
      <c r="L97" s="70"/>
      <c r="M97" s="71"/>
      <c r="N97" s="87"/>
      <c r="O97" s="87"/>
      <c r="P97" s="87"/>
      <c r="Q97" s="87"/>
      <c r="R97" s="87"/>
      <c r="S97" s="87"/>
      <c r="T97" s="87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0"/>
      <c r="AF97" s="72"/>
      <c r="AG97" s="72"/>
      <c r="AH97" s="73"/>
      <c r="AI97" s="71"/>
      <c r="AJ97" s="72"/>
      <c r="AK97" s="72"/>
      <c r="AL97" s="73"/>
      <c r="AM97" s="73"/>
      <c r="AN97" s="73"/>
      <c r="AO97" s="73"/>
      <c r="AP97" s="73"/>
      <c r="AQ97" s="71"/>
      <c r="AR97" s="72"/>
      <c r="AS97" s="71"/>
      <c r="AT97" s="72"/>
      <c r="AU97" s="73"/>
      <c r="AV97" s="73"/>
      <c r="AW97" s="73"/>
      <c r="AX97" s="73"/>
      <c r="AY97" s="70"/>
      <c r="AZ97" s="72"/>
      <c r="BA97" s="71"/>
      <c r="BB97" s="72"/>
      <c r="BC97" s="72"/>
      <c r="BD97" s="73"/>
      <c r="BE97" s="73"/>
      <c r="BF97" s="73"/>
      <c r="BG97" s="73"/>
      <c r="BH97" s="73"/>
      <c r="BI97" s="73"/>
      <c r="BJ97" s="73"/>
      <c r="BK97" s="72"/>
      <c r="BL97" s="76">
        <v>42520</v>
      </c>
      <c r="BM97" s="73" t="s">
        <v>385</v>
      </c>
      <c r="BN97" s="73"/>
      <c r="BO97" s="72"/>
      <c r="BP97" s="72"/>
      <c r="BQ97" s="76"/>
      <c r="BR97" s="77"/>
    </row>
    <row r="98" spans="1:70" s="66" customFormat="1" ht="409.5" customHeight="1" x14ac:dyDescent="0.25">
      <c r="A98" s="55" t="s">
        <v>168</v>
      </c>
      <c r="B98" s="56" t="s">
        <v>206</v>
      </c>
      <c r="C98" s="57">
        <v>466.1</v>
      </c>
      <c r="D98" s="57"/>
      <c r="E98" s="58">
        <v>12</v>
      </c>
      <c r="F98" s="56" t="s">
        <v>244</v>
      </c>
      <c r="G98" s="56" t="s">
        <v>46</v>
      </c>
      <c r="H98" s="56" t="s">
        <v>284</v>
      </c>
      <c r="I98" s="56" t="s">
        <v>308</v>
      </c>
      <c r="J98" s="56" t="s">
        <v>345</v>
      </c>
      <c r="K98" s="58" t="s">
        <v>349</v>
      </c>
      <c r="L98" s="58"/>
      <c r="M98" s="58"/>
      <c r="N98" s="59">
        <f>N99</f>
        <v>295.3125</v>
      </c>
      <c r="O98" s="59"/>
      <c r="P98" s="59">
        <f t="shared" ref="P98:T98" si="43">P99</f>
        <v>23.625</v>
      </c>
      <c r="Q98" s="59">
        <f t="shared" si="43"/>
        <v>253.96875</v>
      </c>
      <c r="R98" s="59">
        <f t="shared" si="43"/>
        <v>0</v>
      </c>
      <c r="S98" s="59">
        <f t="shared" si="43"/>
        <v>17.71875</v>
      </c>
      <c r="T98" s="59">
        <f t="shared" si="43"/>
        <v>295.3125</v>
      </c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58"/>
      <c r="AF98" s="59"/>
      <c r="AG98" s="59"/>
      <c r="AH98" s="60"/>
      <c r="AI98" s="61"/>
      <c r="AJ98" s="59"/>
      <c r="AK98" s="59"/>
      <c r="AL98" s="60"/>
      <c r="AM98" s="60"/>
      <c r="AN98" s="60"/>
      <c r="AO98" s="60"/>
      <c r="AP98" s="60"/>
      <c r="AQ98" s="61"/>
      <c r="AR98" s="59"/>
      <c r="AS98" s="61"/>
      <c r="AT98" s="59"/>
      <c r="AU98" s="60"/>
      <c r="AV98" s="60"/>
      <c r="AW98" s="60"/>
      <c r="AX98" s="60"/>
      <c r="AY98" s="58"/>
      <c r="AZ98" s="59"/>
      <c r="BA98" s="61">
        <v>0.25</v>
      </c>
      <c r="BB98" s="59">
        <f>T99</f>
        <v>295.3125</v>
      </c>
      <c r="BC98" s="59"/>
      <c r="BD98" s="60"/>
      <c r="BE98" s="60"/>
      <c r="BF98" s="60"/>
      <c r="BG98" s="60"/>
      <c r="BH98" s="60"/>
      <c r="BI98" s="60"/>
      <c r="BJ98" s="60"/>
      <c r="BK98" s="59">
        <f>BB98</f>
        <v>295.3125</v>
      </c>
      <c r="BL98" s="64">
        <v>42532</v>
      </c>
      <c r="BM98" s="60" t="s">
        <v>350</v>
      </c>
      <c r="BN98" s="60"/>
      <c r="BO98" s="59"/>
      <c r="BP98" s="59"/>
      <c r="BQ98" s="64"/>
      <c r="BR98" s="65"/>
    </row>
    <row r="99" spans="1:70" s="6" customFormat="1" ht="209.2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 t="s">
        <v>16</v>
      </c>
      <c r="M99" s="18">
        <v>0.25</v>
      </c>
      <c r="N99" s="12">
        <f>1125*M99*1.05</f>
        <v>295.3125</v>
      </c>
      <c r="O99" s="12"/>
      <c r="P99" s="12">
        <f>0.08*N99</f>
        <v>23.625</v>
      </c>
      <c r="Q99" s="12">
        <f>0.86*N99</f>
        <v>253.96875</v>
      </c>
      <c r="R99" s="12"/>
      <c r="S99" s="12">
        <f>0.06*N99</f>
        <v>17.71875</v>
      </c>
      <c r="T99" s="12">
        <f t="shared" ref="T99" si="44">P99+Q99+R99+S99</f>
        <v>295.3125</v>
      </c>
      <c r="U99" s="5"/>
      <c r="V99" s="5"/>
      <c r="W99" s="5"/>
      <c r="X99" s="5"/>
      <c r="Y99" s="5"/>
      <c r="Z99" s="5"/>
      <c r="AA99" s="5"/>
      <c r="AB99" s="5"/>
      <c r="AC99" s="5"/>
      <c r="AD99" s="5"/>
      <c r="AE99" s="4"/>
      <c r="AF99" s="7"/>
      <c r="AG99" s="7"/>
      <c r="AH99" s="5"/>
      <c r="AI99" s="18"/>
      <c r="AJ99" s="7"/>
      <c r="AK99" s="7"/>
      <c r="AL99" s="5"/>
      <c r="AM99" s="5"/>
      <c r="AN99" s="5"/>
      <c r="AO99" s="5"/>
      <c r="AP99" s="5"/>
      <c r="AQ99" s="18"/>
      <c r="AR99" s="7"/>
      <c r="AS99" s="18"/>
      <c r="AT99" s="7"/>
      <c r="AU99" s="5"/>
      <c r="AV99" s="5"/>
      <c r="AW99" s="5"/>
      <c r="AX99" s="5"/>
      <c r="AY99" s="4"/>
      <c r="AZ99" s="7"/>
      <c r="BA99" s="18"/>
      <c r="BB99" s="7"/>
      <c r="BC99" s="7"/>
      <c r="BD99" s="5"/>
      <c r="BE99" s="5"/>
      <c r="BF99" s="5"/>
      <c r="BG99" s="5"/>
      <c r="BH99" s="5"/>
      <c r="BI99" s="5"/>
      <c r="BJ99" s="5"/>
      <c r="BK99" s="7"/>
      <c r="BL99" s="8"/>
      <c r="BM99" s="5"/>
      <c r="BN99" s="5"/>
      <c r="BO99" s="7"/>
      <c r="BP99" s="7"/>
      <c r="BQ99" s="8"/>
      <c r="BR99" s="9"/>
    </row>
    <row r="100" spans="1:70" s="66" customFormat="1" ht="198.75" customHeight="1" x14ac:dyDescent="0.25">
      <c r="A100" s="55" t="s">
        <v>169</v>
      </c>
      <c r="B100" s="56" t="s">
        <v>207</v>
      </c>
      <c r="C100" s="57">
        <v>466.1</v>
      </c>
      <c r="D100" s="57"/>
      <c r="E100" s="58">
        <v>14.5</v>
      </c>
      <c r="F100" s="56" t="s">
        <v>245</v>
      </c>
      <c r="G100" s="56" t="s">
        <v>46</v>
      </c>
      <c r="H100" s="56" t="s">
        <v>285</v>
      </c>
      <c r="I100" s="56" t="s">
        <v>309</v>
      </c>
      <c r="J100" s="56" t="s">
        <v>346</v>
      </c>
      <c r="K100" s="58" t="s">
        <v>431</v>
      </c>
      <c r="L100" s="58"/>
      <c r="M100" s="61"/>
      <c r="N100" s="84"/>
      <c r="O100" s="84"/>
      <c r="P100" s="84"/>
      <c r="Q100" s="84"/>
      <c r="R100" s="84"/>
      <c r="S100" s="84"/>
      <c r="T100" s="84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80"/>
      <c r="AJ100" s="60"/>
      <c r="AK100" s="60"/>
      <c r="AL100" s="60"/>
      <c r="AM100" s="60"/>
      <c r="AN100" s="60"/>
      <c r="AO100" s="60"/>
      <c r="AP100" s="60"/>
      <c r="AQ100" s="80"/>
      <c r="AR100" s="60"/>
      <c r="AS100" s="80"/>
      <c r="AT100" s="60"/>
      <c r="AU100" s="60"/>
      <c r="AV100" s="60"/>
      <c r="AW100" s="60"/>
      <c r="AX100" s="60"/>
      <c r="AY100" s="58"/>
      <c r="AZ100" s="59"/>
      <c r="BA100" s="61"/>
      <c r="BB100" s="59"/>
      <c r="BC100" s="58"/>
      <c r="BD100" s="60"/>
      <c r="BE100" s="60"/>
      <c r="BF100" s="60"/>
      <c r="BG100" s="60"/>
      <c r="BH100" s="60"/>
      <c r="BI100" s="60"/>
      <c r="BJ100" s="60"/>
      <c r="BK100" s="59"/>
      <c r="BL100" s="64">
        <v>42523</v>
      </c>
      <c r="BM100" s="60" t="s">
        <v>434</v>
      </c>
      <c r="BN100" s="60"/>
      <c r="BO100" s="59"/>
      <c r="BP100" s="59"/>
      <c r="BQ100" s="64"/>
      <c r="BR100" s="65"/>
    </row>
    <row r="101" spans="1:70" s="78" customFormat="1" ht="408.75" customHeight="1" x14ac:dyDescent="0.25">
      <c r="A101" s="67" t="s">
        <v>170</v>
      </c>
      <c r="B101" s="68" t="s">
        <v>208</v>
      </c>
      <c r="C101" s="69">
        <v>466.1</v>
      </c>
      <c r="D101" s="69"/>
      <c r="E101" s="70">
        <v>10</v>
      </c>
      <c r="F101" s="68" t="s">
        <v>246</v>
      </c>
      <c r="G101" s="68" t="s">
        <v>112</v>
      </c>
      <c r="H101" s="68" t="s">
        <v>286</v>
      </c>
      <c r="I101" s="68" t="s">
        <v>310</v>
      </c>
      <c r="J101" s="68" t="s">
        <v>319</v>
      </c>
      <c r="K101" s="70" t="s">
        <v>432</v>
      </c>
      <c r="L101" s="70"/>
      <c r="M101" s="71"/>
      <c r="N101" s="87">
        <f>N102</f>
        <v>236.25</v>
      </c>
      <c r="O101" s="87">
        <f t="shared" ref="O101:AB101" si="45">O102</f>
        <v>0</v>
      </c>
      <c r="P101" s="87">
        <f t="shared" si="45"/>
        <v>18.900000000000002</v>
      </c>
      <c r="Q101" s="87">
        <f t="shared" si="45"/>
        <v>203.17499999999998</v>
      </c>
      <c r="R101" s="87">
        <f t="shared" si="45"/>
        <v>0</v>
      </c>
      <c r="S101" s="87">
        <f t="shared" si="45"/>
        <v>14.174999999999999</v>
      </c>
      <c r="T101" s="87">
        <f t="shared" si="45"/>
        <v>236.25</v>
      </c>
      <c r="U101" s="87">
        <f t="shared" si="45"/>
        <v>0</v>
      </c>
      <c r="V101" s="87">
        <f t="shared" si="45"/>
        <v>0</v>
      </c>
      <c r="W101" s="87">
        <f t="shared" si="45"/>
        <v>0</v>
      </c>
      <c r="X101" s="87">
        <f t="shared" si="45"/>
        <v>0</v>
      </c>
      <c r="Y101" s="87">
        <f t="shared" si="45"/>
        <v>0</v>
      </c>
      <c r="Z101" s="87">
        <f t="shared" si="45"/>
        <v>0</v>
      </c>
      <c r="AA101" s="87">
        <f t="shared" si="45"/>
        <v>0</v>
      </c>
      <c r="AB101" s="87">
        <f t="shared" si="45"/>
        <v>0</v>
      </c>
      <c r="AC101" s="73"/>
      <c r="AD101" s="73"/>
      <c r="AE101" s="73"/>
      <c r="AF101" s="73"/>
      <c r="AG101" s="73"/>
      <c r="AH101" s="73"/>
      <c r="AI101" s="74"/>
      <c r="AJ101" s="73"/>
      <c r="AK101" s="73"/>
      <c r="AL101" s="73"/>
      <c r="AM101" s="73"/>
      <c r="AN101" s="73"/>
      <c r="AO101" s="73"/>
      <c r="AP101" s="73"/>
      <c r="AQ101" s="74"/>
      <c r="AR101" s="73"/>
      <c r="AS101" s="74"/>
      <c r="AT101" s="73"/>
      <c r="AU101" s="73"/>
      <c r="AV101" s="73"/>
      <c r="AW101" s="73"/>
      <c r="AX101" s="73"/>
      <c r="AY101" s="70"/>
      <c r="AZ101" s="72"/>
      <c r="BA101" s="71">
        <v>0.2</v>
      </c>
      <c r="BB101" s="72">
        <f>BA101*1125*1.05</f>
        <v>236.25</v>
      </c>
      <c r="BC101" s="70"/>
      <c r="BD101" s="73"/>
      <c r="BE101" s="73"/>
      <c r="BF101" s="73"/>
      <c r="BG101" s="73"/>
      <c r="BH101" s="73"/>
      <c r="BI101" s="73"/>
      <c r="BJ101" s="73"/>
      <c r="BK101" s="72">
        <f>BB101</f>
        <v>236.25</v>
      </c>
      <c r="BL101" s="76">
        <v>42523</v>
      </c>
      <c r="BM101" s="73" t="s">
        <v>437</v>
      </c>
      <c r="BN101" s="73"/>
      <c r="BO101" s="72"/>
      <c r="BP101" s="72"/>
      <c r="BQ101" s="76"/>
      <c r="BR101" s="77"/>
    </row>
    <row r="102" spans="1:70" s="6" customFormat="1" ht="209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 t="s">
        <v>16</v>
      </c>
      <c r="M102" s="18">
        <f>BA101</f>
        <v>0.2</v>
      </c>
      <c r="N102" s="12">
        <f>1125*M102*1.05</f>
        <v>236.25</v>
      </c>
      <c r="O102" s="12"/>
      <c r="P102" s="12">
        <f>0.08*N102</f>
        <v>18.900000000000002</v>
      </c>
      <c r="Q102" s="12">
        <f>0.86*N102</f>
        <v>203.17499999999998</v>
      </c>
      <c r="R102" s="12">
        <v>0</v>
      </c>
      <c r="S102" s="12">
        <f>0.06*N102</f>
        <v>14.174999999999999</v>
      </c>
      <c r="T102" s="12">
        <f t="shared" ref="T102" si="46">P102+Q102+R102+S102</f>
        <v>236.25</v>
      </c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4"/>
      <c r="AF102" s="7"/>
      <c r="AG102" s="7"/>
      <c r="AH102" s="5"/>
      <c r="AI102" s="18"/>
      <c r="AJ102" s="7"/>
      <c r="AK102" s="7"/>
      <c r="AL102" s="5"/>
      <c r="AM102" s="5"/>
      <c r="AN102" s="5"/>
      <c r="AO102" s="5"/>
      <c r="AP102" s="5"/>
      <c r="AQ102" s="18"/>
      <c r="AR102" s="7"/>
      <c r="AS102" s="18"/>
      <c r="AT102" s="7"/>
      <c r="AU102" s="5"/>
      <c r="AV102" s="5"/>
      <c r="AW102" s="5"/>
      <c r="AX102" s="5"/>
      <c r="AY102" s="4"/>
      <c r="AZ102" s="7"/>
      <c r="BA102" s="18"/>
      <c r="BB102" s="7"/>
      <c r="BC102" s="7"/>
      <c r="BD102" s="5"/>
      <c r="BE102" s="5"/>
      <c r="BF102" s="5"/>
      <c r="BG102" s="5"/>
      <c r="BH102" s="5"/>
      <c r="BI102" s="5"/>
      <c r="BJ102" s="5"/>
      <c r="BK102" s="7"/>
      <c r="BL102" s="8"/>
      <c r="BM102" s="5"/>
      <c r="BN102" s="5"/>
      <c r="BO102" s="7"/>
      <c r="BP102" s="7"/>
      <c r="BQ102" s="8"/>
      <c r="BR102" s="9"/>
    </row>
    <row r="103" spans="1:70" s="66" customFormat="1" ht="254.25" customHeight="1" x14ac:dyDescent="0.25">
      <c r="A103" s="55" t="s">
        <v>55</v>
      </c>
      <c r="B103" s="56" t="s">
        <v>70</v>
      </c>
      <c r="C103" s="57">
        <v>466.1</v>
      </c>
      <c r="D103" s="57"/>
      <c r="E103" s="58">
        <v>14</v>
      </c>
      <c r="F103" s="56" t="s">
        <v>85</v>
      </c>
      <c r="G103" s="56" t="s">
        <v>46</v>
      </c>
      <c r="H103" s="56" t="s">
        <v>100</v>
      </c>
      <c r="I103" s="56" t="s">
        <v>48</v>
      </c>
      <c r="J103" s="56" t="s">
        <v>121</v>
      </c>
      <c r="K103" s="58" t="s">
        <v>433</v>
      </c>
      <c r="L103" s="58"/>
      <c r="M103" s="61"/>
      <c r="N103" s="84"/>
      <c r="O103" s="84"/>
      <c r="P103" s="84"/>
      <c r="Q103" s="84"/>
      <c r="R103" s="84"/>
      <c r="S103" s="84"/>
      <c r="T103" s="84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80"/>
      <c r="AJ103" s="60"/>
      <c r="AK103" s="60"/>
      <c r="AL103" s="60"/>
      <c r="AM103" s="60"/>
      <c r="AN103" s="60"/>
      <c r="AO103" s="60"/>
      <c r="AP103" s="60"/>
      <c r="AQ103" s="80"/>
      <c r="AR103" s="60"/>
      <c r="AS103" s="80"/>
      <c r="AT103" s="60"/>
      <c r="AU103" s="60"/>
      <c r="AV103" s="60"/>
      <c r="AW103" s="60"/>
      <c r="AX103" s="60"/>
      <c r="AY103" s="58"/>
      <c r="AZ103" s="59"/>
      <c r="BA103" s="61"/>
      <c r="BB103" s="59"/>
      <c r="BC103" s="58"/>
      <c r="BD103" s="60"/>
      <c r="BE103" s="60"/>
      <c r="BF103" s="60"/>
      <c r="BG103" s="60"/>
      <c r="BH103" s="60"/>
      <c r="BI103" s="60"/>
      <c r="BJ103" s="60"/>
      <c r="BK103" s="59"/>
      <c r="BL103" s="64">
        <v>42514</v>
      </c>
      <c r="BM103" s="60" t="s">
        <v>435</v>
      </c>
      <c r="BN103" s="60"/>
      <c r="BO103" s="59"/>
      <c r="BP103" s="59"/>
      <c r="BQ103" s="64"/>
      <c r="BR103" s="65"/>
    </row>
    <row r="104" spans="1:70" s="66" customFormat="1" ht="261.75" customHeight="1" x14ac:dyDescent="0.25">
      <c r="A104" s="55" t="s">
        <v>171</v>
      </c>
      <c r="B104" s="56" t="s">
        <v>209</v>
      </c>
      <c r="C104" s="57">
        <v>466.1</v>
      </c>
      <c r="D104" s="57"/>
      <c r="E104" s="58">
        <v>10</v>
      </c>
      <c r="F104" s="56" t="s">
        <v>247</v>
      </c>
      <c r="G104" s="56" t="s">
        <v>47</v>
      </c>
      <c r="H104" s="56" t="s">
        <v>287</v>
      </c>
      <c r="I104" s="56" t="s">
        <v>311</v>
      </c>
      <c r="J104" s="56" t="s">
        <v>347</v>
      </c>
      <c r="K104" s="58" t="s">
        <v>436</v>
      </c>
      <c r="L104" s="58"/>
      <c r="M104" s="58"/>
      <c r="N104" s="59">
        <f>N105</f>
        <v>413.4375</v>
      </c>
      <c r="O104" s="59">
        <f t="shared" ref="O104:T104" si="47">O105</f>
        <v>0</v>
      </c>
      <c r="P104" s="59">
        <f t="shared" si="47"/>
        <v>33.075000000000003</v>
      </c>
      <c r="Q104" s="59">
        <f t="shared" si="47"/>
        <v>355.55624999999998</v>
      </c>
      <c r="R104" s="59">
        <f t="shared" si="47"/>
        <v>0</v>
      </c>
      <c r="S104" s="59">
        <f t="shared" si="47"/>
        <v>24.806249999999999</v>
      </c>
      <c r="T104" s="59">
        <f t="shared" si="47"/>
        <v>413.43749999999994</v>
      </c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80"/>
      <c r="AJ104" s="60"/>
      <c r="AK104" s="60"/>
      <c r="AL104" s="60"/>
      <c r="AM104" s="60"/>
      <c r="AN104" s="60"/>
      <c r="AO104" s="60"/>
      <c r="AP104" s="60"/>
      <c r="AQ104" s="80"/>
      <c r="AR104" s="60"/>
      <c r="AS104" s="80"/>
      <c r="AT104" s="60"/>
      <c r="AU104" s="60"/>
      <c r="AV104" s="60"/>
      <c r="AW104" s="60"/>
      <c r="AX104" s="60"/>
      <c r="AY104" s="58"/>
      <c r="AZ104" s="59"/>
      <c r="BA104" s="61">
        <v>0.35</v>
      </c>
      <c r="BB104" s="59">
        <f>BA104*1125*1.05</f>
        <v>413.4375</v>
      </c>
      <c r="BC104" s="58"/>
      <c r="BD104" s="60"/>
      <c r="BE104" s="60"/>
      <c r="BF104" s="60"/>
      <c r="BG104" s="60"/>
      <c r="BH104" s="60"/>
      <c r="BI104" s="60"/>
      <c r="BJ104" s="60"/>
      <c r="BK104" s="59">
        <f>BB104</f>
        <v>413.4375</v>
      </c>
      <c r="BL104" s="64">
        <v>42520</v>
      </c>
      <c r="BM104" s="60" t="s">
        <v>372</v>
      </c>
      <c r="BN104" s="60"/>
      <c r="BO104" s="59"/>
      <c r="BP104" s="59"/>
      <c r="BQ104" s="64"/>
      <c r="BR104" s="65"/>
    </row>
    <row r="105" spans="1:70" s="6" customFormat="1" ht="209.2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 t="s">
        <v>16</v>
      </c>
      <c r="M105" s="18">
        <f>BA104</f>
        <v>0.35</v>
      </c>
      <c r="N105" s="12">
        <f>1125*M105*1.05</f>
        <v>413.4375</v>
      </c>
      <c r="O105" s="12"/>
      <c r="P105" s="12">
        <f>0.08*N105</f>
        <v>33.075000000000003</v>
      </c>
      <c r="Q105" s="12">
        <f>0.86*N105</f>
        <v>355.55624999999998</v>
      </c>
      <c r="R105" s="12">
        <v>0</v>
      </c>
      <c r="S105" s="12">
        <f>0.06*N105</f>
        <v>24.806249999999999</v>
      </c>
      <c r="T105" s="12">
        <f t="shared" ref="T105" si="48">P105+Q105+R105+S105</f>
        <v>413.43749999999994</v>
      </c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4"/>
      <c r="AF105" s="7"/>
      <c r="AG105" s="7"/>
      <c r="AH105" s="5"/>
      <c r="AI105" s="18"/>
      <c r="AJ105" s="7"/>
      <c r="AK105" s="7"/>
      <c r="AL105" s="5"/>
      <c r="AM105" s="5"/>
      <c r="AN105" s="5"/>
      <c r="AO105" s="5"/>
      <c r="AP105" s="5"/>
      <c r="AQ105" s="18"/>
      <c r="AR105" s="7"/>
      <c r="AS105" s="18"/>
      <c r="AT105" s="7"/>
      <c r="AU105" s="5"/>
      <c r="AV105" s="5"/>
      <c r="AW105" s="5"/>
      <c r="AX105" s="5"/>
      <c r="AY105" s="4"/>
      <c r="AZ105" s="7"/>
      <c r="BA105" s="18"/>
      <c r="BB105" s="7"/>
      <c r="BC105" s="7"/>
      <c r="BD105" s="5"/>
      <c r="BE105" s="5"/>
      <c r="BF105" s="5"/>
      <c r="BG105" s="5"/>
      <c r="BH105" s="5"/>
      <c r="BI105" s="5"/>
      <c r="BJ105" s="5"/>
      <c r="BK105" s="7"/>
      <c r="BL105" s="8"/>
      <c r="BM105" s="5"/>
      <c r="BN105" s="5"/>
      <c r="BO105" s="7"/>
      <c r="BP105" s="7"/>
      <c r="BQ105" s="8"/>
      <c r="BR105" s="9"/>
    </row>
    <row r="106" spans="1:70" s="6" customFormat="1" ht="149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12"/>
      <c r="O106" s="2"/>
      <c r="P106" s="12"/>
      <c r="Q106" s="12"/>
      <c r="R106" s="12"/>
      <c r="S106" s="12"/>
      <c r="T106" s="12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39"/>
      <c r="AJ106" s="5"/>
      <c r="AK106" s="5"/>
      <c r="AL106" s="5"/>
      <c r="AM106" s="5"/>
      <c r="AN106" s="5"/>
      <c r="AO106" s="5"/>
      <c r="AP106" s="5"/>
      <c r="AQ106" s="39"/>
      <c r="AR106" s="5"/>
      <c r="AS106" s="39"/>
      <c r="AT106" s="5"/>
      <c r="AU106" s="5"/>
      <c r="AV106" s="5"/>
      <c r="AW106" s="5"/>
      <c r="AX106" s="5"/>
      <c r="AY106" s="4"/>
      <c r="AZ106" s="7"/>
      <c r="BA106" s="18"/>
      <c r="BB106" s="7"/>
      <c r="BC106" s="4"/>
      <c r="BD106" s="5"/>
      <c r="BE106" s="5"/>
      <c r="BF106" s="5"/>
      <c r="BG106" s="5"/>
      <c r="BH106" s="5"/>
      <c r="BI106" s="5"/>
      <c r="BJ106" s="5"/>
      <c r="BK106" s="7"/>
      <c r="BL106" s="8"/>
      <c r="BM106" s="5"/>
      <c r="BN106" s="5"/>
      <c r="BO106" s="7"/>
      <c r="BP106" s="7"/>
      <c r="BQ106" s="8"/>
      <c r="BR106" s="9"/>
    </row>
    <row r="107" spans="1:70" s="99" customFormat="1" ht="149.25" customHeight="1" x14ac:dyDescent="0.25">
      <c r="A107" s="88"/>
      <c r="B107" s="89"/>
      <c r="C107" s="90"/>
      <c r="D107" s="90"/>
      <c r="E107" s="91"/>
      <c r="F107" s="89"/>
      <c r="G107" s="89"/>
      <c r="H107" s="89"/>
      <c r="I107" s="89"/>
      <c r="J107" s="89"/>
      <c r="K107" s="91"/>
      <c r="L107" s="91"/>
      <c r="M107" s="92"/>
      <c r="N107" s="93">
        <f>N3+N5+N7+N10+N13+N15+N19+N21+N24+N26+N29+N32+N34+N36+N39+N42+N47+N54+N57+N60+N62+N67+N71+N78+N80+N83+N86+N95+N98+N101+N104</f>
        <v>9911.1973898399992</v>
      </c>
      <c r="O107" s="89"/>
      <c r="P107" s="93"/>
      <c r="Q107" s="93"/>
      <c r="R107" s="93"/>
      <c r="S107" s="93"/>
      <c r="T107" s="93">
        <f>T3+T5+T7+T10+T15+T13+T21+T24+T26+T29+T32+T34+T36+T39+T42+T47+T54+T57+T60+T62+T67+T71+T78+T80+T83+T86+T95+T98+T101+T104</f>
        <v>9911.1913898399998</v>
      </c>
      <c r="U107" s="94"/>
      <c r="V107" s="94"/>
      <c r="W107" s="94"/>
      <c r="X107" s="94"/>
      <c r="Y107" s="94"/>
      <c r="Z107" s="94"/>
      <c r="AA107" s="94"/>
      <c r="AB107" s="94"/>
      <c r="AC107" s="94"/>
      <c r="AD107" s="94"/>
      <c r="AE107" s="94"/>
      <c r="AF107" s="94"/>
      <c r="AG107" s="94"/>
      <c r="AH107" s="94"/>
      <c r="AI107" s="95"/>
      <c r="AJ107" s="94"/>
      <c r="AK107" s="94"/>
      <c r="AL107" s="94"/>
      <c r="AM107" s="94"/>
      <c r="AN107" s="94"/>
      <c r="AO107" s="94"/>
      <c r="AP107" s="94"/>
      <c r="AQ107" s="95"/>
      <c r="AR107" s="94"/>
      <c r="AS107" s="95"/>
      <c r="AT107" s="94"/>
      <c r="AU107" s="94"/>
      <c r="AV107" s="94"/>
      <c r="AW107" s="94"/>
      <c r="AX107" s="94"/>
      <c r="AY107" s="91"/>
      <c r="AZ107" s="96"/>
      <c r="BA107" s="92"/>
      <c r="BB107" s="96"/>
      <c r="BC107" s="91"/>
      <c r="BD107" s="94"/>
      <c r="BE107" s="94"/>
      <c r="BF107" s="94"/>
      <c r="BG107" s="94"/>
      <c r="BH107" s="94"/>
      <c r="BI107" s="94"/>
      <c r="BJ107" s="94"/>
      <c r="BK107" s="96">
        <f>SUM(BK3:BK106)</f>
        <v>9911.1813898399996</v>
      </c>
      <c r="BL107" s="97"/>
      <c r="BM107" s="94"/>
      <c r="BN107" s="94"/>
      <c r="BO107" s="96"/>
      <c r="BP107" s="96"/>
      <c r="BQ107" s="97"/>
      <c r="BR107" s="98"/>
    </row>
    <row r="108" spans="1:70" s="6" customFormat="1" ht="149.2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18"/>
      <c r="N108" s="7"/>
      <c r="O108" s="7"/>
      <c r="P108" s="7"/>
      <c r="Q108" s="7"/>
      <c r="R108" s="7"/>
      <c r="S108" s="7"/>
      <c r="T108" s="12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39"/>
      <c r="AJ108" s="5"/>
      <c r="AK108" s="5"/>
      <c r="AL108" s="5"/>
      <c r="AM108" s="5"/>
      <c r="AN108" s="5"/>
      <c r="AO108" s="5"/>
      <c r="AP108" s="5"/>
      <c r="AQ108" s="39"/>
      <c r="AR108" s="5"/>
      <c r="AS108" s="39"/>
      <c r="AT108" s="5"/>
      <c r="AU108" s="5"/>
      <c r="AV108" s="5"/>
      <c r="AW108" s="5"/>
      <c r="AX108" s="5"/>
      <c r="AY108" s="4"/>
      <c r="AZ108" s="7"/>
      <c r="BA108" s="18"/>
      <c r="BB108" s="7"/>
      <c r="BC108" s="4"/>
      <c r="BD108" s="5"/>
      <c r="BE108" s="5"/>
      <c r="BF108" s="5"/>
      <c r="BG108" s="5"/>
      <c r="BH108" s="5"/>
      <c r="BI108" s="5"/>
      <c r="BJ108" s="5"/>
      <c r="BK108" s="7"/>
      <c r="BL108" s="8"/>
      <c r="BM108" s="5"/>
      <c r="BN108" s="5"/>
      <c r="BO108" s="7"/>
      <c r="BP108" s="7"/>
      <c r="BQ108" s="8"/>
      <c r="BR108" s="9"/>
    </row>
    <row r="109" spans="1:70" s="6" customFormat="1" ht="149.2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18"/>
      <c r="N109" s="12"/>
      <c r="O109" s="2"/>
      <c r="P109" s="12"/>
      <c r="Q109" s="12"/>
      <c r="R109" s="12"/>
      <c r="S109" s="12"/>
      <c r="T109" s="12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39"/>
      <c r="AJ109" s="5"/>
      <c r="AK109" s="5"/>
      <c r="AL109" s="5"/>
      <c r="AM109" s="5"/>
      <c r="AN109" s="5"/>
      <c r="AO109" s="5"/>
      <c r="AP109" s="5"/>
      <c r="AQ109" s="39"/>
      <c r="AR109" s="5"/>
      <c r="AS109" s="39"/>
      <c r="AT109" s="5"/>
      <c r="AU109" s="5"/>
      <c r="AV109" s="5"/>
      <c r="AW109" s="5"/>
      <c r="AX109" s="5"/>
      <c r="AY109" s="4"/>
      <c r="AZ109" s="7"/>
      <c r="BA109" s="18"/>
      <c r="BB109" s="7"/>
      <c r="BC109" s="4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149.2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18"/>
      <c r="N110" s="12"/>
      <c r="O110" s="2"/>
      <c r="P110" s="12"/>
      <c r="Q110" s="12"/>
      <c r="R110" s="12"/>
      <c r="S110" s="12"/>
      <c r="T110" s="12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39"/>
      <c r="AJ110" s="5"/>
      <c r="AK110" s="5"/>
      <c r="AL110" s="5"/>
      <c r="AM110" s="5"/>
      <c r="AN110" s="5"/>
      <c r="AO110" s="5"/>
      <c r="AP110" s="5"/>
      <c r="AQ110" s="39"/>
      <c r="AR110" s="5"/>
      <c r="AS110" s="39"/>
      <c r="AT110" s="5"/>
      <c r="AU110" s="5"/>
      <c r="AV110" s="5"/>
      <c r="AW110" s="5"/>
      <c r="AX110" s="5"/>
      <c r="AY110" s="4"/>
      <c r="AZ110" s="7"/>
      <c r="BA110" s="18"/>
      <c r="BB110" s="7"/>
      <c r="BC110" s="4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267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39"/>
      <c r="AJ111" s="5"/>
      <c r="AK111" s="5"/>
      <c r="AL111" s="5"/>
      <c r="AM111" s="5"/>
      <c r="AN111" s="5"/>
      <c r="AO111" s="5"/>
      <c r="AP111" s="5"/>
      <c r="AQ111" s="39"/>
      <c r="AR111" s="5"/>
      <c r="AS111" s="39"/>
      <c r="AT111" s="5"/>
      <c r="AU111" s="5"/>
      <c r="AV111" s="5"/>
      <c r="AW111" s="5"/>
      <c r="AX111" s="5"/>
      <c r="AY111" s="4"/>
      <c r="AZ111" s="7"/>
      <c r="BA111" s="18"/>
      <c r="BB111" s="7"/>
      <c r="BC111" s="7"/>
      <c r="BD111" s="5"/>
      <c r="BE111" s="5"/>
      <c r="BF111" s="5"/>
      <c r="BG111" s="4"/>
      <c r="BH111" s="7"/>
      <c r="BI111" s="7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54.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39"/>
      <c r="AJ112" s="5"/>
      <c r="AK112" s="5"/>
      <c r="AL112" s="5"/>
      <c r="AM112" s="5"/>
      <c r="AN112" s="5"/>
      <c r="AO112" s="5"/>
      <c r="AP112" s="5"/>
      <c r="AQ112" s="39"/>
      <c r="AR112" s="5"/>
      <c r="AS112" s="39"/>
      <c r="AT112" s="5"/>
      <c r="AU112" s="5"/>
      <c r="AV112" s="5"/>
      <c r="AW112" s="5"/>
      <c r="AX112" s="5"/>
      <c r="AY112" s="4"/>
      <c r="AZ112" s="7"/>
      <c r="BA112" s="18"/>
      <c r="BB112" s="17"/>
      <c r="BC112" s="13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144.7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39"/>
      <c r="AJ113" s="5"/>
      <c r="AK113" s="5"/>
      <c r="AL113" s="5"/>
      <c r="AM113" s="5"/>
      <c r="AN113" s="5"/>
      <c r="AO113" s="5"/>
      <c r="AP113" s="5"/>
      <c r="AQ113" s="39"/>
      <c r="AR113" s="5"/>
      <c r="AS113" s="39"/>
      <c r="AT113" s="5"/>
      <c r="AU113" s="5"/>
      <c r="AV113" s="5"/>
      <c r="AW113" s="5"/>
      <c r="AX113" s="5"/>
      <c r="AY113" s="4"/>
      <c r="AZ113" s="7"/>
      <c r="BA113" s="18"/>
      <c r="BB113" s="17"/>
      <c r="BC113" s="13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409.6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39"/>
      <c r="AJ114" s="5"/>
      <c r="AK114" s="5"/>
      <c r="AL114" s="5"/>
      <c r="AM114" s="5"/>
      <c r="AN114" s="5"/>
      <c r="AO114" s="5"/>
      <c r="AP114" s="5"/>
      <c r="AQ114" s="39"/>
      <c r="AR114" s="5"/>
      <c r="AS114" s="39"/>
      <c r="AT114" s="5"/>
      <c r="AU114" s="5"/>
      <c r="AV114" s="5"/>
      <c r="AW114" s="5"/>
      <c r="AX114" s="5"/>
      <c r="AY114" s="4"/>
      <c r="AZ114" s="4"/>
      <c r="BA114" s="4"/>
      <c r="BB114" s="7"/>
      <c r="BC114" s="4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252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39"/>
      <c r="AJ115" s="5"/>
      <c r="AK115" s="5"/>
      <c r="AL115" s="5"/>
      <c r="AM115" s="5"/>
      <c r="AN115" s="5"/>
      <c r="AO115" s="5"/>
      <c r="AP115" s="5"/>
      <c r="AQ115" s="39"/>
      <c r="AR115" s="5"/>
      <c r="AS115" s="39"/>
      <c r="AT115" s="5"/>
      <c r="AU115" s="5"/>
      <c r="AV115" s="5"/>
      <c r="AW115" s="5"/>
      <c r="AX115" s="5"/>
      <c r="AY115" s="4"/>
      <c r="AZ115" s="7"/>
      <c r="BA115" s="18"/>
      <c r="BB115" s="7"/>
      <c r="BC115" s="4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220.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13"/>
      <c r="O116" s="13"/>
      <c r="P116" s="13"/>
      <c r="Q116" s="13"/>
      <c r="R116" s="13"/>
      <c r="S116" s="13"/>
      <c r="T116" s="13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39"/>
      <c r="AJ116" s="5"/>
      <c r="AK116" s="5"/>
      <c r="AL116" s="5"/>
      <c r="AM116" s="5"/>
      <c r="AN116" s="5"/>
      <c r="AO116" s="5"/>
      <c r="AP116" s="5"/>
      <c r="AQ116" s="39"/>
      <c r="AR116" s="5"/>
      <c r="AS116" s="39"/>
      <c r="AT116" s="5"/>
      <c r="AU116" s="5"/>
      <c r="AV116" s="5"/>
      <c r="AW116" s="5"/>
      <c r="AX116" s="5"/>
      <c r="AY116" s="4"/>
      <c r="AZ116" s="7"/>
      <c r="BA116" s="18"/>
      <c r="BB116" s="13"/>
      <c r="BC116" s="13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220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39"/>
      <c r="AJ117" s="5"/>
      <c r="AK117" s="5"/>
      <c r="AL117" s="5"/>
      <c r="AM117" s="5"/>
      <c r="AN117" s="5"/>
      <c r="AO117" s="5"/>
      <c r="AP117" s="5"/>
      <c r="AQ117" s="39"/>
      <c r="AR117" s="5"/>
      <c r="AS117" s="39"/>
      <c r="AT117" s="5"/>
      <c r="AU117" s="5"/>
      <c r="AV117" s="5"/>
      <c r="AW117" s="5"/>
      <c r="AX117" s="5"/>
      <c r="AY117" s="4"/>
      <c r="AZ117" s="7"/>
      <c r="BA117" s="18"/>
      <c r="BB117" s="4"/>
      <c r="BC117" s="4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220.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39"/>
      <c r="AJ118" s="5"/>
      <c r="AK118" s="5"/>
      <c r="AL118" s="5"/>
      <c r="AM118" s="5"/>
      <c r="AN118" s="5"/>
      <c r="AO118" s="5"/>
      <c r="AP118" s="5"/>
      <c r="AQ118" s="39"/>
      <c r="AR118" s="5"/>
      <c r="AS118" s="39"/>
      <c r="AT118" s="5"/>
      <c r="AU118" s="5"/>
      <c r="AV118" s="5"/>
      <c r="AW118" s="5"/>
      <c r="AX118" s="5"/>
      <c r="AY118" s="4"/>
      <c r="AZ118" s="7"/>
      <c r="BA118" s="18"/>
      <c r="BB118" s="7"/>
      <c r="BC118" s="4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409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13"/>
      <c r="O119" s="13"/>
      <c r="P119" s="13"/>
      <c r="Q119" s="13"/>
      <c r="R119" s="13"/>
      <c r="S119" s="13"/>
      <c r="T119" s="13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4"/>
      <c r="AF119" s="13"/>
      <c r="AG119" s="13"/>
      <c r="AH119" s="5"/>
      <c r="AI119" s="18"/>
      <c r="AJ119" s="13"/>
      <c r="AK119" s="13"/>
      <c r="AL119" s="5"/>
      <c r="AM119" s="5"/>
      <c r="AN119" s="5"/>
      <c r="AO119" s="5"/>
      <c r="AP119" s="5"/>
      <c r="AQ119" s="18"/>
      <c r="AR119" s="13"/>
      <c r="AS119" s="18"/>
      <c r="AT119" s="13"/>
      <c r="AU119" s="5"/>
      <c r="AV119" s="5"/>
      <c r="AW119" s="5"/>
      <c r="AX119" s="5"/>
      <c r="AY119" s="4"/>
      <c r="AZ119" s="7"/>
      <c r="BA119" s="18"/>
      <c r="BB119" s="13"/>
      <c r="BC119" s="13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144.7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13"/>
      <c r="O120" s="13"/>
      <c r="P120" s="13"/>
      <c r="Q120" s="13"/>
      <c r="R120" s="13"/>
      <c r="S120" s="13"/>
      <c r="T120" s="13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4"/>
      <c r="AF120" s="13"/>
      <c r="AG120" s="13"/>
      <c r="AH120" s="5"/>
      <c r="AI120" s="18"/>
      <c r="AJ120" s="13"/>
      <c r="AK120" s="13"/>
      <c r="AL120" s="5"/>
      <c r="AM120" s="5"/>
      <c r="AN120" s="5"/>
      <c r="AO120" s="5"/>
      <c r="AP120" s="5"/>
      <c r="AQ120" s="18"/>
      <c r="AR120" s="13"/>
      <c r="AS120" s="18"/>
      <c r="AT120" s="13"/>
      <c r="AU120" s="5"/>
      <c r="AV120" s="5"/>
      <c r="AW120" s="5"/>
      <c r="AX120" s="5"/>
      <c r="AY120" s="4"/>
      <c r="AZ120" s="7"/>
      <c r="BA120" s="18"/>
      <c r="BB120" s="13"/>
      <c r="BC120" s="13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144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13"/>
      <c r="O121" s="13"/>
      <c r="P121" s="13"/>
      <c r="Q121" s="13"/>
      <c r="R121" s="13"/>
      <c r="S121" s="13"/>
      <c r="T121" s="13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4"/>
      <c r="AF121" s="13"/>
      <c r="AG121" s="13"/>
      <c r="AH121" s="5"/>
      <c r="AI121" s="18"/>
      <c r="AJ121" s="13"/>
      <c r="AK121" s="13"/>
      <c r="AL121" s="5"/>
      <c r="AM121" s="5"/>
      <c r="AN121" s="5"/>
      <c r="AO121" s="5"/>
      <c r="AP121" s="5"/>
      <c r="AQ121" s="18"/>
      <c r="AR121" s="13"/>
      <c r="AS121" s="18"/>
      <c r="AT121" s="13"/>
      <c r="AU121" s="5"/>
      <c r="AV121" s="5"/>
      <c r="AW121" s="5"/>
      <c r="AX121" s="5"/>
      <c r="AY121" s="4"/>
      <c r="AZ121" s="7"/>
      <c r="BA121" s="18"/>
      <c r="BB121" s="13"/>
      <c r="BC121" s="13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44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13"/>
      <c r="O122" s="13"/>
      <c r="P122" s="13"/>
      <c r="Q122" s="13"/>
      <c r="R122" s="13"/>
      <c r="S122" s="13"/>
      <c r="T122" s="13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4"/>
      <c r="AF122" s="13"/>
      <c r="AG122" s="13"/>
      <c r="AH122" s="5"/>
      <c r="AI122" s="18"/>
      <c r="AJ122" s="13"/>
      <c r="AK122" s="13"/>
      <c r="AL122" s="5"/>
      <c r="AM122" s="5"/>
      <c r="AN122" s="5"/>
      <c r="AO122" s="5"/>
      <c r="AP122" s="5"/>
      <c r="AQ122" s="18"/>
      <c r="AR122" s="13"/>
      <c r="AS122" s="18"/>
      <c r="AT122" s="13"/>
      <c r="AU122" s="5"/>
      <c r="AV122" s="5"/>
      <c r="AW122" s="5"/>
      <c r="AX122" s="5"/>
      <c r="AY122" s="4"/>
      <c r="AZ122" s="7"/>
      <c r="BA122" s="18"/>
      <c r="BB122" s="13"/>
      <c r="BC122" s="13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144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13"/>
      <c r="O123" s="13"/>
      <c r="P123" s="13"/>
      <c r="Q123" s="13"/>
      <c r="R123" s="13"/>
      <c r="S123" s="13"/>
      <c r="T123" s="13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4"/>
      <c r="AF123" s="13"/>
      <c r="AG123" s="13"/>
      <c r="AH123" s="5"/>
      <c r="AI123" s="18"/>
      <c r="AJ123" s="13"/>
      <c r="AK123" s="13"/>
      <c r="AL123" s="5"/>
      <c r="AM123" s="5"/>
      <c r="AN123" s="5"/>
      <c r="AO123" s="5"/>
      <c r="AP123" s="5"/>
      <c r="AQ123" s="18"/>
      <c r="AR123" s="13"/>
      <c r="AS123" s="18"/>
      <c r="AT123" s="13"/>
      <c r="AU123" s="5"/>
      <c r="AV123" s="5"/>
      <c r="AW123" s="5"/>
      <c r="AX123" s="5"/>
      <c r="AY123" s="4"/>
      <c r="AZ123" s="7"/>
      <c r="BA123" s="18"/>
      <c r="BB123" s="13"/>
      <c r="BC123" s="13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144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13"/>
      <c r="O124" s="13"/>
      <c r="P124" s="13"/>
      <c r="Q124" s="13"/>
      <c r="R124" s="13"/>
      <c r="S124" s="13"/>
      <c r="T124" s="13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4"/>
      <c r="AF124" s="13"/>
      <c r="AG124" s="13"/>
      <c r="AH124" s="5"/>
      <c r="AI124" s="18"/>
      <c r="AJ124" s="13"/>
      <c r="AK124" s="13"/>
      <c r="AL124" s="5"/>
      <c r="AM124" s="5"/>
      <c r="AN124" s="5"/>
      <c r="AO124" s="5"/>
      <c r="AP124" s="5"/>
      <c r="AQ124" s="18"/>
      <c r="AR124" s="13"/>
      <c r="AS124" s="18"/>
      <c r="AT124" s="13"/>
      <c r="AU124" s="5"/>
      <c r="AV124" s="5"/>
      <c r="AW124" s="5"/>
      <c r="AX124" s="5"/>
      <c r="AY124" s="4"/>
      <c r="AZ124" s="7"/>
      <c r="BA124" s="18"/>
      <c r="BB124" s="13"/>
      <c r="BC124" s="13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409.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13"/>
      <c r="O125" s="13"/>
      <c r="P125" s="13"/>
      <c r="Q125" s="13"/>
      <c r="R125" s="13"/>
      <c r="S125" s="13"/>
      <c r="T125" s="13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39"/>
      <c r="AJ125" s="5"/>
      <c r="AK125" s="5"/>
      <c r="AL125" s="5"/>
      <c r="AM125" s="5"/>
      <c r="AN125" s="5"/>
      <c r="AO125" s="5"/>
      <c r="AP125" s="5"/>
      <c r="AQ125" s="39"/>
      <c r="AR125" s="5"/>
      <c r="AS125" s="39"/>
      <c r="AT125" s="5"/>
      <c r="AU125" s="5"/>
      <c r="AV125" s="5"/>
      <c r="AW125" s="5"/>
      <c r="AX125" s="5"/>
      <c r="AY125" s="4"/>
      <c r="AZ125" s="7"/>
      <c r="BA125" s="18"/>
      <c r="BB125" s="17"/>
      <c r="BC125" s="13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408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39"/>
      <c r="AJ126" s="5"/>
      <c r="AK126" s="5"/>
      <c r="AL126" s="5"/>
      <c r="AM126" s="5"/>
      <c r="AN126" s="5"/>
      <c r="AO126" s="5"/>
      <c r="AP126" s="5"/>
      <c r="AQ126" s="39"/>
      <c r="AR126" s="5"/>
      <c r="AS126" s="39"/>
      <c r="AT126" s="5"/>
      <c r="AU126" s="5"/>
      <c r="AV126" s="5"/>
      <c r="AW126" s="5"/>
      <c r="AX126" s="5"/>
      <c r="AY126" s="4"/>
      <c r="AZ126" s="7"/>
      <c r="BA126" s="18"/>
      <c r="BB126" s="4"/>
      <c r="BC126" s="4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146.2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39"/>
      <c r="AJ127" s="5"/>
      <c r="AK127" s="5"/>
      <c r="AL127" s="5"/>
      <c r="AM127" s="5"/>
      <c r="AN127" s="5"/>
      <c r="AO127" s="5"/>
      <c r="AP127" s="5"/>
      <c r="AQ127" s="39"/>
      <c r="AR127" s="5"/>
      <c r="AS127" s="39"/>
      <c r="AT127" s="5"/>
      <c r="AU127" s="5"/>
      <c r="AV127" s="5"/>
      <c r="AW127" s="5"/>
      <c r="AX127" s="5"/>
      <c r="AY127" s="4"/>
      <c r="AZ127" s="7"/>
      <c r="BA127" s="18"/>
      <c r="BB127" s="17"/>
      <c r="BC127" s="13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408.7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39"/>
      <c r="AJ128" s="5"/>
      <c r="AK128" s="5"/>
      <c r="AL128" s="5"/>
      <c r="AM128" s="5"/>
      <c r="AN128" s="5"/>
      <c r="AO128" s="5"/>
      <c r="AP128" s="5"/>
      <c r="AQ128" s="39"/>
      <c r="AR128" s="5"/>
      <c r="AS128" s="39"/>
      <c r="AT128" s="5"/>
      <c r="AU128" s="5"/>
      <c r="AV128" s="5"/>
      <c r="AW128" s="5"/>
      <c r="AX128" s="5"/>
      <c r="AY128" s="4"/>
      <c r="AZ128" s="7"/>
      <c r="BA128" s="18"/>
      <c r="BB128" s="4"/>
      <c r="BC128" s="4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156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39"/>
      <c r="AJ129" s="5"/>
      <c r="AK129" s="5"/>
      <c r="AL129" s="5"/>
      <c r="AM129" s="5"/>
      <c r="AN129" s="5"/>
      <c r="AO129" s="5"/>
      <c r="AP129" s="5"/>
      <c r="AQ129" s="39"/>
      <c r="AR129" s="5"/>
      <c r="AS129" s="39"/>
      <c r="AT129" s="5"/>
      <c r="AU129" s="5"/>
      <c r="AV129" s="5"/>
      <c r="AW129" s="5"/>
      <c r="AX129" s="5"/>
      <c r="AY129" s="4"/>
      <c r="AZ129" s="7"/>
      <c r="BA129" s="18"/>
      <c r="BB129" s="17"/>
      <c r="BC129" s="13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132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13"/>
      <c r="O130" s="13"/>
      <c r="P130" s="13"/>
      <c r="Q130" s="13"/>
      <c r="R130" s="13"/>
      <c r="S130" s="13"/>
      <c r="T130" s="13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39"/>
      <c r="AJ130" s="5"/>
      <c r="AK130" s="5"/>
      <c r="AL130" s="5"/>
      <c r="AM130" s="5"/>
      <c r="AN130" s="5"/>
      <c r="AO130" s="5"/>
      <c r="AP130" s="5"/>
      <c r="AQ130" s="39"/>
      <c r="AR130" s="5"/>
      <c r="AS130" s="39"/>
      <c r="AT130" s="5"/>
      <c r="AU130" s="5"/>
      <c r="AV130" s="5"/>
      <c r="AW130" s="5"/>
      <c r="AX130" s="5"/>
      <c r="AY130" s="4"/>
      <c r="AZ130" s="7"/>
      <c r="BA130" s="18"/>
      <c r="BB130" s="13"/>
      <c r="BC130" s="13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132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13"/>
      <c r="O131" s="13"/>
      <c r="P131" s="13"/>
      <c r="Q131" s="13"/>
      <c r="R131" s="13"/>
      <c r="S131" s="13"/>
      <c r="T131" s="13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39"/>
      <c r="AJ131" s="5"/>
      <c r="AK131" s="5"/>
      <c r="AL131" s="5"/>
      <c r="AM131" s="5"/>
      <c r="AN131" s="5"/>
      <c r="AO131" s="5"/>
      <c r="AP131" s="5"/>
      <c r="AQ131" s="39"/>
      <c r="AR131" s="5"/>
      <c r="AS131" s="39"/>
      <c r="AT131" s="5"/>
      <c r="AU131" s="5"/>
      <c r="AV131" s="5"/>
      <c r="AW131" s="5"/>
      <c r="AX131" s="5"/>
      <c r="AY131" s="4"/>
      <c r="AZ131" s="7"/>
      <c r="BA131" s="18"/>
      <c r="BB131" s="17"/>
      <c r="BC131" s="13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246.7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7"/>
      <c r="O132" s="4"/>
      <c r="P132" s="7"/>
      <c r="Q132" s="7"/>
      <c r="R132" s="7"/>
      <c r="S132" s="7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39"/>
      <c r="AJ132" s="5"/>
      <c r="AK132" s="5"/>
      <c r="AL132" s="5"/>
      <c r="AM132" s="5"/>
      <c r="AN132" s="5"/>
      <c r="AO132" s="5"/>
      <c r="AP132" s="5"/>
      <c r="AQ132" s="39"/>
      <c r="AR132" s="5"/>
      <c r="AS132" s="39"/>
      <c r="AT132" s="5"/>
      <c r="AU132" s="5"/>
      <c r="AV132" s="5"/>
      <c r="AW132" s="5"/>
      <c r="AX132" s="5"/>
      <c r="AY132" s="4"/>
      <c r="AZ132" s="7"/>
      <c r="BA132" s="18"/>
      <c r="BB132" s="7"/>
      <c r="BC132" s="7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184.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7"/>
      <c r="O133" s="7"/>
      <c r="P133" s="7"/>
      <c r="Q133" s="7"/>
      <c r="R133" s="7"/>
      <c r="S133" s="7"/>
      <c r="T133" s="7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39"/>
      <c r="AJ133" s="5"/>
      <c r="AK133" s="5"/>
      <c r="AL133" s="5"/>
      <c r="AM133" s="5"/>
      <c r="AN133" s="5"/>
      <c r="AO133" s="5"/>
      <c r="AP133" s="5"/>
      <c r="AQ133" s="39"/>
      <c r="AR133" s="5"/>
      <c r="AS133" s="39"/>
      <c r="AT133" s="5"/>
      <c r="AU133" s="5"/>
      <c r="AV133" s="5"/>
      <c r="AW133" s="5"/>
      <c r="AX133" s="5"/>
      <c r="AY133" s="4"/>
      <c r="AZ133" s="7"/>
      <c r="BA133" s="28"/>
      <c r="BB133" s="29"/>
      <c r="BC133" s="13"/>
      <c r="BD133" s="5"/>
      <c r="BE133" s="5"/>
      <c r="BF133" s="5"/>
      <c r="BG133" s="5"/>
      <c r="BH133" s="5"/>
      <c r="BI133" s="5"/>
      <c r="BJ133" s="5"/>
      <c r="BK133" s="40"/>
      <c r="BL133" s="8"/>
      <c r="BM133" s="5"/>
      <c r="BN133" s="5"/>
      <c r="BO133" s="7"/>
      <c r="BP133" s="7"/>
      <c r="BQ133" s="8"/>
      <c r="BR133" s="9"/>
    </row>
    <row r="134" spans="1:70" s="6" customFormat="1" ht="184.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18"/>
      <c r="N134" s="12"/>
      <c r="O134" s="2"/>
      <c r="P134" s="12"/>
      <c r="Q134" s="12"/>
      <c r="R134" s="12"/>
      <c r="S134" s="12"/>
      <c r="T134" s="12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39"/>
      <c r="AJ134" s="5"/>
      <c r="AK134" s="5"/>
      <c r="AL134" s="5"/>
      <c r="AM134" s="5"/>
      <c r="AN134" s="5"/>
      <c r="AO134" s="5"/>
      <c r="AP134" s="5"/>
      <c r="AQ134" s="39"/>
      <c r="AR134" s="5"/>
      <c r="AS134" s="39"/>
      <c r="AT134" s="5"/>
      <c r="AU134" s="5"/>
      <c r="AV134" s="5"/>
      <c r="AW134" s="5"/>
      <c r="AX134" s="5"/>
      <c r="AY134" s="4"/>
      <c r="AZ134" s="7"/>
      <c r="BA134" s="28"/>
      <c r="BB134" s="29"/>
      <c r="BC134" s="13"/>
      <c r="BD134" s="5"/>
      <c r="BE134" s="5"/>
      <c r="BF134" s="5"/>
      <c r="BG134" s="5"/>
      <c r="BH134" s="5"/>
      <c r="BI134" s="5"/>
      <c r="BJ134" s="5"/>
      <c r="BK134" s="40"/>
      <c r="BL134" s="8"/>
      <c r="BM134" s="5"/>
      <c r="BN134" s="5"/>
      <c r="BO134" s="7"/>
      <c r="BP134" s="7"/>
      <c r="BQ134" s="8"/>
      <c r="BR134" s="9"/>
    </row>
    <row r="135" spans="1:70" s="6" customFormat="1" ht="184.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39"/>
      <c r="AJ135" s="5"/>
      <c r="AK135" s="5"/>
      <c r="AL135" s="5"/>
      <c r="AM135" s="5"/>
      <c r="AN135" s="5"/>
      <c r="AO135" s="5"/>
      <c r="AP135" s="5"/>
      <c r="AQ135" s="39"/>
      <c r="AR135" s="5"/>
      <c r="AS135" s="39"/>
      <c r="AT135" s="5"/>
      <c r="AU135" s="5"/>
      <c r="AV135" s="5"/>
      <c r="AW135" s="5"/>
      <c r="AX135" s="5"/>
      <c r="AY135" s="4"/>
      <c r="AZ135" s="7"/>
      <c r="BA135" s="18"/>
      <c r="BB135" s="4"/>
      <c r="BC135" s="4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7"/>
      <c r="BP135" s="7"/>
      <c r="BQ135" s="8"/>
      <c r="BR135" s="9"/>
    </row>
    <row r="136" spans="1:70" s="6" customFormat="1" ht="184.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39"/>
      <c r="AJ136" s="5"/>
      <c r="AK136" s="5"/>
      <c r="AL136" s="5"/>
      <c r="AM136" s="5"/>
      <c r="AN136" s="5"/>
      <c r="AO136" s="5"/>
      <c r="AP136" s="5"/>
      <c r="AQ136" s="39"/>
      <c r="AR136" s="5"/>
      <c r="AS136" s="39"/>
      <c r="AT136" s="5"/>
      <c r="AU136" s="5"/>
      <c r="AV136" s="5"/>
      <c r="AW136" s="5"/>
      <c r="AX136" s="5"/>
      <c r="AY136" s="4"/>
      <c r="AZ136" s="7"/>
      <c r="BA136" s="28"/>
      <c r="BB136" s="29"/>
      <c r="BC136" s="4"/>
      <c r="BD136" s="5"/>
      <c r="BE136" s="5"/>
      <c r="BF136" s="5"/>
      <c r="BG136" s="5"/>
      <c r="BH136" s="5"/>
      <c r="BI136" s="5"/>
      <c r="BJ136" s="5"/>
      <c r="BK136" s="40"/>
      <c r="BL136" s="8"/>
      <c r="BM136" s="5"/>
      <c r="BN136" s="5"/>
      <c r="BO136" s="7"/>
      <c r="BP136" s="7"/>
      <c r="BQ136" s="8"/>
      <c r="BR136" s="9"/>
    </row>
    <row r="137" spans="1:70" s="6" customFormat="1" ht="189.7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17"/>
      <c r="O137" s="17"/>
      <c r="P137" s="17"/>
      <c r="Q137" s="17"/>
      <c r="R137" s="17"/>
      <c r="S137" s="17"/>
      <c r="T137" s="17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39"/>
      <c r="AJ137" s="5"/>
      <c r="AK137" s="5"/>
      <c r="AL137" s="5"/>
      <c r="AM137" s="5"/>
      <c r="AN137" s="5"/>
      <c r="AO137" s="5"/>
      <c r="AP137" s="5"/>
      <c r="AQ137" s="39"/>
      <c r="AR137" s="5"/>
      <c r="AS137" s="39"/>
      <c r="AT137" s="5"/>
      <c r="AU137" s="5"/>
      <c r="AV137" s="5"/>
      <c r="AW137" s="5"/>
      <c r="AX137" s="5"/>
      <c r="AY137" s="4"/>
      <c r="AZ137" s="7"/>
      <c r="BA137" s="28"/>
      <c r="BB137" s="29"/>
      <c r="BC137" s="4"/>
      <c r="BD137" s="5"/>
      <c r="BE137" s="5"/>
      <c r="BF137" s="5"/>
      <c r="BG137" s="5"/>
      <c r="BH137" s="5"/>
      <c r="BI137" s="5"/>
      <c r="BJ137" s="5"/>
      <c r="BK137" s="40"/>
      <c r="BL137" s="8"/>
      <c r="BM137" s="5"/>
      <c r="BN137" s="5"/>
      <c r="BO137" s="7"/>
      <c r="BP137" s="7"/>
      <c r="BQ137" s="8"/>
      <c r="BR137" s="9"/>
    </row>
    <row r="138" spans="1:70" s="6" customFormat="1" ht="184.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39"/>
      <c r="AJ138" s="5"/>
      <c r="AK138" s="5"/>
      <c r="AL138" s="5"/>
      <c r="AM138" s="5"/>
      <c r="AN138" s="5"/>
      <c r="AO138" s="5"/>
      <c r="AP138" s="5"/>
      <c r="AQ138" s="39"/>
      <c r="AR138" s="5"/>
      <c r="AS138" s="39"/>
      <c r="AT138" s="5"/>
      <c r="AU138" s="5"/>
      <c r="AV138" s="5"/>
      <c r="AW138" s="5"/>
      <c r="AX138" s="5"/>
      <c r="AY138" s="4"/>
      <c r="AZ138" s="7"/>
      <c r="BA138" s="18"/>
      <c r="BB138" s="4"/>
      <c r="BC138" s="4"/>
      <c r="BD138" s="5"/>
      <c r="BE138" s="5"/>
      <c r="BF138" s="5"/>
      <c r="BG138" s="4"/>
      <c r="BH138" s="7"/>
      <c r="BI138" s="7"/>
      <c r="BJ138" s="5"/>
      <c r="BK138" s="5"/>
      <c r="BL138" s="8"/>
      <c r="BM138" s="5"/>
      <c r="BN138" s="5"/>
      <c r="BO138" s="7"/>
      <c r="BP138" s="7"/>
      <c r="BQ138" s="8"/>
      <c r="BR138" s="9"/>
    </row>
    <row r="139" spans="1:70" s="6" customFormat="1" ht="184.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39"/>
      <c r="AJ139" s="5"/>
      <c r="AK139" s="5"/>
      <c r="AL139" s="5"/>
      <c r="AM139" s="5"/>
      <c r="AN139" s="5"/>
      <c r="AO139" s="5"/>
      <c r="AP139" s="5"/>
      <c r="AQ139" s="39"/>
      <c r="AR139" s="5"/>
      <c r="AS139" s="39"/>
      <c r="AT139" s="5"/>
      <c r="AU139" s="5"/>
      <c r="AV139" s="5"/>
      <c r="AW139" s="5"/>
      <c r="AX139" s="5"/>
      <c r="AY139" s="4"/>
      <c r="AZ139" s="7"/>
      <c r="BA139" s="30"/>
      <c r="BB139" s="29"/>
      <c r="BC139" s="4"/>
      <c r="BD139" s="5"/>
      <c r="BE139" s="5"/>
      <c r="BF139" s="5"/>
      <c r="BG139" s="4"/>
      <c r="BH139" s="7"/>
      <c r="BI139" s="7"/>
      <c r="BJ139" s="5"/>
      <c r="BK139" s="40"/>
      <c r="BL139" s="8"/>
      <c r="BM139" s="5"/>
      <c r="BN139" s="5"/>
      <c r="BO139" s="7"/>
      <c r="BP139" s="7"/>
      <c r="BQ139" s="8"/>
      <c r="BR139" s="9"/>
    </row>
    <row r="140" spans="1:70" s="6" customFormat="1" ht="184.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13"/>
      <c r="O140" s="13"/>
      <c r="P140" s="13"/>
      <c r="Q140" s="13"/>
      <c r="R140" s="13"/>
      <c r="S140" s="13"/>
      <c r="T140" s="13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39"/>
      <c r="AJ140" s="5"/>
      <c r="AK140" s="5"/>
      <c r="AL140" s="5"/>
      <c r="AM140" s="5"/>
      <c r="AN140" s="5"/>
      <c r="AO140" s="5"/>
      <c r="AP140" s="5"/>
      <c r="AQ140" s="39"/>
      <c r="AR140" s="5"/>
      <c r="AS140" s="39"/>
      <c r="AT140" s="5"/>
      <c r="AU140" s="5"/>
      <c r="AV140" s="5"/>
      <c r="AW140" s="5"/>
      <c r="AX140" s="5"/>
      <c r="AY140" s="4"/>
      <c r="AZ140" s="7"/>
      <c r="BA140" s="18"/>
      <c r="BB140" s="13"/>
      <c r="BC140" s="13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184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13"/>
      <c r="O141" s="13"/>
      <c r="P141" s="13"/>
      <c r="Q141" s="13"/>
      <c r="R141" s="13"/>
      <c r="S141" s="13"/>
      <c r="T141" s="13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39"/>
      <c r="AJ141" s="5"/>
      <c r="AK141" s="5"/>
      <c r="AL141" s="5"/>
      <c r="AM141" s="5"/>
      <c r="AN141" s="5"/>
      <c r="AO141" s="5"/>
      <c r="AP141" s="5"/>
      <c r="AQ141" s="39"/>
      <c r="AR141" s="5"/>
      <c r="AS141" s="39"/>
      <c r="AT141" s="5"/>
      <c r="AU141" s="5"/>
      <c r="AV141" s="5"/>
      <c r="AW141" s="5"/>
      <c r="AX141" s="5"/>
      <c r="AY141" s="4"/>
      <c r="AZ141" s="7"/>
      <c r="BA141" s="18"/>
      <c r="BB141" s="7"/>
      <c r="BC141" s="4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7"/>
      <c r="BP141" s="7"/>
      <c r="BQ141" s="8"/>
      <c r="BR141" s="9"/>
    </row>
    <row r="142" spans="1:70" s="6" customFormat="1" ht="184.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13"/>
      <c r="O142" s="13"/>
      <c r="P142" s="13"/>
      <c r="Q142" s="13"/>
      <c r="R142" s="13"/>
      <c r="S142" s="13"/>
      <c r="T142" s="13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39"/>
      <c r="AJ142" s="5"/>
      <c r="AK142" s="5"/>
      <c r="AL142" s="5"/>
      <c r="AM142" s="5"/>
      <c r="AN142" s="5"/>
      <c r="AO142" s="5"/>
      <c r="AP142" s="5"/>
      <c r="AQ142" s="39"/>
      <c r="AR142" s="5"/>
      <c r="AS142" s="39"/>
      <c r="AT142" s="5"/>
      <c r="AU142" s="5"/>
      <c r="AV142" s="5"/>
      <c r="AW142" s="5"/>
      <c r="AX142" s="5"/>
      <c r="AY142" s="4"/>
      <c r="AZ142" s="7"/>
      <c r="BA142" s="18"/>
      <c r="BB142" s="13"/>
      <c r="BC142" s="13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184.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13"/>
      <c r="O143" s="13"/>
      <c r="P143" s="13"/>
      <c r="Q143" s="13"/>
      <c r="R143" s="13"/>
      <c r="S143" s="13"/>
      <c r="T143" s="13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39"/>
      <c r="AJ143" s="5"/>
      <c r="AK143" s="5"/>
      <c r="AL143" s="5"/>
      <c r="AM143" s="5"/>
      <c r="AN143" s="5"/>
      <c r="AO143" s="5"/>
      <c r="AP143" s="5"/>
      <c r="AQ143" s="39"/>
      <c r="AR143" s="5"/>
      <c r="AS143" s="39"/>
      <c r="AT143" s="5"/>
      <c r="AU143" s="5"/>
      <c r="AV143" s="5"/>
      <c r="AW143" s="5"/>
      <c r="AX143" s="5"/>
      <c r="AY143" s="4"/>
      <c r="AZ143" s="7"/>
      <c r="BA143" s="18"/>
      <c r="BB143" s="7"/>
      <c r="BC143" s="4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212.2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7"/>
      <c r="O144" s="7"/>
      <c r="P144" s="7"/>
      <c r="Q144" s="7"/>
      <c r="R144" s="7"/>
      <c r="S144" s="7"/>
      <c r="T144" s="7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18"/>
      <c r="BB144" s="7"/>
      <c r="BC144" s="7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0" s="6" customFormat="1" ht="409.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7"/>
      <c r="O145" s="4"/>
      <c r="P145" s="7"/>
      <c r="Q145" s="7"/>
      <c r="R145" s="7"/>
      <c r="S145" s="7"/>
      <c r="T145" s="7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18"/>
      <c r="BB145" s="7"/>
      <c r="BC145" s="7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0" s="6" customFormat="1" ht="186.7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18"/>
      <c r="N146" s="12"/>
      <c r="O146" s="2"/>
      <c r="P146" s="12"/>
      <c r="Q146" s="12"/>
      <c r="R146" s="12"/>
      <c r="S146" s="12"/>
      <c r="T146" s="12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39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0" s="6" customFormat="1" ht="222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18"/>
      <c r="BB147" s="7"/>
      <c r="BC147" s="7"/>
      <c r="BD147" s="5"/>
      <c r="BE147" s="5"/>
      <c r="BF147" s="5"/>
      <c r="BG147" s="5"/>
      <c r="BH147" s="5"/>
      <c r="BI147" s="4"/>
      <c r="BJ147" s="7"/>
      <c r="BK147" s="7"/>
      <c r="BL147" s="8"/>
      <c r="BM147" s="5"/>
      <c r="BN147" s="5"/>
      <c r="BO147" s="7"/>
      <c r="BP147" s="7"/>
      <c r="BQ147" s="8"/>
      <c r="BR147" s="9"/>
    </row>
    <row r="148" spans="1:70" s="6" customFormat="1" ht="222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4"/>
      <c r="O148" s="4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39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0" s="6" customFormat="1" ht="222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4"/>
      <c r="O149" s="4"/>
      <c r="P149" s="7"/>
      <c r="Q149" s="7"/>
      <c r="R149" s="7"/>
      <c r="S149" s="7"/>
      <c r="T149" s="7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39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257.2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7"/>
      <c r="O150" s="4"/>
      <c r="P150" s="7"/>
      <c r="Q150" s="7"/>
      <c r="R150" s="7"/>
      <c r="S150" s="7"/>
      <c r="T150" s="7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18"/>
      <c r="BB150" s="7"/>
      <c r="BC150" s="7"/>
      <c r="BD150" s="5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0" s="6" customFormat="1" ht="182.2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18"/>
      <c r="N151" s="12"/>
      <c r="O151" s="2"/>
      <c r="P151" s="12"/>
      <c r="Q151" s="12"/>
      <c r="R151" s="12"/>
      <c r="S151" s="12"/>
      <c r="T151" s="12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39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0" s="6" customFormat="1" ht="229.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13"/>
      <c r="O152" s="13"/>
      <c r="P152" s="13"/>
      <c r="Q152" s="13"/>
      <c r="R152" s="13"/>
      <c r="S152" s="13"/>
      <c r="T152" s="13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39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0" s="6" customFormat="1" ht="409.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7"/>
      <c r="O153" s="4"/>
      <c r="P153" s="7"/>
      <c r="Q153" s="7"/>
      <c r="R153" s="7"/>
      <c r="S153" s="7"/>
      <c r="T153" s="7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4"/>
      <c r="AF153" s="7"/>
      <c r="AG153" s="7"/>
      <c r="AH153" s="7"/>
      <c r="AI153" s="18"/>
      <c r="AJ153" s="7"/>
      <c r="AK153" s="7"/>
      <c r="AL153" s="5"/>
      <c r="AM153" s="5"/>
      <c r="AN153" s="5"/>
      <c r="AO153" s="5"/>
      <c r="AP153" s="5"/>
      <c r="AQ153" s="18"/>
      <c r="AR153" s="7"/>
      <c r="AS153" s="18"/>
      <c r="AT153" s="7"/>
      <c r="AU153" s="5"/>
      <c r="AV153" s="5"/>
      <c r="AW153" s="5"/>
      <c r="AX153" s="5"/>
      <c r="AY153" s="4"/>
      <c r="AZ153" s="7"/>
      <c r="BA153" s="18"/>
      <c r="BB153" s="7"/>
      <c r="BC153" s="7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0" s="6" customFormat="1" ht="141.7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12"/>
      <c r="O154" s="2"/>
      <c r="P154" s="12"/>
      <c r="Q154" s="12"/>
      <c r="R154" s="12"/>
      <c r="S154" s="12"/>
      <c r="T154" s="12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4"/>
      <c r="AH154" s="7"/>
      <c r="AI154" s="7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4"/>
      <c r="AZ154" s="7"/>
      <c r="BA154" s="18"/>
      <c r="BB154" s="7"/>
      <c r="BC154" s="7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141.7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18"/>
      <c r="N155" s="12"/>
      <c r="O155" s="2"/>
      <c r="P155" s="12"/>
      <c r="Q155" s="12"/>
      <c r="R155" s="12"/>
      <c r="S155" s="12"/>
      <c r="T155" s="12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4"/>
      <c r="AH155" s="7"/>
      <c r="AI155" s="7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4"/>
      <c r="AZ155" s="7"/>
      <c r="BA155" s="18"/>
      <c r="BB155" s="7"/>
      <c r="BC155" s="7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141.7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18"/>
      <c r="N156" s="7"/>
      <c r="O156" s="7"/>
      <c r="P156" s="7"/>
      <c r="Q156" s="7"/>
      <c r="R156" s="7"/>
      <c r="S156" s="7"/>
      <c r="T156" s="12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4"/>
      <c r="AH156" s="7"/>
      <c r="AI156" s="7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4"/>
      <c r="AZ156" s="7"/>
      <c r="BA156" s="18"/>
      <c r="BB156" s="7"/>
      <c r="BC156" s="7"/>
      <c r="BD156" s="5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141.7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18"/>
      <c r="N157" s="12"/>
      <c r="O157" s="2"/>
      <c r="P157" s="12"/>
      <c r="Q157" s="12"/>
      <c r="R157" s="12"/>
      <c r="S157" s="12"/>
      <c r="T157" s="12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4"/>
      <c r="AH157" s="7"/>
      <c r="AI157" s="7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4"/>
      <c r="AZ157" s="7"/>
      <c r="BA157" s="18"/>
      <c r="BB157" s="7"/>
      <c r="BC157" s="7"/>
      <c r="BD157" s="5"/>
      <c r="BE157" s="5"/>
      <c r="BF157" s="5"/>
      <c r="BG157" s="5"/>
      <c r="BH157" s="5"/>
      <c r="BI157" s="5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141.7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18"/>
      <c r="N158" s="12"/>
      <c r="O158" s="2"/>
      <c r="P158" s="12"/>
      <c r="Q158" s="12"/>
      <c r="R158" s="12"/>
      <c r="S158" s="12"/>
      <c r="T158" s="12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4"/>
      <c r="AH158" s="7"/>
      <c r="AI158" s="7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4"/>
      <c r="AZ158" s="7"/>
      <c r="BA158" s="18"/>
      <c r="BB158" s="7"/>
      <c r="BC158" s="7"/>
      <c r="BD158" s="5"/>
      <c r="BE158" s="5"/>
      <c r="BF158" s="5"/>
      <c r="BG158" s="5"/>
      <c r="BH158" s="5"/>
      <c r="BI158" s="5"/>
      <c r="BJ158" s="5"/>
      <c r="BK158" s="5"/>
      <c r="BL158" s="8"/>
      <c r="BM158" s="5"/>
      <c r="BN158" s="5"/>
      <c r="BO158" s="7"/>
      <c r="BP158" s="7"/>
      <c r="BQ158" s="8"/>
      <c r="BR158" s="9"/>
    </row>
    <row r="159" spans="1:70" s="6" customFormat="1" ht="201.7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7"/>
      <c r="O159" s="4"/>
      <c r="P159" s="7"/>
      <c r="Q159" s="7"/>
      <c r="R159" s="7"/>
      <c r="S159" s="7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18"/>
      <c r="BB159" s="7"/>
      <c r="BC159" s="7"/>
      <c r="BD159" s="5"/>
      <c r="BE159" s="5"/>
      <c r="BF159" s="5"/>
      <c r="BG159" s="5"/>
      <c r="BH159" s="5"/>
      <c r="BI159" s="5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201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18"/>
      <c r="N160" s="12"/>
      <c r="O160" s="2"/>
      <c r="P160" s="12"/>
      <c r="Q160" s="12"/>
      <c r="R160" s="12"/>
      <c r="S160" s="12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39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0" s="6" customFormat="1" ht="201.7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7"/>
      <c r="O161" s="4"/>
      <c r="P161" s="7"/>
      <c r="Q161" s="7"/>
      <c r="R161" s="7"/>
      <c r="S161" s="7"/>
      <c r="T161" s="7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18"/>
      <c r="BB161" s="7"/>
      <c r="BC161" s="7"/>
      <c r="BD161" s="5"/>
      <c r="BE161" s="5"/>
      <c r="BF161" s="5"/>
      <c r="BG161" s="5"/>
      <c r="BH161" s="5"/>
      <c r="BI161" s="5"/>
      <c r="BJ161" s="5"/>
      <c r="BK161" s="5"/>
      <c r="BL161" s="8"/>
      <c r="BM161" s="5"/>
      <c r="BN161" s="5"/>
      <c r="BO161" s="7"/>
      <c r="BP161" s="7"/>
      <c r="BQ161" s="8"/>
      <c r="BR161" s="9"/>
    </row>
    <row r="162" spans="1:70" s="6" customFormat="1" ht="201.7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18"/>
      <c r="N162" s="12"/>
      <c r="O162" s="2"/>
      <c r="P162" s="12"/>
      <c r="Q162" s="12"/>
      <c r="R162" s="12"/>
      <c r="S162" s="12"/>
      <c r="T162" s="12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39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8"/>
      <c r="BM162" s="5"/>
      <c r="BN162" s="5"/>
      <c r="BO162" s="7"/>
      <c r="BP162" s="7"/>
      <c r="BQ162" s="8"/>
      <c r="BR162" s="9"/>
    </row>
    <row r="163" spans="1:70" s="6" customFormat="1" ht="409.6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7"/>
      <c r="O163" s="4"/>
      <c r="P163" s="4"/>
      <c r="Q163" s="4"/>
      <c r="R163" s="4"/>
      <c r="S163" s="4"/>
      <c r="T163" s="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39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8"/>
      <c r="BM163" s="5"/>
      <c r="BN163" s="5"/>
      <c r="BO163" s="7"/>
      <c r="BP163" s="7"/>
      <c r="BQ163" s="8"/>
      <c r="BR163" s="9"/>
    </row>
    <row r="164" spans="1:70" s="6" customFormat="1" ht="201.7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4"/>
      <c r="P164" s="4"/>
      <c r="Q164" s="4"/>
      <c r="R164" s="4"/>
      <c r="S164" s="4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39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8"/>
      <c r="BM164" s="5"/>
      <c r="BN164" s="5"/>
      <c r="BO164" s="7"/>
      <c r="BP164" s="7"/>
      <c r="BQ164" s="8"/>
      <c r="BR164" s="9"/>
    </row>
    <row r="165" spans="1:70" s="6" customFormat="1" ht="201.7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7"/>
      <c r="O165" s="4"/>
      <c r="P165" s="7"/>
      <c r="Q165" s="7"/>
      <c r="R165" s="7"/>
      <c r="S165" s="7"/>
      <c r="T165" s="7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4"/>
      <c r="AH165" s="7"/>
      <c r="AI165" s="7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4"/>
      <c r="AZ165" s="7"/>
      <c r="BA165" s="18"/>
      <c r="BB165" s="7"/>
      <c r="BC165" s="7"/>
      <c r="BD165" s="5"/>
      <c r="BE165" s="5"/>
      <c r="BF165" s="5"/>
      <c r="BG165" s="5"/>
      <c r="BH165" s="5"/>
      <c r="BI165" s="5"/>
      <c r="BJ165" s="5"/>
      <c r="BK165" s="5"/>
      <c r="BL165" s="8"/>
      <c r="BM165" s="5"/>
      <c r="BN165" s="5"/>
      <c r="BO165" s="7"/>
      <c r="BP165" s="7"/>
      <c r="BQ165" s="8"/>
      <c r="BR165" s="9"/>
    </row>
    <row r="166" spans="1:70" s="6" customFormat="1" ht="201.7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7"/>
      <c r="O166" s="4"/>
      <c r="P166" s="12"/>
      <c r="Q166" s="12"/>
      <c r="R166" s="12"/>
      <c r="S166" s="12"/>
      <c r="T166" s="12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39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8"/>
      <c r="BM166" s="5"/>
      <c r="BN166" s="5"/>
      <c r="BO166" s="7"/>
      <c r="BP166" s="7"/>
      <c r="BQ166" s="8"/>
      <c r="BR166" s="9"/>
    </row>
    <row r="167" spans="1:70" s="6" customFormat="1" ht="201.7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7"/>
      <c r="O167" s="4"/>
      <c r="P167" s="4"/>
      <c r="Q167" s="4"/>
      <c r="R167" s="4"/>
      <c r="S167" s="4"/>
      <c r="T167" s="7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39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8"/>
      <c r="BM167" s="5"/>
      <c r="BN167" s="5"/>
      <c r="BO167" s="7"/>
      <c r="BP167" s="7"/>
      <c r="BQ167" s="8"/>
      <c r="BR167" s="9"/>
    </row>
    <row r="168" spans="1:70" s="6" customFormat="1" ht="201.7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18"/>
      <c r="N168" s="12"/>
      <c r="O168" s="2"/>
      <c r="P168" s="12"/>
      <c r="Q168" s="12"/>
      <c r="R168" s="12"/>
      <c r="S168" s="12"/>
      <c r="T168" s="12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39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8"/>
      <c r="BM168" s="5"/>
      <c r="BN168" s="5"/>
      <c r="BO168" s="7"/>
      <c r="BP168" s="7"/>
      <c r="BQ168" s="8"/>
      <c r="BR168" s="9"/>
    </row>
    <row r="169" spans="1:70" s="6" customFormat="1" ht="259.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13"/>
      <c r="O169" s="13"/>
      <c r="P169" s="13"/>
      <c r="Q169" s="13"/>
      <c r="R169" s="13"/>
      <c r="S169" s="13"/>
      <c r="T169" s="13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18"/>
      <c r="BB169" s="13"/>
      <c r="BC169" s="13"/>
      <c r="BD169" s="5"/>
      <c r="BE169" s="5"/>
      <c r="BF169" s="5"/>
      <c r="BG169" s="4"/>
      <c r="BH169" s="17"/>
      <c r="BI169" s="13"/>
      <c r="BJ169" s="5"/>
      <c r="BK169" s="40"/>
      <c r="BL169" s="8"/>
      <c r="BM169" s="5"/>
      <c r="BN169" s="5"/>
      <c r="BO169" s="7"/>
      <c r="BP169" s="7"/>
      <c r="BQ169" s="8"/>
      <c r="BR169" s="9"/>
    </row>
    <row r="170" spans="1:70" s="6" customFormat="1" ht="244.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4"/>
      <c r="O170" s="4"/>
      <c r="P170" s="13"/>
      <c r="Q170" s="13"/>
      <c r="R170" s="13"/>
      <c r="S170" s="13"/>
      <c r="T170" s="13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18"/>
      <c r="BB170" s="31"/>
      <c r="BC170" s="13"/>
      <c r="BD170" s="5"/>
      <c r="BE170" s="5"/>
      <c r="BF170" s="5"/>
      <c r="BG170" s="4"/>
      <c r="BH170" s="17"/>
      <c r="BI170" s="13"/>
      <c r="BJ170" s="5"/>
      <c r="BK170" s="40"/>
      <c r="BL170" s="8"/>
      <c r="BM170" s="5"/>
      <c r="BN170" s="5"/>
      <c r="BO170" s="7"/>
      <c r="BP170" s="7"/>
      <c r="BQ170" s="8"/>
      <c r="BR170" s="9"/>
    </row>
    <row r="171" spans="1:70" s="6" customFormat="1" ht="219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17"/>
      <c r="O171" s="17"/>
      <c r="P171" s="17"/>
      <c r="Q171" s="17"/>
      <c r="R171" s="17"/>
      <c r="S171" s="17"/>
      <c r="T171" s="17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30"/>
      <c r="BB171" s="32"/>
      <c r="BC171" s="33"/>
      <c r="BD171" s="5"/>
      <c r="BE171" s="5"/>
      <c r="BF171" s="5"/>
      <c r="BG171" s="5"/>
      <c r="BH171" s="5"/>
      <c r="BI171" s="5"/>
      <c r="BJ171" s="5"/>
      <c r="BK171" s="40"/>
      <c r="BL171" s="8"/>
      <c r="BM171" s="5"/>
      <c r="BN171" s="5"/>
      <c r="BO171" s="7"/>
      <c r="BP171" s="7"/>
      <c r="BQ171" s="8"/>
      <c r="BR171" s="9"/>
    </row>
    <row r="172" spans="1:70" s="6" customFormat="1" ht="219.7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13"/>
      <c r="O172" s="13"/>
      <c r="P172" s="13"/>
      <c r="Q172" s="13"/>
      <c r="R172" s="13"/>
      <c r="S172" s="13"/>
      <c r="T172" s="13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18"/>
      <c r="BB172" s="13"/>
      <c r="BC172" s="13"/>
      <c r="BD172" s="5"/>
      <c r="BE172" s="5"/>
      <c r="BF172" s="5"/>
      <c r="BG172" s="5"/>
      <c r="BH172" s="5"/>
      <c r="BI172" s="5"/>
      <c r="BJ172" s="5"/>
      <c r="BK172" s="40"/>
      <c r="BL172" s="8"/>
      <c r="BM172" s="5"/>
      <c r="BN172" s="5"/>
      <c r="BO172" s="7"/>
      <c r="BP172" s="7"/>
      <c r="BQ172" s="8"/>
      <c r="BR172" s="9"/>
    </row>
    <row r="173" spans="1:70" s="6" customFormat="1" ht="219.7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13"/>
      <c r="O173" s="13"/>
      <c r="P173" s="13"/>
      <c r="Q173" s="13"/>
      <c r="R173" s="13"/>
      <c r="S173" s="13"/>
      <c r="T173" s="13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30"/>
      <c r="BB173" s="32"/>
      <c r="BC173" s="33"/>
      <c r="BD173" s="5"/>
      <c r="BE173" s="5"/>
      <c r="BF173" s="5"/>
      <c r="BG173" s="5"/>
      <c r="BH173" s="5"/>
      <c r="BI173" s="5"/>
      <c r="BJ173" s="5"/>
      <c r="BK173" s="40"/>
      <c r="BL173" s="8"/>
      <c r="BM173" s="5"/>
      <c r="BN173" s="5"/>
      <c r="BO173" s="7"/>
      <c r="BP173" s="7"/>
      <c r="BQ173" s="8"/>
      <c r="BR173" s="9"/>
    </row>
    <row r="174" spans="1:70" s="6" customFormat="1" ht="409.6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13"/>
      <c r="O174" s="13"/>
      <c r="P174" s="13"/>
      <c r="Q174" s="13"/>
      <c r="R174" s="13"/>
      <c r="S174" s="13"/>
      <c r="T174" s="13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18"/>
      <c r="BB174" s="13"/>
      <c r="BC174" s="4"/>
      <c r="BD174" s="5"/>
      <c r="BE174" s="5"/>
      <c r="BF174" s="5"/>
      <c r="BG174" s="5"/>
      <c r="BH174" s="5"/>
      <c r="BI174" s="5"/>
      <c r="BJ174" s="5"/>
      <c r="BK174" s="40"/>
      <c r="BL174" s="8"/>
      <c r="BM174" s="5"/>
      <c r="BN174" s="5"/>
      <c r="BO174" s="7"/>
      <c r="BP174" s="7"/>
      <c r="BQ174" s="8"/>
      <c r="BR174" s="9"/>
    </row>
    <row r="175" spans="1:70" s="6" customFormat="1" ht="409.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13"/>
      <c r="O175" s="13"/>
      <c r="P175" s="13"/>
      <c r="Q175" s="13"/>
      <c r="R175" s="13"/>
      <c r="S175" s="13"/>
      <c r="T175" s="13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4"/>
      <c r="AF175" s="13"/>
      <c r="AG175" s="13"/>
      <c r="AH175" s="5"/>
      <c r="AI175" s="18"/>
      <c r="AJ175" s="13"/>
      <c r="AK175" s="13"/>
      <c r="AL175" s="5"/>
      <c r="AM175" s="5"/>
      <c r="AN175" s="5"/>
      <c r="AO175" s="5"/>
      <c r="AP175" s="5"/>
      <c r="AQ175" s="18"/>
      <c r="AR175" s="13"/>
      <c r="AS175" s="18"/>
      <c r="AT175" s="13"/>
      <c r="AU175" s="5"/>
      <c r="AV175" s="5"/>
      <c r="AW175" s="5"/>
      <c r="AX175" s="5"/>
      <c r="AY175" s="5"/>
      <c r="AZ175" s="5"/>
      <c r="BA175" s="18"/>
      <c r="BB175" s="13"/>
      <c r="BC175" s="13"/>
      <c r="BD175" s="5"/>
      <c r="BE175" s="5"/>
      <c r="BF175" s="5"/>
      <c r="BG175" s="5"/>
      <c r="BH175" s="5"/>
      <c r="BI175" s="5"/>
      <c r="BJ175" s="5"/>
      <c r="BK175" s="40"/>
      <c r="BL175" s="8"/>
      <c r="BM175" s="5"/>
      <c r="BN175" s="5"/>
      <c r="BO175" s="7"/>
      <c r="BP175" s="7"/>
      <c r="BQ175" s="8"/>
      <c r="BR175" s="9"/>
    </row>
    <row r="176" spans="1:70" s="6" customFormat="1" ht="137.2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13"/>
      <c r="O176" s="13"/>
      <c r="P176" s="13"/>
      <c r="Q176" s="13"/>
      <c r="R176" s="13"/>
      <c r="S176" s="13"/>
      <c r="T176" s="13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30"/>
      <c r="BB176" s="32"/>
      <c r="BC176" s="33"/>
      <c r="BD176" s="5"/>
      <c r="BE176" s="5"/>
      <c r="BF176" s="5"/>
      <c r="BG176" s="5"/>
      <c r="BH176" s="5"/>
      <c r="BI176" s="5"/>
      <c r="BJ176" s="5"/>
      <c r="BK176" s="40"/>
      <c r="BL176" s="8"/>
      <c r="BM176" s="5"/>
      <c r="BN176" s="5"/>
      <c r="BO176" s="7"/>
      <c r="BP176" s="7"/>
      <c r="BQ176" s="8"/>
      <c r="BR176" s="9"/>
    </row>
    <row r="177" spans="1:72" s="6" customFormat="1" ht="137.2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13"/>
      <c r="O177" s="13"/>
      <c r="P177" s="13"/>
      <c r="Q177" s="13"/>
      <c r="R177" s="13"/>
      <c r="S177" s="13"/>
      <c r="T177" s="13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30"/>
      <c r="BB177" s="32"/>
      <c r="BC177" s="33"/>
      <c r="BD177" s="5"/>
      <c r="BE177" s="5"/>
      <c r="BF177" s="5"/>
      <c r="BG177" s="5"/>
      <c r="BH177" s="5"/>
      <c r="BI177" s="5"/>
      <c r="BJ177" s="5"/>
      <c r="BK177" s="40"/>
      <c r="BL177" s="8"/>
      <c r="BM177" s="5"/>
      <c r="BN177" s="5"/>
      <c r="BO177" s="7"/>
      <c r="BP177" s="7"/>
      <c r="BQ177" s="8"/>
      <c r="BR177" s="9"/>
    </row>
    <row r="178" spans="1:72" s="6" customFormat="1" ht="137.2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13"/>
      <c r="O178" s="13"/>
      <c r="P178" s="13"/>
      <c r="Q178" s="13"/>
      <c r="R178" s="13"/>
      <c r="S178" s="13"/>
      <c r="T178" s="13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30"/>
      <c r="BB178" s="32"/>
      <c r="BC178" s="33"/>
      <c r="BD178" s="5"/>
      <c r="BE178" s="5"/>
      <c r="BF178" s="5"/>
      <c r="BG178" s="5"/>
      <c r="BH178" s="5"/>
      <c r="BI178" s="5"/>
      <c r="BJ178" s="5"/>
      <c r="BK178" s="40"/>
      <c r="BL178" s="8"/>
      <c r="BM178" s="5"/>
      <c r="BN178" s="5"/>
      <c r="BO178" s="7"/>
      <c r="BP178" s="7"/>
      <c r="BQ178" s="8"/>
      <c r="BR178" s="9"/>
    </row>
    <row r="179" spans="1:72" s="6" customFormat="1" ht="137.2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13"/>
      <c r="O179" s="13"/>
      <c r="P179" s="13"/>
      <c r="Q179" s="13"/>
      <c r="R179" s="13"/>
      <c r="S179" s="13"/>
      <c r="T179" s="13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30"/>
      <c r="BB179" s="32"/>
      <c r="BC179" s="33"/>
      <c r="BD179" s="5"/>
      <c r="BE179" s="5"/>
      <c r="BF179" s="5"/>
      <c r="BG179" s="5"/>
      <c r="BH179" s="5"/>
      <c r="BI179" s="5"/>
      <c r="BJ179" s="5"/>
      <c r="BK179" s="40"/>
      <c r="BL179" s="8"/>
      <c r="BM179" s="5"/>
      <c r="BN179" s="5"/>
      <c r="BO179" s="7"/>
      <c r="BP179" s="7"/>
      <c r="BQ179" s="8"/>
      <c r="BR179" s="9"/>
    </row>
    <row r="180" spans="1:72" s="6" customFormat="1" ht="137.2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13"/>
      <c r="O180" s="13"/>
      <c r="P180" s="13"/>
      <c r="Q180" s="13"/>
      <c r="R180" s="13"/>
      <c r="S180" s="13"/>
      <c r="T180" s="13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30"/>
      <c r="BB180" s="32"/>
      <c r="BC180" s="33"/>
      <c r="BD180" s="5"/>
      <c r="BE180" s="5"/>
      <c r="BF180" s="5"/>
      <c r="BG180" s="5"/>
      <c r="BH180" s="5"/>
      <c r="BI180" s="5"/>
      <c r="BJ180" s="5"/>
      <c r="BK180" s="40"/>
      <c r="BL180" s="8"/>
      <c r="BM180" s="5"/>
      <c r="BN180" s="5"/>
      <c r="BO180" s="7"/>
      <c r="BP180" s="7"/>
      <c r="BQ180" s="8"/>
      <c r="BR180" s="9"/>
    </row>
    <row r="181" spans="1:72" s="6" customFormat="1" ht="291.7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13"/>
      <c r="O181" s="13"/>
      <c r="P181" s="13"/>
      <c r="Q181" s="13"/>
      <c r="R181" s="13"/>
      <c r="S181" s="13"/>
      <c r="T181" s="13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4"/>
      <c r="AZ181" s="5"/>
      <c r="BA181" s="18"/>
      <c r="BB181" s="13"/>
      <c r="BC181" s="4"/>
      <c r="BD181" s="7"/>
      <c r="BE181" s="5"/>
      <c r="BF181" s="5"/>
      <c r="BG181" s="5"/>
      <c r="BH181" s="5"/>
      <c r="BI181" s="5"/>
      <c r="BJ181" s="5"/>
      <c r="BK181" s="5"/>
      <c r="BL181" s="8"/>
      <c r="BM181" s="5"/>
      <c r="BN181" s="5"/>
      <c r="BO181" s="7"/>
      <c r="BP181" s="7"/>
      <c r="BQ181" s="8"/>
      <c r="BR181" s="9"/>
    </row>
    <row r="182" spans="1:72" s="6" customFormat="1" ht="291.7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13"/>
      <c r="O182" s="13"/>
      <c r="P182" s="13"/>
      <c r="Q182" s="13"/>
      <c r="R182" s="13"/>
      <c r="S182" s="13"/>
      <c r="T182" s="13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4"/>
      <c r="AZ182" s="5"/>
      <c r="BA182" s="18"/>
      <c r="BB182" s="25"/>
      <c r="BC182" s="4"/>
      <c r="BD182" s="7"/>
      <c r="BE182" s="5"/>
      <c r="BF182" s="5"/>
      <c r="BG182" s="5"/>
      <c r="BH182" s="5"/>
      <c r="BI182" s="5"/>
      <c r="BJ182" s="5"/>
      <c r="BK182" s="5"/>
      <c r="BL182" s="8"/>
      <c r="BM182" s="5"/>
      <c r="BN182" s="5"/>
      <c r="BO182" s="7"/>
      <c r="BP182" s="7"/>
      <c r="BQ182" s="8"/>
      <c r="BR182" s="9"/>
    </row>
    <row r="183" spans="1:72" s="6" customFormat="1" ht="197.2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7"/>
      <c r="O183" s="7"/>
      <c r="P183" s="7"/>
      <c r="Q183" s="7"/>
      <c r="R183" s="7"/>
      <c r="S183" s="7"/>
      <c r="T183" s="4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18"/>
      <c r="BB183" s="4"/>
      <c r="BC183" s="4"/>
      <c r="BD183" s="5"/>
      <c r="BE183" s="5"/>
      <c r="BF183" s="5"/>
      <c r="BG183" s="5"/>
      <c r="BH183" s="5"/>
      <c r="BI183" s="5"/>
      <c r="BJ183" s="5"/>
      <c r="BK183" s="40"/>
      <c r="BL183" s="8"/>
      <c r="BM183" s="5"/>
      <c r="BN183" s="5"/>
      <c r="BO183" s="7"/>
      <c r="BP183" s="7"/>
      <c r="BQ183" s="8"/>
      <c r="BR183" s="9"/>
    </row>
    <row r="184" spans="1:72" s="6" customFormat="1" ht="197.2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7"/>
      <c r="O184" s="7"/>
      <c r="P184" s="7"/>
      <c r="Q184" s="7"/>
      <c r="R184" s="7"/>
      <c r="S184" s="7"/>
      <c r="T184" s="4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28"/>
      <c r="BB184" s="33"/>
      <c r="BC184" s="33"/>
      <c r="BD184" s="5"/>
      <c r="BE184" s="5"/>
      <c r="BF184" s="5"/>
      <c r="BG184" s="5"/>
      <c r="BH184" s="5"/>
      <c r="BI184" s="5"/>
      <c r="BJ184" s="5"/>
      <c r="BK184" s="40"/>
      <c r="BL184" s="8"/>
      <c r="BM184" s="5"/>
      <c r="BN184" s="5"/>
      <c r="BO184" s="7"/>
      <c r="BP184" s="7"/>
      <c r="BQ184" s="8"/>
      <c r="BR184" s="9"/>
    </row>
    <row r="185" spans="1:72" s="6" customFormat="1" ht="279.7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34"/>
      <c r="O185" s="34"/>
      <c r="P185" s="34"/>
      <c r="Q185" s="34"/>
      <c r="R185" s="34"/>
      <c r="S185" s="34"/>
      <c r="T185" s="34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18"/>
      <c r="BB185" s="17"/>
      <c r="BC185" s="17"/>
      <c r="BD185" s="5"/>
      <c r="BE185" s="5"/>
      <c r="BF185" s="5"/>
      <c r="BG185" s="5"/>
      <c r="BH185" s="5"/>
      <c r="BI185" s="5"/>
      <c r="BJ185" s="5"/>
      <c r="BK185" s="5"/>
      <c r="BL185" s="8"/>
      <c r="BM185" s="5"/>
      <c r="BN185" s="5"/>
      <c r="BO185" s="7"/>
      <c r="BP185" s="7"/>
      <c r="BQ185" s="8"/>
      <c r="BR185" s="9"/>
    </row>
    <row r="186" spans="1:72" s="6" customFormat="1" ht="171.7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7"/>
      <c r="O186" s="7"/>
      <c r="P186" s="7"/>
      <c r="Q186" s="7"/>
      <c r="R186" s="7"/>
      <c r="S186" s="7"/>
      <c r="T186" s="7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18"/>
      <c r="BB186" s="7"/>
      <c r="BC186" s="7"/>
      <c r="BD186" s="5"/>
      <c r="BE186" s="5"/>
      <c r="BF186" s="5"/>
      <c r="BG186" s="5"/>
      <c r="BH186" s="5"/>
      <c r="BI186" s="5"/>
      <c r="BJ186" s="5"/>
      <c r="BK186" s="5"/>
      <c r="BL186" s="8"/>
      <c r="BM186" s="5"/>
      <c r="BN186" s="5"/>
      <c r="BO186" s="7"/>
      <c r="BP186" s="7"/>
      <c r="BQ186" s="8"/>
      <c r="BR186" s="9"/>
    </row>
    <row r="187" spans="1:72" s="6" customFormat="1" ht="129.7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4"/>
      <c r="N187" s="7"/>
      <c r="O187" s="7"/>
      <c r="P187" s="7"/>
      <c r="Q187" s="7"/>
      <c r="R187" s="7"/>
      <c r="S187" s="7"/>
      <c r="T187" s="7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19"/>
      <c r="BB187" s="13"/>
      <c r="BC187" s="13"/>
      <c r="BD187" s="5"/>
      <c r="BE187" s="5"/>
      <c r="BF187" s="5"/>
      <c r="BG187" s="5"/>
      <c r="BH187" s="5"/>
      <c r="BI187" s="5"/>
      <c r="BJ187" s="5"/>
      <c r="BK187" s="40"/>
      <c r="BL187" s="8"/>
      <c r="BM187" s="5"/>
      <c r="BN187" s="5"/>
      <c r="BO187" s="7"/>
      <c r="BP187" s="7"/>
      <c r="BQ187" s="8"/>
      <c r="BR187" s="9"/>
    </row>
    <row r="188" spans="1:72" s="6" customFormat="1" ht="187.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13"/>
      <c r="N188" s="13"/>
      <c r="O188" s="13"/>
      <c r="P188" s="13"/>
      <c r="Q188" s="13"/>
      <c r="R188" s="13"/>
      <c r="S188" s="13"/>
      <c r="T188" s="13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18"/>
      <c r="BB188" s="7"/>
      <c r="BC188" s="7"/>
      <c r="BD188" s="5"/>
      <c r="BE188" s="5"/>
      <c r="BF188" s="5"/>
      <c r="BG188" s="5"/>
      <c r="BH188" s="5"/>
      <c r="BI188" s="5"/>
      <c r="BJ188" s="7"/>
      <c r="BK188" s="7"/>
      <c r="BL188" s="8"/>
      <c r="BM188" s="5"/>
      <c r="BN188" s="5"/>
      <c r="BO188" s="5"/>
      <c r="BP188" s="5"/>
      <c r="BQ188" s="7"/>
      <c r="BR188" s="8"/>
      <c r="BS188" s="9"/>
      <c r="BT188" s="14"/>
    </row>
    <row r="189" spans="1:72" s="6" customFormat="1" ht="187.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18"/>
      <c r="N189" s="12"/>
      <c r="O189" s="2"/>
      <c r="P189" s="12"/>
      <c r="Q189" s="12"/>
      <c r="R189" s="12"/>
      <c r="S189" s="12"/>
      <c r="T189" s="12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7"/>
      <c r="BK189" s="7"/>
      <c r="BL189" s="8"/>
      <c r="BM189" s="9"/>
      <c r="BN189" s="5"/>
      <c r="BO189" s="5"/>
      <c r="BP189" s="5"/>
      <c r="BQ189" s="7"/>
      <c r="BR189" s="8"/>
      <c r="BS189" s="9"/>
      <c r="BT189" s="14"/>
    </row>
    <row r="190" spans="1:72" s="6" customFormat="1" ht="409.6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4"/>
      <c r="N190" s="7"/>
      <c r="O190" s="7"/>
      <c r="P190" s="7"/>
      <c r="Q190" s="7"/>
      <c r="R190" s="7"/>
      <c r="S190" s="7"/>
      <c r="T190" s="7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7"/>
      <c r="AS190" s="5"/>
      <c r="AT190" s="7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7"/>
      <c r="BK190" s="7"/>
      <c r="BL190" s="8"/>
      <c r="BM190" s="9"/>
      <c r="BN190" s="5"/>
      <c r="BO190" s="5"/>
      <c r="BP190" s="5"/>
      <c r="BQ190" s="7"/>
      <c r="BR190" s="8"/>
      <c r="BS190" s="9"/>
      <c r="BT190" s="14"/>
    </row>
    <row r="191" spans="1:72" s="6" customFormat="1" ht="409.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4"/>
      <c r="N191" s="7"/>
      <c r="O191" s="7"/>
      <c r="P191" s="7"/>
      <c r="Q191" s="7"/>
      <c r="R191" s="7"/>
      <c r="S191" s="7"/>
      <c r="T191" s="7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18"/>
      <c r="BB191" s="7"/>
      <c r="BC191" s="7"/>
      <c r="BD191" s="5"/>
      <c r="BE191" s="5"/>
      <c r="BF191" s="5"/>
      <c r="BG191" s="5"/>
      <c r="BH191" s="5"/>
      <c r="BI191" s="5"/>
      <c r="BJ191" s="7"/>
      <c r="BK191" s="7"/>
      <c r="BL191" s="8"/>
      <c r="BM191" s="9"/>
      <c r="BN191" s="5"/>
      <c r="BO191" s="5"/>
      <c r="BP191" s="5"/>
      <c r="BQ191" s="7"/>
      <c r="BR191" s="8"/>
      <c r="BS191" s="9"/>
      <c r="BT191" s="14"/>
    </row>
    <row r="192" spans="1:72" s="6" customFormat="1" ht="194.2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18"/>
      <c r="N192" s="12"/>
      <c r="O192" s="2"/>
      <c r="P192" s="12"/>
      <c r="Q192" s="12"/>
      <c r="R192" s="12"/>
      <c r="S192" s="12"/>
      <c r="T192" s="12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7"/>
      <c r="BK192" s="7"/>
      <c r="BL192" s="8"/>
      <c r="BM192" s="9"/>
      <c r="BN192" s="15"/>
      <c r="BO192" s="15"/>
      <c r="BP192" s="15"/>
      <c r="BQ192" s="16"/>
      <c r="BR192" s="10"/>
      <c r="BS192" s="15"/>
      <c r="BT192" s="14"/>
    </row>
    <row r="193" spans="1:72" s="6" customFormat="1" ht="219.7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7"/>
      <c r="BL193" s="8"/>
      <c r="BM193" s="9"/>
      <c r="BN193" s="15"/>
      <c r="BO193" s="15"/>
      <c r="BP193" s="15"/>
      <c r="BQ193" s="16"/>
      <c r="BR193" s="10"/>
      <c r="BS193" s="15"/>
      <c r="BT193" s="14"/>
    </row>
    <row r="194" spans="1:72" s="6" customFormat="1" ht="198.7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2"/>
      <c r="L194" s="4"/>
      <c r="M194" s="5"/>
      <c r="N194" s="25"/>
      <c r="O194" s="25"/>
      <c r="P194" s="25"/>
      <c r="Q194" s="25"/>
      <c r="R194" s="25"/>
      <c r="S194" s="25"/>
      <c r="T194" s="2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7"/>
      <c r="BK194" s="13"/>
      <c r="BL194" s="8"/>
      <c r="BM194" s="9"/>
      <c r="BN194" s="5"/>
      <c r="BO194" s="5"/>
      <c r="BP194" s="5"/>
      <c r="BQ194" s="7"/>
      <c r="BR194" s="8"/>
      <c r="BS194" s="9"/>
      <c r="BT194" s="14"/>
    </row>
    <row r="195" spans="1:72" s="6" customFormat="1" ht="198.7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2"/>
      <c r="L195" s="4"/>
      <c r="M195" s="5"/>
      <c r="N195" s="7"/>
      <c r="O195" s="7"/>
      <c r="P195" s="7"/>
      <c r="Q195" s="7"/>
      <c r="R195" s="7"/>
      <c r="S195" s="7"/>
      <c r="T195" s="7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7"/>
      <c r="BK195" s="13"/>
      <c r="BL195" s="8"/>
      <c r="BM195" s="9"/>
      <c r="BN195" s="5"/>
      <c r="BO195" s="5"/>
      <c r="BP195" s="5"/>
      <c r="BQ195" s="7"/>
      <c r="BR195" s="8"/>
      <c r="BS195" s="9"/>
      <c r="BT195" s="14"/>
    </row>
    <row r="196" spans="1:72" s="6" customFormat="1" ht="198.7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2"/>
      <c r="L196" s="4"/>
      <c r="M196" s="5"/>
      <c r="N196" s="12"/>
      <c r="O196" s="2"/>
      <c r="P196" s="12"/>
      <c r="Q196" s="12"/>
      <c r="R196" s="12"/>
      <c r="S196" s="12"/>
      <c r="T196" s="12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7"/>
      <c r="BK196" s="13"/>
      <c r="BL196" s="8"/>
      <c r="BM196" s="9"/>
      <c r="BN196" s="5"/>
      <c r="BO196" s="5"/>
      <c r="BP196" s="5"/>
      <c r="BQ196" s="7"/>
      <c r="BR196" s="8"/>
      <c r="BS196" s="9"/>
      <c r="BT196" s="14"/>
    </row>
    <row r="197" spans="1:72" s="6" customFormat="1" ht="146.2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2"/>
      <c r="L197" s="4"/>
      <c r="M197" s="5"/>
      <c r="N197" s="12"/>
      <c r="O197" s="2"/>
      <c r="P197" s="12"/>
      <c r="Q197" s="12"/>
      <c r="R197" s="12"/>
      <c r="S197" s="12"/>
      <c r="T197" s="12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7"/>
      <c r="BK197" s="13"/>
      <c r="BL197" s="8"/>
      <c r="BM197" s="9"/>
      <c r="BN197" s="5"/>
      <c r="BO197" s="5"/>
      <c r="BP197" s="5"/>
      <c r="BQ197" s="7"/>
      <c r="BR197" s="8"/>
      <c r="BS197" s="9"/>
      <c r="BT197" s="14"/>
    </row>
    <row r="198" spans="1:72" s="6" customFormat="1" ht="227.2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2"/>
      <c r="L198" s="4"/>
      <c r="M198" s="5"/>
      <c r="N198" s="12"/>
      <c r="O198" s="2"/>
      <c r="P198" s="12"/>
      <c r="Q198" s="12"/>
      <c r="R198" s="12"/>
      <c r="S198" s="12"/>
      <c r="T198" s="12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7"/>
      <c r="BK198" s="13"/>
      <c r="BL198" s="8"/>
      <c r="BM198" s="9"/>
      <c r="BN198" s="5"/>
      <c r="BO198" s="5"/>
      <c r="BP198" s="5"/>
      <c r="BQ198" s="7"/>
      <c r="BR198" s="8"/>
      <c r="BS198" s="9"/>
      <c r="BT198" s="14"/>
    </row>
    <row r="199" spans="1:72" s="6" customFormat="1" ht="154.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2"/>
      <c r="L199" s="4"/>
      <c r="M199" s="5"/>
      <c r="N199" s="12"/>
      <c r="O199" s="12"/>
      <c r="P199" s="12"/>
      <c r="Q199" s="12"/>
      <c r="R199" s="12"/>
      <c r="S199" s="12"/>
      <c r="T199" s="12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7"/>
      <c r="BK199" s="13"/>
      <c r="BL199" s="8"/>
      <c r="BM199" s="9"/>
      <c r="BN199" s="5"/>
      <c r="BO199" s="5"/>
      <c r="BP199" s="5"/>
      <c r="BQ199" s="7"/>
      <c r="BR199" s="8"/>
      <c r="BS199" s="9"/>
      <c r="BT199" s="14"/>
    </row>
    <row r="200" spans="1:72" s="6" customFormat="1" ht="154.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2"/>
      <c r="L200" s="4"/>
      <c r="M200" s="5"/>
      <c r="N200" s="12"/>
      <c r="O200" s="2"/>
      <c r="P200" s="12"/>
      <c r="Q200" s="12"/>
      <c r="R200" s="12"/>
      <c r="S200" s="12"/>
      <c r="T200" s="12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7"/>
      <c r="BK200" s="13"/>
      <c r="BL200" s="8"/>
      <c r="BM200" s="9"/>
      <c r="BN200" s="15"/>
      <c r="BO200" s="15"/>
      <c r="BP200" s="15"/>
      <c r="BQ200" s="16"/>
      <c r="BR200" s="10"/>
      <c r="BS200" s="15"/>
      <c r="BT200" s="14"/>
    </row>
    <row r="201" spans="1:72" s="6" customFormat="1" ht="182.2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2"/>
      <c r="L201" s="4"/>
      <c r="M201" s="5"/>
      <c r="N201" s="7"/>
      <c r="O201" s="7"/>
      <c r="P201" s="7"/>
      <c r="Q201" s="7"/>
      <c r="R201" s="7"/>
      <c r="S201" s="7"/>
      <c r="T201" s="7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7"/>
      <c r="BJ201" s="5"/>
      <c r="BK201" s="7"/>
      <c r="BL201" s="8"/>
      <c r="BM201" s="9"/>
      <c r="BN201" s="15"/>
      <c r="BO201" s="15"/>
      <c r="BP201" s="15"/>
      <c r="BQ201" s="16"/>
      <c r="BR201" s="10"/>
      <c r="BS201" s="15"/>
      <c r="BT201" s="14"/>
    </row>
    <row r="202" spans="1:72" s="6" customFormat="1" ht="182.2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2"/>
      <c r="L202" s="4"/>
      <c r="M202" s="5"/>
      <c r="N202" s="7"/>
      <c r="O202" s="7"/>
      <c r="P202" s="7"/>
      <c r="Q202" s="7"/>
      <c r="R202" s="7"/>
      <c r="S202" s="7"/>
      <c r="T202" s="12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7"/>
      <c r="BL202" s="8"/>
      <c r="BM202" s="9"/>
      <c r="BN202" s="15"/>
      <c r="BO202" s="15"/>
      <c r="BP202" s="15"/>
      <c r="BQ202" s="16"/>
      <c r="BR202" s="10"/>
      <c r="BS202" s="15"/>
      <c r="BT202" s="14"/>
    </row>
    <row r="203" spans="1:72" s="6" customFormat="1" ht="312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2"/>
      <c r="L203" s="4"/>
      <c r="M203" s="5"/>
      <c r="N203" s="12"/>
      <c r="O203" s="12"/>
      <c r="P203" s="12"/>
      <c r="Q203" s="12"/>
      <c r="R203" s="12"/>
      <c r="S203" s="12"/>
      <c r="T203" s="12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39"/>
      <c r="BB203" s="5"/>
      <c r="BC203" s="5"/>
      <c r="BD203" s="7"/>
      <c r="BE203" s="5"/>
      <c r="BF203" s="5"/>
      <c r="BG203" s="5"/>
      <c r="BH203" s="5"/>
      <c r="BI203" s="7"/>
      <c r="BJ203" s="5"/>
      <c r="BK203" s="13"/>
      <c r="BL203" s="8"/>
      <c r="BM203" s="9"/>
      <c r="BN203" s="10"/>
    </row>
    <row r="204" spans="1:72" s="6" customFormat="1" ht="174.75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2"/>
      <c r="L204" s="4"/>
      <c r="M204" s="5"/>
      <c r="N204" s="12"/>
      <c r="O204" s="2"/>
      <c r="P204" s="12"/>
      <c r="Q204" s="12"/>
      <c r="R204" s="12"/>
      <c r="S204" s="12"/>
      <c r="T204" s="12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7"/>
      <c r="BE204" s="5"/>
      <c r="BF204" s="5"/>
      <c r="BG204" s="5"/>
      <c r="BH204" s="5"/>
      <c r="BI204" s="7"/>
      <c r="BJ204" s="5"/>
      <c r="BK204" s="13"/>
      <c r="BL204" s="8"/>
      <c r="BM204" s="9"/>
      <c r="BN204" s="10"/>
    </row>
    <row r="205" spans="1:72" s="6" customFormat="1" ht="167.25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2"/>
      <c r="L205" s="4"/>
      <c r="M205" s="5"/>
      <c r="N205" s="7"/>
      <c r="O205" s="7"/>
      <c r="P205" s="7"/>
      <c r="Q205" s="7"/>
      <c r="R205" s="7"/>
      <c r="S205" s="7"/>
      <c r="T205" s="7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39"/>
      <c r="BB205" s="5"/>
      <c r="BC205" s="5"/>
      <c r="BD205" s="7"/>
      <c r="BE205" s="5"/>
      <c r="BF205" s="5"/>
      <c r="BG205" s="5"/>
      <c r="BH205" s="5"/>
      <c r="BI205" s="7"/>
      <c r="BJ205" s="5"/>
      <c r="BK205" s="13"/>
      <c r="BL205" s="8"/>
      <c r="BM205" s="9"/>
      <c r="BN205" s="10"/>
    </row>
    <row r="206" spans="1:72" s="6" customFormat="1" ht="167.25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2"/>
      <c r="L206" s="4"/>
      <c r="M206" s="5"/>
      <c r="N206" s="7"/>
      <c r="O206" s="7"/>
      <c r="P206" s="7"/>
      <c r="Q206" s="7"/>
      <c r="R206" s="7"/>
      <c r="S206" s="7"/>
      <c r="T206" s="7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7"/>
      <c r="BE206" s="5"/>
      <c r="BF206" s="5"/>
      <c r="BG206" s="5"/>
      <c r="BH206" s="5"/>
      <c r="BI206" s="7"/>
      <c r="BJ206" s="5"/>
      <c r="BK206" s="13"/>
      <c r="BL206" s="8"/>
      <c r="BM206" s="9"/>
      <c r="BN206" s="10"/>
    </row>
    <row r="207" spans="1:72" s="6" customFormat="1" ht="167.2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2"/>
      <c r="L207" s="4"/>
      <c r="M207" s="5"/>
      <c r="N207" s="7"/>
      <c r="O207" s="7"/>
      <c r="P207" s="12"/>
      <c r="Q207" s="12"/>
      <c r="R207" s="12"/>
      <c r="S207" s="12"/>
      <c r="T207" s="12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7"/>
      <c r="BE207" s="5"/>
      <c r="BF207" s="5"/>
      <c r="BG207" s="5"/>
      <c r="BH207" s="5"/>
      <c r="BI207" s="7"/>
      <c r="BJ207" s="5"/>
      <c r="BK207" s="13"/>
      <c r="BL207" s="8"/>
      <c r="BM207" s="9"/>
      <c r="BN207" s="10"/>
    </row>
    <row r="208" spans="1:72" s="6" customFormat="1" ht="372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2"/>
      <c r="L208" s="4"/>
      <c r="M208" s="5"/>
      <c r="N208" s="2"/>
      <c r="O208" s="2"/>
      <c r="P208" s="2"/>
      <c r="Q208" s="2"/>
      <c r="R208" s="2"/>
      <c r="S208" s="2"/>
      <c r="T208" s="2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8"/>
      <c r="BM208" s="5"/>
      <c r="BN208" s="5"/>
      <c r="BO208" s="5"/>
      <c r="BP208" s="5"/>
    </row>
    <row r="209" spans="1:70" s="6" customFormat="1" ht="257.25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2"/>
      <c r="L209" s="4"/>
      <c r="M209" s="5"/>
      <c r="N209" s="2"/>
      <c r="O209" s="2"/>
      <c r="P209" s="11"/>
      <c r="Q209" s="11"/>
      <c r="R209" s="11"/>
      <c r="S209" s="11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8"/>
      <c r="BM209" s="5"/>
      <c r="BN209" s="5"/>
      <c r="BO209" s="5"/>
      <c r="BP209" s="5"/>
    </row>
    <row r="210" spans="1:70" s="6" customFormat="1" ht="254.25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2"/>
      <c r="L210" s="4"/>
      <c r="M210" s="5"/>
      <c r="N210" s="2"/>
      <c r="O210" s="2"/>
      <c r="P210" s="11"/>
      <c r="Q210" s="11"/>
      <c r="R210" s="11"/>
      <c r="S210" s="11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8"/>
      <c r="BM210" s="5"/>
      <c r="BN210" s="5"/>
      <c r="BO210" s="5"/>
      <c r="BP210" s="5"/>
    </row>
    <row r="211" spans="1:70" s="6" customFormat="1" ht="319.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2"/>
      <c r="L211" s="4"/>
      <c r="M211" s="5"/>
      <c r="N211" s="7"/>
      <c r="O211" s="7"/>
      <c r="P211" s="7"/>
      <c r="Q211" s="7"/>
      <c r="R211" s="7"/>
      <c r="S211" s="7"/>
      <c r="T211" s="12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8"/>
      <c r="BM211" s="5"/>
      <c r="BN211" s="5"/>
      <c r="BO211" s="5"/>
      <c r="BP211" s="5"/>
    </row>
    <row r="212" spans="1:70" s="6" customFormat="1" ht="409.6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2"/>
      <c r="L212" s="2"/>
      <c r="M212" s="2"/>
      <c r="N212" s="12"/>
      <c r="O212" s="2"/>
      <c r="P212" s="12"/>
      <c r="Q212" s="12"/>
      <c r="R212" s="12"/>
      <c r="S212" s="12"/>
      <c r="T212" s="12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8"/>
      <c r="BM212" s="5"/>
      <c r="BN212" s="5"/>
      <c r="BO212" s="5"/>
      <c r="BP212" s="5"/>
    </row>
    <row r="213" spans="1:70" s="6" customFormat="1" ht="141.75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2"/>
      <c r="L213" s="4"/>
      <c r="M213" s="5"/>
      <c r="N213" s="7"/>
      <c r="O213" s="7"/>
      <c r="P213" s="7"/>
      <c r="Q213" s="7"/>
      <c r="R213" s="7"/>
      <c r="S213" s="7"/>
      <c r="T213" s="12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8"/>
      <c r="BM213" s="5"/>
      <c r="BN213" s="5"/>
      <c r="BO213" s="5"/>
      <c r="BP213" s="5"/>
    </row>
    <row r="214" spans="1:70" s="6" customFormat="1" ht="141.7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2"/>
      <c r="L214" s="4"/>
      <c r="M214" s="2"/>
      <c r="N214" s="7"/>
      <c r="O214" s="7"/>
      <c r="P214" s="7"/>
      <c r="Q214" s="7"/>
      <c r="R214" s="7"/>
      <c r="S214" s="7"/>
      <c r="T214" s="7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8"/>
      <c r="BM214" s="5"/>
      <c r="BN214" s="5"/>
      <c r="BO214" s="5"/>
      <c r="BP214" s="5"/>
    </row>
    <row r="215" spans="1:70" s="6" customFormat="1" ht="292.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2"/>
      <c r="L215" s="4"/>
      <c r="M215" s="5"/>
      <c r="N215" s="11"/>
      <c r="O215" s="2"/>
      <c r="P215" s="11"/>
      <c r="Q215" s="11"/>
      <c r="R215" s="11"/>
      <c r="S215" s="11"/>
      <c r="T215" s="11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8"/>
      <c r="BM215" s="5"/>
      <c r="BN215" s="5"/>
      <c r="BO215" s="5"/>
      <c r="BP215" s="8"/>
      <c r="BQ215" s="9"/>
      <c r="BR215" s="10"/>
    </row>
    <row r="216" spans="1:70" s="6" customFormat="1" ht="177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2"/>
      <c r="L216" s="4"/>
      <c r="M216" s="5"/>
      <c r="N216" s="2"/>
      <c r="O216" s="2"/>
      <c r="P216" s="11"/>
      <c r="Q216" s="11"/>
      <c r="R216" s="11"/>
      <c r="S216" s="11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8"/>
      <c r="BQ216" s="9"/>
      <c r="BR216" s="10"/>
    </row>
  </sheetData>
  <autoFilter ref="A2:BM188"/>
  <mergeCells count="8">
    <mergeCell ref="T22:T23"/>
    <mergeCell ref="O22:O23"/>
    <mergeCell ref="M22:M23"/>
    <mergeCell ref="N22:N23"/>
    <mergeCell ref="P22:P23"/>
    <mergeCell ref="Q22:Q23"/>
    <mergeCell ref="R22:R23"/>
    <mergeCell ref="S22:S23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3"/>
  <sheetViews>
    <sheetView tabSelected="1" zoomScale="20" zoomScaleNormal="20" zoomScaleSheetLayoutView="10" workbookViewId="0">
      <pane ySplit="2" topLeftCell="A3" activePane="bottomLeft" state="frozen"/>
      <selection pane="bottomLeft" activeCell="I4" sqref="I4"/>
    </sheetView>
  </sheetViews>
  <sheetFormatPr defaultColWidth="9.140625" defaultRowHeight="34.5" x14ac:dyDescent="0.45"/>
  <cols>
    <col min="1" max="1" width="50.7109375" style="24" customWidth="1"/>
    <col min="2" max="2" width="25.5703125" style="24" customWidth="1"/>
    <col min="3" max="3" width="46.42578125" style="24" hidden="1" customWidth="1"/>
    <col min="4" max="4" width="36.85546875" style="24" hidden="1" customWidth="1"/>
    <col min="5" max="5" width="16.42578125" style="24" hidden="1" customWidth="1"/>
    <col min="6" max="6" width="58" style="24" customWidth="1"/>
    <col min="7" max="7" width="23.5703125" style="24" hidden="1" customWidth="1"/>
    <col min="8" max="8" width="59.7109375" style="24" customWidth="1"/>
    <col min="9" max="9" width="103.7109375" style="24" customWidth="1"/>
    <col min="10" max="10" width="128.42578125" style="24" customWidth="1"/>
    <col min="11" max="11" width="41.42578125" style="24" customWidth="1"/>
    <col min="12" max="12" width="42.5703125" style="24" customWidth="1"/>
    <col min="13" max="13" width="53.42578125" style="24" customWidth="1"/>
    <col min="14" max="14" width="40.85546875" style="24" customWidth="1"/>
    <col min="15" max="15" width="20.28515625" style="24" customWidth="1"/>
    <col min="16" max="16" width="36.5703125" style="24" customWidth="1"/>
    <col min="17" max="17" width="33.28515625" style="24" customWidth="1"/>
    <col min="18" max="18" width="27.42578125" style="24" customWidth="1"/>
    <col min="19" max="19" width="29.85546875" style="24" customWidth="1"/>
    <col min="20" max="20" width="33.7109375" style="24" customWidth="1"/>
    <col min="21" max="21" width="12.42578125" style="24" hidden="1" customWidth="1"/>
    <col min="22" max="22" width="9.140625" style="24" hidden="1" customWidth="1"/>
    <col min="23" max="24" width="10.140625" style="24" hidden="1" customWidth="1"/>
    <col min="25" max="27" width="17" style="24" hidden="1" customWidth="1"/>
    <col min="28" max="28" width="24.85546875" style="24" hidden="1" customWidth="1"/>
    <col min="29" max="29" width="25.7109375" style="24" hidden="1" customWidth="1"/>
    <col min="30" max="30" width="19.7109375" style="24" hidden="1" customWidth="1"/>
    <col min="31" max="31" width="21" style="24" customWidth="1"/>
    <col min="32" max="32" width="22.5703125" style="24" customWidth="1"/>
    <col min="33" max="33" width="68.140625" style="24" hidden="1" customWidth="1"/>
    <col min="34" max="34" width="21" style="24" hidden="1" customWidth="1"/>
    <col min="35" max="35" width="15.85546875" style="24" customWidth="1"/>
    <col min="36" max="36" width="23" style="24" customWidth="1"/>
    <col min="37" max="37" width="26" style="24" hidden="1" customWidth="1"/>
    <col min="38" max="38" width="19.7109375" style="24" hidden="1" customWidth="1"/>
    <col min="39" max="39" width="12.7109375" style="24" hidden="1" customWidth="1"/>
    <col min="40" max="40" width="9.140625" style="24" hidden="1" customWidth="1"/>
    <col min="41" max="41" width="9.5703125" style="24" hidden="1" customWidth="1"/>
    <col min="42" max="42" width="9.140625" style="24" hidden="1" customWidth="1"/>
    <col min="43" max="43" width="41.28515625" style="24" customWidth="1"/>
    <col min="44" max="44" width="27.7109375" style="24" customWidth="1"/>
    <col min="45" max="45" width="21.42578125" style="24" customWidth="1"/>
    <col min="46" max="46" width="23.42578125" style="24" customWidth="1"/>
    <col min="47" max="50" width="9.140625" style="24" hidden="1" customWidth="1"/>
    <col min="51" max="51" width="46.5703125" style="24" customWidth="1"/>
    <col min="52" max="52" width="24.28515625" style="24" customWidth="1"/>
    <col min="53" max="53" width="62.140625" style="24" customWidth="1"/>
    <col min="54" max="54" width="35.42578125" style="24" customWidth="1"/>
    <col min="55" max="55" width="23.140625" style="24" hidden="1" customWidth="1"/>
    <col min="56" max="56" width="18.140625" style="24" hidden="1" customWidth="1"/>
    <col min="57" max="57" width="22.5703125" style="24" hidden="1" customWidth="1"/>
    <col min="58" max="58" width="24.140625" style="24" hidden="1" customWidth="1"/>
    <col min="59" max="59" width="33.85546875" style="24" hidden="1" customWidth="1"/>
    <col min="60" max="60" width="18.5703125" style="24" hidden="1" customWidth="1"/>
    <col min="61" max="61" width="32.5703125" style="24" hidden="1" customWidth="1"/>
    <col min="62" max="62" width="33" style="24" hidden="1" customWidth="1"/>
    <col min="63" max="63" width="31.5703125" style="36" customWidth="1"/>
    <col min="64" max="64" width="37.28515625" style="37" customWidth="1"/>
    <col min="65" max="65" width="89" style="24" customWidth="1"/>
    <col min="66" max="16384" width="9.140625" style="24"/>
  </cols>
  <sheetData>
    <row r="1" spans="1:65" ht="75" x14ac:dyDescent="0.95">
      <c r="B1" s="102" t="s">
        <v>461</v>
      </c>
      <c r="C1" s="35"/>
    </row>
    <row r="2" spans="1:65" s="6" customFormat="1" ht="327.75" customHeight="1" x14ac:dyDescent="0.25">
      <c r="A2" s="4" t="s">
        <v>0</v>
      </c>
      <c r="B2" s="4" t="s">
        <v>25</v>
      </c>
      <c r="C2" s="4" t="s">
        <v>26</v>
      </c>
      <c r="D2" s="4" t="s">
        <v>33</v>
      </c>
      <c r="E2" s="4" t="s">
        <v>28</v>
      </c>
      <c r="F2" s="4" t="s">
        <v>1</v>
      </c>
      <c r="G2" s="4" t="s">
        <v>2</v>
      </c>
      <c r="H2" s="4" t="s">
        <v>20</v>
      </c>
      <c r="I2" s="4" t="s">
        <v>24</v>
      </c>
      <c r="J2" s="4" t="s">
        <v>3</v>
      </c>
      <c r="K2" s="4" t="s">
        <v>29</v>
      </c>
      <c r="L2" s="4" t="s">
        <v>34</v>
      </c>
      <c r="M2" s="4" t="s">
        <v>35</v>
      </c>
      <c r="N2" s="4" t="s">
        <v>36</v>
      </c>
      <c r="O2" s="4"/>
      <c r="P2" s="4" t="s">
        <v>37</v>
      </c>
      <c r="Q2" s="4" t="s">
        <v>38</v>
      </c>
      <c r="R2" s="4" t="s">
        <v>39</v>
      </c>
      <c r="S2" s="4" t="s">
        <v>40</v>
      </c>
      <c r="T2" s="4" t="s">
        <v>41</v>
      </c>
      <c r="U2" s="4" t="s">
        <v>4</v>
      </c>
      <c r="V2" s="4"/>
      <c r="W2" s="4" t="s">
        <v>23</v>
      </c>
      <c r="X2" s="4"/>
      <c r="Y2" s="4" t="s">
        <v>30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27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36</v>
      </c>
      <c r="BA2" s="4" t="s">
        <v>16</v>
      </c>
      <c r="BB2" s="4" t="s">
        <v>42</v>
      </c>
      <c r="BC2" s="4" t="s">
        <v>17</v>
      </c>
      <c r="BD2" s="4"/>
      <c r="BE2" s="4" t="s">
        <v>18</v>
      </c>
      <c r="BF2" s="4"/>
      <c r="BG2" s="4" t="s">
        <v>32</v>
      </c>
      <c r="BH2" s="4"/>
      <c r="BI2" s="4" t="s">
        <v>31</v>
      </c>
      <c r="BJ2" s="4"/>
      <c r="BK2" s="13" t="s">
        <v>22</v>
      </c>
      <c r="BL2" s="8" t="s">
        <v>21</v>
      </c>
      <c r="BM2" s="4" t="s">
        <v>19</v>
      </c>
    </row>
    <row r="3" spans="1:65" s="6" customFormat="1" ht="409.6" customHeight="1" x14ac:dyDescent="0.25">
      <c r="A3" s="1" t="s">
        <v>60</v>
      </c>
      <c r="B3" s="2" t="s">
        <v>75</v>
      </c>
      <c r="C3" s="3">
        <v>466.1</v>
      </c>
      <c r="D3" s="3">
        <v>466.1</v>
      </c>
      <c r="E3" s="4">
        <v>12</v>
      </c>
      <c r="F3" s="2" t="s">
        <v>90</v>
      </c>
      <c r="G3" s="2" t="s">
        <v>46</v>
      </c>
      <c r="H3" s="2" t="s">
        <v>105</v>
      </c>
      <c r="I3" s="2" t="s">
        <v>451</v>
      </c>
      <c r="J3" s="2" t="s">
        <v>128</v>
      </c>
      <c r="K3" s="4" t="s">
        <v>401</v>
      </c>
      <c r="L3" s="4"/>
      <c r="M3" s="18"/>
      <c r="N3" s="7"/>
      <c r="O3" s="7"/>
      <c r="P3" s="7"/>
      <c r="Q3" s="7"/>
      <c r="R3" s="7"/>
      <c r="S3" s="7"/>
      <c r="T3" s="7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39"/>
      <c r="BB3" s="39"/>
      <c r="BC3" s="5"/>
      <c r="BD3" s="5"/>
      <c r="BE3" s="5"/>
      <c r="BF3" s="5"/>
      <c r="BG3" s="5"/>
      <c r="BH3" s="5"/>
      <c r="BI3" s="5"/>
      <c r="BJ3" s="5"/>
      <c r="BK3" s="100"/>
      <c r="BL3" s="8">
        <v>42513</v>
      </c>
      <c r="BM3" s="5" t="s">
        <v>391</v>
      </c>
    </row>
    <row r="4" spans="1:65" s="6" customFormat="1" ht="409.6" customHeight="1" x14ac:dyDescent="0.25">
      <c r="A4" s="1" t="s">
        <v>134</v>
      </c>
      <c r="B4" s="2" t="s">
        <v>172</v>
      </c>
      <c r="C4" s="3">
        <v>466.1</v>
      </c>
      <c r="D4" s="3">
        <v>466.1</v>
      </c>
      <c r="E4" s="4">
        <v>15</v>
      </c>
      <c r="F4" s="2" t="s">
        <v>210</v>
      </c>
      <c r="G4" s="2" t="s">
        <v>46</v>
      </c>
      <c r="H4" s="2" t="s">
        <v>250</v>
      </c>
      <c r="I4" s="2" t="s">
        <v>452</v>
      </c>
      <c r="J4" s="2" t="s">
        <v>312</v>
      </c>
      <c r="K4" s="4" t="s">
        <v>402</v>
      </c>
      <c r="L4" s="4"/>
      <c r="M4" s="4"/>
      <c r="N4" s="7">
        <f>N5</f>
        <v>45</v>
      </c>
      <c r="O4" s="7">
        <f t="shared" ref="O4:S4" si="0">O5</f>
        <v>0</v>
      </c>
      <c r="P4" s="7">
        <f t="shared" si="0"/>
        <v>3.6</v>
      </c>
      <c r="Q4" s="7">
        <f t="shared" si="0"/>
        <v>38.700000000000003</v>
      </c>
      <c r="R4" s="7">
        <f t="shared" si="0"/>
        <v>0</v>
      </c>
      <c r="S4" s="7">
        <f t="shared" si="0"/>
        <v>2.6999999999999997</v>
      </c>
      <c r="T4" s="7">
        <f>P4+Q4+R4+S4</f>
        <v>45.000000000000007</v>
      </c>
      <c r="U4" s="5"/>
      <c r="V4" s="5"/>
      <c r="W4" s="5"/>
      <c r="X4" s="5"/>
      <c r="Y4" s="5"/>
      <c r="Z4" s="5"/>
      <c r="AA4" s="5"/>
      <c r="AB4" s="5"/>
      <c r="AC4" s="18"/>
      <c r="AD4" s="17"/>
      <c r="AE4" s="4"/>
      <c r="AF4" s="5"/>
      <c r="AG4" s="5"/>
      <c r="AH4" s="5"/>
      <c r="AI4" s="18"/>
      <c r="AJ4" s="17"/>
      <c r="AK4" s="4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39" t="s">
        <v>403</v>
      </c>
      <c r="BB4" s="39">
        <f>0.04*1125</f>
        <v>45</v>
      </c>
      <c r="BC4" s="5"/>
      <c r="BD4" s="5"/>
      <c r="BE4" s="4"/>
      <c r="BF4" s="7"/>
      <c r="BG4" s="7"/>
      <c r="BH4" s="5"/>
      <c r="BI4" s="5"/>
      <c r="BJ4" s="5"/>
      <c r="BK4" s="100">
        <f>BB4</f>
        <v>45</v>
      </c>
      <c r="BL4" s="8">
        <v>42516</v>
      </c>
      <c r="BM4" s="5"/>
    </row>
    <row r="5" spans="1:65" s="6" customFormat="1" ht="358.5" customHeight="1" x14ac:dyDescent="0.35">
      <c r="A5" s="1"/>
      <c r="B5" s="2"/>
      <c r="C5" s="3"/>
      <c r="D5" s="3"/>
      <c r="E5" s="4"/>
      <c r="F5" s="2"/>
      <c r="G5" s="2"/>
      <c r="H5" s="2"/>
      <c r="I5" s="2"/>
      <c r="J5" s="2"/>
      <c r="K5" s="4"/>
      <c r="L5" s="5" t="str">
        <f>BA2</f>
        <v>Строительство ВЛИ-0,4 кВ</v>
      </c>
      <c r="M5" s="39" t="str">
        <f>BA4</f>
        <v>0,04 км с применением повышенных опор для обеспечения  перехода через автомобильную дорогу</v>
      </c>
      <c r="N5" s="7">
        <f>0.04*1125</f>
        <v>45</v>
      </c>
      <c r="O5" s="7"/>
      <c r="P5" s="7">
        <f>0.04*0.08*1125</f>
        <v>3.6</v>
      </c>
      <c r="Q5" s="7">
        <f>0.04*1125*0.86</f>
        <v>38.700000000000003</v>
      </c>
      <c r="R5" s="7">
        <v>0</v>
      </c>
      <c r="S5" s="7">
        <f>0.04*1125*0.06</f>
        <v>2.6999999999999997</v>
      </c>
      <c r="T5" s="7">
        <f>P5+Q5+R5+S5</f>
        <v>45.000000000000007</v>
      </c>
      <c r="U5" s="5"/>
      <c r="V5" s="5"/>
      <c r="W5" s="5"/>
      <c r="X5" s="5"/>
      <c r="Y5" s="5"/>
      <c r="Z5" s="5"/>
      <c r="AA5" s="5"/>
      <c r="AB5" s="5"/>
      <c r="AC5" s="18"/>
      <c r="AD5" s="17"/>
      <c r="AE5" s="4"/>
      <c r="AF5" s="5"/>
      <c r="AG5" s="5"/>
      <c r="AH5" s="5"/>
      <c r="AI5" s="18"/>
      <c r="AJ5" s="17"/>
      <c r="AK5" s="4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39"/>
      <c r="BB5" s="39"/>
      <c r="BC5" s="5"/>
      <c r="BD5" s="5"/>
      <c r="BE5" s="4"/>
      <c r="BF5" s="7"/>
      <c r="BG5" s="7"/>
      <c r="BH5" s="5"/>
      <c r="BI5" s="5"/>
      <c r="BJ5" s="5"/>
      <c r="BK5" s="100"/>
      <c r="BL5" s="8"/>
      <c r="BM5" s="5"/>
    </row>
    <row r="6" spans="1:65" s="6" customFormat="1" ht="409.5" customHeight="1" x14ac:dyDescent="0.25">
      <c r="A6" s="1" t="s">
        <v>58</v>
      </c>
      <c r="B6" s="2" t="s">
        <v>73</v>
      </c>
      <c r="C6" s="3">
        <v>466.1</v>
      </c>
      <c r="D6" s="3">
        <v>466.1</v>
      </c>
      <c r="E6" s="4">
        <v>15</v>
      </c>
      <c r="F6" s="2" t="s">
        <v>88</v>
      </c>
      <c r="G6" s="2" t="s">
        <v>46</v>
      </c>
      <c r="H6" s="2" t="s">
        <v>103</v>
      </c>
      <c r="I6" s="2" t="s">
        <v>48</v>
      </c>
      <c r="J6" s="2" t="s">
        <v>125</v>
      </c>
      <c r="K6" s="4"/>
      <c r="L6" s="4"/>
      <c r="M6" s="18"/>
      <c r="N6" s="7"/>
      <c r="O6" s="7"/>
      <c r="P6" s="7"/>
      <c r="Q6" s="7"/>
      <c r="R6" s="7"/>
      <c r="S6" s="7"/>
      <c r="T6" s="7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39"/>
      <c r="BB6" s="39"/>
      <c r="BC6" s="5"/>
      <c r="BD6" s="5"/>
      <c r="BE6" s="4"/>
      <c r="BF6" s="7"/>
      <c r="BG6" s="7"/>
      <c r="BH6" s="5"/>
      <c r="BI6" s="5"/>
      <c r="BJ6" s="5"/>
      <c r="BK6" s="100"/>
      <c r="BL6" s="8">
        <v>42510</v>
      </c>
      <c r="BM6" s="5" t="s">
        <v>389</v>
      </c>
    </row>
    <row r="7" spans="1:65" s="6" customFormat="1" ht="409.6" customHeight="1" x14ac:dyDescent="0.25">
      <c r="A7" s="1" t="s">
        <v>136</v>
      </c>
      <c r="B7" s="2" t="s">
        <v>174</v>
      </c>
      <c r="C7" s="3">
        <v>466.1</v>
      </c>
      <c r="D7" s="3">
        <v>466.1</v>
      </c>
      <c r="E7" s="4">
        <v>12</v>
      </c>
      <c r="F7" s="2" t="s">
        <v>212</v>
      </c>
      <c r="G7" s="2" t="s">
        <v>46</v>
      </c>
      <c r="H7" s="2" t="s">
        <v>252</v>
      </c>
      <c r="I7" s="2" t="s">
        <v>404</v>
      </c>
      <c r="J7" s="2" t="s">
        <v>314</v>
      </c>
      <c r="K7" s="4" t="s">
        <v>405</v>
      </c>
      <c r="L7" s="4"/>
      <c r="M7" s="4"/>
      <c r="N7" s="7">
        <f>N8+N9+N10</f>
        <v>587.3493757043999</v>
      </c>
      <c r="O7" s="7"/>
      <c r="P7" s="7">
        <f>P8+P9+P10</f>
        <v>17.782999999999998</v>
      </c>
      <c r="Q7" s="7">
        <f>Q8+Q9+Q10</f>
        <v>55.009860898199989</v>
      </c>
      <c r="R7" s="7">
        <f>R8+R10</f>
        <v>508.08099999999996</v>
      </c>
      <c r="S7" s="7">
        <f>S8+S9+S10</f>
        <v>6.4786999999999999</v>
      </c>
      <c r="T7" s="7">
        <f>T8+T9+T10</f>
        <v>587.35256089819995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 t="s">
        <v>408</v>
      </c>
      <c r="AR7" s="5">
        <f>T8+T9</f>
        <v>571.99904820819995</v>
      </c>
      <c r="AS7" s="5">
        <v>1</v>
      </c>
      <c r="AT7" s="5">
        <v>15.35</v>
      </c>
      <c r="AU7" s="5"/>
      <c r="AV7" s="5"/>
      <c r="AW7" s="5"/>
      <c r="AX7" s="5"/>
      <c r="AY7" s="5"/>
      <c r="AZ7" s="5"/>
      <c r="BA7" s="18"/>
      <c r="BB7" s="4"/>
      <c r="BC7" s="4"/>
      <c r="BD7" s="4"/>
      <c r="BE7" s="4"/>
      <c r="BF7" s="7"/>
      <c r="BG7" s="4"/>
      <c r="BH7" s="4"/>
      <c r="BI7" s="7"/>
      <c r="BJ7" s="5"/>
      <c r="BK7" s="100">
        <f>AR7+AT7</f>
        <v>587.34904820819997</v>
      </c>
      <c r="BL7" s="8">
        <v>42322</v>
      </c>
      <c r="BM7" s="5" t="s">
        <v>409</v>
      </c>
    </row>
    <row r="8" spans="1:65" s="6" customFormat="1" ht="222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tr">
        <f>AQ2</f>
        <v>Монтаж ТП 10 (6)/0,4 кВ</v>
      </c>
      <c r="M8" s="5" t="s">
        <v>439</v>
      </c>
      <c r="N8" s="7">
        <f>T8</f>
        <v>562.34586301439992</v>
      </c>
      <c r="O8" s="7"/>
      <c r="P8" s="45">
        <v>16.649999999999999</v>
      </c>
      <c r="Q8" s="45">
        <f>(49859.69+386.45-9179.26)*1.021*1.03/1000</f>
        <v>43.187163014399992</v>
      </c>
      <c r="R8" s="45">
        <v>496.03</v>
      </c>
      <c r="S8" s="45">
        <f>6.29*1.03</f>
        <v>6.4786999999999999</v>
      </c>
      <c r="T8" s="45">
        <f>P8+Q8+R8+S8</f>
        <v>562.34586301439992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18"/>
      <c r="BB8" s="18"/>
      <c r="BC8" s="4"/>
      <c r="BD8" s="4"/>
      <c r="BE8" s="4"/>
      <c r="BF8" s="7"/>
      <c r="BG8" s="4"/>
      <c r="BH8" s="4"/>
      <c r="BI8" s="7"/>
      <c r="BJ8" s="5"/>
      <c r="BK8" s="100"/>
      <c r="BL8" s="8"/>
      <c r="BM8" s="5"/>
    </row>
    <row r="9" spans="1:65" s="6" customFormat="1" ht="222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/>
      <c r="M9" s="5" t="s">
        <v>438</v>
      </c>
      <c r="N9" s="7">
        <v>9.65</v>
      </c>
      <c r="O9" s="7"/>
      <c r="P9" s="7">
        <v>0</v>
      </c>
      <c r="Q9" s="45">
        <f>9179.26*1.021*1.03/1000</f>
        <v>9.6531851937999988</v>
      </c>
      <c r="R9" s="7" t="s">
        <v>440</v>
      </c>
      <c r="S9" s="7">
        <v>0</v>
      </c>
      <c r="T9" s="7">
        <f>P9+Q9+S9</f>
        <v>9.6531851937999988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18"/>
      <c r="BB9" s="18"/>
      <c r="BC9" s="4"/>
      <c r="BD9" s="4"/>
      <c r="BE9" s="4"/>
      <c r="BF9" s="7"/>
      <c r="BG9" s="4"/>
      <c r="BH9" s="4"/>
      <c r="BI9" s="7"/>
      <c r="BJ9" s="5"/>
      <c r="BK9" s="100"/>
      <c r="BL9" s="8"/>
      <c r="BM9" s="5"/>
    </row>
    <row r="10" spans="1:65" s="6" customFormat="1" ht="222" customHeight="1" x14ac:dyDescent="0.3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tr">
        <f>AS2</f>
        <v>Монтаж учёта в ТП 10 (6)/0,4 кВ</v>
      </c>
      <c r="M10" s="5">
        <f>AS7</f>
        <v>1</v>
      </c>
      <c r="N10" s="12">
        <f>T10</f>
        <v>15.353512690000001</v>
      </c>
      <c r="O10" s="12"/>
      <c r="P10" s="12">
        <f>1.1*1.03</f>
        <v>1.1330000000000002</v>
      </c>
      <c r="Q10" s="12">
        <f>2.063*1.021*1.03</f>
        <v>2.1695126900000004</v>
      </c>
      <c r="R10" s="12">
        <f>11.7*1.03</f>
        <v>12.051</v>
      </c>
      <c r="S10" s="12">
        <v>0</v>
      </c>
      <c r="T10" s="12">
        <f>P10+Q10+R10+S10</f>
        <v>15.353512690000001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18"/>
      <c r="BB10" s="18"/>
      <c r="BC10" s="4"/>
      <c r="BD10" s="4"/>
      <c r="BE10" s="4"/>
      <c r="BF10" s="7"/>
      <c r="BG10" s="4"/>
      <c r="BH10" s="4"/>
      <c r="BI10" s="7"/>
      <c r="BJ10" s="5"/>
      <c r="BK10" s="100"/>
      <c r="BL10" s="8"/>
      <c r="BM10" s="5"/>
    </row>
    <row r="11" spans="1:65" s="6" customFormat="1" ht="409.6" customHeight="1" x14ac:dyDescent="0.25">
      <c r="A11" s="1" t="s">
        <v>56</v>
      </c>
      <c r="B11" s="2" t="s">
        <v>71</v>
      </c>
      <c r="C11" s="3">
        <v>466.1</v>
      </c>
      <c r="D11" s="3">
        <v>466.1</v>
      </c>
      <c r="E11" s="4">
        <v>15</v>
      </c>
      <c r="F11" s="2" t="s">
        <v>86</v>
      </c>
      <c r="G11" s="2" t="s">
        <v>46</v>
      </c>
      <c r="H11" s="2" t="s">
        <v>101</v>
      </c>
      <c r="I11" s="2" t="s">
        <v>453</v>
      </c>
      <c r="J11" s="2" t="s">
        <v>49</v>
      </c>
      <c r="K11" s="4" t="s">
        <v>406</v>
      </c>
      <c r="L11" s="4"/>
      <c r="M11" s="4"/>
      <c r="N11" s="7"/>
      <c r="O11" s="7"/>
      <c r="P11" s="7"/>
      <c r="Q11" s="7"/>
      <c r="R11" s="7"/>
      <c r="S11" s="7"/>
      <c r="T11" s="7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18"/>
      <c r="BB11" s="100"/>
      <c r="BC11" s="7"/>
      <c r="BD11" s="4"/>
      <c r="BE11" s="4"/>
      <c r="BF11" s="7"/>
      <c r="BG11" s="4"/>
      <c r="BH11" s="4"/>
      <c r="BI11" s="7"/>
      <c r="BJ11" s="5"/>
      <c r="BK11" s="100"/>
      <c r="BL11" s="8">
        <v>42507</v>
      </c>
      <c r="BM11" s="111" t="s">
        <v>410</v>
      </c>
    </row>
    <row r="12" spans="1:65" s="6" customFormat="1" ht="409.5" customHeight="1" x14ac:dyDescent="0.25">
      <c r="A12" s="1" t="s">
        <v>63</v>
      </c>
      <c r="B12" s="2" t="s">
        <v>78</v>
      </c>
      <c r="C12" s="3">
        <v>466.1</v>
      </c>
      <c r="D12" s="3">
        <v>466.1</v>
      </c>
      <c r="E12" s="4">
        <v>9</v>
      </c>
      <c r="F12" s="2" t="s">
        <v>93</v>
      </c>
      <c r="G12" s="2" t="s">
        <v>46</v>
      </c>
      <c r="H12" s="2" t="s">
        <v>108</v>
      </c>
      <c r="I12" s="2" t="s">
        <v>48</v>
      </c>
      <c r="J12" s="112" t="s">
        <v>132</v>
      </c>
      <c r="K12" s="4" t="s">
        <v>407</v>
      </c>
      <c r="L12" s="4"/>
      <c r="M12" s="4"/>
      <c r="N12" s="7"/>
      <c r="O12" s="7"/>
      <c r="P12" s="7"/>
      <c r="Q12" s="7"/>
      <c r="R12" s="7"/>
      <c r="S12" s="7"/>
      <c r="T12" s="7"/>
      <c r="U12" s="5"/>
      <c r="V12" s="5"/>
      <c r="W12" s="5"/>
      <c r="X12" s="5"/>
      <c r="Y12" s="5"/>
      <c r="Z12" s="5"/>
      <c r="AA12" s="5"/>
      <c r="AB12" s="5"/>
      <c r="AC12" s="18"/>
      <c r="AD12" s="17"/>
      <c r="AE12" s="4"/>
      <c r="AF12" s="5"/>
      <c r="AG12" s="5"/>
      <c r="AH12" s="5"/>
      <c r="AI12" s="18"/>
      <c r="AJ12" s="17"/>
      <c r="AK12" s="4"/>
      <c r="AL12" s="5"/>
      <c r="AM12" s="5"/>
      <c r="AN12" s="5"/>
      <c r="AO12" s="5"/>
      <c r="AP12" s="5"/>
      <c r="AQ12" s="18"/>
      <c r="AR12" s="13"/>
      <c r="AS12" s="18"/>
      <c r="AT12" s="7"/>
      <c r="AU12" s="5"/>
      <c r="AV12" s="5"/>
      <c r="AW12" s="5"/>
      <c r="AX12" s="5"/>
      <c r="AY12" s="5"/>
      <c r="AZ12" s="5"/>
      <c r="BA12" s="18"/>
      <c r="BB12" s="7"/>
      <c r="BC12" s="4"/>
      <c r="BD12" s="4"/>
      <c r="BE12" s="4"/>
      <c r="BF12" s="7"/>
      <c r="BG12" s="4"/>
      <c r="BH12" s="4"/>
      <c r="BI12" s="7"/>
      <c r="BJ12" s="5"/>
      <c r="BK12" s="7"/>
      <c r="BL12" s="8">
        <v>42513</v>
      </c>
      <c r="BM12" s="5" t="s">
        <v>373</v>
      </c>
    </row>
    <row r="13" spans="1:65" s="6" customFormat="1" ht="408.75" customHeight="1" x14ac:dyDescent="0.25">
      <c r="A13" s="1" t="s">
        <v>143</v>
      </c>
      <c r="B13" s="2" t="s">
        <v>181</v>
      </c>
      <c r="C13" s="3">
        <v>466.1</v>
      </c>
      <c r="D13" s="3"/>
      <c r="E13" s="4">
        <v>15</v>
      </c>
      <c r="F13" s="2" t="s">
        <v>219</v>
      </c>
      <c r="G13" s="2" t="s">
        <v>46</v>
      </c>
      <c r="H13" s="2" t="s">
        <v>259</v>
      </c>
      <c r="I13" s="126" t="s">
        <v>454</v>
      </c>
      <c r="J13" s="2" t="s">
        <v>322</v>
      </c>
      <c r="K13" s="4" t="s">
        <v>359</v>
      </c>
      <c r="L13" s="4" t="s">
        <v>16</v>
      </c>
      <c r="M13" s="4"/>
      <c r="N13" s="7">
        <f>N14</f>
        <v>495</v>
      </c>
      <c r="O13" s="7"/>
      <c r="P13" s="7">
        <f t="shared" ref="P13:T13" si="1">P14</f>
        <v>39.6</v>
      </c>
      <c r="Q13" s="7">
        <f t="shared" si="1"/>
        <v>425.7</v>
      </c>
      <c r="R13" s="7">
        <f t="shared" si="1"/>
        <v>0</v>
      </c>
      <c r="S13" s="7">
        <f t="shared" si="1"/>
        <v>29.7</v>
      </c>
      <c r="T13" s="7">
        <f t="shared" si="1"/>
        <v>495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18" t="s">
        <v>360</v>
      </c>
      <c r="BB13" s="7">
        <f>T14</f>
        <v>495</v>
      </c>
      <c r="BC13" s="7"/>
      <c r="BD13" s="4"/>
      <c r="BE13" s="4"/>
      <c r="BF13" s="7"/>
      <c r="BG13" s="4"/>
      <c r="BH13" s="4"/>
      <c r="BI13" s="7"/>
      <c r="BJ13" s="5"/>
      <c r="BK13" s="7">
        <f>BB13</f>
        <v>495</v>
      </c>
      <c r="BL13" s="8">
        <v>42524</v>
      </c>
      <c r="BM13" s="5" t="s">
        <v>361</v>
      </c>
    </row>
    <row r="14" spans="1:65" s="6" customFormat="1" ht="409.6" customHeight="1" x14ac:dyDescent="0.25">
      <c r="A14" s="1"/>
      <c r="B14" s="2"/>
      <c r="C14" s="3"/>
      <c r="D14" s="3"/>
      <c r="E14" s="4"/>
      <c r="F14" s="2"/>
      <c r="G14" s="2"/>
      <c r="H14" s="2"/>
      <c r="I14" s="127"/>
      <c r="J14" s="2"/>
      <c r="K14" s="4"/>
      <c r="L14" s="4" t="s">
        <v>16</v>
      </c>
      <c r="M14" s="18" t="s">
        <v>360</v>
      </c>
      <c r="N14" s="12">
        <f>1125*0.44</f>
        <v>495</v>
      </c>
      <c r="O14" s="12"/>
      <c r="P14" s="12">
        <f>0.08*N14</f>
        <v>39.6</v>
      </c>
      <c r="Q14" s="12">
        <f>0.86*N14</f>
        <v>425.7</v>
      </c>
      <c r="R14" s="12"/>
      <c r="S14" s="12">
        <f>0.06*N14</f>
        <v>29.7</v>
      </c>
      <c r="T14" s="12">
        <f t="shared" ref="T14" si="2">P14+Q14+R14+S14</f>
        <v>495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39"/>
      <c r="AJ14" s="5"/>
      <c r="AK14" s="5"/>
      <c r="AL14" s="5"/>
      <c r="AM14" s="5"/>
      <c r="AN14" s="5"/>
      <c r="AO14" s="5"/>
      <c r="AP14" s="5"/>
      <c r="AQ14" s="39"/>
      <c r="AR14" s="5"/>
      <c r="AS14" s="39"/>
      <c r="AT14" s="5"/>
      <c r="AU14" s="5"/>
      <c r="AV14" s="5"/>
      <c r="AW14" s="5"/>
      <c r="AX14" s="5"/>
      <c r="AY14" s="5"/>
      <c r="AZ14" s="5"/>
      <c r="BA14" s="18"/>
      <c r="BB14" s="100"/>
      <c r="BC14" s="7"/>
      <c r="BD14" s="4"/>
      <c r="BE14" s="4"/>
      <c r="BF14" s="7"/>
      <c r="BG14" s="4"/>
      <c r="BH14" s="4"/>
      <c r="BI14" s="7"/>
      <c r="BJ14" s="5"/>
      <c r="BK14" s="7"/>
      <c r="BL14" s="8"/>
      <c r="BM14" s="5"/>
    </row>
    <row r="15" spans="1:65" s="6" customFormat="1" ht="408.75" customHeight="1" x14ac:dyDescent="0.25">
      <c r="A15" s="1" t="s">
        <v>146</v>
      </c>
      <c r="B15" s="2" t="s">
        <v>184</v>
      </c>
      <c r="C15" s="3">
        <v>466.1</v>
      </c>
      <c r="D15" s="3"/>
      <c r="E15" s="4">
        <v>15</v>
      </c>
      <c r="F15" s="2" t="s">
        <v>222</v>
      </c>
      <c r="G15" s="2" t="s">
        <v>46</v>
      </c>
      <c r="H15" s="2" t="s">
        <v>262</v>
      </c>
      <c r="I15" s="2" t="s">
        <v>48</v>
      </c>
      <c r="J15" s="2" t="s">
        <v>325</v>
      </c>
      <c r="K15" s="4"/>
      <c r="L15" s="4"/>
      <c r="M15" s="4"/>
      <c r="N15" s="7"/>
      <c r="O15" s="7"/>
      <c r="P15" s="7"/>
      <c r="Q15" s="7"/>
      <c r="R15" s="7"/>
      <c r="S15" s="7"/>
      <c r="T15" s="7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18"/>
      <c r="BB15" s="18"/>
      <c r="BC15" s="4"/>
      <c r="BD15" s="4"/>
      <c r="BE15" s="4"/>
      <c r="BF15" s="7"/>
      <c r="BG15" s="4"/>
      <c r="BH15" s="4"/>
      <c r="BI15" s="7"/>
      <c r="BJ15" s="5"/>
      <c r="BK15" s="7"/>
      <c r="BL15" s="8">
        <v>42529</v>
      </c>
      <c r="BM15" s="5" t="s">
        <v>375</v>
      </c>
    </row>
    <row r="16" spans="1:65" s="6" customFormat="1" ht="408.75" customHeight="1" x14ac:dyDescent="0.25">
      <c r="A16" s="1" t="s">
        <v>147</v>
      </c>
      <c r="B16" s="2" t="s">
        <v>185</v>
      </c>
      <c r="C16" s="3">
        <v>466.1</v>
      </c>
      <c r="D16" s="3"/>
      <c r="E16" s="4">
        <v>7</v>
      </c>
      <c r="F16" s="2" t="s">
        <v>223</v>
      </c>
      <c r="G16" s="2" t="s">
        <v>46</v>
      </c>
      <c r="H16" s="2" t="s">
        <v>263</v>
      </c>
      <c r="I16" s="126" t="s">
        <v>455</v>
      </c>
      <c r="J16" s="2" t="s">
        <v>326</v>
      </c>
      <c r="K16" s="4" t="s">
        <v>383</v>
      </c>
      <c r="L16" s="4"/>
      <c r="M16" s="4"/>
      <c r="N16" s="7">
        <f>N17</f>
        <v>382.5</v>
      </c>
      <c r="O16" s="7">
        <f t="shared" ref="O16:T16" si="3">O17</f>
        <v>0</v>
      </c>
      <c r="P16" s="7">
        <f t="shared" si="3"/>
        <v>30.6</v>
      </c>
      <c r="Q16" s="7">
        <f t="shared" si="3"/>
        <v>328.95</v>
      </c>
      <c r="R16" s="7"/>
      <c r="S16" s="7">
        <f t="shared" si="3"/>
        <v>22.95</v>
      </c>
      <c r="T16" s="7">
        <f t="shared" si="3"/>
        <v>382.5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18">
        <v>0.34</v>
      </c>
      <c r="BB16" s="4">
        <f>T17</f>
        <v>382.5</v>
      </c>
      <c r="BC16" s="4"/>
      <c r="BD16" s="4"/>
      <c r="BE16" s="4"/>
      <c r="BF16" s="7"/>
      <c r="BG16" s="4"/>
      <c r="BH16" s="4"/>
      <c r="BI16" s="7"/>
      <c r="BJ16" s="5"/>
      <c r="BK16" s="7">
        <f>BB16</f>
        <v>382.5</v>
      </c>
      <c r="BL16" s="8">
        <v>42509</v>
      </c>
      <c r="BM16" s="5" t="s">
        <v>384</v>
      </c>
    </row>
    <row r="17" spans="1:65" s="6" customFormat="1" ht="408.75" customHeight="1" x14ac:dyDescent="0.25">
      <c r="A17" s="1"/>
      <c r="B17" s="2"/>
      <c r="C17" s="3"/>
      <c r="D17" s="3"/>
      <c r="E17" s="4"/>
      <c r="F17" s="2"/>
      <c r="G17" s="2"/>
      <c r="H17" s="2"/>
      <c r="I17" s="127"/>
      <c r="J17" s="2"/>
      <c r="K17" s="4"/>
      <c r="L17" s="4" t="s">
        <v>16</v>
      </c>
      <c r="M17" s="4">
        <f>BA16</f>
        <v>0.34</v>
      </c>
      <c r="N17" s="7">
        <f>1125*M17</f>
        <v>382.5</v>
      </c>
      <c r="O17" s="7"/>
      <c r="P17" s="7">
        <f>0.08*N17</f>
        <v>30.6</v>
      </c>
      <c r="Q17" s="7">
        <f>0.86*N17</f>
        <v>328.95</v>
      </c>
      <c r="R17" s="7"/>
      <c r="S17" s="7">
        <f>0.06*N17</f>
        <v>22.95</v>
      </c>
      <c r="T17" s="7">
        <f>P17+Q17+R17+S17</f>
        <v>382.5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18"/>
      <c r="BB17" s="18"/>
      <c r="BC17" s="4"/>
      <c r="BD17" s="4"/>
      <c r="BE17" s="4"/>
      <c r="BF17" s="7"/>
      <c r="BG17" s="4"/>
      <c r="BH17" s="4"/>
      <c r="BI17" s="7"/>
      <c r="BJ17" s="5"/>
      <c r="BK17" s="7"/>
      <c r="BL17" s="8"/>
      <c r="BM17" s="5"/>
    </row>
    <row r="18" spans="1:65" s="6" customFormat="1" ht="409.6" customHeight="1" x14ac:dyDescent="0.25">
      <c r="A18" s="1" t="s">
        <v>150</v>
      </c>
      <c r="B18" s="2" t="s">
        <v>188</v>
      </c>
      <c r="C18" s="3">
        <v>466.1</v>
      </c>
      <c r="D18" s="3"/>
      <c r="E18" s="4">
        <v>12</v>
      </c>
      <c r="F18" s="2" t="s">
        <v>226</v>
      </c>
      <c r="G18" s="2" t="s">
        <v>46</v>
      </c>
      <c r="H18" s="2" t="s">
        <v>266</v>
      </c>
      <c r="I18" s="2" t="s">
        <v>48</v>
      </c>
      <c r="J18" s="113" t="s">
        <v>329</v>
      </c>
      <c r="K18" s="4"/>
      <c r="L18" s="4"/>
      <c r="M18" s="4"/>
      <c r="N18" s="7"/>
      <c r="O18" s="7"/>
      <c r="P18" s="7"/>
      <c r="Q18" s="7"/>
      <c r="R18" s="7"/>
      <c r="S18" s="7"/>
      <c r="T18" s="7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18"/>
      <c r="BB18" s="100"/>
      <c r="BC18" s="7"/>
      <c r="BD18" s="4"/>
      <c r="BE18" s="4"/>
      <c r="BF18" s="7"/>
      <c r="BG18" s="4"/>
      <c r="BH18" s="4"/>
      <c r="BI18" s="7"/>
      <c r="BJ18" s="5"/>
      <c r="BK18" s="7"/>
      <c r="BL18" s="8">
        <v>42525</v>
      </c>
      <c r="BM18" s="5" t="s">
        <v>373</v>
      </c>
    </row>
    <row r="19" spans="1:65" s="6" customFormat="1" ht="409.5" customHeight="1" x14ac:dyDescent="0.25">
      <c r="A19" s="1" t="s">
        <v>151</v>
      </c>
      <c r="B19" s="2" t="s">
        <v>189</v>
      </c>
      <c r="C19" s="3">
        <v>466.1</v>
      </c>
      <c r="D19" s="3"/>
      <c r="E19" s="4">
        <v>15</v>
      </c>
      <c r="F19" s="2" t="s">
        <v>227</v>
      </c>
      <c r="G19" s="2" t="s">
        <v>249</v>
      </c>
      <c r="H19" s="2" t="s">
        <v>267</v>
      </c>
      <c r="I19" s="2" t="s">
        <v>48</v>
      </c>
      <c r="J19" s="2" t="s">
        <v>330</v>
      </c>
      <c r="K19" s="4"/>
      <c r="L19" s="4"/>
      <c r="M19" s="4"/>
      <c r="N19" s="7"/>
      <c r="O19" s="7"/>
      <c r="P19" s="7"/>
      <c r="Q19" s="7"/>
      <c r="R19" s="7"/>
      <c r="S19" s="7"/>
      <c r="T19" s="7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9"/>
      <c r="AJ19" s="5"/>
      <c r="AK19" s="5"/>
      <c r="AL19" s="5"/>
      <c r="AM19" s="5"/>
      <c r="AN19" s="5"/>
      <c r="AO19" s="5"/>
      <c r="AP19" s="5"/>
      <c r="AQ19" s="39"/>
      <c r="AR19" s="5"/>
      <c r="AS19" s="39"/>
      <c r="AT19" s="5"/>
      <c r="AU19" s="5"/>
      <c r="AV19" s="5"/>
      <c r="AW19" s="5"/>
      <c r="AX19" s="5"/>
      <c r="AY19" s="4"/>
      <c r="AZ19" s="13"/>
      <c r="BA19" s="13"/>
      <c r="BB19" s="13"/>
      <c r="BC19" s="13"/>
      <c r="BD19" s="5"/>
      <c r="BE19" s="5"/>
      <c r="BF19" s="5"/>
      <c r="BG19" s="5"/>
      <c r="BH19" s="5"/>
      <c r="BI19" s="5"/>
      <c r="BJ19" s="5"/>
      <c r="BK19" s="7"/>
      <c r="BL19" s="8">
        <v>42531</v>
      </c>
      <c r="BM19" s="5"/>
    </row>
    <row r="20" spans="1:65" s="6" customFormat="1" ht="409.6" customHeight="1" x14ac:dyDescent="0.25">
      <c r="A20" s="1" t="s">
        <v>59</v>
      </c>
      <c r="B20" s="2" t="s">
        <v>74</v>
      </c>
      <c r="C20" s="3">
        <v>466.1</v>
      </c>
      <c r="D20" s="3"/>
      <c r="E20" s="4">
        <v>15</v>
      </c>
      <c r="F20" s="2" t="s">
        <v>89</v>
      </c>
      <c r="G20" s="2" t="s">
        <v>46</v>
      </c>
      <c r="H20" s="2" t="s">
        <v>104</v>
      </c>
      <c r="I20" s="2" t="s">
        <v>48</v>
      </c>
      <c r="J20" s="2" t="s">
        <v>126</v>
      </c>
      <c r="K20" s="4" t="s">
        <v>430</v>
      </c>
      <c r="L20" s="4"/>
      <c r="M20" s="4"/>
      <c r="N20" s="7"/>
      <c r="O20" s="7"/>
      <c r="P20" s="7"/>
      <c r="Q20" s="7"/>
      <c r="R20" s="7"/>
      <c r="S20" s="7"/>
      <c r="T20" s="7"/>
      <c r="U20" s="5"/>
      <c r="V20" s="5"/>
      <c r="W20" s="5"/>
      <c r="X20" s="5"/>
      <c r="Y20" s="5"/>
      <c r="Z20" s="5"/>
      <c r="AA20" s="5"/>
      <c r="AB20" s="5"/>
      <c r="AC20" s="18"/>
      <c r="AD20" s="13"/>
      <c r="AE20" s="13"/>
      <c r="AF20" s="5"/>
      <c r="AG20" s="5"/>
      <c r="AH20" s="5"/>
      <c r="AI20" s="18"/>
      <c r="AJ20" s="13"/>
      <c r="AK20" s="13"/>
      <c r="AL20" s="5"/>
      <c r="AM20" s="5"/>
      <c r="AN20" s="5"/>
      <c r="AO20" s="5"/>
      <c r="AP20" s="5"/>
      <c r="AQ20" s="18"/>
      <c r="AR20" s="13"/>
      <c r="AS20" s="18"/>
      <c r="AT20" s="13"/>
      <c r="AU20" s="5"/>
      <c r="AV20" s="5"/>
      <c r="AW20" s="5"/>
      <c r="AX20" s="5"/>
      <c r="AY20" s="4"/>
      <c r="AZ20" s="7"/>
      <c r="BA20" s="18"/>
      <c r="BB20" s="13"/>
      <c r="BC20" s="13"/>
      <c r="BD20" s="5"/>
      <c r="BE20" s="5"/>
      <c r="BF20" s="5"/>
      <c r="BG20" s="5"/>
      <c r="BH20" s="5"/>
      <c r="BI20" s="5"/>
      <c r="BJ20" s="5"/>
      <c r="BK20" s="7"/>
      <c r="BL20" s="8">
        <v>42510</v>
      </c>
      <c r="BM20" s="5" t="s">
        <v>390</v>
      </c>
    </row>
    <row r="21" spans="1:65" s="6" customFormat="1" ht="398.25" customHeight="1" x14ac:dyDescent="0.25">
      <c r="A21" s="1" t="s">
        <v>154</v>
      </c>
      <c r="B21" s="2" t="s">
        <v>192</v>
      </c>
      <c r="C21" s="3">
        <v>55551</v>
      </c>
      <c r="D21" s="3"/>
      <c r="E21" s="4">
        <v>100</v>
      </c>
      <c r="F21" s="2" t="s">
        <v>230</v>
      </c>
      <c r="G21" s="2" t="s">
        <v>46</v>
      </c>
      <c r="H21" s="2" t="s">
        <v>270</v>
      </c>
      <c r="I21" s="2" t="s">
        <v>299</v>
      </c>
      <c r="J21" s="2" t="s">
        <v>333</v>
      </c>
      <c r="K21" s="4" t="s">
        <v>367</v>
      </c>
      <c r="L21" s="4"/>
      <c r="M21" s="4"/>
      <c r="N21" s="7">
        <f>N22+N23</f>
        <v>161.03243650000002</v>
      </c>
      <c r="O21" s="7"/>
      <c r="P21" s="7">
        <f t="shared" ref="P21:T21" si="4">P22+P23</f>
        <v>12.857500000000003</v>
      </c>
      <c r="Q21" s="7">
        <f t="shared" si="4"/>
        <v>136.02839650000001</v>
      </c>
      <c r="R21" s="7">
        <f t="shared" si="4"/>
        <v>2.6965400000000002</v>
      </c>
      <c r="S21" s="7">
        <f t="shared" si="4"/>
        <v>9.4500000000000011</v>
      </c>
      <c r="T21" s="7">
        <f t="shared" si="4"/>
        <v>161.03243649999999</v>
      </c>
      <c r="U21" s="5"/>
      <c r="V21" s="5"/>
      <c r="W21" s="5"/>
      <c r="X21" s="5"/>
      <c r="Y21" s="5"/>
      <c r="Z21" s="5"/>
      <c r="AA21" s="5"/>
      <c r="AB21" s="5"/>
      <c r="AC21" s="18"/>
      <c r="AD21" s="17"/>
      <c r="AE21" s="17"/>
      <c r="AF21" s="5"/>
      <c r="AG21" s="5"/>
      <c r="AH21" s="5"/>
      <c r="AI21" s="18"/>
      <c r="AJ21" s="17"/>
      <c r="AK21" s="17"/>
      <c r="AL21" s="5"/>
      <c r="AM21" s="5"/>
      <c r="AN21" s="5"/>
      <c r="AO21" s="5"/>
      <c r="AP21" s="5"/>
      <c r="AQ21" s="18"/>
      <c r="AR21" s="13"/>
      <c r="AS21" s="18"/>
      <c r="AT21" s="7"/>
      <c r="AU21" s="5"/>
      <c r="AV21" s="5"/>
      <c r="AW21" s="5"/>
      <c r="AX21" s="5"/>
      <c r="AY21" s="4" t="s">
        <v>368</v>
      </c>
      <c r="AZ21" s="7">
        <f>T22</f>
        <v>3.5324365000000002</v>
      </c>
      <c r="BA21" s="18">
        <v>0.14000000000000001</v>
      </c>
      <c r="BB21" s="7">
        <f>T23</f>
        <v>157.5</v>
      </c>
      <c r="BC21" s="7"/>
      <c r="BD21" s="5"/>
      <c r="BE21" s="5"/>
      <c r="BF21" s="5"/>
      <c r="BG21" s="5"/>
      <c r="BH21" s="5"/>
      <c r="BI21" s="5"/>
      <c r="BJ21" s="5"/>
      <c r="BK21" s="7">
        <f>AZ21+BB21</f>
        <v>161.03243649999999</v>
      </c>
      <c r="BL21" s="8">
        <v>42713</v>
      </c>
      <c r="BM21" s="5"/>
    </row>
    <row r="22" spans="1:65" s="6" customFormat="1" ht="216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15</v>
      </c>
      <c r="M22" s="4" t="s">
        <v>368</v>
      </c>
      <c r="N22" s="7">
        <f>T22</f>
        <v>3.5324365000000002</v>
      </c>
      <c r="O22" s="7"/>
      <c r="P22" s="7">
        <f>0.25*1.03</f>
        <v>0.25750000000000001</v>
      </c>
      <c r="Q22" s="7">
        <f>0.55*1.021*1.03</f>
        <v>0.57839649999999998</v>
      </c>
      <c r="R22" s="7">
        <f>2.618*1.03</f>
        <v>2.6965400000000002</v>
      </c>
      <c r="S22" s="7">
        <v>0</v>
      </c>
      <c r="T22" s="7">
        <f t="shared" ref="T22" si="5">SUM(P22:S22)</f>
        <v>3.5324365000000002</v>
      </c>
      <c r="U22" s="5"/>
      <c r="V22" s="5"/>
      <c r="W22" s="5"/>
      <c r="X22" s="5"/>
      <c r="Y22" s="5"/>
      <c r="Z22" s="5"/>
      <c r="AA22" s="5"/>
      <c r="AB22" s="5"/>
      <c r="AC22" s="18"/>
      <c r="AD22" s="17"/>
      <c r="AE22" s="17"/>
      <c r="AF22" s="5"/>
      <c r="AG22" s="5"/>
      <c r="AH22" s="5"/>
      <c r="AI22" s="18"/>
      <c r="AJ22" s="17"/>
      <c r="AK22" s="17"/>
      <c r="AL22" s="5"/>
      <c r="AM22" s="5"/>
      <c r="AN22" s="5"/>
      <c r="AO22" s="5"/>
      <c r="AP22" s="5"/>
      <c r="AQ22" s="18"/>
      <c r="AR22" s="13"/>
      <c r="AS22" s="18"/>
      <c r="AT22" s="7"/>
      <c r="AU22" s="5"/>
      <c r="AV22" s="5"/>
      <c r="AW22" s="5"/>
      <c r="AX22" s="5"/>
      <c r="AY22" s="4"/>
      <c r="AZ22" s="7"/>
      <c r="BA22" s="18"/>
      <c r="BB22" s="7"/>
      <c r="BC22" s="4"/>
      <c r="BD22" s="5"/>
      <c r="BE22" s="5"/>
      <c r="BF22" s="5"/>
      <c r="BG22" s="5"/>
      <c r="BH22" s="5"/>
      <c r="BI22" s="5"/>
      <c r="BJ22" s="5"/>
      <c r="BK22" s="7"/>
      <c r="BL22" s="8"/>
      <c r="BM22" s="5"/>
    </row>
    <row r="23" spans="1:65" s="6" customFormat="1" ht="218.2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16</v>
      </c>
      <c r="M23" s="18">
        <v>0.14000000000000001</v>
      </c>
      <c r="N23" s="12">
        <f>1125*M23</f>
        <v>157.50000000000003</v>
      </c>
      <c r="O23" s="12"/>
      <c r="P23" s="12">
        <f>0.08*N23</f>
        <v>12.600000000000003</v>
      </c>
      <c r="Q23" s="12">
        <f>0.86*N23</f>
        <v>135.45000000000002</v>
      </c>
      <c r="R23" s="12"/>
      <c r="S23" s="12">
        <f>0.06*N23</f>
        <v>9.4500000000000011</v>
      </c>
      <c r="T23" s="12">
        <f t="shared" ref="T23" si="6">P23+Q23+R23+S23</f>
        <v>157.5</v>
      </c>
      <c r="U23" s="5"/>
      <c r="V23" s="5"/>
      <c r="W23" s="5"/>
      <c r="X23" s="5"/>
      <c r="Y23" s="5"/>
      <c r="Z23" s="5"/>
      <c r="AA23" s="5"/>
      <c r="AB23" s="5"/>
      <c r="AC23" s="18"/>
      <c r="AD23" s="17"/>
      <c r="AE23" s="17"/>
      <c r="AF23" s="5"/>
      <c r="AG23" s="5"/>
      <c r="AH23" s="5"/>
      <c r="AI23" s="18"/>
      <c r="AJ23" s="17"/>
      <c r="AK23" s="17"/>
      <c r="AL23" s="5"/>
      <c r="AM23" s="5"/>
      <c r="AN23" s="5"/>
      <c r="AO23" s="5"/>
      <c r="AP23" s="5"/>
      <c r="AQ23" s="18"/>
      <c r="AR23" s="13"/>
      <c r="AS23" s="18"/>
      <c r="AT23" s="7"/>
      <c r="AU23" s="5"/>
      <c r="AV23" s="5"/>
      <c r="AW23" s="5"/>
      <c r="AX23" s="5"/>
      <c r="AY23" s="4"/>
      <c r="AZ23" s="7"/>
      <c r="BA23" s="18"/>
      <c r="BB23" s="7"/>
      <c r="BC23" s="4"/>
      <c r="BD23" s="5"/>
      <c r="BE23" s="5"/>
      <c r="BF23" s="5"/>
      <c r="BG23" s="5"/>
      <c r="BH23" s="5"/>
      <c r="BI23" s="5"/>
      <c r="BJ23" s="5"/>
      <c r="BK23" s="7"/>
      <c r="BL23" s="8"/>
      <c r="BM23" s="5"/>
    </row>
    <row r="24" spans="1:65" s="6" customFormat="1" ht="408.75" customHeight="1" x14ac:dyDescent="0.25">
      <c r="A24" s="1" t="s">
        <v>54</v>
      </c>
      <c r="B24" s="2" t="s">
        <v>69</v>
      </c>
      <c r="C24" s="3">
        <v>466.1</v>
      </c>
      <c r="D24" s="3"/>
      <c r="E24" s="4">
        <v>9</v>
      </c>
      <c r="F24" s="2" t="s">
        <v>84</v>
      </c>
      <c r="G24" s="2" t="s">
        <v>46</v>
      </c>
      <c r="H24" s="2" t="s">
        <v>99</v>
      </c>
      <c r="I24" s="2" t="s">
        <v>48</v>
      </c>
      <c r="J24" s="114" t="s">
        <v>348</v>
      </c>
      <c r="K24" s="4" t="s">
        <v>420</v>
      </c>
      <c r="L24" s="4"/>
      <c r="M24" s="18"/>
      <c r="N24" s="7"/>
      <c r="O24" s="7"/>
      <c r="P24" s="7"/>
      <c r="Q24" s="7"/>
      <c r="R24" s="7"/>
      <c r="S24" s="7"/>
      <c r="T24" s="7"/>
      <c r="U24" s="5"/>
      <c r="V24" s="5"/>
      <c r="W24" s="5"/>
      <c r="X24" s="5"/>
      <c r="Y24" s="5"/>
      <c r="Z24" s="5"/>
      <c r="AA24" s="5"/>
      <c r="AB24" s="5"/>
      <c r="AC24" s="18"/>
      <c r="AD24" s="17"/>
      <c r="AE24" s="4"/>
      <c r="AF24" s="5"/>
      <c r="AG24" s="5"/>
      <c r="AH24" s="5"/>
      <c r="AI24" s="18"/>
      <c r="AJ24" s="17"/>
      <c r="AK24" s="4"/>
      <c r="AL24" s="5"/>
      <c r="AM24" s="5"/>
      <c r="AN24" s="5"/>
      <c r="AO24" s="5"/>
      <c r="AP24" s="5"/>
      <c r="AQ24" s="18"/>
      <c r="AR24" s="7"/>
      <c r="AS24" s="18"/>
      <c r="AT24" s="7"/>
      <c r="AU24" s="5"/>
      <c r="AV24" s="5"/>
      <c r="AW24" s="5"/>
      <c r="AX24" s="5"/>
      <c r="AY24" s="4"/>
      <c r="AZ24" s="7"/>
      <c r="BA24" s="18"/>
      <c r="BB24" s="7"/>
      <c r="BC24" s="4"/>
      <c r="BD24" s="5"/>
      <c r="BE24" s="5"/>
      <c r="BF24" s="5"/>
      <c r="BG24" s="5"/>
      <c r="BH24" s="5"/>
      <c r="BI24" s="5"/>
      <c r="BJ24" s="5"/>
      <c r="BK24" s="7"/>
      <c r="BL24" s="8">
        <v>42509</v>
      </c>
      <c r="BM24" s="5" t="s">
        <v>422</v>
      </c>
    </row>
    <row r="25" spans="1:65" s="6" customFormat="1" ht="409.6" customHeight="1" x14ac:dyDescent="0.25">
      <c r="A25" s="1" t="s">
        <v>159</v>
      </c>
      <c r="B25" s="2" t="s">
        <v>197</v>
      </c>
      <c r="C25" s="3">
        <v>8888.16</v>
      </c>
      <c r="D25" s="3"/>
      <c r="E25" s="4">
        <v>16</v>
      </c>
      <c r="F25" s="2" t="s">
        <v>235</v>
      </c>
      <c r="G25" s="2" t="s">
        <v>46</v>
      </c>
      <c r="H25" s="2" t="s">
        <v>275</v>
      </c>
      <c r="I25" s="2" t="s">
        <v>48</v>
      </c>
      <c r="J25" s="2" t="s">
        <v>337</v>
      </c>
      <c r="K25" s="4" t="s">
        <v>428</v>
      </c>
      <c r="L25" s="4"/>
      <c r="M25" s="18"/>
      <c r="N25" s="7"/>
      <c r="O25" s="7"/>
      <c r="P25" s="7"/>
      <c r="Q25" s="7"/>
      <c r="R25" s="7"/>
      <c r="S25" s="7"/>
      <c r="T25" s="12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9"/>
      <c r="AJ25" s="5"/>
      <c r="AK25" s="5"/>
      <c r="AL25" s="5"/>
      <c r="AM25" s="5"/>
      <c r="AN25" s="5"/>
      <c r="AO25" s="5"/>
      <c r="AP25" s="5"/>
      <c r="AQ25" s="39"/>
      <c r="AR25" s="5"/>
      <c r="AS25" s="39"/>
      <c r="AT25" s="5"/>
      <c r="AU25" s="5"/>
      <c r="AV25" s="5"/>
      <c r="AW25" s="5"/>
      <c r="AX25" s="5"/>
      <c r="AY25" s="4"/>
      <c r="AZ25" s="7"/>
      <c r="BA25" s="18"/>
      <c r="BB25" s="7"/>
      <c r="BC25" s="4"/>
      <c r="BD25" s="5"/>
      <c r="BE25" s="5"/>
      <c r="BF25" s="5"/>
      <c r="BG25" s="5"/>
      <c r="BH25" s="5"/>
      <c r="BI25" s="5"/>
      <c r="BJ25" s="5"/>
      <c r="BK25" s="7"/>
      <c r="BL25" s="8">
        <v>42524</v>
      </c>
      <c r="BM25" s="5" t="s">
        <v>356</v>
      </c>
    </row>
    <row r="26" spans="1:65" s="6" customFormat="1" ht="408.75" customHeight="1" x14ac:dyDescent="0.25">
      <c r="A26" s="1" t="s">
        <v>160</v>
      </c>
      <c r="B26" s="2" t="s">
        <v>198</v>
      </c>
      <c r="C26" s="3">
        <v>466.1</v>
      </c>
      <c r="D26" s="3"/>
      <c r="E26" s="4">
        <v>12</v>
      </c>
      <c r="F26" s="2" t="s">
        <v>236</v>
      </c>
      <c r="G26" s="2" t="s">
        <v>46</v>
      </c>
      <c r="H26" s="2" t="s">
        <v>276</v>
      </c>
      <c r="I26" s="2" t="s">
        <v>48</v>
      </c>
      <c r="J26" s="2" t="s">
        <v>338</v>
      </c>
      <c r="K26" s="4" t="s">
        <v>429</v>
      </c>
      <c r="L26" s="4"/>
      <c r="M26" s="18"/>
      <c r="N26" s="12"/>
      <c r="O26" s="12"/>
      <c r="P26" s="12"/>
      <c r="Q26" s="12"/>
      <c r="R26" s="12"/>
      <c r="S26" s="12"/>
      <c r="T26" s="12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39"/>
      <c r="AJ26" s="5"/>
      <c r="AK26" s="5"/>
      <c r="AL26" s="5"/>
      <c r="AM26" s="5"/>
      <c r="AN26" s="5"/>
      <c r="AO26" s="5"/>
      <c r="AP26" s="5"/>
      <c r="AQ26" s="39"/>
      <c r="AR26" s="5"/>
      <c r="AS26" s="39"/>
      <c r="AT26" s="5"/>
      <c r="AU26" s="5"/>
      <c r="AV26" s="5"/>
      <c r="AW26" s="5"/>
      <c r="AX26" s="5"/>
      <c r="AY26" s="4"/>
      <c r="AZ26" s="7"/>
      <c r="BA26" s="18"/>
      <c r="BB26" s="7"/>
      <c r="BC26" s="4"/>
      <c r="BD26" s="5"/>
      <c r="BE26" s="5"/>
      <c r="BF26" s="5"/>
      <c r="BG26" s="5"/>
      <c r="BH26" s="5"/>
      <c r="BI26" s="5"/>
      <c r="BJ26" s="5"/>
      <c r="BK26" s="7"/>
      <c r="BL26" s="8">
        <v>42525</v>
      </c>
      <c r="BM26" s="5" t="s">
        <v>364</v>
      </c>
    </row>
    <row r="27" spans="1:65" s="6" customFormat="1" ht="409.6" customHeight="1" x14ac:dyDescent="0.25">
      <c r="A27" s="1" t="s">
        <v>161</v>
      </c>
      <c r="B27" s="2" t="s">
        <v>199</v>
      </c>
      <c r="C27" s="3">
        <v>8332.65</v>
      </c>
      <c r="D27" s="3"/>
      <c r="E27" s="4">
        <v>15</v>
      </c>
      <c r="F27" s="2" t="s">
        <v>237</v>
      </c>
      <c r="G27" s="2" t="s">
        <v>46</v>
      </c>
      <c r="H27" s="2" t="s">
        <v>277</v>
      </c>
      <c r="I27" s="2" t="s">
        <v>48</v>
      </c>
      <c r="J27" s="2" t="s">
        <v>339</v>
      </c>
      <c r="K27" s="4" t="s">
        <v>427</v>
      </c>
      <c r="L27" s="4"/>
      <c r="M27" s="4"/>
      <c r="N27" s="7"/>
      <c r="O27" s="7"/>
      <c r="P27" s="7"/>
      <c r="Q27" s="7"/>
      <c r="R27" s="7"/>
      <c r="S27" s="7"/>
      <c r="T27" s="7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39"/>
      <c r="AJ27" s="5"/>
      <c r="AK27" s="5"/>
      <c r="AL27" s="5"/>
      <c r="AM27" s="5"/>
      <c r="AN27" s="5"/>
      <c r="AO27" s="5"/>
      <c r="AP27" s="5"/>
      <c r="AQ27" s="39"/>
      <c r="AR27" s="5"/>
      <c r="AS27" s="39"/>
      <c r="AT27" s="5"/>
      <c r="AU27" s="5"/>
      <c r="AV27" s="5"/>
      <c r="AW27" s="5"/>
      <c r="AX27" s="5"/>
      <c r="AY27" s="4"/>
      <c r="AZ27" s="7"/>
      <c r="BA27" s="18"/>
      <c r="BB27" s="7"/>
      <c r="BC27" s="4"/>
      <c r="BD27" s="5"/>
      <c r="BE27" s="5"/>
      <c r="BF27" s="5"/>
      <c r="BG27" s="5"/>
      <c r="BH27" s="5"/>
      <c r="BI27" s="5"/>
      <c r="BJ27" s="5"/>
      <c r="BK27" s="7"/>
      <c r="BL27" s="8">
        <v>42531</v>
      </c>
      <c r="BM27" s="5" t="s">
        <v>369</v>
      </c>
    </row>
    <row r="28" spans="1:65" s="6" customFormat="1" ht="408.75" customHeight="1" x14ac:dyDescent="0.25">
      <c r="A28" s="1" t="s">
        <v>64</v>
      </c>
      <c r="B28" s="2" t="s">
        <v>79</v>
      </c>
      <c r="C28" s="3">
        <v>466.1</v>
      </c>
      <c r="D28" s="3"/>
      <c r="E28" s="4">
        <v>15</v>
      </c>
      <c r="F28" s="2" t="s">
        <v>94</v>
      </c>
      <c r="G28" s="2" t="s">
        <v>46</v>
      </c>
      <c r="H28" s="2" t="s">
        <v>109</v>
      </c>
      <c r="I28" s="2" t="s">
        <v>48</v>
      </c>
      <c r="J28" s="2" t="s">
        <v>133</v>
      </c>
      <c r="K28" s="4" t="s">
        <v>424</v>
      </c>
      <c r="L28" s="4"/>
      <c r="M28" s="4"/>
      <c r="N28" s="7"/>
      <c r="O28" s="7"/>
      <c r="P28" s="7"/>
      <c r="Q28" s="7"/>
      <c r="R28" s="7"/>
      <c r="S28" s="7"/>
      <c r="T28" s="7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39"/>
      <c r="AJ28" s="5"/>
      <c r="AK28" s="5"/>
      <c r="AL28" s="5"/>
      <c r="AM28" s="5"/>
      <c r="AN28" s="5"/>
      <c r="AO28" s="5"/>
      <c r="AP28" s="5"/>
      <c r="AQ28" s="39"/>
      <c r="AR28" s="5"/>
      <c r="AS28" s="39"/>
      <c r="AT28" s="5"/>
      <c r="AU28" s="5"/>
      <c r="AV28" s="5"/>
      <c r="AW28" s="5"/>
      <c r="AX28" s="5"/>
      <c r="AY28" s="4"/>
      <c r="AZ28" s="7"/>
      <c r="BA28" s="18"/>
      <c r="BB28" s="7"/>
      <c r="BC28" s="4"/>
      <c r="BD28" s="5"/>
      <c r="BE28" s="5"/>
      <c r="BF28" s="5"/>
      <c r="BG28" s="5"/>
      <c r="BH28" s="5"/>
      <c r="BI28" s="5"/>
      <c r="BJ28" s="5"/>
      <c r="BK28" s="7"/>
      <c r="BL28" s="8">
        <v>42513</v>
      </c>
      <c r="BM28" s="5" t="s">
        <v>394</v>
      </c>
    </row>
    <row r="29" spans="1:65" s="6" customFormat="1" ht="409.5" customHeight="1" x14ac:dyDescent="0.25">
      <c r="A29" s="1" t="s">
        <v>53</v>
      </c>
      <c r="B29" s="2" t="s">
        <v>68</v>
      </c>
      <c r="C29" s="3">
        <v>466.1</v>
      </c>
      <c r="D29" s="3"/>
      <c r="E29" s="4">
        <v>15</v>
      </c>
      <c r="F29" s="2" t="s">
        <v>83</v>
      </c>
      <c r="G29" s="2" t="s">
        <v>112</v>
      </c>
      <c r="H29" s="2" t="s">
        <v>98</v>
      </c>
      <c r="I29" s="2" t="s">
        <v>119</v>
      </c>
      <c r="J29" s="2" t="s">
        <v>120</v>
      </c>
      <c r="K29" s="4" t="s">
        <v>425</v>
      </c>
      <c r="L29" s="4"/>
      <c r="M29" s="18"/>
      <c r="N29" s="12">
        <f>N30</f>
        <v>337.5</v>
      </c>
      <c r="O29" s="12">
        <f t="shared" ref="O29:S29" si="7">O30</f>
        <v>0</v>
      </c>
      <c r="P29" s="12">
        <f t="shared" si="7"/>
        <v>27</v>
      </c>
      <c r="Q29" s="12">
        <f t="shared" si="7"/>
        <v>290.25</v>
      </c>
      <c r="R29" s="12">
        <f t="shared" si="7"/>
        <v>0</v>
      </c>
      <c r="S29" s="12">
        <f t="shared" si="7"/>
        <v>20.25</v>
      </c>
      <c r="T29" s="12">
        <f>P29+Q29+R29+S29</f>
        <v>337.5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39"/>
      <c r="AJ29" s="5"/>
      <c r="AK29" s="5"/>
      <c r="AL29" s="5"/>
      <c r="AM29" s="5"/>
      <c r="AN29" s="5"/>
      <c r="AO29" s="5"/>
      <c r="AP29" s="5"/>
      <c r="AQ29" s="39"/>
      <c r="AR29" s="5"/>
      <c r="AS29" s="39"/>
      <c r="AT29" s="5"/>
      <c r="AU29" s="5"/>
      <c r="AV29" s="5"/>
      <c r="AW29" s="5"/>
      <c r="AX29" s="5"/>
      <c r="AY29" s="4"/>
      <c r="AZ29" s="7"/>
      <c r="BA29" s="18">
        <v>0.3</v>
      </c>
      <c r="BB29" s="7">
        <f>BA29*1125</f>
        <v>337.5</v>
      </c>
      <c r="BC29" s="4"/>
      <c r="BD29" s="5"/>
      <c r="BE29" s="5"/>
      <c r="BF29" s="5"/>
      <c r="BG29" s="5"/>
      <c r="BH29" s="5"/>
      <c r="BI29" s="5"/>
      <c r="BJ29" s="5"/>
      <c r="BK29" s="7">
        <f>BB29</f>
        <v>337.5</v>
      </c>
      <c r="BL29" s="8">
        <v>42514</v>
      </c>
      <c r="BM29" s="5"/>
    </row>
    <row r="30" spans="1:65" s="6" customFormat="1" ht="153.7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16</v>
      </c>
      <c r="M30" s="18">
        <f>BA29</f>
        <v>0.3</v>
      </c>
      <c r="N30" s="12">
        <f>1125*M30</f>
        <v>337.5</v>
      </c>
      <c r="O30" s="12"/>
      <c r="P30" s="12">
        <f>0.08*N30</f>
        <v>27</v>
      </c>
      <c r="Q30" s="12">
        <f>0.86*N30</f>
        <v>290.25</v>
      </c>
      <c r="R30" s="12">
        <v>0</v>
      </c>
      <c r="S30" s="12">
        <f>0.06*N30</f>
        <v>20.25</v>
      </c>
      <c r="T30" s="12">
        <f t="shared" ref="T30" si="8">P30+Q30+R30+S30</f>
        <v>337.5</v>
      </c>
      <c r="U30" s="5"/>
      <c r="V30" s="5"/>
      <c r="W30" s="5"/>
      <c r="X30" s="5"/>
      <c r="Y30" s="5"/>
      <c r="Z30" s="5"/>
      <c r="AA30" s="5"/>
      <c r="AB30" s="5"/>
      <c r="AC30" s="18"/>
      <c r="AD30" s="17"/>
      <c r="AE30" s="17"/>
      <c r="AF30" s="5"/>
      <c r="AG30" s="5"/>
      <c r="AH30" s="5"/>
      <c r="AI30" s="18"/>
      <c r="AJ30" s="17"/>
      <c r="AK30" s="17"/>
      <c r="AL30" s="5"/>
      <c r="AM30" s="5"/>
      <c r="AN30" s="5"/>
      <c r="AO30" s="5"/>
      <c r="AP30" s="5"/>
      <c r="AQ30" s="18"/>
      <c r="AR30" s="13"/>
      <c r="AS30" s="18"/>
      <c r="AT30" s="7"/>
      <c r="AU30" s="5"/>
      <c r="AV30" s="5"/>
      <c r="AW30" s="5"/>
      <c r="AX30" s="5"/>
      <c r="AY30" s="4"/>
      <c r="AZ30" s="7"/>
      <c r="BA30" s="18"/>
      <c r="BB30" s="7"/>
      <c r="BC30" s="4"/>
      <c r="BD30" s="5"/>
      <c r="BE30" s="5"/>
      <c r="BF30" s="5"/>
      <c r="BG30" s="5"/>
      <c r="BH30" s="5"/>
      <c r="BI30" s="5"/>
      <c r="BJ30" s="5"/>
      <c r="BK30" s="7"/>
      <c r="BL30" s="8"/>
      <c r="BM30" s="5"/>
    </row>
    <row r="31" spans="1:65" s="6" customFormat="1" ht="69.75" customHeight="1" x14ac:dyDescent="0.25">
      <c r="A31" s="1" t="s">
        <v>165</v>
      </c>
      <c r="B31" s="2" t="s">
        <v>203</v>
      </c>
      <c r="C31" s="3">
        <v>466.1</v>
      </c>
      <c r="D31" s="3"/>
      <c r="E31" s="4">
        <v>14.5</v>
      </c>
      <c r="F31" s="2" t="s">
        <v>241</v>
      </c>
      <c r="G31" s="2" t="s">
        <v>46</v>
      </c>
      <c r="H31" s="2" t="s">
        <v>281</v>
      </c>
      <c r="I31" s="2" t="s">
        <v>306</v>
      </c>
      <c r="J31" s="2" t="s">
        <v>342</v>
      </c>
      <c r="K31" s="4" t="s">
        <v>365</v>
      </c>
      <c r="L31" s="4"/>
      <c r="M31" s="4"/>
      <c r="N31" s="7">
        <v>0</v>
      </c>
      <c r="O31" s="7"/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4"/>
      <c r="AF31" s="7"/>
      <c r="AG31" s="7"/>
      <c r="AH31" s="5"/>
      <c r="AI31" s="18"/>
      <c r="AJ31" s="7"/>
      <c r="AK31" s="7"/>
      <c r="AL31" s="5"/>
      <c r="AM31" s="5"/>
      <c r="AN31" s="5"/>
      <c r="AO31" s="5"/>
      <c r="AP31" s="5"/>
      <c r="AQ31" s="18"/>
      <c r="AR31" s="13"/>
      <c r="AS31" s="18"/>
      <c r="AT31" s="7"/>
      <c r="AU31" s="5"/>
      <c r="AV31" s="5"/>
      <c r="AW31" s="5"/>
      <c r="AX31" s="5"/>
      <c r="AY31" s="115"/>
      <c r="AZ31" s="7">
        <f>T32</f>
        <v>0</v>
      </c>
      <c r="BA31" s="18"/>
      <c r="BB31" s="7">
        <f>T33</f>
        <v>0</v>
      </c>
      <c r="BC31" s="7"/>
      <c r="BD31" s="5"/>
      <c r="BE31" s="5"/>
      <c r="BF31" s="5"/>
      <c r="BG31" s="5"/>
      <c r="BH31" s="5"/>
      <c r="BI31" s="5"/>
      <c r="BJ31" s="5"/>
      <c r="BK31" s="7">
        <f>AZ31+BB31</f>
        <v>0</v>
      </c>
      <c r="BL31" s="8">
        <v>42524</v>
      </c>
      <c r="BM31" s="5"/>
    </row>
    <row r="32" spans="1:65" s="6" customFormat="1" ht="112.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15</v>
      </c>
      <c r="M32" s="4"/>
      <c r="N32" s="7">
        <f>T32</f>
        <v>0</v>
      </c>
      <c r="O32" s="7"/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4"/>
      <c r="AF32" s="7"/>
      <c r="AG32" s="7"/>
      <c r="AH32" s="5"/>
      <c r="AI32" s="18"/>
      <c r="AJ32" s="7"/>
      <c r="AK32" s="7"/>
      <c r="AL32" s="5"/>
      <c r="AM32" s="5"/>
      <c r="AN32" s="5"/>
      <c r="AO32" s="5"/>
      <c r="AP32" s="5"/>
      <c r="AQ32" s="18"/>
      <c r="AR32" s="13"/>
      <c r="AS32" s="18"/>
      <c r="AT32" s="7"/>
      <c r="AU32" s="5"/>
      <c r="AV32" s="5"/>
      <c r="AW32" s="5"/>
      <c r="AX32" s="5"/>
      <c r="AY32" s="4"/>
      <c r="AZ32" s="7"/>
      <c r="BA32" s="18"/>
      <c r="BB32" s="7"/>
      <c r="BC32" s="4"/>
      <c r="BD32" s="5"/>
      <c r="BE32" s="5"/>
      <c r="BF32" s="5"/>
      <c r="BG32" s="5"/>
      <c r="BH32" s="5"/>
      <c r="BI32" s="5"/>
      <c r="BJ32" s="5"/>
      <c r="BK32" s="7"/>
      <c r="BL32" s="8"/>
      <c r="BM32" s="5"/>
    </row>
    <row r="33" spans="1:65" s="6" customFormat="1" ht="90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 t="s">
        <v>16</v>
      </c>
      <c r="M33" s="18"/>
      <c r="N33" s="12">
        <v>0</v>
      </c>
      <c r="O33" s="12"/>
      <c r="P33" s="12">
        <v>0</v>
      </c>
      <c r="Q33" s="12">
        <f>0.86*N33</f>
        <v>0</v>
      </c>
      <c r="R33" s="12"/>
      <c r="S33" s="12">
        <f>0.06*N33</f>
        <v>0</v>
      </c>
      <c r="T33" s="12">
        <f t="shared" ref="T33" si="9">P33+Q33+R33+S33</f>
        <v>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4"/>
      <c r="AF33" s="7"/>
      <c r="AG33" s="7"/>
      <c r="AH33" s="5"/>
      <c r="AI33" s="18"/>
      <c r="AJ33" s="7"/>
      <c r="AK33" s="7"/>
      <c r="AL33" s="5"/>
      <c r="AM33" s="5"/>
      <c r="AN33" s="5"/>
      <c r="AO33" s="5"/>
      <c r="AP33" s="5"/>
      <c r="AQ33" s="18"/>
      <c r="AR33" s="13"/>
      <c r="AS33" s="18"/>
      <c r="AT33" s="7"/>
      <c r="AU33" s="5"/>
      <c r="AV33" s="5"/>
      <c r="AW33" s="5"/>
      <c r="AX33" s="5"/>
      <c r="AY33" s="4"/>
      <c r="AZ33" s="7"/>
      <c r="BA33" s="18"/>
      <c r="BB33" s="7"/>
      <c r="BC33" s="4"/>
      <c r="BD33" s="5"/>
      <c r="BE33" s="5"/>
      <c r="BF33" s="5"/>
      <c r="BG33" s="5"/>
      <c r="BH33" s="5"/>
      <c r="BI33" s="5"/>
      <c r="BJ33" s="5"/>
      <c r="BK33" s="7"/>
      <c r="BL33" s="8"/>
      <c r="BM33" s="5"/>
    </row>
    <row r="34" spans="1:65" s="6" customFormat="1" ht="409.5" customHeight="1" x14ac:dyDescent="0.25">
      <c r="A34" s="1" t="s">
        <v>166</v>
      </c>
      <c r="B34" s="2" t="s">
        <v>204</v>
      </c>
      <c r="C34" s="3">
        <v>466.1</v>
      </c>
      <c r="D34" s="3"/>
      <c r="E34" s="4">
        <v>15</v>
      </c>
      <c r="F34" s="2" t="s">
        <v>242</v>
      </c>
      <c r="G34" s="2" t="s">
        <v>47</v>
      </c>
      <c r="H34" s="2" t="s">
        <v>282</v>
      </c>
      <c r="I34" s="124" t="s">
        <v>456</v>
      </c>
      <c r="J34" s="2" t="s">
        <v>343</v>
      </c>
      <c r="K34" s="4" t="s">
        <v>379</v>
      </c>
      <c r="L34" s="4"/>
      <c r="M34" s="4"/>
      <c r="N34" s="7">
        <f>N35+N36+N37+N38+N39</f>
        <v>1396.54550247</v>
      </c>
      <c r="O34" s="7">
        <f t="shared" ref="O34:T34" si="10">O35+O36+O37+O38+O39</f>
        <v>0</v>
      </c>
      <c r="P34" s="7">
        <f t="shared" si="10"/>
        <v>83.424930000000003</v>
      </c>
      <c r="Q34" s="7">
        <f t="shared" si="10"/>
        <v>727.42589247000001</v>
      </c>
      <c r="R34" s="7">
        <f t="shared" si="10"/>
        <v>532.48641999999995</v>
      </c>
      <c r="S34" s="7">
        <f t="shared" si="10"/>
        <v>53.208260000000003</v>
      </c>
      <c r="T34" s="7">
        <f t="shared" si="10"/>
        <v>1396.54550247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4">
        <v>0.15</v>
      </c>
      <c r="AF34" s="13">
        <f>T35</f>
        <v>217.95000000000002</v>
      </c>
      <c r="AG34" s="13"/>
      <c r="AH34" s="5"/>
      <c r="AI34" s="18">
        <v>1</v>
      </c>
      <c r="AJ34" s="13">
        <f>T36</f>
        <v>60.44</v>
      </c>
      <c r="AK34" s="13"/>
      <c r="AL34" s="5"/>
      <c r="AM34" s="5"/>
      <c r="AN34" s="5"/>
      <c r="AO34" s="5"/>
      <c r="AP34" s="5"/>
      <c r="AQ34" s="18" t="s">
        <v>382</v>
      </c>
      <c r="AR34" s="13">
        <f>T37</f>
        <v>540.30550247000008</v>
      </c>
      <c r="AS34" s="18">
        <v>1</v>
      </c>
      <c r="AT34" s="13">
        <f>T38</f>
        <v>15.350000000000001</v>
      </c>
      <c r="AU34" s="5"/>
      <c r="AV34" s="5"/>
      <c r="AW34" s="5"/>
      <c r="AX34" s="5"/>
      <c r="AY34" s="4"/>
      <c r="AZ34" s="7"/>
      <c r="BA34" s="18">
        <v>0.5</v>
      </c>
      <c r="BB34" s="13">
        <f>T39</f>
        <v>562.5</v>
      </c>
      <c r="BC34" s="13"/>
      <c r="BD34" s="5"/>
      <c r="BE34" s="5"/>
      <c r="BF34" s="5"/>
      <c r="BG34" s="5"/>
      <c r="BH34" s="5"/>
      <c r="BI34" s="5"/>
      <c r="BJ34" s="5"/>
      <c r="BK34" s="7">
        <f>AF34+AJ34+AR34+AT34+BB34</f>
        <v>1396.54550247</v>
      </c>
      <c r="BL34" s="8">
        <v>42528</v>
      </c>
      <c r="BM34" s="5"/>
    </row>
    <row r="35" spans="1:65" s="6" customFormat="1" ht="261.75" customHeight="1" x14ac:dyDescent="0.25">
      <c r="A35" s="1"/>
      <c r="B35" s="2"/>
      <c r="C35" s="3"/>
      <c r="D35" s="3"/>
      <c r="E35" s="4"/>
      <c r="F35" s="2"/>
      <c r="G35" s="2"/>
      <c r="H35" s="2"/>
      <c r="I35" s="128"/>
      <c r="J35" s="2"/>
      <c r="K35" s="4"/>
      <c r="L35" s="4" t="s">
        <v>7</v>
      </c>
      <c r="M35" s="4">
        <f>AE34</f>
        <v>0.15</v>
      </c>
      <c r="N35" s="7">
        <f>M35*1453</f>
        <v>217.95</v>
      </c>
      <c r="O35" s="7"/>
      <c r="P35" s="7">
        <f>0.08*N35</f>
        <v>17.436</v>
      </c>
      <c r="Q35" s="7">
        <f>0.87*N35</f>
        <v>189.6165</v>
      </c>
      <c r="R35" s="7"/>
      <c r="S35" s="7">
        <f>0.05*N35</f>
        <v>10.897500000000001</v>
      </c>
      <c r="T35" s="7">
        <f>P35+Q35+R35+S35</f>
        <v>217.95000000000002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4"/>
      <c r="AF35" s="7"/>
      <c r="AG35" s="7"/>
      <c r="AH35" s="5"/>
      <c r="AI35" s="18"/>
      <c r="AJ35" s="7"/>
      <c r="AK35" s="7"/>
      <c r="AL35" s="5"/>
      <c r="AM35" s="5"/>
      <c r="AN35" s="5"/>
      <c r="AO35" s="5"/>
      <c r="AP35" s="5"/>
      <c r="AQ35" s="18"/>
      <c r="AR35" s="7"/>
      <c r="AS35" s="18"/>
      <c r="AT35" s="7"/>
      <c r="AU35" s="5"/>
      <c r="AV35" s="5"/>
      <c r="AW35" s="5"/>
      <c r="AX35" s="5"/>
      <c r="AY35" s="4"/>
      <c r="AZ35" s="7"/>
      <c r="BA35" s="18"/>
      <c r="BB35" s="7"/>
      <c r="BC35" s="7"/>
      <c r="BD35" s="5"/>
      <c r="BE35" s="5"/>
      <c r="BF35" s="5"/>
      <c r="BG35" s="5"/>
      <c r="BH35" s="5"/>
      <c r="BI35" s="5"/>
      <c r="BJ35" s="5"/>
      <c r="BK35" s="7"/>
      <c r="BL35" s="8"/>
      <c r="BM35" s="5"/>
    </row>
    <row r="36" spans="1:65" s="6" customFormat="1" ht="256.5" customHeight="1" x14ac:dyDescent="0.25">
      <c r="A36" s="1"/>
      <c r="B36" s="2"/>
      <c r="C36" s="3"/>
      <c r="D36" s="3"/>
      <c r="E36" s="4"/>
      <c r="F36" s="2"/>
      <c r="G36" s="2"/>
      <c r="H36" s="2"/>
      <c r="I36" s="125"/>
      <c r="J36" s="2"/>
      <c r="K36" s="4"/>
      <c r="L36" s="4" t="s">
        <v>9</v>
      </c>
      <c r="M36" s="4">
        <f>AI34</f>
        <v>1</v>
      </c>
      <c r="N36" s="7">
        <f>T36</f>
        <v>60.44</v>
      </c>
      <c r="O36" s="7"/>
      <c r="P36" s="7">
        <v>4.4800000000000004</v>
      </c>
      <c r="Q36" s="7">
        <v>8.6999999999999993</v>
      </c>
      <c r="R36" s="7">
        <v>45.18</v>
      </c>
      <c r="S36" s="7">
        <v>2.08</v>
      </c>
      <c r="T36" s="7">
        <f t="shared" ref="T36" si="11">P36+Q36+R36+S36</f>
        <v>60.44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4"/>
      <c r="AF36" s="7"/>
      <c r="AG36" s="7"/>
      <c r="AH36" s="5"/>
      <c r="AI36" s="18"/>
      <c r="AJ36" s="7"/>
      <c r="AK36" s="7"/>
      <c r="AL36" s="5"/>
      <c r="AM36" s="5"/>
      <c r="AN36" s="5"/>
      <c r="AO36" s="5"/>
      <c r="AP36" s="5"/>
      <c r="AQ36" s="18"/>
      <c r="AR36" s="7"/>
      <c r="AS36" s="18"/>
      <c r="AT36" s="7"/>
      <c r="AU36" s="5"/>
      <c r="AV36" s="5"/>
      <c r="AW36" s="5"/>
      <c r="AX36" s="5"/>
      <c r="AY36" s="4"/>
      <c r="AZ36" s="7"/>
      <c r="BA36" s="18"/>
      <c r="BB36" s="7"/>
      <c r="BC36" s="7"/>
      <c r="BD36" s="5"/>
      <c r="BE36" s="5"/>
      <c r="BF36" s="5"/>
      <c r="BG36" s="5"/>
      <c r="BH36" s="5"/>
      <c r="BI36" s="5"/>
      <c r="BJ36" s="5"/>
      <c r="BK36" s="7"/>
      <c r="BL36" s="8"/>
      <c r="BM36" s="5"/>
    </row>
    <row r="37" spans="1:65" s="6" customFormat="1" ht="174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12</v>
      </c>
      <c r="M37" s="4" t="str">
        <f>AQ34</f>
        <v>КТП 250 кВА (с трансформатором 160 кВА)</v>
      </c>
      <c r="N37" s="7">
        <f>P37+Q37+R37+S37</f>
        <v>540.30550247000008</v>
      </c>
      <c r="O37" s="7"/>
      <c r="P37" s="7">
        <f>14.931*1.03</f>
        <v>15.378929999999999</v>
      </c>
      <c r="Q37" s="7">
        <f>(40.68+0.389)*1.021*1.03</f>
        <v>43.189392470000001</v>
      </c>
      <c r="R37" s="7">
        <f>461.414*1.03</f>
        <v>475.25641999999999</v>
      </c>
      <c r="S37" s="7">
        <f>6.292*1.03</f>
        <v>6.4807600000000001</v>
      </c>
      <c r="T37" s="7">
        <f>P37+Q37+R37+S37</f>
        <v>540.30550247000008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4"/>
      <c r="AF37" s="7"/>
      <c r="AG37" s="7"/>
      <c r="AH37" s="5"/>
      <c r="AI37" s="18"/>
      <c r="AJ37" s="7"/>
      <c r="AK37" s="7"/>
      <c r="AL37" s="5"/>
      <c r="AM37" s="5"/>
      <c r="AN37" s="5"/>
      <c r="AO37" s="5"/>
      <c r="AP37" s="5"/>
      <c r="AQ37" s="18"/>
      <c r="AR37" s="7"/>
      <c r="AS37" s="18"/>
      <c r="AT37" s="7"/>
      <c r="AU37" s="5"/>
      <c r="AV37" s="5"/>
      <c r="AW37" s="5"/>
      <c r="AX37" s="5"/>
      <c r="AY37" s="4"/>
      <c r="AZ37" s="7"/>
      <c r="BA37" s="18"/>
      <c r="BB37" s="7"/>
      <c r="BC37" s="7"/>
      <c r="BD37" s="5"/>
      <c r="BE37" s="5"/>
      <c r="BF37" s="5"/>
      <c r="BG37" s="5"/>
      <c r="BH37" s="5"/>
      <c r="BI37" s="5"/>
      <c r="BJ37" s="5"/>
      <c r="BK37" s="7"/>
      <c r="BL37" s="8"/>
      <c r="BM37" s="5"/>
    </row>
    <row r="38" spans="1:65" s="6" customFormat="1" ht="183.7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 t="s">
        <v>27</v>
      </c>
      <c r="M38" s="4">
        <f>AS34</f>
        <v>1</v>
      </c>
      <c r="N38" s="7">
        <f>T38</f>
        <v>15.350000000000001</v>
      </c>
      <c r="O38" s="7"/>
      <c r="P38" s="7">
        <v>1.1299999999999999</v>
      </c>
      <c r="Q38" s="7">
        <v>2.17</v>
      </c>
      <c r="R38" s="7">
        <v>12.05</v>
      </c>
      <c r="S38" s="7">
        <v>0</v>
      </c>
      <c r="T38" s="7">
        <f t="shared" ref="T38" si="12">P38+Q38+R38+S38</f>
        <v>15.350000000000001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4"/>
      <c r="AF38" s="7"/>
      <c r="AG38" s="7"/>
      <c r="AH38" s="5"/>
      <c r="AI38" s="18"/>
      <c r="AJ38" s="7"/>
      <c r="AK38" s="7"/>
      <c r="AL38" s="5"/>
      <c r="AM38" s="5"/>
      <c r="AN38" s="5"/>
      <c r="AO38" s="5"/>
      <c r="AP38" s="5"/>
      <c r="AQ38" s="18"/>
      <c r="AR38" s="7"/>
      <c r="AS38" s="18"/>
      <c r="AT38" s="7"/>
      <c r="AU38" s="5"/>
      <c r="AV38" s="5"/>
      <c r="AW38" s="5"/>
      <c r="AX38" s="5"/>
      <c r="AY38" s="4"/>
      <c r="AZ38" s="7"/>
      <c r="BA38" s="18"/>
      <c r="BB38" s="7"/>
      <c r="BC38" s="7"/>
      <c r="BD38" s="5"/>
      <c r="BE38" s="5"/>
      <c r="BF38" s="5"/>
      <c r="BG38" s="5"/>
      <c r="BH38" s="5"/>
      <c r="BI38" s="5"/>
      <c r="BJ38" s="5"/>
      <c r="BK38" s="7"/>
      <c r="BL38" s="8"/>
      <c r="BM38" s="5"/>
    </row>
    <row r="39" spans="1:65" s="6" customFormat="1" ht="189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 t="s">
        <v>16</v>
      </c>
      <c r="M39" s="4">
        <f>BA34</f>
        <v>0.5</v>
      </c>
      <c r="N39" s="7">
        <f>1125*M39</f>
        <v>562.5</v>
      </c>
      <c r="O39" s="7"/>
      <c r="P39" s="7">
        <f>0.08*N39</f>
        <v>45</v>
      </c>
      <c r="Q39" s="7">
        <f>0.86*N39</f>
        <v>483.75</v>
      </c>
      <c r="R39" s="7"/>
      <c r="S39" s="7">
        <f>0.06*N39</f>
        <v>33.75</v>
      </c>
      <c r="T39" s="7">
        <f t="shared" ref="T39" si="13">P39+Q39+R39+S39</f>
        <v>562.5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4"/>
      <c r="AF39" s="7"/>
      <c r="AG39" s="7"/>
      <c r="AH39" s="5"/>
      <c r="AI39" s="18"/>
      <c r="AJ39" s="7"/>
      <c r="AK39" s="7"/>
      <c r="AL39" s="5"/>
      <c r="AM39" s="5"/>
      <c r="AN39" s="5"/>
      <c r="AO39" s="5"/>
      <c r="AP39" s="5"/>
      <c r="AQ39" s="18"/>
      <c r="AR39" s="7"/>
      <c r="AS39" s="18"/>
      <c r="AT39" s="7"/>
      <c r="AU39" s="5"/>
      <c r="AV39" s="5"/>
      <c r="AW39" s="5"/>
      <c r="AX39" s="5"/>
      <c r="AY39" s="4"/>
      <c r="AZ39" s="7"/>
      <c r="BA39" s="18"/>
      <c r="BB39" s="7"/>
      <c r="BC39" s="7"/>
      <c r="BD39" s="5"/>
      <c r="BE39" s="5"/>
      <c r="BF39" s="5"/>
      <c r="BG39" s="5"/>
      <c r="BH39" s="5"/>
      <c r="BI39" s="5"/>
      <c r="BJ39" s="5"/>
      <c r="BK39" s="7"/>
      <c r="BL39" s="8"/>
      <c r="BM39" s="5"/>
    </row>
    <row r="40" spans="1:65" s="6" customFormat="1" ht="409.6" customHeight="1" x14ac:dyDescent="0.25">
      <c r="A40" s="1" t="s">
        <v>163</v>
      </c>
      <c r="B40" s="2" t="s">
        <v>201</v>
      </c>
      <c r="C40" s="3">
        <v>466.1</v>
      </c>
      <c r="D40" s="3"/>
      <c r="E40" s="4">
        <v>15</v>
      </c>
      <c r="F40" s="2" t="s">
        <v>239</v>
      </c>
      <c r="G40" s="2" t="s">
        <v>47</v>
      </c>
      <c r="H40" s="2" t="s">
        <v>279</v>
      </c>
      <c r="I40" s="2" t="s">
        <v>457</v>
      </c>
      <c r="J40" s="2" t="s">
        <v>331</v>
      </c>
      <c r="K40" s="4"/>
      <c r="L40" s="4"/>
      <c r="M40" s="4"/>
      <c r="N40" s="7"/>
      <c r="O40" s="7"/>
      <c r="P40" s="7"/>
      <c r="Q40" s="7"/>
      <c r="R40" s="7"/>
      <c r="S40" s="7"/>
      <c r="T40" s="7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39"/>
      <c r="AJ40" s="5"/>
      <c r="AK40" s="5"/>
      <c r="AL40" s="5"/>
      <c r="AM40" s="5"/>
      <c r="AN40" s="5"/>
      <c r="AO40" s="5"/>
      <c r="AP40" s="5"/>
      <c r="AQ40" s="39"/>
      <c r="AR40" s="5"/>
      <c r="AS40" s="39"/>
      <c r="AT40" s="5"/>
      <c r="AU40" s="5"/>
      <c r="AV40" s="5"/>
      <c r="AW40" s="5"/>
      <c r="AX40" s="5"/>
      <c r="AY40" s="4"/>
      <c r="AZ40" s="7"/>
      <c r="BA40" s="18"/>
      <c r="BB40" s="7"/>
      <c r="BC40" s="4"/>
      <c r="BD40" s="5"/>
      <c r="BE40" s="5"/>
      <c r="BF40" s="5"/>
      <c r="BG40" s="5"/>
      <c r="BH40" s="5"/>
      <c r="BI40" s="5"/>
      <c r="BJ40" s="5"/>
      <c r="BK40" s="7"/>
      <c r="BL40" s="8">
        <v>42528</v>
      </c>
      <c r="BM40" s="5" t="s">
        <v>381</v>
      </c>
    </row>
    <row r="41" spans="1:65" s="6" customFormat="1" ht="409.6" customHeight="1" x14ac:dyDescent="0.25">
      <c r="A41" s="1" t="s">
        <v>158</v>
      </c>
      <c r="B41" s="2" t="s">
        <v>196</v>
      </c>
      <c r="C41" s="3">
        <v>466.1</v>
      </c>
      <c r="D41" s="3"/>
      <c r="E41" s="4">
        <v>15</v>
      </c>
      <c r="F41" s="2" t="s">
        <v>234</v>
      </c>
      <c r="G41" s="2" t="s">
        <v>47</v>
      </c>
      <c r="H41" s="2" t="s">
        <v>274</v>
      </c>
      <c r="I41" s="2" t="s">
        <v>458</v>
      </c>
      <c r="J41" s="2" t="s">
        <v>331</v>
      </c>
      <c r="K41" s="4"/>
      <c r="L41" s="4"/>
      <c r="M41" s="18"/>
      <c r="N41" s="7"/>
      <c r="O41" s="7"/>
      <c r="P41" s="7"/>
      <c r="Q41" s="7"/>
      <c r="R41" s="7"/>
      <c r="S41" s="7"/>
      <c r="T41" s="7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39"/>
      <c r="AJ41" s="5"/>
      <c r="AK41" s="5"/>
      <c r="AL41" s="5"/>
      <c r="AM41" s="5"/>
      <c r="AN41" s="5"/>
      <c r="AO41" s="5"/>
      <c r="AP41" s="5"/>
      <c r="AQ41" s="39"/>
      <c r="AR41" s="5"/>
      <c r="AS41" s="39"/>
      <c r="AT41" s="5"/>
      <c r="AU41" s="5"/>
      <c r="AV41" s="5"/>
      <c r="AW41" s="5"/>
      <c r="AX41" s="5"/>
      <c r="AY41" s="4"/>
      <c r="AZ41" s="7"/>
      <c r="BA41" s="18"/>
      <c r="BB41" s="7"/>
      <c r="BC41" s="4"/>
      <c r="BD41" s="5"/>
      <c r="BE41" s="5"/>
      <c r="BF41" s="5"/>
      <c r="BG41" s="5"/>
      <c r="BH41" s="5"/>
      <c r="BI41" s="5"/>
      <c r="BJ41" s="5"/>
      <c r="BK41" s="7"/>
      <c r="BL41" s="8">
        <v>42528</v>
      </c>
      <c r="BM41" s="5" t="s">
        <v>381</v>
      </c>
    </row>
    <row r="42" spans="1:65" s="6" customFormat="1" ht="409.5" customHeight="1" x14ac:dyDescent="0.25">
      <c r="A42" s="1" t="s">
        <v>152</v>
      </c>
      <c r="B42" s="2" t="s">
        <v>190</v>
      </c>
      <c r="C42" s="3">
        <v>466.1</v>
      </c>
      <c r="D42" s="3"/>
      <c r="E42" s="4">
        <v>15</v>
      </c>
      <c r="F42" s="2" t="s">
        <v>228</v>
      </c>
      <c r="G42" s="2" t="s">
        <v>47</v>
      </c>
      <c r="H42" s="2" t="s">
        <v>268</v>
      </c>
      <c r="I42" s="2" t="s">
        <v>297</v>
      </c>
      <c r="J42" s="2" t="s">
        <v>331</v>
      </c>
      <c r="K42" s="4"/>
      <c r="L42" s="4"/>
      <c r="M42" s="4"/>
      <c r="N42" s="7"/>
      <c r="O42" s="7"/>
      <c r="P42" s="7"/>
      <c r="Q42" s="7"/>
      <c r="R42" s="7"/>
      <c r="S42" s="7"/>
      <c r="T42" s="7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39"/>
      <c r="AJ42" s="5"/>
      <c r="AK42" s="5"/>
      <c r="AL42" s="5"/>
      <c r="AM42" s="5"/>
      <c r="AN42" s="5"/>
      <c r="AO42" s="5"/>
      <c r="AP42" s="5"/>
      <c r="AQ42" s="39"/>
      <c r="AR42" s="5"/>
      <c r="AS42" s="39"/>
      <c r="AT42" s="5"/>
      <c r="AU42" s="5"/>
      <c r="AV42" s="5"/>
      <c r="AW42" s="5"/>
      <c r="AX42" s="5"/>
      <c r="AY42" s="4"/>
      <c r="AZ42" s="7"/>
      <c r="BA42" s="18"/>
      <c r="BB42" s="13"/>
      <c r="BC42" s="13"/>
      <c r="BD42" s="5"/>
      <c r="BE42" s="5"/>
      <c r="BF42" s="5"/>
      <c r="BG42" s="5"/>
      <c r="BH42" s="5"/>
      <c r="BI42" s="5"/>
      <c r="BJ42" s="5"/>
      <c r="BK42" s="7"/>
      <c r="BL42" s="8">
        <v>42528</v>
      </c>
      <c r="BM42" s="5" t="s">
        <v>381</v>
      </c>
    </row>
    <row r="43" spans="1:65" s="6" customFormat="1" ht="409.6" customHeight="1" x14ac:dyDescent="0.25">
      <c r="A43" s="1" t="s">
        <v>149</v>
      </c>
      <c r="B43" s="2" t="s">
        <v>187</v>
      </c>
      <c r="C43" s="3">
        <v>466.1</v>
      </c>
      <c r="D43" s="3"/>
      <c r="E43" s="4">
        <v>15</v>
      </c>
      <c r="F43" s="2" t="s">
        <v>225</v>
      </c>
      <c r="G43" s="2" t="s">
        <v>47</v>
      </c>
      <c r="H43" s="2" t="s">
        <v>265</v>
      </c>
      <c r="I43" s="2" t="s">
        <v>296</v>
      </c>
      <c r="J43" s="2" t="s">
        <v>328</v>
      </c>
      <c r="K43" s="4" t="s">
        <v>379</v>
      </c>
      <c r="L43" s="4"/>
      <c r="M43" s="4"/>
      <c r="N43" s="7">
        <f>N44</f>
        <v>168.75</v>
      </c>
      <c r="O43" s="7">
        <f t="shared" ref="O43:T43" si="14">O44</f>
        <v>0</v>
      </c>
      <c r="P43" s="7">
        <f t="shared" si="14"/>
        <v>13.5</v>
      </c>
      <c r="Q43" s="7">
        <f t="shared" si="14"/>
        <v>145.125</v>
      </c>
      <c r="R43" s="7">
        <f t="shared" si="14"/>
        <v>0</v>
      </c>
      <c r="S43" s="7">
        <f t="shared" si="14"/>
        <v>10.125</v>
      </c>
      <c r="T43" s="7">
        <f t="shared" si="14"/>
        <v>168.75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18">
        <v>0.15</v>
      </c>
      <c r="BB43" s="4">
        <f>T44</f>
        <v>168.75</v>
      </c>
      <c r="BC43" s="4"/>
      <c r="BD43" s="4"/>
      <c r="BE43" s="4"/>
      <c r="BF43" s="7"/>
      <c r="BG43" s="4"/>
      <c r="BH43" s="4"/>
      <c r="BI43" s="7"/>
      <c r="BJ43" s="5"/>
      <c r="BK43" s="7">
        <f>BB43</f>
        <v>168.75</v>
      </c>
      <c r="BL43" s="8">
        <v>42528</v>
      </c>
      <c r="BM43" s="5" t="s">
        <v>380</v>
      </c>
    </row>
    <row r="44" spans="1:65" s="6" customFormat="1" ht="171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 t="s">
        <v>16</v>
      </c>
      <c r="M44" s="4">
        <f>BA43</f>
        <v>0.15</v>
      </c>
      <c r="N44" s="7">
        <f>1125*M44</f>
        <v>168.75</v>
      </c>
      <c r="O44" s="7"/>
      <c r="P44" s="7">
        <f>0.08*N44</f>
        <v>13.5</v>
      </c>
      <c r="Q44" s="7">
        <f>0.86*N44</f>
        <v>145.125</v>
      </c>
      <c r="R44" s="7"/>
      <c r="S44" s="7">
        <f>0.06*N44</f>
        <v>10.125</v>
      </c>
      <c r="T44" s="7">
        <f>P44+Q44+R44+S44</f>
        <v>168.75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18"/>
      <c r="BB44" s="18"/>
      <c r="BC44" s="4"/>
      <c r="BD44" s="4"/>
      <c r="BE44" s="4"/>
      <c r="BF44" s="7"/>
      <c r="BG44" s="4"/>
      <c r="BH44" s="4"/>
      <c r="BI44" s="7"/>
      <c r="BJ44" s="5"/>
      <c r="BK44" s="7"/>
      <c r="BL44" s="8"/>
      <c r="BM44" s="5"/>
    </row>
    <row r="45" spans="1:65" s="6" customFormat="1" ht="409.6" customHeight="1" x14ac:dyDescent="0.25">
      <c r="A45" s="1" t="s">
        <v>167</v>
      </c>
      <c r="B45" s="2" t="s">
        <v>205</v>
      </c>
      <c r="C45" s="3">
        <v>466.1</v>
      </c>
      <c r="D45" s="3"/>
      <c r="E45" s="4">
        <v>15</v>
      </c>
      <c r="F45" s="2" t="s">
        <v>243</v>
      </c>
      <c r="G45" s="2" t="s">
        <v>46</v>
      </c>
      <c r="H45" s="2" t="s">
        <v>283</v>
      </c>
      <c r="I45" s="2" t="s">
        <v>48</v>
      </c>
      <c r="J45" s="2" t="s">
        <v>344</v>
      </c>
      <c r="K45" s="4"/>
      <c r="L45" s="4"/>
      <c r="M45" s="18"/>
      <c r="N45" s="12"/>
      <c r="O45" s="12"/>
      <c r="P45" s="12"/>
      <c r="Q45" s="12"/>
      <c r="R45" s="12"/>
      <c r="S45" s="12"/>
      <c r="T45" s="12"/>
      <c r="U45" s="5"/>
      <c r="V45" s="5"/>
      <c r="W45" s="5"/>
      <c r="X45" s="5"/>
      <c r="Y45" s="5"/>
      <c r="Z45" s="5"/>
      <c r="AA45" s="5"/>
      <c r="AB45" s="5"/>
      <c r="AC45" s="5"/>
      <c r="AD45" s="5"/>
      <c r="AE45" s="4"/>
      <c r="AF45" s="7"/>
      <c r="AG45" s="7"/>
      <c r="AH45" s="5"/>
      <c r="AI45" s="18"/>
      <c r="AJ45" s="7"/>
      <c r="AK45" s="7"/>
      <c r="AL45" s="5"/>
      <c r="AM45" s="5"/>
      <c r="AN45" s="5"/>
      <c r="AO45" s="5"/>
      <c r="AP45" s="5"/>
      <c r="AQ45" s="18"/>
      <c r="AR45" s="7"/>
      <c r="AS45" s="18"/>
      <c r="AT45" s="7"/>
      <c r="AU45" s="5"/>
      <c r="AV45" s="5"/>
      <c r="AW45" s="5"/>
      <c r="AX45" s="5"/>
      <c r="AY45" s="4"/>
      <c r="AZ45" s="7"/>
      <c r="BA45" s="18"/>
      <c r="BB45" s="7"/>
      <c r="BC45" s="7"/>
      <c r="BD45" s="5"/>
      <c r="BE45" s="5"/>
      <c r="BF45" s="5"/>
      <c r="BG45" s="5"/>
      <c r="BH45" s="5"/>
      <c r="BI45" s="5"/>
      <c r="BJ45" s="5"/>
      <c r="BK45" s="7"/>
      <c r="BL45" s="8">
        <v>42520</v>
      </c>
      <c r="BM45" s="5" t="s">
        <v>385</v>
      </c>
    </row>
    <row r="46" spans="1:65" s="6" customFormat="1" ht="408.75" customHeight="1" x14ac:dyDescent="0.25">
      <c r="A46" s="1" t="s">
        <v>170</v>
      </c>
      <c r="B46" s="2" t="s">
        <v>208</v>
      </c>
      <c r="C46" s="3">
        <v>466.1</v>
      </c>
      <c r="D46" s="3"/>
      <c r="E46" s="4">
        <v>10</v>
      </c>
      <c r="F46" s="2" t="s">
        <v>246</v>
      </c>
      <c r="G46" s="2" t="s">
        <v>112</v>
      </c>
      <c r="H46" s="2" t="s">
        <v>286</v>
      </c>
      <c r="I46" s="129" t="s">
        <v>459</v>
      </c>
      <c r="J46" s="2" t="s">
        <v>319</v>
      </c>
      <c r="K46" s="4" t="s">
        <v>432</v>
      </c>
      <c r="L46" s="4"/>
      <c r="M46" s="18"/>
      <c r="N46" s="12">
        <f>N47</f>
        <v>225</v>
      </c>
      <c r="O46" s="12">
        <f t="shared" ref="O46:AB46" si="15">O47</f>
        <v>0</v>
      </c>
      <c r="P46" s="12">
        <f t="shared" si="15"/>
        <v>18</v>
      </c>
      <c r="Q46" s="12">
        <f t="shared" si="15"/>
        <v>193.5</v>
      </c>
      <c r="R46" s="12">
        <f t="shared" si="15"/>
        <v>0</v>
      </c>
      <c r="S46" s="12">
        <f t="shared" si="15"/>
        <v>13.5</v>
      </c>
      <c r="T46" s="12">
        <f t="shared" si="15"/>
        <v>225</v>
      </c>
      <c r="U46" s="12">
        <f t="shared" si="15"/>
        <v>0</v>
      </c>
      <c r="V46" s="12">
        <f t="shared" si="15"/>
        <v>0</v>
      </c>
      <c r="W46" s="12">
        <f t="shared" si="15"/>
        <v>0</v>
      </c>
      <c r="X46" s="12">
        <f t="shared" si="15"/>
        <v>0</v>
      </c>
      <c r="Y46" s="12">
        <f t="shared" si="15"/>
        <v>0</v>
      </c>
      <c r="Z46" s="12">
        <f t="shared" si="15"/>
        <v>0</v>
      </c>
      <c r="AA46" s="12">
        <f t="shared" si="15"/>
        <v>0</v>
      </c>
      <c r="AB46" s="12">
        <f t="shared" si="15"/>
        <v>0</v>
      </c>
      <c r="AC46" s="5"/>
      <c r="AD46" s="5"/>
      <c r="AE46" s="5"/>
      <c r="AF46" s="5"/>
      <c r="AG46" s="5"/>
      <c r="AH46" s="5"/>
      <c r="AI46" s="39"/>
      <c r="AJ46" s="5"/>
      <c r="AK46" s="5"/>
      <c r="AL46" s="5"/>
      <c r="AM46" s="5"/>
      <c r="AN46" s="5"/>
      <c r="AO46" s="5"/>
      <c r="AP46" s="5"/>
      <c r="AQ46" s="39"/>
      <c r="AR46" s="5"/>
      <c r="AS46" s="39"/>
      <c r="AT46" s="5"/>
      <c r="AU46" s="5"/>
      <c r="AV46" s="5"/>
      <c r="AW46" s="5"/>
      <c r="AX46" s="5"/>
      <c r="AY46" s="4"/>
      <c r="AZ46" s="7"/>
      <c r="BA46" s="18">
        <v>0.2</v>
      </c>
      <c r="BB46" s="7">
        <f>BA46*1125</f>
        <v>225</v>
      </c>
      <c r="BC46" s="4"/>
      <c r="BD46" s="5"/>
      <c r="BE46" s="5"/>
      <c r="BF46" s="5"/>
      <c r="BG46" s="5"/>
      <c r="BH46" s="5"/>
      <c r="BI46" s="5"/>
      <c r="BJ46" s="5"/>
      <c r="BK46" s="7">
        <f>BB46</f>
        <v>225</v>
      </c>
      <c r="BL46" s="8">
        <v>42523</v>
      </c>
      <c r="BM46" s="5" t="s">
        <v>437</v>
      </c>
    </row>
    <row r="47" spans="1:65" s="6" customFormat="1" ht="409.5" customHeight="1" x14ac:dyDescent="0.25">
      <c r="A47" s="1"/>
      <c r="B47" s="2"/>
      <c r="C47" s="3"/>
      <c r="D47" s="3"/>
      <c r="E47" s="4"/>
      <c r="F47" s="2"/>
      <c r="G47" s="2"/>
      <c r="H47" s="2"/>
      <c r="I47" s="130"/>
      <c r="J47" s="2"/>
      <c r="K47" s="4"/>
      <c r="L47" s="4" t="s">
        <v>16</v>
      </c>
      <c r="M47" s="18">
        <f>BA46</f>
        <v>0.2</v>
      </c>
      <c r="N47" s="12">
        <f>1125*M47</f>
        <v>225</v>
      </c>
      <c r="O47" s="12"/>
      <c r="P47" s="12">
        <f>0.08*N47</f>
        <v>18</v>
      </c>
      <c r="Q47" s="12">
        <f>0.86*N47</f>
        <v>193.5</v>
      </c>
      <c r="R47" s="12">
        <v>0</v>
      </c>
      <c r="S47" s="12">
        <f>0.06*N47</f>
        <v>13.5</v>
      </c>
      <c r="T47" s="12">
        <f t="shared" ref="T47" si="16">P47+Q47+R47+S47</f>
        <v>225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4"/>
      <c r="AF47" s="7"/>
      <c r="AG47" s="7"/>
      <c r="AH47" s="5"/>
      <c r="AI47" s="18"/>
      <c r="AJ47" s="7"/>
      <c r="AK47" s="7"/>
      <c r="AL47" s="5"/>
      <c r="AM47" s="5"/>
      <c r="AN47" s="5"/>
      <c r="AO47" s="5"/>
      <c r="AP47" s="5"/>
      <c r="AQ47" s="18"/>
      <c r="AR47" s="7"/>
      <c r="AS47" s="18"/>
      <c r="AT47" s="7"/>
      <c r="AU47" s="5"/>
      <c r="AV47" s="5"/>
      <c r="AW47" s="5"/>
      <c r="AX47" s="5"/>
      <c r="AY47" s="4"/>
      <c r="AZ47" s="7"/>
      <c r="BA47" s="18"/>
      <c r="BB47" s="7"/>
      <c r="BC47" s="7"/>
      <c r="BD47" s="5"/>
      <c r="BE47" s="5"/>
      <c r="BF47" s="5"/>
      <c r="BG47" s="5"/>
      <c r="BH47" s="5"/>
      <c r="BI47" s="5"/>
      <c r="BJ47" s="5"/>
      <c r="BK47" s="7"/>
      <c r="BL47" s="8"/>
      <c r="BM47" s="5"/>
    </row>
    <row r="48" spans="1:65" s="110" customFormat="1" ht="409.6" customHeight="1" x14ac:dyDescent="0.25">
      <c r="A48" s="103"/>
      <c r="B48" s="104"/>
      <c r="C48" s="105"/>
      <c r="D48" s="105"/>
      <c r="E48" s="106"/>
      <c r="F48" s="104"/>
      <c r="G48" s="104"/>
      <c r="H48" s="104"/>
      <c r="I48" s="104"/>
      <c r="J48" s="104"/>
      <c r="K48" s="106"/>
      <c r="L48" s="106"/>
      <c r="M48" s="107"/>
      <c r="N48" s="117">
        <f t="shared" ref="N48:AD48" si="17">N4+N7+N11+N13+N16+N21+N29+N31+N34+N43+N46</f>
        <v>3798.6773146743999</v>
      </c>
      <c r="O48" s="117">
        <f t="shared" si="17"/>
        <v>0</v>
      </c>
      <c r="P48" s="117">
        <f t="shared" si="17"/>
        <v>246.36543</v>
      </c>
      <c r="Q48" s="117">
        <f t="shared" si="17"/>
        <v>2340.6891498681998</v>
      </c>
      <c r="R48" s="117">
        <f t="shared" si="17"/>
        <v>1043.26396</v>
      </c>
      <c r="S48" s="117">
        <f t="shared" si="17"/>
        <v>168.36196000000001</v>
      </c>
      <c r="T48" s="117">
        <f>T4+T7+T13+T16+T21+T29+T34+T43+T46</f>
        <v>3798.6804998682001</v>
      </c>
      <c r="U48" s="117">
        <f t="shared" si="17"/>
        <v>0</v>
      </c>
      <c r="V48" s="117">
        <f t="shared" si="17"/>
        <v>0</v>
      </c>
      <c r="W48" s="117">
        <f t="shared" si="17"/>
        <v>0</v>
      </c>
      <c r="X48" s="117">
        <f t="shared" si="17"/>
        <v>0</v>
      </c>
      <c r="Y48" s="117">
        <f t="shared" si="17"/>
        <v>0</v>
      </c>
      <c r="Z48" s="117">
        <f t="shared" si="17"/>
        <v>0</v>
      </c>
      <c r="AA48" s="117">
        <f t="shared" si="17"/>
        <v>0</v>
      </c>
      <c r="AB48" s="117">
        <f t="shared" si="17"/>
        <v>0</v>
      </c>
      <c r="AC48" s="117">
        <f t="shared" si="17"/>
        <v>0</v>
      </c>
      <c r="AD48" s="117">
        <f t="shared" si="17"/>
        <v>0</v>
      </c>
      <c r="AE48" s="117">
        <v>0.15</v>
      </c>
      <c r="AF48" s="117">
        <f>AF4+AF7+AF11+AF13+AF16+AF21+AF29+AF31+AF34+AF43+AF46</f>
        <v>217.95000000000002</v>
      </c>
      <c r="AG48" s="117"/>
      <c r="AH48" s="117">
        <f>AH4+AH7+AH11+AH13+AH16+AH21+AH29+AH31+AH34+AH43+AH46</f>
        <v>0</v>
      </c>
      <c r="AI48" s="117">
        <v>1</v>
      </c>
      <c r="AJ48" s="117">
        <f>AJ4+AJ7+AJ11+AJ13+AJ16+AJ21+AJ29+AJ31+AJ34+AJ43+AJ46</f>
        <v>60.44</v>
      </c>
      <c r="AK48" s="117"/>
      <c r="AL48" s="117">
        <f>AL4+AL7+AL11+AL13+AL16+AL21+AL29+AL31+AL34+AL43+AL46</f>
        <v>0</v>
      </c>
      <c r="AM48" s="117"/>
      <c r="AN48" s="117">
        <f>AN4+AN7+AN11+AN13+AN16+AN21+AN29+AN31+AN34+AN43+AN46</f>
        <v>0</v>
      </c>
      <c r="AO48" s="117"/>
      <c r="AP48" s="117">
        <f>AP4+AP7+AP11+AP13+AP16+AP21+AP29+AP31+AP34+AP43+AP46</f>
        <v>0</v>
      </c>
      <c r="AQ48" s="117" t="s">
        <v>460</v>
      </c>
      <c r="AR48" s="117">
        <f>AR4+AR7+AR11+AR13+AR16+AR21+AR29+AR31+AR34+AR43+AR46</f>
        <v>1112.3045506782</v>
      </c>
      <c r="AS48" s="117">
        <v>2</v>
      </c>
      <c r="AT48" s="117">
        <f>AT4+AT7+AT11+AT13+AT16+AT21+AT29+AT31+AT34+AT43+AT46</f>
        <v>30.700000000000003</v>
      </c>
      <c r="AU48" s="117"/>
      <c r="AV48" s="117">
        <f>AV4+AV7+AV11+AV13+AV16+AV21+AV29+AV31+AV34+AV43+AV46</f>
        <v>0</v>
      </c>
      <c r="AW48" s="117"/>
      <c r="AX48" s="117">
        <f>AX4+AX7+AX11+AX13+AX16+AX21+AX29+AX31+AX34+AX43+AX46</f>
        <v>0</v>
      </c>
      <c r="AY48" s="117" t="s">
        <v>462</v>
      </c>
      <c r="AZ48" s="117">
        <f>AZ4+AZ7+AZ11+AZ13+AZ16+AZ21+AZ29+AZ31+AZ34+AZ43+AZ46</f>
        <v>3.5324365000000002</v>
      </c>
      <c r="BA48" s="116" t="s">
        <v>463</v>
      </c>
      <c r="BB48" s="117">
        <f>SUM(BB3:BB47)</f>
        <v>2373.75</v>
      </c>
      <c r="BC48" s="117"/>
      <c r="BD48" s="117">
        <f>BD4+BD7+BD11+BD13+BD16+BD21+BD29+BD31+BD34+BD43+BD46</f>
        <v>0</v>
      </c>
      <c r="BE48" s="117"/>
      <c r="BF48" s="117">
        <f>BF4+BF7+BF11+BF13+BF16+BF21+BF29+BF31+BF34+BF43+BF46</f>
        <v>0</v>
      </c>
      <c r="BG48" s="117"/>
      <c r="BH48" s="117">
        <f>BH4+BH7+BH11+BH13+BH16+BH21+BH29+BH31+BH34+BH43+BH46</f>
        <v>0</v>
      </c>
      <c r="BI48" s="117"/>
      <c r="BJ48" s="117">
        <f>BJ4+BJ7+BJ11+BJ13+BJ16+BJ21+BJ29+BJ31+BJ34+BJ43+BJ46</f>
        <v>0</v>
      </c>
      <c r="BK48" s="117">
        <f>BK4+BK7+BK11+BK13+BK16+BK21+BK29+BK31+BK34+BK43+BK46</f>
        <v>3798.6769871781999</v>
      </c>
      <c r="BL48" s="108"/>
      <c r="BM48" s="109"/>
    </row>
    <row r="49" spans="2:13" ht="119.25" customHeight="1" x14ac:dyDescent="0.7"/>
    <row r="50" spans="2:13" ht="240.75" customHeight="1" x14ac:dyDescent="0.45">
      <c r="B50" s="101" t="s">
        <v>442</v>
      </c>
      <c r="J50" s="101" t="s">
        <v>446</v>
      </c>
      <c r="M50" s="101" t="s">
        <v>447</v>
      </c>
    </row>
    <row r="51" spans="2:13" ht="240.75" customHeight="1" x14ac:dyDescent="0.45">
      <c r="B51" s="101" t="s">
        <v>443</v>
      </c>
      <c r="J51" s="101" t="s">
        <v>446</v>
      </c>
      <c r="M51" s="101" t="s">
        <v>448</v>
      </c>
    </row>
    <row r="52" spans="2:13" ht="240.75" customHeight="1" x14ac:dyDescent="0.45">
      <c r="B52" s="101" t="s">
        <v>444</v>
      </c>
      <c r="J52" s="101" t="s">
        <v>446</v>
      </c>
      <c r="M52" s="101" t="s">
        <v>449</v>
      </c>
    </row>
    <row r="53" spans="2:13" ht="240.75" customHeight="1" x14ac:dyDescent="0.45">
      <c r="B53" s="101" t="s">
        <v>445</v>
      </c>
      <c r="J53" s="101" t="s">
        <v>446</v>
      </c>
      <c r="M53" s="101" t="s">
        <v>450</v>
      </c>
    </row>
  </sheetData>
  <autoFilter ref="A2:BM48"/>
  <mergeCells count="4">
    <mergeCell ref="I13:I14"/>
    <mergeCell ref="I16:I17"/>
    <mergeCell ref="I34:I36"/>
    <mergeCell ref="I46:I47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68_лот_(Все)</vt:lpstr>
      <vt:lpstr>68_лот_(Юго-Запад)</vt:lpstr>
      <vt:lpstr>'68_лот_(Все)'!Заголовки_для_печати</vt:lpstr>
      <vt:lpstr>'68_лот_(Юго-Запад)'!Заголовки_для_печати</vt:lpstr>
      <vt:lpstr>'68_лот_(Все)'!Область_печати</vt:lpstr>
      <vt:lpstr>'68_лот_(Юго-Запад)'!Область_печати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2016-01-26T12:07:25Z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Лот_№_66_физ объемы.xlsx</vt:lpwstr>
  </property>
</Properties>
</file>