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организации взаимоотношений с клиентами\Отдел управления взаимоотношениями с клиентами\3. Отчетность\21. Расчет показат.кач. Лп и Тб\2020 год\"/>
    </mc:Choice>
  </mc:AlternateContent>
  <bookViews>
    <workbookView xWindow="0" yWindow="0" windowWidth="11055" windowHeight="10605" tabRatio="513"/>
  </bookViews>
  <sheets>
    <sheet name="Свод" sheetId="23" r:id="rId1"/>
    <sheet name="ИНФ" sheetId="19" r:id="rId2"/>
    <sheet name="ИСП" sheetId="20" r:id="rId3"/>
    <sheet name="РОС" sheetId="21" r:id="rId4"/>
    <sheet name="Исходные" sheetId="22" r:id="rId5"/>
    <sheet name="Пояснения" sheetId="24" r:id="rId6"/>
  </sheets>
  <definedNames>
    <definedName name="Кв">#REF!</definedName>
    <definedName name="Кн">#REF!</definedName>
    <definedName name="_xlnm.Print_Area" localSheetId="1">ИНФ!$A$6:$F$37</definedName>
    <definedName name="_xlnm.Print_Area" localSheetId="2">ИСП!$A$6:$F$38</definedName>
    <definedName name="_xlnm.Print_Area" localSheetId="4">Исходные!$A$2:$H$64</definedName>
    <definedName name="_xlnm.Print_Area" localSheetId="5">Пояснения!$A$2:$E$37</definedName>
    <definedName name="_xlnm.Print_Area" localSheetId="3">РОС!$A$6:$F$46</definedName>
    <definedName name="_xlnm.Print_Area" localSheetId="0">Свод!$A$1:$E$62</definedName>
    <definedName name="Рсрi">#REF!</definedName>
  </definedNames>
  <calcPr calcId="179021"/>
</workbook>
</file>

<file path=xl/calcChain.xml><?xml version="1.0" encoding="utf-8"?>
<calcChain xmlns="http://schemas.openxmlformats.org/spreadsheetml/2006/main">
  <c r="G36" i="22" l="1"/>
  <c r="F53" i="22" l="1"/>
  <c r="F51" i="22"/>
  <c r="F13" i="22" l="1"/>
  <c r="C40" i="22" l="1"/>
  <c r="G60" i="22" l="1"/>
  <c r="C68" i="22" l="1"/>
  <c r="C59" i="22" l="1"/>
  <c r="B15" i="19" l="1"/>
  <c r="B7" i="23" s="1"/>
  <c r="G9" i="22" l="1"/>
  <c r="G14" i="22" s="1"/>
  <c r="G35" i="22" l="1"/>
  <c r="G41" i="22"/>
  <c r="G49" i="22"/>
  <c r="G16" i="22"/>
  <c r="G39" i="22"/>
  <c r="G47" i="22"/>
  <c r="E60" i="22" l="1"/>
  <c r="E45" i="22"/>
  <c r="E43" i="22"/>
  <c r="E33" i="22"/>
  <c r="E13" i="22"/>
  <c r="E9" i="22"/>
  <c r="E49" i="22" s="1"/>
  <c r="E14" i="22" l="1"/>
  <c r="E39" i="22"/>
  <c r="E47" i="22"/>
  <c r="E16" i="22"/>
  <c r="E35" i="22"/>
  <c r="E41" i="22"/>
  <c r="D22" i="23"/>
  <c r="D9" i="22" l="1"/>
  <c r="C18" i="22" l="1"/>
  <c r="C70" i="22" l="1"/>
  <c r="G33" i="22"/>
  <c r="C20" i="22"/>
  <c r="C17" i="22"/>
  <c r="C51" i="22" l="1"/>
  <c r="C52" i="22"/>
  <c r="C54" i="22"/>
  <c r="C55" i="22"/>
  <c r="C44" i="22"/>
  <c r="G43" i="22"/>
  <c r="C37" i="22"/>
  <c r="C23" i="22" l="1"/>
  <c r="C24" i="22"/>
  <c r="C25" i="22"/>
  <c r="C27" i="22"/>
  <c r="C31" i="22" l="1"/>
  <c r="C33" i="22" s="1"/>
  <c r="C48" i="22"/>
  <c r="G13" i="22"/>
  <c r="F9" i="22"/>
  <c r="F60" i="22" l="1"/>
  <c r="F33" i="22"/>
  <c r="C34" i="22" l="1"/>
  <c r="C36" i="22" l="1"/>
  <c r="D13" i="22" l="1"/>
  <c r="C69" i="22" l="1"/>
  <c r="C67" i="22"/>
  <c r="C64" i="22"/>
  <c r="C63" i="22"/>
  <c r="C62" i="22"/>
  <c r="C61" i="22"/>
  <c r="D60" i="22"/>
  <c r="C57" i="22"/>
  <c r="C56" i="22"/>
  <c r="C53" i="22"/>
  <c r="C50" i="22"/>
  <c r="C46" i="22"/>
  <c r="G45" i="22"/>
  <c r="F45" i="22"/>
  <c r="D45" i="22"/>
  <c r="B45" i="22"/>
  <c r="F43" i="22"/>
  <c r="D43" i="22"/>
  <c r="B43" i="22"/>
  <c r="C42" i="22"/>
  <c r="C45" i="22" s="1"/>
  <c r="C43" i="22"/>
  <c r="C38" i="22"/>
  <c r="D33" i="22"/>
  <c r="C32" i="22"/>
  <c r="C30" i="22"/>
  <c r="C29" i="22"/>
  <c r="C26" i="22"/>
  <c r="C22" i="22"/>
  <c r="C21" i="22"/>
  <c r="C19" i="22"/>
  <c r="C15" i="22"/>
  <c r="C13" i="22"/>
  <c r="C12" i="22"/>
  <c r="C11" i="22"/>
  <c r="C10" i="22"/>
  <c r="F49" i="22"/>
  <c r="D49" i="22"/>
  <c r="C8" i="22"/>
  <c r="C60" i="22" l="1"/>
  <c r="B30" i="21" s="1"/>
  <c r="B44" i="23" s="1"/>
  <c r="C9" i="22"/>
  <c r="C49" i="22" s="1"/>
  <c r="D14" i="22"/>
  <c r="F14" i="22"/>
  <c r="D16" i="22"/>
  <c r="F16" i="22"/>
  <c r="D35" i="22"/>
  <c r="F35" i="22"/>
  <c r="D39" i="22"/>
  <c r="F39" i="22"/>
  <c r="D41" i="22"/>
  <c r="F41" i="22"/>
  <c r="D47" i="22"/>
  <c r="F47" i="22"/>
  <c r="C41" i="22" l="1"/>
  <c r="C39" i="22"/>
  <c r="C47" i="22"/>
  <c r="C35" i="22"/>
  <c r="C16" i="22"/>
  <c r="C14" i="22"/>
  <c r="B35" i="21"/>
  <c r="B19" i="21"/>
  <c r="A7" i="24" l="1"/>
  <c r="B39" i="23"/>
  <c r="B34" i="21" l="1"/>
  <c r="B45" i="23" s="1"/>
  <c r="B15" i="21"/>
  <c r="B35" i="23" l="1"/>
  <c r="D35" i="21"/>
  <c r="B46" i="23"/>
  <c r="D34" i="21"/>
  <c r="F35" i="21" l="1"/>
  <c r="D46" i="23"/>
  <c r="F34" i="21"/>
  <c r="D45" i="23"/>
  <c r="F32" i="21"/>
  <c r="B17" i="21"/>
  <c r="B37" i="23" s="1"/>
  <c r="D15" i="21"/>
  <c r="B14" i="21"/>
  <c r="D14" i="21" l="1"/>
  <c r="F14" i="21" s="1"/>
  <c r="B34" i="23"/>
  <c r="D10" i="21"/>
  <c r="F10" i="21" s="1"/>
  <c r="B37" i="20"/>
  <c r="D37" i="20" s="1"/>
  <c r="B35" i="20"/>
  <c r="D34" i="20"/>
  <c r="B30" i="20"/>
  <c r="B27" i="20"/>
  <c r="B21" i="20"/>
  <c r="B20" i="20"/>
  <c r="B19" i="20"/>
  <c r="D19" i="20" s="1"/>
  <c r="B17" i="20"/>
  <c r="B13" i="20"/>
  <c r="D13" i="20" s="1"/>
  <c r="D17" i="21" l="1"/>
  <c r="F34" i="20"/>
  <c r="D35" i="20"/>
  <c r="D21" i="20"/>
  <c r="D30" i="20"/>
  <c r="F19" i="20"/>
  <c r="B12" i="20"/>
  <c r="B36" i="19"/>
  <c r="D36" i="19" s="1"/>
  <c r="B35" i="19"/>
  <c r="D35" i="19" s="1"/>
  <c r="F35" i="19" l="1"/>
  <c r="D12" i="20"/>
  <c r="F12" i="20" s="1"/>
  <c r="D28" i="19"/>
  <c r="D26" i="19"/>
  <c r="D24" i="19"/>
  <c r="D23" i="19"/>
  <c r="D22" i="19"/>
  <c r="B18" i="19"/>
  <c r="B17" i="19"/>
  <c r="B12" i="19"/>
  <c r="B6" i="19"/>
  <c r="C47" i="23"/>
  <c r="F26" i="19" l="1"/>
  <c r="F23" i="19"/>
  <c r="B13" i="19"/>
  <c r="F22" i="19"/>
  <c r="F24" i="19"/>
  <c r="B6" i="21"/>
  <c r="B6" i="20"/>
  <c r="D12" i="19"/>
  <c r="F12" i="19" s="1"/>
  <c r="F13" i="20"/>
  <c r="F10" i="20" s="1"/>
  <c r="E46" i="23"/>
  <c r="C46" i="23"/>
  <c r="E45" i="23"/>
  <c r="C45" i="23"/>
  <c r="E44" i="23"/>
  <c r="C44" i="23"/>
  <c r="E43" i="23"/>
  <c r="C43" i="23"/>
  <c r="E42" i="23"/>
  <c r="C42" i="23"/>
  <c r="E41" i="23"/>
  <c r="C41" i="23"/>
  <c r="E40" i="23"/>
  <c r="C40" i="23"/>
  <c r="E39" i="23"/>
  <c r="C39" i="23"/>
  <c r="E38" i="23"/>
  <c r="C38" i="23"/>
  <c r="F20" i="19" l="1"/>
  <c r="E37" i="23"/>
  <c r="C37" i="23"/>
  <c r="E36" i="23"/>
  <c r="C36" i="23"/>
  <c r="E35" i="23"/>
  <c r="C35" i="23"/>
  <c r="E34" i="23"/>
  <c r="C34" i="23"/>
  <c r="E33" i="23"/>
  <c r="C33" i="23"/>
  <c r="B33" i="23"/>
  <c r="E31" i="23"/>
  <c r="C31" i="23"/>
  <c r="B31" i="23"/>
  <c r="E30" i="23"/>
  <c r="C30" i="23"/>
  <c r="B30" i="23"/>
  <c r="E29" i="23"/>
  <c r="C29" i="23"/>
  <c r="B29" i="23"/>
  <c r="E28" i="23"/>
  <c r="C28" i="23"/>
  <c r="B28" i="23"/>
  <c r="E27" i="23"/>
  <c r="C27" i="23"/>
  <c r="B27" i="23"/>
  <c r="E26" i="23"/>
  <c r="C26" i="23"/>
  <c r="E25" i="23"/>
  <c r="C25" i="23"/>
  <c r="B25" i="23" s="1"/>
  <c r="E24" i="23"/>
  <c r="C24" i="23"/>
  <c r="B24" i="23"/>
  <c r="E23" i="23"/>
  <c r="C23" i="23"/>
  <c r="B23" i="23" s="1"/>
  <c r="E22" i="23"/>
  <c r="C22" i="23"/>
  <c r="B22" i="23"/>
  <c r="E21" i="23"/>
  <c r="C21" i="23"/>
  <c r="B21" i="23" s="1"/>
  <c r="E20" i="23"/>
  <c r="C20" i="23"/>
  <c r="B20" i="23" s="1"/>
  <c r="E18" i="23"/>
  <c r="C18" i="23"/>
  <c r="B18" i="23"/>
  <c r="E17" i="23"/>
  <c r="C17" i="23"/>
  <c r="B17" i="23" s="1"/>
  <c r="E16" i="23"/>
  <c r="C16" i="23"/>
  <c r="E15" i="23"/>
  <c r="C15" i="23"/>
  <c r="B15" i="23"/>
  <c r="E14" i="23"/>
  <c r="C14" i="23"/>
  <c r="B14" i="23"/>
  <c r="E13" i="23"/>
  <c r="C13" i="23"/>
  <c r="B13" i="23"/>
  <c r="E12" i="23"/>
  <c r="C12" i="23"/>
  <c r="B12" i="23"/>
  <c r="E11" i="23"/>
  <c r="C11" i="23"/>
  <c r="B11" i="23"/>
  <c r="E10" i="23"/>
  <c r="C10" i="23"/>
  <c r="B10" i="23" s="1"/>
  <c r="D10" i="23" s="1"/>
  <c r="E9" i="23"/>
  <c r="C9" i="23"/>
  <c r="B9" i="23" s="1"/>
  <c r="D9" i="23" s="1"/>
  <c r="E8" i="23"/>
  <c r="D29" i="23" l="1"/>
  <c r="D13" i="23"/>
  <c r="D20" i="23"/>
  <c r="D21" i="23"/>
  <c r="D25" i="23"/>
  <c r="D12" i="23"/>
  <c r="D15" i="23"/>
  <c r="D18" i="23"/>
  <c r="D24" i="23"/>
  <c r="D28" i="23"/>
  <c r="D31" i="23"/>
  <c r="D35" i="23"/>
  <c r="D37" i="23"/>
  <c r="D11" i="23"/>
  <c r="D14" i="23"/>
  <c r="D17" i="23"/>
  <c r="D27" i="23"/>
  <c r="D30" i="23"/>
  <c r="D33" i="23"/>
  <c r="D34" i="23"/>
  <c r="D23" i="23"/>
  <c r="C8" i="23"/>
  <c r="B8" i="23"/>
  <c r="E7" i="23"/>
  <c r="C7" i="23"/>
  <c r="E6" i="23"/>
  <c r="C6" i="23"/>
  <c r="B6" i="23"/>
  <c r="D7" i="23" l="1"/>
  <c r="D8" i="23"/>
  <c r="D6" i="23"/>
  <c r="F17" i="20"/>
  <c r="D20" i="20"/>
  <c r="F20" i="20" s="1"/>
  <c r="F18" i="20" s="1"/>
  <c r="F21" i="20"/>
  <c r="B25" i="20"/>
  <c r="D25" i="20" s="1"/>
  <c r="F25" i="20" s="1"/>
  <c r="F23" i="20" s="1"/>
  <c r="D27" i="20"/>
  <c r="F27" i="20" s="1"/>
  <c r="F26" i="20" s="1"/>
  <c r="F30" i="20"/>
  <c r="F29" i="20" s="1"/>
  <c r="F35" i="20"/>
  <c r="F32" i="20" s="1"/>
  <c r="F37" i="20"/>
  <c r="F36" i="20" s="1"/>
  <c r="F15" i="21"/>
  <c r="B16" i="21"/>
  <c r="D16" i="21" s="1"/>
  <c r="F16" i="21" s="1"/>
  <c r="F17" i="21"/>
  <c r="B18" i="21"/>
  <c r="D18" i="21" s="1"/>
  <c r="F18" i="21" s="1"/>
  <c r="D19" i="21"/>
  <c r="F19" i="21" s="1"/>
  <c r="B23" i="21"/>
  <c r="D23" i="21" s="1"/>
  <c r="F23" i="21" s="1"/>
  <c r="B25" i="21"/>
  <c r="D25" i="21" s="1"/>
  <c r="F25" i="21" s="1"/>
  <c r="B26" i="21"/>
  <c r="D26" i="21" s="1"/>
  <c r="F26" i="21" s="1"/>
  <c r="B27" i="21"/>
  <c r="D27" i="21" s="1"/>
  <c r="F27" i="21" s="1"/>
  <c r="D30" i="21"/>
  <c r="F30" i="21" s="1"/>
  <c r="F29" i="21" s="1"/>
  <c r="D13" i="19"/>
  <c r="F13" i="19" s="1"/>
  <c r="F10" i="19" s="1"/>
  <c r="B32" i="19"/>
  <c r="D32" i="19" s="1"/>
  <c r="F32" i="19" s="1"/>
  <c r="F30" i="19" s="1"/>
  <c r="F36" i="19"/>
  <c r="F33" i="19" s="1"/>
  <c r="F28" i="19"/>
  <c r="B16" i="23" l="1"/>
  <c r="D16" i="23" s="1"/>
  <c r="B43" i="23"/>
  <c r="D43" i="23" s="1"/>
  <c r="B26" i="23"/>
  <c r="D26" i="23" s="1"/>
  <c r="F37" i="19"/>
  <c r="B5" i="23" s="1"/>
  <c r="D5" i="23" s="1"/>
  <c r="D39" i="23"/>
  <c r="B42" i="23"/>
  <c r="D42" i="23" s="1"/>
  <c r="F15" i="20"/>
  <c r="F38" i="20" s="1"/>
  <c r="B19" i="23" s="1"/>
  <c r="D19" i="23" s="1"/>
  <c r="B41" i="23"/>
  <c r="D41" i="23" s="1"/>
  <c r="B36" i="23"/>
  <c r="D36" i="23" s="1"/>
  <c r="D44" i="23"/>
  <c r="F24" i="21"/>
  <c r="F21" i="21" s="1"/>
  <c r="B40" i="23"/>
  <c r="D40" i="23" s="1"/>
  <c r="F12" i="21"/>
  <c r="B38" i="23"/>
  <c r="D38" i="23" s="1"/>
  <c r="F37" i="21" l="1"/>
  <c r="B32" i="23" s="1"/>
  <c r="D32" i="23" s="1"/>
  <c r="B47" i="23" l="1"/>
  <c r="D47" i="23" s="1"/>
</calcChain>
</file>

<file path=xl/comments1.xml><?xml version="1.0" encoding="utf-8"?>
<comments xmlns="http://schemas.openxmlformats.org/spreadsheetml/2006/main">
  <authors>
    <author>Азаренко Елена Валерьевна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  <charset val="204"/>
          </rPr>
          <t>Азаренко Елена Валерьевна:</t>
        </r>
        <r>
          <rPr>
            <sz val="9"/>
            <color indexed="81"/>
            <rFont val="Tahoma"/>
            <family val="2"/>
            <charset val="204"/>
          </rPr>
          <t xml:space="preserve">
- вопросы по энергосбытовой деятельности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  <charset val="204"/>
          </rPr>
          <t>Азаренко Елена Валерьева
Подача заявок через ЛКК</t>
        </r>
      </text>
    </comment>
  </commentList>
</comments>
</file>

<file path=xl/sharedStrings.xml><?xml version="1.0" encoding="utf-8"?>
<sst xmlns="http://schemas.openxmlformats.org/spreadsheetml/2006/main" count="581" uniqueCount="285">
  <si>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</si>
  <si>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-</t>
  </si>
  <si>
    <t>Оценочный балл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</si>
  <si>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</si>
  <si>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Значение</t>
  </si>
  <si>
    <t>в том числе, по критериям: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</si>
  <si>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</si>
  <si>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</si>
  <si>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в том числе по критериям: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</si>
  <si>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</si>
  <si>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</si>
  <si>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Наименование параметра (критерия), характеризующего индикатор</t>
  </si>
  <si>
    <t>б) для остальных потребителей услуг, дней</t>
  </si>
  <si>
    <t>3. Отсутствие (наличие) нарушений требований антимонопольного законодательства Российской Федерации,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</si>
  <si>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</si>
  <si>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</si>
  <si>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</si>
  <si>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</si>
  <si>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</si>
  <si>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2. Степень удовлетворения обращений потребителей услуг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</si>
  <si>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</si>
  <si>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</si>
  <si>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4. Индивидуальность подхода к потребителям услуг льготных категорий, по критерию</t>
  </si>
  <si>
    <t>прямая</t>
  </si>
  <si>
    <t>обратная</t>
  </si>
  <si>
    <t>Ф/П*100,%</t>
  </si>
  <si>
    <t>Зависимость</t>
  </si>
  <si>
    <t>1. Возможность личного приема заявителей и потребителей услуг уполномоченными должностными лицами территориальной сетевой организации – всего,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</si>
  <si>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</si>
  <si>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– всего, шт. </t>
  </si>
  <si>
    <t xml:space="preserve">в том числе: </t>
  </si>
  <si>
    <t xml:space="preserve">а) регламенты оказания услуг и рассмотрения обращений заявителей и потребителей услуг, шт. </t>
  </si>
  <si>
    <t>б) наличие положения о деятельности структурного подразделения по работе с заявителями и потребителями услуг
(наличие – 1, отсутствие – 0), шт.</t>
  </si>
  <si>
    <t>2.  Наличие телефонной связи для обращений потребителей услуг к уполномоченным должностным лицам  сетевой организации,</t>
  </si>
  <si>
    <t>2.1. Наличие единого телефонного номера для приема обращений потребителей услуг 
(наличие – 1, отсутствие –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</si>
  <si>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– 1, отсутствие –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</si>
  <si>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– 1, отсутствие –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</si>
  <si>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– 1, отсутствие –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</si>
  <si>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– 1, отсутствие – 0)</t>
  </si>
  <si>
    <t>в том числе, по критерию:</t>
  </si>
  <si>
    <t xml:space="preserve">6. Степень полноты, актуальности и достоверности предоставляемой потребителям услуг информации о деятельности территориальной сетевой организации – всего, 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</si>
  <si>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</si>
  <si>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</si>
  <si>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  Итого по индикатору информативности</t>
  </si>
  <si>
    <t>факт.(Ф)</t>
  </si>
  <si>
    <t>план (П)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</si>
  <si>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– всего,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</si>
  <si>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</si>
  <si>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 присоединения, дней</t>
  </si>
  <si>
    <t>2. Соблюдение сроков по процедурам взаимодействия с потребителями услуг (заявителями) – всего,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</si>
  <si>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</si>
  <si>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</si>
  <si>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 xml:space="preserve">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</si>
  <si>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</si>
  <si>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3.1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услуг, в процентах от общего количества поступивших заявок на технологическое присоединение</t>
  </si>
  <si>
    <t xml:space="preserve">4. Отсутствие (наличие) нарушений требований законодательства Российской Федерации о государственном регулировании цен (тарифов), по критерию </t>
  </si>
  <si>
    <t>6.1. 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– 1, отсутствие –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</si>
  <si>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</si>
  <si>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</si>
  <si>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  Итого по индикатору исполнительности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</si>
  <si>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– 1, отсутствие – 0)</t>
  </si>
  <si>
    <t xml:space="preserve"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</si>
  <si>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</si>
  <si>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формы, в процентах от общего количества поступивших обращений </t>
  </si>
  <si>
    <t xml:space="preserve"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 </t>
  </si>
  <si>
    <t xml:space="preserve"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 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</si>
  <si>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</si>
  <si>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  Оперативность реагирования на обращения потребителей услуг -  всего,</t>
  </si>
  <si>
    <t>3.1. Средняя продолжительность времени принятия мер по результатам обращения потребителя услуг, дней</t>
  </si>
  <si>
    <t xml:space="preserve"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</t>
  </si>
  <si>
    <t>в)* системы автоинформирования, шт. на 1000 потребителей услуг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</si>
  <si>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</si>
  <si>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</si>
  <si>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    Итого по индикатору результативность обратной связи</t>
  </si>
  <si>
    <t>Итого</t>
  </si>
  <si>
    <t>Количество структурных подразделений, задействованных в работе с клиентами</t>
  </si>
  <si>
    <t>Общее количество структруных подразделений филиала</t>
  </si>
  <si>
    <t>Количество документов по работе с заявителями</t>
  </si>
  <si>
    <t>количество должностных инструкций сотрудников, обслуживающих заявителей и потребителей услуг, шт.</t>
  </si>
  <si>
    <t>Количество утвержденных форм отчетности</t>
  </si>
  <si>
    <t xml:space="preserve">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</t>
  </si>
  <si>
    <t>Суммарное количество дней, потраченных на подготовку оферты договора ТП по заявкам, проект договора по которым направлен заявителю в отчетном периоде ,дн.</t>
  </si>
  <si>
    <t>Общее количество проектов договоров по ТП, направленных заявителю в отчетном периоде, шт</t>
  </si>
  <si>
    <t>Суммарное количество дней, потраченных на выполнение ТСО работ по договору  ТП по договорам, технические условия по которым со стороны ТСО выполнены в отчетном периоде ,дн.</t>
  </si>
  <si>
    <t>Исп. 1.2.</t>
  </si>
  <si>
    <t>Исп. 1.1.</t>
  </si>
  <si>
    <t>Исп. 2.1.</t>
  </si>
  <si>
    <t>Общее количество  договоров по ТП,технические условия которых исполнены со стороны ТСО в отчетном периоде, шт</t>
  </si>
  <si>
    <t>Суммарное количество дней, потраченных на подготовку оферты договора на передачу э/э по заявкам, проект договора по которым направлен заявителю в отчетном периоде ,дн.</t>
  </si>
  <si>
    <t>Общее количество проектов договоров по передаче э/э, направленных заявителю в отчетном периоде, шт</t>
  </si>
  <si>
    <t>Исп. 2.2.а)</t>
  </si>
  <si>
    <t>Общее количество оборудованных по заявкам точек учета ПУ  в отчетном периоде (ФЛ и ИП), шт</t>
  </si>
  <si>
    <t>Суммарное количество дней, потраченных на установку ПУ с момента подачи заявки, по исполненным в отчетном периоде заявкам (ФЛ и ИП) ,дн.</t>
  </si>
  <si>
    <t>Суммарное количество дней, потраченных на установку ПУ с момента подачи заявки, по исполненным в отчетном периоде заявкам (прочие) ,дн.</t>
  </si>
  <si>
    <t>Общее количество оборудованных по заявкам точек учета ПУ  в отчетном периоде (прочие), шт</t>
  </si>
  <si>
    <t>Исп. 2.2.б)</t>
  </si>
  <si>
    <t xml:space="preserve"> Количество случаев отказа от заключения и случаев расторжения потребителем услуг договоров оказания услуг по передаче электрической энергии</t>
  </si>
  <si>
    <t>Количество заключенных договоров  на передачу э/э</t>
  </si>
  <si>
    <t>Исп. 2.3.</t>
  </si>
  <si>
    <t>количество поступивших заявок на технологическое присоединение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</si>
  <si>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</t>
  </si>
  <si>
    <t>Исп. 3.1.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</si>
  <si>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</t>
  </si>
  <si>
    <t>Исп. 4.1.</t>
  </si>
  <si>
    <t>Количество обращений потребителей услуг с указанием на ненадлежащее качество электрической энергии</t>
  </si>
  <si>
    <t>Исп. 5.1.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</si>
  <si>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</t>
  </si>
  <si>
    <t>Исп. 6.2.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</si>
  <si>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</si>
  <si>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Исп. 7.1.</t>
  </si>
  <si>
    <t xml:space="preserve"> 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</si>
  <si>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Рос. 2.1.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</si>
  <si>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</si>
  <si>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Рос. 2.2.</t>
  </si>
  <si>
    <t>Рос. 2.3.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</si>
  <si>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</t>
  </si>
  <si>
    <t>Рос. 2.4.</t>
  </si>
  <si>
    <t xml:space="preserve"> Количество отзывов и предложений по вопросам деятельности территориальной сетевой организации, поступивших через обратную связь</t>
  </si>
  <si>
    <t>Рос. 2.5.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</si>
  <si>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</si>
  <si>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Рос. 2.6.</t>
  </si>
  <si>
    <t>Рос. 3.1.</t>
  </si>
  <si>
    <t>Количество проведенных письменных опросов</t>
  </si>
  <si>
    <t>Количество опросов, проведенных посредством электронной связи через сеть Интернет</t>
  </si>
  <si>
    <t>Количество опросов, проведенных посредством системы автоинформирования</t>
  </si>
  <si>
    <t>Общее количество потребителей услуг</t>
  </si>
  <si>
    <t>Рос. 3.2.</t>
  </si>
  <si>
    <t>Рос. 4.1.</t>
  </si>
  <si>
    <t>Суммарная продолжительность времени возмещения ущерба по правомерным жалобам ,по которым в отчетном периоде произошло возмещение ущерба</t>
  </si>
  <si>
    <t>Общее количество правомерных жалоб ,по которым в отчетном периоде произошло возмещение ущерба</t>
  </si>
  <si>
    <t>Рос. 5.1.</t>
  </si>
  <si>
    <t>Рос. 5.2.</t>
  </si>
  <si>
    <t>Количество потребителей ,получивших возмещение убытков в отчетном периоде</t>
  </si>
  <si>
    <t>Количество потребителей ,по которым было принято решение о возмещении ущерба</t>
  </si>
  <si>
    <t xml:space="preserve">Общее количество обращений потребителей услуг о проведении консультаций по вопросам деятельности территориальной сетевой </t>
  </si>
  <si>
    <t>Наименование исходных параметров</t>
  </si>
  <si>
    <t>Фактические значения исходных параметров для расчета показателя качества</t>
  </si>
  <si>
    <t>год</t>
  </si>
  <si>
    <t>Ин</t>
  </si>
  <si>
    <t xml:space="preserve">1.2. а) регламенты оказания услуг и рассмотрения обращений заявителей и потребителей услуг, шт. </t>
  </si>
  <si>
    <t>1.2. б) наличие положения о деятельности структурного подразделения по работе с заявителями и потребителями услуг (наличие – 1, отсутствие – 0), шт.</t>
  </si>
  <si>
    <t>1.2. в) должностные инструкции сотрудников, обслуживающих заявителей и потребителей услуг, шт.</t>
  </si>
  <si>
    <t>1.2. 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</si>
  <si>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Ис</t>
  </si>
  <si>
    <t xml:space="preserve">2.2. 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</si>
  <si>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2.2. б) для остальных потребителей услуг, дней</t>
  </si>
  <si>
    <t>Рс</t>
  </si>
  <si>
    <t>3.2. а) письменных опросов, шт. на 1000 потребителей услуг</t>
  </si>
  <si>
    <t>3.2. б) электронной связи через сеть Интернет, шт. на 1000 потребителей услуг</t>
  </si>
  <si>
    <t>3.2. в) системы автоинформирования, шт. на 1000 потребителей услуг</t>
  </si>
  <si>
    <t>Фактические значения</t>
  </si>
  <si>
    <t>отчетный период</t>
  </si>
  <si>
    <t>Плановое значение</t>
  </si>
  <si>
    <t>Факт/План, %</t>
  </si>
  <si>
    <t>Показатель качества</t>
  </si>
  <si>
    <t>Инф. 1.1</t>
  </si>
  <si>
    <t>Инф. 1.2.а</t>
  </si>
  <si>
    <t>Инф. 1.2.в</t>
  </si>
  <si>
    <t>Инф. 1.2.г</t>
  </si>
  <si>
    <t>Инф. 5.1</t>
  </si>
  <si>
    <t>Общее кол-во поступивших обращений в ТСО</t>
  </si>
  <si>
    <t>Инф. 6.1</t>
  </si>
  <si>
    <t>Инф. 6.2</t>
  </si>
  <si>
    <t xml:space="preserve"> Количество обращений потребителей услуг льготных категорий с указанием на неудовлетворительность качества их обслуживания, шт. (Количество правомерных жалоб по ТП от физ лиц)</t>
  </si>
  <si>
    <t>Количество действующих договоров на передачу э/э по состоянию на начало периода</t>
  </si>
  <si>
    <t xml:space="preserve">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</t>
  </si>
  <si>
    <t>Согласовано:</t>
  </si>
  <si>
    <t>Начальник Управления технологических присоединений</t>
  </si>
  <si>
    <t>Начальник Управления правового обеспечения</t>
  </si>
  <si>
    <t>Начальник отдела метрологии и качества э/э</t>
  </si>
  <si>
    <t>Наименование параметра (критерия)</t>
  </si>
  <si>
    <t>Тип зависимости</t>
  </si>
  <si>
    <t>Отчетный период</t>
  </si>
  <si>
    <t>Расчет параметра (критерия)</t>
  </si>
  <si>
    <t>Пояснения</t>
  </si>
  <si>
    <t>общее количество обращений из оперативного отчета (ячейка "Итого")</t>
  </si>
  <si>
    <t>Количество обращений, зарегистрированных на портале Контакт-Центра</t>
  </si>
  <si>
    <t>Количество вопросов по сбытовой деятельности</t>
  </si>
  <si>
    <t>Суммарное время, затраченное на выполнение работ по правомерным жалобам, дн.</t>
  </si>
  <si>
    <t>Количество заявлений (за исключением ТП и передачи э/э) поступивших и исполненных в отчетном периоде, шт</t>
  </si>
  <si>
    <t>ИСП</t>
  </si>
  <si>
    <t>ИНФ</t>
  </si>
  <si>
    <t>РОС</t>
  </si>
  <si>
    <t>Прямая</t>
  </si>
  <si>
    <t>Суммарное время, затраченное на выполнение работ по заявлениям (за исключением ТП и передачи э/э), дн.</t>
  </si>
  <si>
    <t>Обратная</t>
  </si>
  <si>
    <t xml:space="preserve">2.3.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п.2.2 настоящей формы, в процентах от общего количества поступивших обращений </t>
  </si>
  <si>
    <t>Начальник Управления взаимодействия с клиентами</t>
  </si>
  <si>
    <t>х</t>
  </si>
  <si>
    <t>Начальник Управления учета электроэнергии</t>
  </si>
  <si>
    <t>Начальник Управления реализации услуг</t>
  </si>
  <si>
    <t>3 месяца</t>
  </si>
  <si>
    <t>6 месяцев</t>
  </si>
  <si>
    <t>9 месяцев</t>
  </si>
  <si>
    <t>12 месяцев</t>
  </si>
  <si>
    <r>
      <t xml:space="preserve">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</t>
    </r>
    <r>
      <rPr>
        <b/>
        <sz val="9"/>
        <rFont val="Arial"/>
        <family val="2"/>
        <charset val="204"/>
      </rPr>
      <t xml:space="preserve"> </t>
    </r>
  </si>
  <si>
    <t xml:space="preserve">Считается на основании выгрузки SAP CRM – «Анализ жалоб клиентов - Перечень проблемных клиентов», отметить все виды инцидентов, «Компания участник» = Филиал. По данной выгрузке из суммы по колонке 7 отнимаем кол-во потребителей, от которых поступили данные жалобы. 
Выгрузки осуществляем с 1 января отчетного года по окончание отчетного месяца (накопительным итогом с начала года, например: январь - март, январь - июнь, январь - сентябь, январь - декабрь).
Внимание: в расчете не должны учитываться обращения, зарегистрированные на обезличенных деловых партнеров или обращения от энергосбытовых компаний.
</t>
  </si>
  <si>
    <t>данные из ячейки в строке 10 + данные из ячейки в строке 11 - данные из ячейки в строке 12</t>
  </si>
  <si>
    <t xml:space="preserve">считается на основании выгрузки SAP CRM – «Оперативный отчет №2», «Компания участник» = Филиал, исключить в «Направлении задания» «Исходящий»: колонка «Итого» </t>
  </si>
  <si>
    <t>«Компания участник» = Филиал, цель - "Сбыт. Деятельность", исключить в «Направлении задания» «Исходящий»</t>
  </si>
  <si>
    <t>данные из ячейки в строке 67 + данные из ячейки в строке 68</t>
  </si>
  <si>
    <t>данные равны значениям из строки 9</t>
  </si>
  <si>
    <t>Количество обращений с видом - жалоба, направление задания - входящий, цель - обслуживание, причина - раскрытие информации</t>
  </si>
  <si>
    <t xml:space="preserve">Выгрузка SAP CRM – Отчет по заявкам ТП, «Статус заявки»=Заявка, в «Кол-во дней от заявки до выдачи договора» исключить значение «Дата выдачи договора не заполнена» и отрицательные значения. 
Суммируем кол-во дней по колонке «Кол-во дней от заявки до выдачи договора» только по тем заявкам, дата направления договора по которым соответствует отчетному периоду.
</t>
  </si>
  <si>
    <t xml:space="preserve">Выгрузка SAP CRM – Отчет по заявкам ТП, «Статус заявки»=Заявка, в «Кол-во дней от заявки до выдачи договора» исключить значение «Дата выдачи договора не заполнена» и отрицательные значения. 
Количество ячеек в колонке «Кол-во дней от заявки до выдачи договора» только по тем заявкам, дата направления договора по которым в отчетном периоде.
</t>
  </si>
  <si>
    <t xml:space="preserve">Выгрузка SAP CRM – Универсальный отчёт, «Статус заявки»=Заявка. В колонке «Наименование заказчика/ФИО» необходимо оставить для расчета физических лиц и индивидуальных предпринимателей, в колонке «Статус договора» необходимо оставить «Полностью выполнено» и «Полностью выполнено, есть неоплаченные счета», в колонке «Предмет договора» необходимо оставить установка/замена ПУ.
Необходимо посчитать сумму разности дат «Фактическое выполнение работ» и «Дата обращения».
</t>
  </si>
  <si>
    <t xml:space="preserve">Необходимо посчитать количество заявлений даты фактического выполнения работ которых, приходятся на отчетный период. 
Выгрузку необходимо осуществлять с первого октября года, предшествующего отчетному по последнюю дату отчетного периода
</t>
  </si>
  <si>
    <t xml:space="preserve">Выгрузка SAP CRM – Отчет по заявкам ДС, «Статус заявки»=Заявка. В колонке «Наименование заказчика/ФИО» необходимо оставить юридических лиц, не учтенных в подпункте «а» пункта 2.2, в колонке «Фактическое выполнение работ» необходимо оставить для расчета заявки, даты фактического выполнения работ которых, приходятся на отчетный период.
Необходимо посчитать сумму разности дат «Фактическое выполнение работ» и «Дата обращения»
</t>
  </si>
  <si>
    <t>Необходимо посчитать количество заявлений даты фактического выполнения работ которых, приходятся на отчетный период. 
Выгрузку необходимо осуществлять с первого октября года, предшествующего отчетному по последнюю дату отчетного периода</t>
  </si>
  <si>
    <t xml:space="preserve">Выгрузка SAP CRM – Отчет по заявкам ТП, «Статус заявки»=Заявка, Аннулирована, «Дата перевода в статус Заявка»=с первого января отчетного года по окончание отчетного месяца.
Выгрузку необходимо осуществлять с первого января отчетного года по дату окончания отчетного месяца.
</t>
  </si>
  <si>
    <t>Данные из строки 31</t>
  </si>
  <si>
    <t>Выгрузка SAP CRM – Оперативный отчет №2, «Компания участник» = Филиал, «Причина обращения»=Качество э/э, «Тип жалобы»= Исключить значение «Неправомерная», «Фильтр по виду обращения»=Жалоба, исключить в «Направлении задания» «Исходящий».</t>
  </si>
  <si>
    <t>Данные из строки 9</t>
  </si>
  <si>
    <t>Количество обращений с видом - жалоба, направление задания - входящий, цель - обслуживание, причина - конфиденциальность</t>
  </si>
  <si>
    <t xml:space="preserve">Выгрузка SAP CRM – Оперативный отчет №2, «Компания участник» = Филиал, «Тип жалобы»= Исключить значение «Неправомерная», «Фильтр по виду обращения»=Жалоба, «Причина обращения»=Исключить значение «Отключения аврийные», «Отключения аврийно-экстренные»,  исключить в «Направлении задания» «Исходящий».
Выгрузку необходимо осуществлять с первого января отчетного года по окончание отчетного месяца
</t>
  </si>
  <si>
    <t xml:space="preserve">Выгрузка SAP CRM – Оперативный отчет №2, «Компания участник» = Филиал, «Тип жалобы»= Исключить значение «Неправомерная», «Фильтр по виду обращения»=Жалоба, «Причина обращения»=Исключить значение «Отключения аврийные», «Отключения аврийно-экстренные»,  «Фильтр по статусам»=Исполнено, исключить в «Направлении задания» «Исходящий».
В расчете не должны учитываться обращения от энергосбытовых компаний.
Выгрузку необходимо осуществлять с первого января отчетного года по окончание отчетного месяца
</t>
  </si>
  <si>
    <t>Данные из строки 40</t>
  </si>
  <si>
    <t>Количество повторных жалоб от потребителей (заявителей) услуг в течение 30 рабочих дней после завершения мероприятий, указанных в п.2.2, которые остались неудовлетворенными принятыми мерами по первичным жалобам на ненадлежащее качество услуг по передаче электрической энергии и обслуживание. Датой завершения мероприятий считается дата регистрации ответа потребителю (заявителю) по факту устранения причины инцидента</t>
  </si>
  <si>
    <t>Данные из строки 42</t>
  </si>
  <si>
    <t>Количество обращений с видом - жалоба, направление задания - входящий, цель - технологическое присоединение,  отключения (без отключений аварийны, аварийно-экстренных), передача э/э,  отправитель жалобы - ФАС, Ростехнадзор, Регулирующий орган в области гос регулирования тарифов</t>
  </si>
  <si>
    <t xml:space="preserve">Выгрузка SAP CRM – Оперативный отчет №2, «Компания участник» = Филиал, колонка «Отзывы», «предложения».
В расчете не должны учитываться обращения от энергосбытовых компаний.
</t>
  </si>
  <si>
    <t>Выгрузка SAP CRM – Универсальный отчёт, Статус заявки – «Заявка», снять фильтр с незаполненных ячеек в столбце «фактическая дата выполнения работ», посчитать сумму разности значений «фактическая дата выполнения работ» и «дата заявления».
«Консолидированный отчёт», «Реестр обращений (заяв. и жал.), фильтр по статусам – «Исполнено», фильтр по видам обращения= «Заявление», исключить Цель «Доп. сервисы», исключить причины обращения «Увеличение мощности», «ТП нового объекта», «Перераспределение мощности», «Смена категории энергоснабжения», «изменение точки ТП», «изменение схем внеш элекроснабжения», «Заключение прямых договоров».</t>
  </si>
  <si>
    <t>Консолидированный отчет «Реестр обращений (заяв. и жал.), «Компания участник» = Филиал, «Тип жалобы»= «Правомерная»,  «Фильтр по статусам»=Исполнено, «Фильтр по виду обращения»=Жалоба. Посчитать сумму разности значений «фактическая дата исполнения мероприятий» и «дата регистрации обращения».</t>
  </si>
  <si>
    <t>количество обращений, используемых для расчета строки 51</t>
  </si>
  <si>
    <r>
      <t>Количество правомерных жалоб, поступивших и исполненных в отчетном периоде, шт</t>
    </r>
    <r>
      <rPr>
        <sz val="9"/>
        <color indexed="10"/>
        <rFont val="Arial"/>
        <family val="2"/>
        <charset val="204"/>
      </rPr>
      <t xml:space="preserve"> </t>
    </r>
  </si>
  <si>
    <t>количество обращений, используемых для расчета строки 52</t>
  </si>
  <si>
    <t>количество правомерных жалоб по технологическому присоединению, поступивших с первого января отчетного периода по окончание отчетного месяца, у которых максимальная мощность согласно условий договора до 670 кВт</t>
  </si>
  <si>
    <t xml:space="preserve">консолидированный отчет «Реестр обращений (заявления, жалобы)», Цель = «передача э/э», причина – «ущерб». Статус – правомерная. Фактическая дата исполнения мероприятий – даты отчетного периода. 
Необходимо рассчитать сумму разности «Фактическая дата исполнения» и «Дата регистрации обращения».
</t>
  </si>
  <si>
    <t>общее количество правомерных жалоб, по которым осуществили возмещение ущерба в отчетном периоде.</t>
  </si>
  <si>
    <t>сумма жалоб, по которым осуществили возмещение ущерба в отчетном периоде в судебном и  внесудебном порядке, а также количество вынесенных судебных решений в отчетном периоде.</t>
  </si>
  <si>
    <t>Дополнительная информация с Портала Контакт-Центра:</t>
  </si>
  <si>
    <t>Общее количество обращений потребителей услуг о проведении консультаций по вопросам деятельности территориальной сетевой (ИЗ SAP CRM)</t>
  </si>
  <si>
    <t>на основании выгрузки SAP CRM – «Оперативный отчет №2», «Компания участник» = Филиал, исключить в «Направлении задания» «Исходящий», Итого по столбцу «Консультации».</t>
  </si>
  <si>
    <t>Общее количество обращений потребителей услуг о проведении консультаций по вопросам деятельности территориальной сетевой (С ПОРТАЛА КОНТАКТ-ЦЕНТРА)</t>
  </si>
  <si>
    <t>сумма по причинам: «Коммутация ПЛЭ», «Ошиблись номером», «Сторонние сети», «Предстоящее плановое отключение», «Вопросы оплаты» в отчёте с портала Контакт-центра «Причины не дублирующиеся в CRM»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</si>
  <si>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 (ИЗ SAP CRM)</t>
  </si>
  <si>
    <t>значение данного параметра заполняется по результатам выгрузки отчета. Консолидированный отчёт – Реестр обращений (жалобы и заявления), Фильтр по типу Делового партнёра – «Лицо», фильтр по виду обращения – «Жалоба», период поступления обращения с 01 января отчетного года по последнюю дату отчётного периода, причина обращения – «Плановые отключения»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</si>
  <si>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 (С ПОРТАЛА КОНТАКТ-ЦЕНТРА)</t>
  </si>
  <si>
    <t>отчет портала КонтактЦентра «Причины недублирующиеся в SRM с 10.11.2014», фильтр по типу Лицо – «Юридическое», графа «Предстоящее плановое отключение»</t>
  </si>
  <si>
    <t xml:space="preserve">Описание источника данных </t>
  </si>
  <si>
    <t>Тамбовэнерго</t>
  </si>
  <si>
    <t>Числитель Инф. 6.1</t>
  </si>
  <si>
    <t xml:space="preserve">Расширен перечень форм отчетности . Увеличение за счет  автоматизации формирования отчетных форм в корпоративной ERP системе (SAP CRM) </t>
  </si>
  <si>
    <t>Снижение времени на разработку и направление оферты договора на технологческое присоединение обусловлено исполнением п. 2.1. приказа ОАО "Россети" от 30.12.2013 г. № 731"О совершенствовании ТП"</t>
  </si>
  <si>
    <t>Снижение среднего времени на выполнение относящейся к территориальной сетевой организации части технических условий по договору на осуществление технологического  присоединения обусловлено оптимизацией деятельности по исполнению обязательств со стороны Филиала</t>
  </si>
  <si>
    <t>Среднее время оборудования точк учета ПУ по ФЛ и ИП возросло  в связи с увеличением кол-ва заявок</t>
  </si>
  <si>
    <t>Установленные вступившими в законную силу решением антимонопольного органа и (или) суда нарушения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 отсутствуют</t>
  </si>
  <si>
    <t>Уустановленные вступившими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 отсутствуют</t>
  </si>
  <si>
    <t xml:space="preserve">Обращений потребителей услуг с указанием на  неправомерность использования персональных данных потребителей услуг не поступало </t>
  </si>
  <si>
    <t>Поступление отзывов обусловлено активным осуществлением в рамках мероприятий, направленных на достижение утвержденного Показателя качества оказываемых услуг, обратной связи с клиентом по результатам исполнения обязательств ТСО.</t>
  </si>
  <si>
    <t xml:space="preserve">Интерактивная анкета размещена на сайте Общества в феврале 2012 года. </t>
  </si>
  <si>
    <t>Опросы не проводятся посредством системы автоинформирования</t>
  </si>
  <si>
    <t>Возмещение убытков не производилось</t>
  </si>
  <si>
    <t>Рост консультаций обусловлен  ростом общего числа обращений в филиал.</t>
  </si>
  <si>
    <t xml:space="preserve">Увеличение средней продолжительности времени принятия мер по результатам обращения потребителей услуг обусловлено прежде всего увеличением самих обращений. </t>
  </si>
  <si>
    <t>Данные из строки 9 Необходимо исключить обращения от физ. Лиц</t>
  </si>
  <si>
    <t xml:space="preserve">Исп. 2.2. Суммарное количество дней, потраченных  на установку п/у с  момента подачи заявки по исполненным в отчетном периоде заявкам, дн  2.2. 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</si>
  <si>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 xml:space="preserve">Увеличение жалоб  на качество услуг по передаче  э/э и обслуживание связано с неблагоприятными погодными условиями при прохождении ОЗП.   </t>
  </si>
  <si>
    <t>В 2010 году осуществлена полная публикация информации, которая должна быть раскрыта территориальной сетевой организацией в соответствии с нормативными правовыми актами, на официальном сайте компании, в связи с чем за 2016 год подобных обращений от потребителей услуг не поступало.</t>
  </si>
  <si>
    <t>Числитель Исп. 6.2</t>
  </si>
  <si>
    <t xml:space="preserve">1. Политика в области работы с клиентами ОАО «МРСК Центра», Приказ ОАО «МРСК Центра» № 293-ЦА от 31.12.2009г.;
2. Стандарт «Стандарты качества обслуживания потребителей услуг» ОАО «МРСК Центра» СТО БП 9/01-04/2015, утвержденный Советом директоров  ОАО «МРСК Центра», выписка из протокола  №13/15 от 22.06.2015г.;
3. Стандарт ОАО «МРСК Центра» — «Развитие дополнительных сервисов» СТО БП 8/01-02/2011, утвержденный приказом ОАО «МРСК Центра» №311-ЦА от 31.10.2011г.,
4. Стандарт «Система управления качеством электрической энергии в ПАО «МРСК Центра» СТО БП 10.04/01-05/2017;
5.  Регламент процедуры «Обработка обращений потребителей услуг» ПАО «МРСК Центра» РГ БП 9/04-08/2017, утвержден приказом ПАО «МРСК Центра» от 14.09.2017              №318-ЦА;
6.  Регламент «Порядок взаимодействия структурных подразделений ПАО «МРСК Центра» и Контакт-центра»,  РГ БП 09/01-04/2017, утвержден Приказом ПАО «МРСК Центра» от 23.08.2017 № 296-ЦА;
7.  Регламент бизнес-процесса «Реализация дополнительных услуг» РГ БП 8/01-03/2016, утвержденный Приказом ПАО «МРСК Центра» от 28.01.2016 №25-ЦА; 
8. Регламент «Технологическое присоединение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 организациям и иным лицам, к электрическим сетям ОАО «МРСК Центра» РГ БП 6/01-05/2014,  утвержденный Приказом ОАО «МРСК Центра» № 261-ЦА  от 05.09.2014г.;
9. Регламент «Порядок обработки информации о хищениях электроэнергии и выплаты вознаграждения лицам, сообщившим о хищении» РГ БП 9/05-01/2009, утвержденный Приказом ОАО «МРСК Центра» №7-ЦА от 22.01.2010г.;
10.  Регламент «Организация мероприятий по информированию потребителей и продвижению услуг ПАО «МРСК Центра»»  РГ БП 9/06-02/2016, утвержден  Приказом  ПАО «МРСК Центра» Пр-275-ЦА от 15.06.2018.  
11.  Регламент процедуры «Предоставление услуги «Переустройство электросетевых объектов ПАО «МРСК Центра» в интересах клиентов», РГ БП 8/03-03/2018, утвержден Приказом ПАО «МРСК Центра» от 23.05.2017 № 175-ЦА.    
12. Руководство «Порядок приема, рассмотрения и  разрешения обращений заявителей (работников, контрагентов ПАО «МРСК Центра» и иных физических и юридических лиц) о возможных фактах коррупции» РК БП 1/02-03/2017, утвержденное Приказом ПАО «МРСК Центра» от 17.11.2017 389-ЦА. 
13.  Положение о временных информационных центрах ПАО «МРСК Центра», ПС БП 9/01-03/2017, утверждено приказом  ПАО «МРСК Центра» от 23.08.2017 № 296-ЦА.
14. Методическая инструкция «Паспорта  услуг (процессов), оказываемых ОАО «МРСК Центра» потребителям электроэнергии» МИ БП 9/03-04/2015, утверждена приказом ОАО «МРСК Центра» от 01.06.2015 № 210-ЦА.  
15.  Методическая инструкция «Оценка удовлетворенности потребителей, их требований и ожиданий» МИ БП 09/01-02/2016, утверждена распоряжением ПАО «МРСК Центра» от 28.11.2016 № ЦА-23/187-р.
16.  Методическая инструкция «Работа с входящими документами Федеральной антимонопольной службы по обращениям потребителей» МИ БП 9/02-03/2017, утверждена приказом ПАО  «МРСК Центра» от 27.04.2017 № 143-ЦА.
17.   Рабочая инструкция "Ведение заявок на дополнительные сервисы" РИП БП9 CRM_GUI/001‒01/2016
18. Рабочая инструкция «Ведение обращений клиентов» РИП БП9 CRM_GUI/002‒02/2017
19. Рабочая инструкция Ведение заявок на ТП РИП БП9 CRM_GUI/003‒02/2017
20. Рабочая инструкция Проведение анкетирования РИП БП9 CRM_GUI/004‒01/2016
21.  Рабочая инструкция Ведение предложений РИП БП9 CRM_GUI/005‒01/2016
22.  Рабочая инструкция «Порядок рассмотрения жалоб потребителей на качество электроэнергии» РИ БП 10.4/06-05/2017, утверждена приказом ПАО «МРСК Центра» от 18.12.2017 № 451-ЦА.
23.  Рабочая инструкция пользователя системы предварительной записи на прием потребителей электроэнергии на портале Контакт-Центра, введенная распоряжением                ОАО «МРСК Центра» от 10.03.2015 № ЦА/23/24-р.
24.  Рабочая инструкция  «Прием обращений клиентов и постановка задачи в СОУДК «Synergy Center» РИ БП 9/01-03/2017, утверждена приказом ПАО «МРСК Центра» от 27.04.2017 № 143-ЦА.
25. Регламент процедуры  «Согласование земельных участков, в том числе границ смежных землепользователей, а также выдача справок о наличии (отсутствии) объектов ОАО «МРСК Центра» на земельных участках заявителей, согласование строительства, капитального ремонта, реконструкции и  размещения (в том числе и временного) объектов, как в охранных зонах, так и на территории самих объектов электросетевого хозяйства в зоне ответственности филиала ОАО «МРСК Центра»-«Липецкэнерго»», утвержденный Приказом филиала ОАО «МРСК Центра»-«Липецкэнерго» №793-ЛП от 17.11.2015 г.
26. Руководство Работа ПАО «МРСК Центра» с Порталом электросетевых услуг Группы компаний Россети» РК БП 9/03-01/2017 , утверждено Пр-299-ЦА от 24.08.2017
27. Рабочая инструкция Действия потребителя электроэнергии  РИП БП9 ЛКК/001-01/2017
28. Рабочая инструкция Администрирование системы РИП БП9 ЛКК/002-01/2017
29. Рабочая инструкция "Информирование клиентов" РИП БП9 CRM_WEB/004‒01/2018
30. Руководство Порядок оказания услуг по технологическому присоединению энергоустановок к электрическим сетям ПАО «МРСК Центра» и ПАО «МРСК Центра и Приволжья» РК БП 6/02-01/2018  утв. Пр-469-ЦА от 15.10.2018
31. Регламент Выполнение работ, относящихся к компетенции клиента при осуществлении процедуры технологического присоединения РГ БП 8/04-02/2017 утв. Пр-64-ЦА от 07.03.2017
32. Регламент процедуры «Предоставление услуги «Техническое обслуживание и ремонт электрических сетей и электрооборудования» РГ БП 8/06-01/2017  утв. Пр-301-ЦА от 25.08.2017
33. Регламент «Предоставление технических ресурсов ПАО «МРСК Центра» РГ БП 8/07-01/2018  утв. Пр-142-ЦА от 29.03.2018
</t>
  </si>
  <si>
    <t>Количество жалоб не увеличилось по сравнению с прошлым периодом</t>
  </si>
  <si>
    <t xml:space="preserve"> Количество обращений потребителей услуг льготных категорий с указанием на неудовлетворительность качества их обслуживания, шт. (Количество правомерных жалоб по ТП от физ лиц)-1</t>
  </si>
  <si>
    <t>Не поступало таких обращений</t>
  </si>
  <si>
    <t>за 2020 год среднее время  необходимое для оборудования точки поставки приборами учета с момента подачи заявления потребителем услуг для физических лиц, включая индивидуальных предпринимателей, и юридических лиц - субъектов малого и среднего предпринимательства по сравнению с предыдущим периодом уменьшилось в связи с ростом заявок</t>
  </si>
  <si>
    <t>Суммарное количество дней, потраченных на установку ПУ с момента подачи заявки, по исполненным в отчетном периоде заявкам (прочие) , 6967дн./Общее количество оборудованных по заявкам точек учета ПУ  в отчетном периоде (прочие),199 шт   6967/199=35</t>
  </si>
  <si>
    <t>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 -0
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 –0 шт.
0*100/0= 0,00%</t>
  </si>
  <si>
    <t>Суммарное количество дней, потраченных на установку ПУ с момента подачи заявки, по исполненным в отчетном периоде заявкам (прочие), 26525 дн. Общее количество оборудованных по заявкам точек учета ПУ  в отчетном периоде (прочие),752 шт       26525/752=35</t>
  </si>
  <si>
    <t>Введен ЛКК</t>
  </si>
  <si>
    <t>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-0
Общее кол-во поступивших обращений в ТСО -37687   0*100%/37687 = 0,00%</t>
  </si>
  <si>
    <t xml:space="preserve">Количество обращений потребителей услуг о проведении консультаций по вопросам деятельности территориальной сетевой организации – 5709 шт., общее количество поступивших обращений –37687;             100*5709/37687=15,15%                                    </t>
  </si>
  <si>
    <t>Суммарное количество дней, потраченных на подготовку оферты договора ТП по заявкам, проект договора по которым направлен заявителю в отчетном периоде ,дн. - 13779
Общее количество проектов договоров по ТП, направленных заявителю в отчетном периоде, шт -1024   13779/1024=13,462</t>
  </si>
  <si>
    <t>Суммарное количество дней, потраченных на выполнение ТСО работ по договору  ТП по договорам, технические условия по которым со стороны ТСО выполнены в отчетном периоде ,дн. - 36168
Общее количество  договоров по ТП,технические условия которых исполнены со стороны ТСО в отчетном периоде, шт - 466     36168/466=77,61</t>
  </si>
  <si>
    <t xml:space="preserve">Суммарное количество дней, потраченных на подготовку оферты договора на передачу э/э по заявкам, проект договора по которым направлен заявителю в отчетном периоде ,дн.-6,34; Общее количество проектов договоров по передаче э/э, направленных заявителю в отчетном периоде, шт-3  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</si>
  <si>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6,34 дней</t>
  </si>
  <si>
    <t>Количество обращений потребителей услуг с указанием на ненадлежащее качество электрической энергии – 23шт., в процентах от общего количества поступивших обращений –37687шт. – 0,06%.</t>
  </si>
  <si>
    <t>За3 квартал 2020 года поступило49 жалоб на отключения э/э от юр. лиц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</si>
  <si>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 -402
Общее кол-во поступивших обращений в ТСО -37687            402*100/37687=1,1%</t>
  </si>
  <si>
    <t>Количество отзывов и предложений по вопросам деятельности территориальной сетевой организации, поступивших через обратную связь –120 шт., в процентах от общего количества поступивших обращений –37687 шт. – 0,32%.</t>
  </si>
  <si>
    <t>Количество  опросов - 120
Общее количество потребителей услуг - 211811
120*1000/211811=0,57</t>
  </si>
  <si>
    <t>Суммарное время, затраченное на выполнение работ по заявкам (за исключением ТП и передачи э/э) и правомерные жалобы, дн. / (Количество заявлений (за исключением ТП и передачи э/э) поступивших в отчетном периоде, шт + Количество правомерных жалоб, поступивших в отчетном периоде, шт )   45364/2174=21</t>
  </si>
  <si>
    <t>данные из строки 69-70</t>
  </si>
  <si>
    <t>Приложение 2. Форма отчета о фактических значениях параметров показателя качества оказываемых услуг в  2020 году в филиале ПАО "МРСК Центра"-"Тамбовэнерго"</t>
  </si>
  <si>
    <t>12 мес 2020 г</t>
  </si>
  <si>
    <t>Пояснения по расчету параметров (критериев) качества услуг, факт по которым относительно плана  превышает 20%,  за 12 мес.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</si>
</sst>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h:mm;@"/>
    <numFmt numFmtId="166" formatCode="0.000"/>
    <numFmt numFmtId="167" formatCode="0.00000000000"/>
    <numFmt numFmtId="168" formatCode="0.0000"/>
    <numFmt numFmtId="169" formatCode="0.0%"/>
    <numFmt numFmtId="170" formatCode="0.00000"/>
    <numFmt numFmtId="171" formatCode="#,##0.00&quot;р.&quot;"/>
  </numFmts>
  <fonts count="4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Roman"/>
      <family val="1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10"/>
      <name val="Arial"/>
      <family val="2"/>
      <charset val="204"/>
    </font>
    <font>
      <i/>
      <sz val="10"/>
      <name val="Arial Cyr"/>
      <charset val="204"/>
    </font>
    <font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8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165" fontId="4" fillId="0" borderId="0">
      <protection locked="0"/>
    </xf>
    <xf numFmtId="0" fontId="4" fillId="0" borderId="0"/>
    <xf numFmtId="0" fontId="31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28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24" fillId="0" borderId="0" xfId="0" applyFont="1"/>
    <xf numFmtId="0" fontId="5" fillId="0" borderId="10" xfId="0" applyNumberFormat="1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NumberFormat="1" applyFont="1" applyBorder="1" applyAlignment="1" applyProtection="1">
      <alignment horizontal="center" vertical="center" wrapText="1"/>
    </xf>
    <xf numFmtId="1" fontId="5" fillId="0" borderId="11" xfId="0" applyNumberFormat="1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vertical="center"/>
    </xf>
    <xf numFmtId="0" fontId="6" fillId="0" borderId="12" xfId="0" applyNumberFormat="1" applyFont="1" applyBorder="1" applyAlignment="1" applyProtection="1">
      <alignment vertical="center"/>
    </xf>
    <xf numFmtId="0" fontId="0" fillId="0" borderId="0" xfId="0" applyFont="1"/>
    <xf numFmtId="0" fontId="6" fillId="0" borderId="13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justify" vertical="top" wrapText="1"/>
    </xf>
    <xf numFmtId="0" fontId="26" fillId="0" borderId="14" xfId="0" applyFont="1" applyBorder="1" applyAlignment="1" applyProtection="1">
      <alignment horizontal="justify" vertical="top" wrapText="1"/>
    </xf>
    <xf numFmtId="0" fontId="6" fillId="0" borderId="14" xfId="0" applyFont="1" applyBorder="1" applyAlignment="1" applyProtection="1">
      <alignment horizontal="justify" wrapText="1"/>
    </xf>
    <xf numFmtId="167" fontId="6" fillId="0" borderId="12" xfId="0" applyNumberFormat="1" applyFont="1" applyBorder="1" applyAlignment="1"/>
    <xf numFmtId="0" fontId="5" fillId="0" borderId="11" xfId="0" applyFont="1" applyBorder="1" applyAlignment="1">
      <alignment horizontal="center" wrapText="1"/>
    </xf>
    <xf numFmtId="164" fontId="5" fillId="0" borderId="11" xfId="0" applyNumberFormat="1" applyFont="1" applyBorder="1" applyAlignment="1">
      <alignment horizontal="center" wrapText="1"/>
    </xf>
    <xf numFmtId="167" fontId="5" fillId="0" borderId="12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1" fontId="5" fillId="0" borderId="17" xfId="0" applyNumberFormat="1" applyFont="1" applyBorder="1" applyAlignment="1" applyProtection="1">
      <alignment horizontal="center" vertical="center" wrapText="1"/>
    </xf>
    <xf numFmtId="0" fontId="24" fillId="0" borderId="0" xfId="0" applyFont="1" applyAlignment="1">
      <alignment horizontal="left"/>
    </xf>
    <xf numFmtId="0" fontId="5" fillId="0" borderId="11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 applyProtection="1">
      <alignment horizontal="center" vertical="center" wrapText="1"/>
    </xf>
    <xf numFmtId="17" fontId="6" fillId="0" borderId="0" xfId="0" applyNumberFormat="1" applyFont="1"/>
    <xf numFmtId="0" fontId="26" fillId="0" borderId="14" xfId="0" applyFont="1" applyFill="1" applyBorder="1" applyAlignment="1" applyProtection="1">
      <alignment horizontal="justify" vertical="top" wrapText="1"/>
    </xf>
    <xf numFmtId="0" fontId="5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Continuous"/>
    </xf>
    <xf numFmtId="0" fontId="0" fillId="0" borderId="0" xfId="0" applyAlignment="1">
      <alignment wrapText="1"/>
    </xf>
    <xf numFmtId="165" fontId="6" fillId="25" borderId="14" xfId="36" applyFont="1" applyFill="1" applyBorder="1" applyAlignment="1" applyProtection="1">
      <alignment horizontal="center" vertical="top" wrapText="1"/>
    </xf>
    <xf numFmtId="166" fontId="5" fillId="25" borderId="11" xfId="36" applyNumberFormat="1" applyFont="1" applyFill="1" applyBorder="1" applyAlignment="1" applyProtection="1">
      <alignment horizontal="center" vertical="center" wrapText="1"/>
    </xf>
    <xf numFmtId="0" fontId="26" fillId="0" borderId="14" xfId="0" applyFont="1" applyBorder="1" applyAlignment="1" applyProtection="1">
      <alignment horizontal="left" vertical="top" wrapText="1"/>
    </xf>
    <xf numFmtId="1" fontId="32" fillId="0" borderId="11" xfId="0" applyNumberFormat="1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left" vertical="top" wrapText="1"/>
    </xf>
    <xf numFmtId="2" fontId="32" fillId="0" borderId="11" xfId="0" applyNumberFormat="1" applyFont="1" applyBorder="1" applyAlignment="1">
      <alignment horizontal="center" vertical="center"/>
    </xf>
    <xf numFmtId="165" fontId="26" fillId="25" borderId="14" xfId="36" applyFont="1" applyFill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wrapText="1"/>
    </xf>
    <xf numFmtId="0" fontId="32" fillId="0" borderId="11" xfId="0" applyFont="1" applyBorder="1" applyAlignment="1">
      <alignment horizontal="center" vertical="center"/>
    </xf>
    <xf numFmtId="166" fontId="32" fillId="0" borderId="11" xfId="0" applyNumberFormat="1" applyFont="1" applyBorder="1" applyAlignment="1">
      <alignment horizontal="center" vertical="center"/>
    </xf>
    <xf numFmtId="9" fontId="5" fillId="25" borderId="12" xfId="42" applyFont="1" applyFill="1" applyBorder="1" applyAlignment="1" applyProtection="1">
      <alignment horizontal="center" vertical="center" wrapText="1"/>
    </xf>
    <xf numFmtId="9" fontId="32" fillId="0" borderId="11" xfId="42" applyFont="1" applyBorder="1" applyAlignment="1">
      <alignment horizontal="center" vertical="center"/>
    </xf>
    <xf numFmtId="9" fontId="33" fillId="0" borderId="11" xfId="42" applyFont="1" applyBorder="1" applyAlignment="1">
      <alignment horizontal="center" vertical="center"/>
    </xf>
    <xf numFmtId="9" fontId="30" fillId="25" borderId="12" xfId="42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24" fillId="0" borderId="0" xfId="0" applyFont="1" applyBorder="1"/>
    <xf numFmtId="0" fontId="6" fillId="0" borderId="0" xfId="0" applyFont="1" applyBorder="1"/>
    <xf numFmtId="0" fontId="6" fillId="0" borderId="0" xfId="0" applyFont="1" applyFill="1" applyBorder="1"/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vertical="center"/>
    </xf>
    <xf numFmtId="0" fontId="6" fillId="0" borderId="11" xfId="0" applyNumberFormat="1" applyFont="1" applyBorder="1" applyAlignment="1" applyProtection="1">
      <alignment horizontal="center" vertical="center" wrapText="1"/>
    </xf>
    <xf numFmtId="168" fontId="5" fillId="25" borderId="11" xfId="36" applyNumberFormat="1" applyFont="1" applyFill="1" applyBorder="1" applyAlignment="1" applyProtection="1">
      <alignment horizontal="center" vertical="center" wrapText="1"/>
    </xf>
    <xf numFmtId="164" fontId="32" fillId="0" borderId="11" xfId="0" applyNumberFormat="1" applyFont="1" applyBorder="1" applyAlignment="1">
      <alignment horizontal="center" vertical="center"/>
    </xf>
    <xf numFmtId="169" fontId="5" fillId="25" borderId="12" xfId="42" applyNumberFormat="1" applyFont="1" applyFill="1" applyBorder="1" applyAlignment="1" applyProtection="1">
      <alignment horizontal="center" vertical="center" wrapText="1"/>
    </xf>
    <xf numFmtId="9" fontId="5" fillId="0" borderId="11" xfId="42" applyFont="1" applyBorder="1" applyAlignment="1" applyProtection="1">
      <alignment horizontal="center" vertical="center" wrapText="1"/>
    </xf>
    <xf numFmtId="166" fontId="5" fillId="0" borderId="12" xfId="0" applyNumberFormat="1" applyFont="1" applyBorder="1" applyAlignment="1" applyProtection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6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64" fontId="6" fillId="0" borderId="11" xfId="0" applyNumberFormat="1" applyFont="1" applyFill="1" applyBorder="1" applyAlignment="1"/>
    <xf numFmtId="0" fontId="6" fillId="0" borderId="11" xfId="0" applyFont="1" applyFill="1" applyBorder="1" applyAlignment="1"/>
    <xf numFmtId="167" fontId="6" fillId="0" borderId="12" xfId="0" applyNumberFormat="1" applyFont="1" applyFill="1" applyBorder="1" applyAlignment="1"/>
    <xf numFmtId="164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wrapText="1"/>
    </xf>
    <xf numFmtId="167" fontId="5" fillId="0" borderId="12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 applyProtection="1">
      <alignment horizontal="center" vertical="center" wrapText="1"/>
    </xf>
    <xf numFmtId="166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1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6" fontId="5" fillId="0" borderId="26" xfId="0" applyNumberFormat="1" applyFont="1" applyFill="1" applyBorder="1" applyAlignment="1" applyProtection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vertical="center"/>
    </xf>
    <xf numFmtId="2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</xf>
    <xf numFmtId="0" fontId="6" fillId="0" borderId="24" xfId="0" applyNumberFormat="1" applyFont="1" applyFill="1" applyBorder="1" applyAlignment="1" applyProtection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</xf>
    <xf numFmtId="166" fontId="25" fillId="0" borderId="26" xfId="0" applyNumberFormat="1" applyFont="1" applyFill="1" applyBorder="1" applyAlignment="1" applyProtection="1">
      <alignment horizontal="center" vertical="center" wrapText="1"/>
    </xf>
    <xf numFmtId="165" fontId="6" fillId="0" borderId="0" xfId="36" applyFont="1" applyAlignment="1" applyProtection="1">
      <alignment horizontal="center"/>
    </xf>
    <xf numFmtId="165" fontId="6" fillId="0" borderId="0" xfId="36" applyFont="1" applyBorder="1" applyAlignment="1" applyProtection="1">
      <alignment horizontal="center"/>
    </xf>
    <xf numFmtId="9" fontId="5" fillId="0" borderId="11" xfId="42" applyFont="1" applyBorder="1" applyAlignment="1">
      <alignment horizontal="center" vertical="center"/>
    </xf>
    <xf numFmtId="166" fontId="32" fillId="0" borderId="11" xfId="0" applyNumberFormat="1" applyFont="1" applyFill="1" applyBorder="1" applyAlignment="1">
      <alignment horizontal="center" vertical="center"/>
    </xf>
    <xf numFmtId="0" fontId="6" fillId="25" borderId="11" xfId="37" applyFont="1" applyFill="1" applyBorder="1" applyAlignment="1" applyProtection="1">
      <alignment vertical="top" wrapText="1"/>
    </xf>
    <xf numFmtId="0" fontId="0" fillId="0" borderId="0" xfId="0" applyFill="1" applyBorder="1" applyAlignment="1">
      <alignment vertical="top" wrapText="1"/>
    </xf>
    <xf numFmtId="165" fontId="6" fillId="25" borderId="21" xfId="36" applyFont="1" applyFill="1" applyBorder="1" applyAlignment="1" applyProtection="1">
      <alignment horizontal="center" vertical="center" wrapText="1"/>
    </xf>
    <xf numFmtId="165" fontId="6" fillId="25" borderId="12" xfId="36" applyFont="1" applyFill="1" applyBorder="1" applyAlignment="1" applyProtection="1">
      <alignment horizontal="center" vertical="center" wrapText="1"/>
    </xf>
    <xf numFmtId="165" fontId="6" fillId="25" borderId="13" xfId="36" applyFont="1" applyFill="1" applyBorder="1" applyAlignment="1" applyProtection="1">
      <alignment horizontal="center" vertical="top" wrapText="1"/>
    </xf>
    <xf numFmtId="165" fontId="6" fillId="25" borderId="12" xfId="36" applyFont="1" applyFill="1" applyBorder="1" applyAlignment="1" applyProtection="1">
      <alignment horizontal="center" vertical="top" wrapText="1"/>
    </xf>
    <xf numFmtId="0" fontId="6" fillId="25" borderId="13" xfId="0" applyFont="1" applyFill="1" applyBorder="1" applyAlignment="1" applyProtection="1">
      <alignment horizontal="center" vertical="top" wrapText="1"/>
    </xf>
    <xf numFmtId="0" fontId="6" fillId="25" borderId="11" xfId="0" applyFont="1" applyFill="1" applyBorder="1" applyAlignment="1" applyProtection="1">
      <alignment horizontal="center" vertical="top" wrapText="1"/>
    </xf>
    <xf numFmtId="0" fontId="6" fillId="25" borderId="14" xfId="0" applyFont="1" applyFill="1" applyBorder="1" applyAlignment="1" applyProtection="1">
      <alignment horizontal="center" vertical="top" wrapText="1"/>
    </xf>
    <xf numFmtId="0" fontId="5" fillId="25" borderId="11" xfId="0" applyFont="1" applyFill="1" applyBorder="1" applyAlignment="1" applyProtection="1">
      <alignment horizontal="center" vertical="top" wrapText="1"/>
    </xf>
    <xf numFmtId="0" fontId="5" fillId="25" borderId="12" xfId="0" applyFont="1" applyFill="1" applyBorder="1" applyAlignment="1" applyProtection="1">
      <alignment horizontal="center" vertical="top" wrapText="1"/>
    </xf>
    <xf numFmtId="0" fontId="6" fillId="25" borderId="15" xfId="0" applyFont="1" applyFill="1" applyBorder="1" applyAlignment="1" applyProtection="1">
      <alignment horizontal="center" vertical="top" wrapText="1"/>
    </xf>
    <xf numFmtId="0" fontId="6" fillId="25" borderId="18" xfId="0" applyFont="1" applyFill="1" applyBorder="1" applyAlignment="1" applyProtection="1">
      <alignment horizontal="center" vertical="top" wrapText="1"/>
    </xf>
    <xf numFmtId="0" fontId="6" fillId="25" borderId="19" xfId="0" applyFont="1" applyFill="1" applyBorder="1" applyAlignment="1" applyProtection="1">
      <alignment horizontal="center" vertical="top" wrapText="1"/>
    </xf>
    <xf numFmtId="0" fontId="5" fillId="25" borderId="19" xfId="0" applyFont="1" applyFill="1" applyBorder="1" applyAlignment="1" applyProtection="1">
      <alignment horizontal="center" vertical="top" wrapText="1"/>
    </xf>
    <xf numFmtId="0" fontId="5" fillId="25" borderId="20" xfId="0" applyFont="1" applyFill="1" applyBorder="1" applyAlignment="1" applyProtection="1">
      <alignment horizontal="center" vertical="top" wrapText="1"/>
    </xf>
    <xf numFmtId="1" fontId="6" fillId="27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27" borderId="11" xfId="0" applyNumberFormat="1" applyFont="1" applyFill="1" applyBorder="1" applyAlignment="1">
      <alignment horizontal="center" vertical="center" wrapText="1"/>
    </xf>
    <xf numFmtId="0" fontId="6" fillId="27" borderId="11" xfId="0" applyNumberFormat="1" applyFont="1" applyFill="1" applyBorder="1" applyAlignment="1" applyProtection="1">
      <alignment horizontal="center" vertical="center" wrapText="1"/>
    </xf>
    <xf numFmtId="2" fontId="6" fillId="27" borderId="11" xfId="0" applyNumberFormat="1" applyFont="1" applyFill="1" applyBorder="1" applyAlignment="1" applyProtection="1">
      <alignment horizontal="center" vertical="center" wrapText="1"/>
    </xf>
    <xf numFmtId="0" fontId="5" fillId="27" borderId="11" xfId="0" applyFont="1" applyFill="1" applyBorder="1" applyAlignment="1">
      <alignment horizontal="center" vertical="center" wrapText="1"/>
    </xf>
    <xf numFmtId="2" fontId="5" fillId="27" borderId="11" xfId="0" applyNumberFormat="1" applyFont="1" applyFill="1" applyBorder="1" applyAlignment="1">
      <alignment horizontal="center" vertical="center" wrapText="1"/>
    </xf>
    <xf numFmtId="0" fontId="5" fillId="27" borderId="13" xfId="0" applyFont="1" applyFill="1" applyBorder="1" applyAlignment="1" applyProtection="1">
      <alignment horizontal="center" vertical="center" wrapText="1"/>
      <protection locked="0"/>
    </xf>
    <xf numFmtId="166" fontId="5" fillId="27" borderId="11" xfId="0" applyNumberFormat="1" applyFont="1" applyFill="1" applyBorder="1" applyAlignment="1">
      <alignment horizontal="center" vertical="center" wrapText="1"/>
    </xf>
    <xf numFmtId="170" fontId="6" fillId="27" borderId="11" xfId="0" applyNumberFormat="1" applyFont="1" applyFill="1" applyBorder="1" applyAlignment="1" applyProtection="1">
      <alignment horizontal="center" vertical="center" wrapText="1"/>
    </xf>
    <xf numFmtId="170" fontId="5" fillId="27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wrapText="1"/>
    </xf>
    <xf numFmtId="0" fontId="25" fillId="0" borderId="0" xfId="0" applyFont="1" applyAlignment="1"/>
    <xf numFmtId="0" fontId="34" fillId="0" borderId="19" xfId="36" applyNumberFormat="1" applyFont="1" applyFill="1" applyBorder="1" applyAlignment="1" applyProtection="1">
      <alignment vertical="center" wrapText="1"/>
    </xf>
    <xf numFmtId="0" fontId="35" fillId="26" borderId="11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 applyProtection="1">
      <alignment vertical="center" wrapText="1"/>
    </xf>
    <xf numFmtId="0" fontId="0" fillId="26" borderId="0" xfId="0" applyFill="1"/>
    <xf numFmtId="0" fontId="25" fillId="0" borderId="0" xfId="0" applyFont="1" applyAlignment="1">
      <alignment horizontal="centerContinuous"/>
    </xf>
    <xf numFmtId="0" fontId="5" fillId="0" borderId="0" xfId="0" applyFont="1"/>
    <xf numFmtId="0" fontId="25" fillId="0" borderId="0" xfId="0" applyFont="1"/>
    <xf numFmtId="0" fontId="25" fillId="0" borderId="0" xfId="0" applyFont="1" applyAlignment="1">
      <alignment horizontal="right" wrapText="1"/>
    </xf>
    <xf numFmtId="170" fontId="32" fillId="0" borderId="11" xfId="0" applyNumberFormat="1" applyFont="1" applyBorder="1" applyAlignment="1">
      <alignment horizontal="center" vertical="center"/>
    </xf>
    <xf numFmtId="0" fontId="26" fillId="0" borderId="14" xfId="0" applyFont="1" applyBorder="1" applyAlignment="1" applyProtection="1">
      <alignment horizontal="left" wrapText="1"/>
    </xf>
    <xf numFmtId="0" fontId="0" fillId="0" borderId="0" xfId="0"/>
    <xf numFmtId="0" fontId="34" fillId="26" borderId="19" xfId="36" applyNumberFormat="1" applyFont="1" applyFill="1" applyBorder="1" applyAlignment="1" applyProtection="1">
      <alignment vertical="center" wrapText="1"/>
    </xf>
    <xf numFmtId="9" fontId="32" fillId="26" borderId="11" xfId="42" applyFont="1" applyFill="1" applyBorder="1" applyAlignment="1">
      <alignment horizontal="center" vertical="center"/>
    </xf>
    <xf numFmtId="9" fontId="33" fillId="26" borderId="11" xfId="42" applyFont="1" applyFill="1" applyBorder="1" applyAlignment="1">
      <alignment horizontal="center" vertical="center"/>
    </xf>
    <xf numFmtId="9" fontId="5" fillId="26" borderId="11" xfId="42" applyFont="1" applyFill="1" applyBorder="1" applyAlignment="1" applyProtection="1">
      <alignment horizontal="center" vertical="center" wrapText="1"/>
    </xf>
    <xf numFmtId="0" fontId="34" fillId="26" borderId="19" xfId="0" applyFont="1" applyFill="1" applyBorder="1" applyAlignment="1" applyProtection="1">
      <alignment vertical="center" wrapText="1"/>
    </xf>
    <xf numFmtId="0" fontId="36" fillId="0" borderId="14" xfId="0" applyFont="1" applyBorder="1" applyAlignment="1" applyProtection="1">
      <alignment horizontal="left" vertical="top" wrapText="1"/>
    </xf>
    <xf numFmtId="0" fontId="34" fillId="26" borderId="20" xfId="36" applyNumberFormat="1" applyFont="1" applyFill="1" applyBorder="1" applyAlignment="1" applyProtection="1">
      <alignment vertical="center" wrapText="1"/>
    </xf>
    <xf numFmtId="1" fontId="34" fillId="26" borderId="20" xfId="0" applyNumberFormat="1" applyFont="1" applyFill="1" applyBorder="1" applyAlignment="1" applyProtection="1">
      <alignment vertical="center" wrapText="1"/>
    </xf>
    <xf numFmtId="0" fontId="35" fillId="25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5" borderId="11" xfId="37" applyFont="1" applyFill="1" applyBorder="1" applyAlignment="1" applyProtection="1">
      <alignment horizontal="center" vertical="top" wrapText="1"/>
    </xf>
    <xf numFmtId="0" fontId="34" fillId="26" borderId="19" xfId="36" applyNumberFormat="1" applyFont="1" applyFill="1" applyBorder="1" applyAlignment="1" applyProtection="1">
      <alignment horizontal="left" vertical="center" wrapText="1"/>
    </xf>
    <xf numFmtId="0" fontId="26" fillId="0" borderId="0" xfId="0" applyFont="1" applyBorder="1" applyAlignment="1" applyProtection="1">
      <alignment horizontal="justify" vertical="top" wrapText="1"/>
    </xf>
    <xf numFmtId="3" fontId="37" fillId="26" borderId="32" xfId="47" applyNumberFormat="1" applyFont="1" applyFill="1" applyBorder="1" applyAlignment="1">
      <alignment horizontal="center" vertical="center"/>
    </xf>
    <xf numFmtId="1" fontId="0" fillId="26" borderId="33" xfId="0" applyNumberFormat="1" applyFill="1" applyBorder="1" applyAlignment="1">
      <alignment horizontal="center" wrapText="1"/>
    </xf>
    <xf numFmtId="0" fontId="0" fillId="26" borderId="0" xfId="0" applyFont="1" applyFill="1" applyAlignment="1">
      <alignment wrapText="1"/>
    </xf>
    <xf numFmtId="0" fontId="0" fillId="26" borderId="0" xfId="0" applyFill="1" applyAlignment="1">
      <alignment wrapText="1"/>
    </xf>
    <xf numFmtId="0" fontId="0" fillId="26" borderId="31" xfId="0" applyFill="1" applyBorder="1" applyAlignment="1">
      <alignment horizontal="center" wrapText="1"/>
    </xf>
    <xf numFmtId="0" fontId="35" fillId="26" borderId="19" xfId="0" applyFont="1" applyFill="1" applyBorder="1" applyAlignment="1">
      <alignment horizontal="center" vertical="center" wrapText="1"/>
    </xf>
    <xf numFmtId="0" fontId="38" fillId="28" borderId="34" xfId="0" applyFont="1" applyFill="1" applyBorder="1" applyAlignment="1">
      <alignment horizontal="center" vertical="top" wrapText="1"/>
    </xf>
    <xf numFmtId="17" fontId="38" fillId="28" borderId="34" xfId="0" applyNumberFormat="1" applyFont="1" applyFill="1" applyBorder="1" applyAlignment="1">
      <alignment horizontal="center" vertical="top" wrapText="1"/>
    </xf>
    <xf numFmtId="0" fontId="38" fillId="0" borderId="34" xfId="0" applyFont="1" applyBorder="1" applyAlignment="1">
      <alignment horizontal="left" vertical="top" wrapText="1"/>
    </xf>
    <xf numFmtId="0" fontId="38" fillId="24" borderId="34" xfId="0" applyFont="1" applyFill="1" applyBorder="1" applyAlignment="1">
      <alignment horizontal="center" vertical="top" wrapText="1"/>
    </xf>
    <xf numFmtId="0" fontId="38" fillId="0" borderId="34" xfId="0" applyFont="1" applyFill="1" applyBorder="1" applyAlignment="1">
      <alignment horizontal="center" vertical="top" wrapText="1"/>
    </xf>
    <xf numFmtId="0" fontId="38" fillId="0" borderId="34" xfId="0" applyFont="1" applyBorder="1" applyAlignment="1">
      <alignment horizontal="center" vertical="top"/>
    </xf>
    <xf numFmtId="0" fontId="38" fillId="0" borderId="34" xfId="0" applyFont="1" applyBorder="1" applyAlignment="1">
      <alignment horizontal="center" vertical="top" wrapText="1"/>
    </xf>
    <xf numFmtId="1" fontId="38" fillId="26" borderId="34" xfId="0" applyNumberFormat="1" applyFont="1" applyFill="1" applyBorder="1" applyAlignment="1">
      <alignment horizontal="center" vertical="top" wrapText="1"/>
    </xf>
    <xf numFmtId="0" fontId="38" fillId="0" borderId="34" xfId="0" applyFont="1" applyFill="1" applyBorder="1" applyAlignment="1">
      <alignment horizontal="left" vertical="top" wrapText="1"/>
    </xf>
    <xf numFmtId="0" fontId="38" fillId="26" borderId="34" xfId="0" applyFont="1" applyFill="1" applyBorder="1" applyAlignment="1">
      <alignment horizontal="center" vertical="top" wrapText="1"/>
    </xf>
    <xf numFmtId="3" fontId="38" fillId="26" borderId="34" xfId="0" applyNumberFormat="1" applyFont="1" applyFill="1" applyBorder="1" applyAlignment="1">
      <alignment horizontal="center" vertical="top" wrapText="1"/>
    </xf>
    <xf numFmtId="0" fontId="38" fillId="24" borderId="34" xfId="0" applyNumberFormat="1" applyFont="1" applyFill="1" applyBorder="1" applyAlignment="1">
      <alignment horizontal="center" vertical="top" wrapText="1"/>
    </xf>
    <xf numFmtId="49" fontId="38" fillId="26" borderId="34" xfId="0" applyNumberFormat="1" applyFont="1" applyFill="1" applyBorder="1" applyAlignment="1">
      <alignment horizontal="center" vertical="top" wrapText="1"/>
    </xf>
    <xf numFmtId="0" fontId="38" fillId="26" borderId="34" xfId="0" applyFont="1" applyFill="1" applyBorder="1" applyAlignment="1">
      <alignment horizontal="left" vertical="top" wrapText="1"/>
    </xf>
    <xf numFmtId="1" fontId="38" fillId="0" borderId="34" xfId="0" applyNumberFormat="1" applyFont="1" applyFill="1" applyBorder="1" applyAlignment="1">
      <alignment horizontal="center" vertical="top" wrapText="1"/>
    </xf>
    <xf numFmtId="1" fontId="38" fillId="24" borderId="34" xfId="0" applyNumberFormat="1" applyFont="1" applyFill="1" applyBorder="1" applyAlignment="1">
      <alignment horizontal="center" vertical="top" wrapText="1"/>
    </xf>
    <xf numFmtId="1" fontId="38" fillId="0" borderId="34" xfId="0" applyNumberFormat="1" applyFont="1" applyBorder="1" applyAlignment="1">
      <alignment horizontal="center" vertical="top" wrapText="1"/>
    </xf>
    <xf numFmtId="0" fontId="41" fillId="26" borderId="35" xfId="0" applyFont="1" applyFill="1" applyBorder="1"/>
    <xf numFmtId="0" fontId="41" fillId="26" borderId="35" xfId="0" applyFont="1" applyFill="1" applyBorder="1" applyAlignment="1">
      <alignment horizontal="left" vertical="top"/>
    </xf>
    <xf numFmtId="0" fontId="41" fillId="26" borderId="35" xfId="0" applyFont="1" applyFill="1" applyBorder="1" applyAlignment="1">
      <alignment vertical="top" wrapText="1"/>
    </xf>
    <xf numFmtId="0" fontId="41" fillId="26" borderId="0" xfId="0" applyFont="1" applyFill="1" applyAlignment="1">
      <alignment vertical="top"/>
    </xf>
    <xf numFmtId="0" fontId="41" fillId="26" borderId="35" xfId="0" applyFont="1" applyFill="1" applyBorder="1" applyAlignment="1">
      <alignment vertical="top"/>
    </xf>
    <xf numFmtId="0" fontId="41" fillId="26" borderId="34" xfId="0" applyFont="1" applyFill="1" applyBorder="1" applyAlignment="1">
      <alignment wrapText="1"/>
    </xf>
    <xf numFmtId="0" fontId="41" fillId="26" borderId="34" xfId="0" applyFont="1" applyFill="1" applyBorder="1" applyAlignment="1">
      <alignment vertical="top" wrapText="1"/>
    </xf>
    <xf numFmtId="0" fontId="34" fillId="0" borderId="19" xfId="0" applyFont="1" applyBorder="1" applyAlignment="1" applyProtection="1">
      <alignment vertical="top" wrapText="1"/>
    </xf>
    <xf numFmtId="1" fontId="34" fillId="0" borderId="19" xfId="36" applyNumberFormat="1" applyFont="1" applyFill="1" applyBorder="1" applyAlignment="1" applyProtection="1">
      <alignment horizontal="left" vertical="top" wrapText="1"/>
    </xf>
    <xf numFmtId="0" fontId="34" fillId="0" borderId="19" xfId="0" applyFont="1" applyBorder="1" applyAlignment="1" applyProtection="1">
      <alignment horizontal="left" vertical="top" wrapText="1"/>
    </xf>
    <xf numFmtId="0" fontId="34" fillId="0" borderId="19" xfId="36" applyNumberFormat="1" applyFont="1" applyFill="1" applyBorder="1" applyAlignment="1" applyProtection="1">
      <alignment horizontal="left" vertical="top" wrapText="1"/>
    </xf>
    <xf numFmtId="0" fontId="34" fillId="0" borderId="23" xfId="36" applyNumberFormat="1" applyFont="1" applyFill="1" applyBorder="1" applyAlignment="1" applyProtection="1">
      <alignment horizontal="left" vertical="top" wrapText="1"/>
    </xf>
    <xf numFmtId="0" fontId="34" fillId="0" borderId="11" xfId="36" applyNumberFormat="1" applyFont="1" applyFill="1" applyBorder="1" applyAlignment="1" applyProtection="1">
      <alignment vertical="top" wrapText="1"/>
    </xf>
    <xf numFmtId="0" fontId="34" fillId="0" borderId="19" xfId="36" applyNumberFormat="1" applyFont="1" applyFill="1" applyBorder="1" applyAlignment="1" applyProtection="1">
      <alignment vertical="top" wrapText="1"/>
    </xf>
    <xf numFmtId="0" fontId="34" fillId="0" borderId="11" xfId="36" applyNumberFormat="1" applyFont="1" applyFill="1" applyBorder="1" applyAlignment="1" applyProtection="1">
      <alignment horizontal="left" vertical="top" wrapText="1"/>
    </xf>
    <xf numFmtId="0" fontId="36" fillId="26" borderId="19" xfId="0" applyFont="1" applyFill="1" applyBorder="1" applyAlignment="1" applyProtection="1">
      <alignment vertical="top" wrapText="1"/>
    </xf>
    <xf numFmtId="171" fontId="36" fillId="0" borderId="19" xfId="0" applyNumberFormat="1" applyFont="1" applyFill="1" applyBorder="1" applyAlignment="1" applyProtection="1">
      <alignment vertical="top" wrapText="1"/>
    </xf>
    <xf numFmtId="0" fontId="34" fillId="0" borderId="11" xfId="0" applyFont="1" applyFill="1" applyBorder="1" applyAlignment="1">
      <alignment vertical="top" wrapText="1"/>
    </xf>
    <xf numFmtId="1" fontId="34" fillId="0" borderId="11" xfId="0" applyNumberFormat="1" applyFont="1" applyFill="1" applyBorder="1" applyAlignment="1" applyProtection="1">
      <alignment vertical="top" wrapText="1"/>
    </xf>
    <xf numFmtId="0" fontId="34" fillId="0" borderId="11" xfId="0" applyFont="1" applyBorder="1" applyAlignment="1">
      <alignment vertical="top" wrapText="1"/>
    </xf>
    <xf numFmtId="9" fontId="32" fillId="26" borderId="11" xfId="42" applyFont="1" applyFill="1" applyBorder="1" applyAlignment="1">
      <alignment vertical="top"/>
    </xf>
    <xf numFmtId="9" fontId="32" fillId="0" borderId="11" xfId="42" applyFont="1" applyBorder="1" applyAlignment="1">
      <alignment vertical="top"/>
    </xf>
    <xf numFmtId="0" fontId="34" fillId="0" borderId="19" xfId="0" applyFont="1" applyFill="1" applyBorder="1" applyAlignment="1" applyProtection="1">
      <alignment horizontal="left" vertical="top" wrapText="1"/>
    </xf>
    <xf numFmtId="0" fontId="34" fillId="0" borderId="18" xfId="36" applyNumberFormat="1" applyFont="1" applyFill="1" applyBorder="1" applyAlignment="1" applyProtection="1">
      <alignment horizontal="left" vertical="top" wrapText="1"/>
    </xf>
    <xf numFmtId="0" fontId="34" fillId="0" borderId="18" xfId="0" applyFont="1" applyBorder="1" applyAlignment="1" applyProtection="1">
      <alignment horizontal="left" vertical="top" wrapText="1"/>
    </xf>
    <xf numFmtId="0" fontId="34" fillId="0" borderId="11" xfId="0" applyFont="1" applyBorder="1" applyAlignment="1" applyProtection="1">
      <alignment horizontal="left" vertical="top" wrapText="1"/>
    </xf>
    <xf numFmtId="1" fontId="34" fillId="26" borderId="11" xfId="0" applyNumberFormat="1" applyFont="1" applyFill="1" applyBorder="1" applyAlignment="1" applyProtection="1">
      <alignment vertical="center" wrapText="1"/>
    </xf>
    <xf numFmtId="0" fontId="6" fillId="0" borderId="11" xfId="0" applyFont="1" applyBorder="1" applyAlignment="1" applyProtection="1">
      <alignment horizontal="left" vertical="top" wrapText="1"/>
    </xf>
    <xf numFmtId="0" fontId="0" fillId="24" borderId="11" xfId="0" applyFill="1" applyBorder="1" applyAlignment="1">
      <alignment wrapText="1"/>
    </xf>
    <xf numFmtId="0" fontId="0" fillId="24" borderId="11" xfId="0" applyFont="1" applyFill="1" applyBorder="1" applyAlignment="1">
      <alignment wrapText="1"/>
    </xf>
    <xf numFmtId="0" fontId="6" fillId="0" borderId="19" xfId="37" applyFont="1" applyFill="1" applyBorder="1" applyAlignment="1" applyProtection="1">
      <alignment horizontal="left" vertical="center" wrapText="1"/>
    </xf>
    <xf numFmtId="0" fontId="42" fillId="0" borderId="11" xfId="0" applyFont="1" applyBorder="1" applyAlignment="1" applyProtection="1">
      <alignment horizontal="left" vertical="top" wrapText="1"/>
    </xf>
    <xf numFmtId="165" fontId="6" fillId="26" borderId="11" xfId="36" applyFont="1" applyFill="1" applyBorder="1" applyAlignment="1" applyProtection="1">
      <alignment vertical="center" wrapText="1"/>
    </xf>
    <xf numFmtId="1" fontId="34" fillId="26" borderId="23" xfId="0" applyNumberFormat="1" applyFont="1" applyFill="1" applyBorder="1" applyAlignment="1" applyProtection="1">
      <alignment vertical="center" wrapText="1"/>
    </xf>
    <xf numFmtId="0" fontId="34" fillId="26" borderId="11" xfId="0" applyFont="1" applyFill="1" applyBorder="1" applyAlignment="1" applyProtection="1">
      <alignment vertical="center" wrapText="1"/>
    </xf>
    <xf numFmtId="0" fontId="34" fillId="26" borderId="19" xfId="0" applyFont="1" applyFill="1" applyBorder="1" applyAlignment="1" applyProtection="1">
      <alignment horizontal="left" vertical="top" wrapText="1"/>
    </xf>
    <xf numFmtId="1" fontId="34" fillId="26" borderId="11" xfId="0" applyNumberFormat="1" applyFont="1" applyFill="1" applyBorder="1" applyAlignment="1" applyProtection="1">
      <alignment vertical="top" wrapText="1"/>
    </xf>
    <xf numFmtId="0" fontId="38" fillId="26" borderId="34" xfId="0" applyFont="1" applyFill="1" applyBorder="1" applyAlignment="1">
      <alignment horizontal="center" vertical="top" wrapText="1"/>
    </xf>
    <xf numFmtId="0" fontId="38" fillId="26" borderId="34" xfId="0" applyFont="1" applyFill="1" applyBorder="1" applyAlignment="1">
      <alignment horizontal="center" vertical="top" wrapText="1"/>
    </xf>
    <xf numFmtId="3" fontId="38" fillId="24" borderId="34" xfId="0" applyNumberFormat="1" applyFont="1" applyFill="1" applyBorder="1" applyAlignment="1">
      <alignment horizontal="center" vertical="top" wrapText="1"/>
    </xf>
    <xf numFmtId="0" fontId="38" fillId="0" borderId="34" xfId="0" applyFont="1" applyBorder="1" applyAlignment="1">
      <alignment horizontal="center" vertical="top" wrapText="1"/>
    </xf>
    <xf numFmtId="0" fontId="38" fillId="26" borderId="34" xfId="0" applyFont="1" applyFill="1" applyBorder="1" applyAlignment="1">
      <alignment horizontal="center" vertical="top" wrapText="1"/>
    </xf>
    <xf numFmtId="0" fontId="38" fillId="26" borderId="34" xfId="0" applyFont="1" applyFill="1" applyBorder="1" applyAlignment="1">
      <alignment horizontal="center" vertical="top" wrapText="1"/>
    </xf>
    <xf numFmtId="0" fontId="38" fillId="26" borderId="34" xfId="0" applyFont="1" applyFill="1" applyBorder="1" applyAlignment="1">
      <alignment horizontal="center" vertical="top" wrapText="1"/>
    </xf>
    <xf numFmtId="1" fontId="5" fillId="29" borderId="11" xfId="0" applyNumberFormat="1" applyFont="1" applyFill="1" applyBorder="1" applyAlignment="1" applyProtection="1">
      <alignment horizontal="center" vertical="center" wrapText="1"/>
    </xf>
    <xf numFmtId="0" fontId="38" fillId="26" borderId="34" xfId="0" applyFont="1" applyFill="1" applyBorder="1" applyAlignment="1">
      <alignment horizontal="center" vertical="top" wrapText="1"/>
    </xf>
    <xf numFmtId="0" fontId="46" fillId="26" borderId="11" xfId="36" applyNumberFormat="1" applyFont="1" applyFill="1" applyBorder="1" applyAlignment="1" applyProtection="1">
      <alignment horizontal="center" vertical="center" wrapText="1"/>
    </xf>
    <xf numFmtId="0" fontId="45" fillId="25" borderId="11" xfId="37" applyFont="1" applyFill="1" applyBorder="1" applyAlignment="1" applyProtection="1">
      <alignment horizontal="center" vertical="top" wrapText="1"/>
    </xf>
    <xf numFmtId="1" fontId="45" fillId="0" borderId="11" xfId="37" applyNumberFormat="1" applyFont="1" applyFill="1" applyBorder="1" applyAlignment="1" applyProtection="1">
      <alignment horizontal="center" vertical="center" wrapText="1"/>
    </xf>
    <xf numFmtId="0" fontId="38" fillId="26" borderId="34" xfId="0" applyFont="1" applyFill="1" applyBorder="1" applyAlignment="1">
      <alignment horizontal="center" vertical="top" wrapText="1"/>
    </xf>
    <xf numFmtId="3" fontId="38" fillId="0" borderId="34" xfId="0" applyNumberFormat="1" applyFont="1" applyBorder="1" applyAlignment="1">
      <alignment horizontal="center" vertical="top" wrapText="1"/>
    </xf>
    <xf numFmtId="3" fontId="38" fillId="0" borderId="34" xfId="0" applyNumberFormat="1" applyFont="1" applyFill="1" applyBorder="1" applyAlignment="1">
      <alignment horizontal="center" vertical="top" wrapText="1"/>
    </xf>
    <xf numFmtId="0" fontId="47" fillId="0" borderId="11" xfId="36" applyNumberFormat="1" applyFont="1" applyFill="1" applyBorder="1" applyAlignment="1" applyProtection="1">
      <alignment horizontal="left" vertical="center" wrapText="1"/>
    </xf>
    <xf numFmtId="0" fontId="6" fillId="26" borderId="19" xfId="37" applyFont="1" applyFill="1" applyBorder="1" applyAlignment="1" applyProtection="1">
      <alignment horizontal="center" vertical="top" wrapText="1"/>
    </xf>
    <xf numFmtId="1" fontId="34" fillId="0" borderId="19" xfId="36" applyNumberFormat="1" applyFont="1" applyFill="1" applyBorder="1" applyAlignment="1" applyProtection="1">
      <alignment horizontal="center" vertical="center" wrapText="1"/>
    </xf>
    <xf numFmtId="0" fontId="6" fillId="26" borderId="11" xfId="36" applyNumberFormat="1" applyFont="1" applyFill="1" applyBorder="1" applyAlignment="1" applyProtection="1">
      <alignment horizontal="center" vertical="center" wrapText="1"/>
    </xf>
    <xf numFmtId="0" fontId="34" fillId="26" borderId="11" xfId="36" applyNumberFormat="1" applyFont="1" applyFill="1" applyBorder="1" applyAlignment="1" applyProtection="1">
      <alignment horizontal="center" vertical="center" wrapText="1"/>
    </xf>
    <xf numFmtId="0" fontId="34" fillId="0" borderId="11" xfId="0" applyFont="1" applyFill="1" applyBorder="1" applyAlignment="1" applyProtection="1">
      <alignment horizontal="center" vertical="center" wrapText="1"/>
    </xf>
    <xf numFmtId="0" fontId="34" fillId="0" borderId="19" xfId="0" applyFont="1" applyFill="1" applyBorder="1" applyAlignment="1" applyProtection="1">
      <alignment horizontal="center" vertical="center" wrapText="1"/>
    </xf>
    <xf numFmtId="0" fontId="34" fillId="0" borderId="11" xfId="36" applyNumberFormat="1" applyFont="1" applyFill="1" applyBorder="1" applyAlignment="1" applyProtection="1">
      <alignment horizontal="center" vertical="center" wrapText="1"/>
    </xf>
    <xf numFmtId="0" fontId="6" fillId="0" borderId="11" xfId="37" applyFont="1" applyFill="1" applyBorder="1" applyAlignment="1" applyProtection="1">
      <alignment horizontal="center" vertical="center" wrapText="1"/>
    </xf>
    <xf numFmtId="1" fontId="34" fillId="0" borderId="11" xfId="0" applyNumberFormat="1" applyFont="1" applyBorder="1" applyAlignment="1" applyProtection="1">
      <alignment horizontal="center" vertical="center" wrapText="1"/>
    </xf>
    <xf numFmtId="0" fontId="34" fillId="26" borderId="11" xfId="0" applyFont="1" applyFill="1" applyBorder="1" applyAlignment="1" applyProtection="1">
      <alignment horizontal="center" vertical="center" wrapText="1"/>
    </xf>
    <xf numFmtId="0" fontId="34" fillId="26" borderId="11" xfId="36" applyNumberFormat="1" applyFont="1" applyFill="1" applyBorder="1" applyAlignment="1" applyProtection="1">
      <alignment horizontal="center" vertical="top" wrapText="1"/>
    </xf>
    <xf numFmtId="1" fontId="34" fillId="26" borderId="11" xfId="0" applyNumberFormat="1" applyFont="1" applyFill="1" applyBorder="1" applyAlignment="1" applyProtection="1">
      <alignment horizontal="center" vertical="center" wrapText="1"/>
    </xf>
    <xf numFmtId="165" fontId="6" fillId="26" borderId="11" xfId="36" applyFont="1" applyFill="1" applyBorder="1" applyAlignment="1" applyProtection="1">
      <alignment vertical="top" wrapText="1"/>
    </xf>
    <xf numFmtId="1" fontId="6" fillId="26" borderId="11" xfId="0" applyNumberFormat="1" applyFont="1" applyFill="1" applyBorder="1" applyAlignment="1" applyProtection="1">
      <alignment horizontal="center" vertical="top" wrapText="1"/>
    </xf>
    <xf numFmtId="0" fontId="5" fillId="0" borderId="36" xfId="0" applyFont="1" applyBorder="1" applyAlignment="1">
      <alignment horizontal="justify" vertical="center" wrapText="1"/>
    </xf>
    <xf numFmtId="0" fontId="38" fillId="26" borderId="34" xfId="0" applyFont="1" applyFill="1" applyBorder="1" applyAlignment="1">
      <alignment horizontal="center" vertical="top" wrapText="1"/>
    </xf>
    <xf numFmtId="2" fontId="6" fillId="29" borderId="13" xfId="0" applyNumberFormat="1" applyFont="1" applyFill="1" applyBorder="1" applyAlignment="1" applyProtection="1">
      <alignment horizontal="center" vertical="center" wrapText="1"/>
      <protection locked="0"/>
    </xf>
    <xf numFmtId="0" fontId="38" fillId="26" borderId="34" xfId="0" applyFont="1" applyFill="1" applyBorder="1" applyAlignment="1">
      <alignment horizontal="center" vertical="top" wrapText="1"/>
    </xf>
    <xf numFmtId="0" fontId="38" fillId="24" borderId="37" xfId="0" applyFont="1" applyFill="1" applyBorder="1" applyAlignment="1">
      <alignment horizontal="center" vertical="top" wrapText="1"/>
    </xf>
    <xf numFmtId="0" fontId="38" fillId="24" borderId="38" xfId="0" applyFont="1" applyFill="1" applyBorder="1" applyAlignment="1">
      <alignment horizontal="center" vertical="top" wrapText="1"/>
    </xf>
    <xf numFmtId="0" fontId="41" fillId="25" borderId="35" xfId="0" applyFont="1" applyFill="1" applyBorder="1" applyAlignment="1">
      <alignment vertical="top"/>
    </xf>
    <xf numFmtId="0" fontId="38" fillId="27" borderId="34" xfId="0" applyFont="1" applyFill="1" applyBorder="1" applyAlignment="1">
      <alignment horizontal="center" vertical="top" wrapText="1"/>
    </xf>
    <xf numFmtId="0" fontId="38" fillId="30" borderId="34" xfId="0" applyFont="1" applyFill="1" applyBorder="1" applyAlignment="1">
      <alignment horizontal="center" vertical="top" wrapText="1"/>
    </xf>
    <xf numFmtId="0" fontId="38" fillId="24" borderId="34" xfId="0" applyFont="1" applyFill="1" applyBorder="1" applyAlignment="1">
      <alignment horizontal="left" vertical="top" wrapText="1"/>
    </xf>
    <xf numFmtId="0" fontId="25" fillId="0" borderId="0" xfId="0" applyFont="1" applyAlignment="1">
      <alignment horizontal="right" wrapText="1"/>
    </xf>
    <xf numFmtId="0" fontId="29" fillId="0" borderId="0" xfId="0" applyFont="1" applyAlignment="1">
      <alignment horizontal="center" wrapText="1"/>
    </xf>
    <xf numFmtId="165" fontId="6" fillId="25" borderId="20" xfId="36" applyFont="1" applyFill="1" applyBorder="1" applyAlignment="1" applyProtection="1">
      <alignment horizontal="center" vertical="center" wrapText="1"/>
    </xf>
    <xf numFmtId="165" fontId="6" fillId="25" borderId="27" xfId="36" applyFont="1" applyFill="1" applyBorder="1" applyAlignment="1" applyProtection="1">
      <alignment horizontal="center" vertical="center" wrapText="1"/>
    </xf>
    <xf numFmtId="165" fontId="6" fillId="25" borderId="28" xfId="36" applyFont="1" applyFill="1" applyBorder="1" applyAlignment="1" applyProtection="1">
      <alignment horizontal="center" vertical="center" wrapText="1"/>
    </xf>
    <xf numFmtId="165" fontId="28" fillId="25" borderId="29" xfId="36" applyFont="1" applyFill="1" applyBorder="1" applyAlignment="1" applyProtection="1">
      <alignment horizontal="center"/>
    </xf>
    <xf numFmtId="165" fontId="28" fillId="25" borderId="30" xfId="36" applyFont="1" applyFill="1" applyBorder="1" applyAlignment="1" applyProtection="1">
      <alignment horizontal="center"/>
    </xf>
    <xf numFmtId="0" fontId="6" fillId="25" borderId="12" xfId="0" applyFont="1" applyFill="1" applyBorder="1" applyAlignment="1" applyProtection="1">
      <alignment horizontal="center" vertical="center" wrapText="1"/>
    </xf>
    <xf numFmtId="0" fontId="6" fillId="25" borderId="14" xfId="0" applyFont="1" applyFill="1" applyBorder="1" applyAlignment="1" applyProtection="1">
      <alignment horizontal="center" vertical="center" wrapText="1"/>
    </xf>
    <xf numFmtId="0" fontId="28" fillId="25" borderId="16" xfId="0" applyFont="1" applyFill="1" applyBorder="1" applyAlignment="1">
      <alignment horizontal="center"/>
    </xf>
    <xf numFmtId="0" fontId="28" fillId="25" borderId="17" xfId="0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6" fillId="25" borderId="13" xfId="0" applyFont="1" applyFill="1" applyBorder="1" applyAlignment="1" applyProtection="1">
      <alignment horizontal="center" vertical="top" wrapText="1"/>
    </xf>
    <xf numFmtId="0" fontId="6" fillId="25" borderId="11" xfId="0" applyFont="1" applyFill="1" applyBorder="1" applyAlignment="1" applyProtection="1">
      <alignment horizontal="center" vertical="top" wrapText="1"/>
    </xf>
    <xf numFmtId="0" fontId="6" fillId="25" borderId="11" xfId="0" applyFont="1" applyFill="1" applyBorder="1" applyAlignment="1" applyProtection="1">
      <alignment horizontal="center" vertical="center" wrapText="1"/>
    </xf>
    <xf numFmtId="0" fontId="27" fillId="25" borderId="11" xfId="0" applyFont="1" applyFill="1" applyBorder="1" applyAlignment="1" applyProtection="1">
      <alignment horizontal="center" vertical="center" wrapText="1"/>
    </xf>
    <xf numFmtId="0" fontId="0" fillId="26" borderId="31" xfId="0" applyFill="1" applyBorder="1" applyAlignment="1">
      <alignment horizontal="center" wrapText="1"/>
    </xf>
    <xf numFmtId="0" fontId="38" fillId="0" borderId="34" xfId="0" applyFont="1" applyBorder="1" applyAlignment="1">
      <alignment horizontal="center" vertical="top" wrapText="1"/>
    </xf>
    <xf numFmtId="0" fontId="38" fillId="26" borderId="34" xfId="0" applyFont="1" applyFill="1" applyBorder="1" applyAlignment="1">
      <alignment horizontal="center" vertical="top" wrapText="1"/>
    </xf>
    <xf numFmtId="0" fontId="6" fillId="0" borderId="11" xfId="37" applyFont="1" applyFill="1" applyBorder="1" applyAlignment="1" applyProtection="1">
      <alignment horizontal="center" vertical="top" wrapText="1"/>
    </xf>
    <xf numFmtId="165" fontId="25" fillId="0" borderId="0" xfId="36" applyFont="1" applyAlignment="1" applyProtection="1">
      <alignment horizontal="center" vertical="center"/>
    </xf>
    <xf numFmtId="165" fontId="6" fillId="25" borderId="11" xfId="36" applyFont="1" applyFill="1" applyBorder="1" applyAlignment="1" applyProtection="1">
      <alignment horizontal="center" vertical="top" wrapText="1"/>
    </xf>
  </cellXfs>
  <cellStyles count="5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3" xfId="47"/>
    <cellStyle name="Обычный 3 2" xfId="48"/>
    <cellStyle name="Обычный 3 2 2" xfId="52"/>
    <cellStyle name="Обычный 3 3" xfId="51"/>
    <cellStyle name="Обычный 5" xfId="38"/>
    <cellStyle name="Обычный 5 2" xfId="49"/>
    <cellStyle name="Плохой" xfId="39" builtinId="27" customBuiltin="1"/>
    <cellStyle name="Пояснение" xfId="40" builtinId="53" customBuiltin="1"/>
    <cellStyle name="Примечание" xfId="41" builtinId="10" customBuiltin="1"/>
    <cellStyle name="Процентный" xfId="42" builtinId="5"/>
    <cellStyle name="Процентный 2" xfId="43"/>
    <cellStyle name="Процентный 2 2" xfId="50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view="pageBreakPreview" zoomScaleNormal="100" zoomScaleSheetLayoutView="100" workbookViewId="0">
      <selection activeCell="B7" sqref="B7"/>
    </sheetView>
  </sheetViews>
  <sheetFormatPr defaultRowHeight="12.75"/>
  <cols>
    <col min="1" max="1" width="48.7109375" style="40" customWidth="1"/>
    <col min="2" max="2" width="11.85546875" style="40" customWidth="1"/>
    <col min="3" max="5" width="11" style="40" customWidth="1"/>
    <col min="6" max="16384" width="9.140625" style="40"/>
  </cols>
  <sheetData>
    <row r="1" spans="1:5" ht="30" customHeight="1" thickBot="1">
      <c r="A1" s="260" t="s">
        <v>282</v>
      </c>
      <c r="B1" s="260"/>
      <c r="C1" s="260"/>
      <c r="D1" s="260"/>
      <c r="E1" s="260"/>
    </row>
    <row r="2" spans="1:5">
      <c r="A2" s="261" t="s">
        <v>11</v>
      </c>
      <c r="B2" s="264" t="s">
        <v>240</v>
      </c>
      <c r="C2" s="265"/>
      <c r="D2" s="261" t="s">
        <v>153</v>
      </c>
      <c r="E2" s="261" t="s">
        <v>26</v>
      </c>
    </row>
    <row r="3" spans="1:5" ht="28.5" customHeight="1">
      <c r="A3" s="262"/>
      <c r="B3" s="108" t="s">
        <v>150</v>
      </c>
      <c r="C3" s="109" t="s">
        <v>152</v>
      </c>
      <c r="D3" s="262"/>
      <c r="E3" s="262"/>
    </row>
    <row r="4" spans="1:5" ht="25.5">
      <c r="A4" s="263"/>
      <c r="B4" s="110" t="s">
        <v>151</v>
      </c>
      <c r="C4" s="111" t="s">
        <v>137</v>
      </c>
      <c r="D4" s="263"/>
      <c r="E4" s="263"/>
    </row>
    <row r="5" spans="1:5" ht="15.75">
      <c r="A5" s="41" t="s">
        <v>138</v>
      </c>
      <c r="B5" s="42">
        <f>ИНФ!F37</f>
        <v>1.8333333333333333</v>
      </c>
      <c r="C5" s="42">
        <v>2</v>
      </c>
      <c r="D5" s="51">
        <f>B5/C5</f>
        <v>0.91666666666666663</v>
      </c>
      <c r="E5" s="51"/>
    </row>
    <row r="6" spans="1:5" ht="49.5" customHeight="1">
      <c r="A6" s="43" t="s">
        <v>28</v>
      </c>
      <c r="B6" s="44">
        <f>ИНФ!B12</f>
        <v>25.490196078431371</v>
      </c>
      <c r="C6" s="44">
        <f>ИНФ!C12</f>
        <v>32</v>
      </c>
      <c r="D6" s="52">
        <f t="shared" ref="D6:D41" si="0">B6/C6</f>
        <v>0.79656862745098034</v>
      </c>
      <c r="E6" s="53" t="str">
        <f>ИНФ!E12</f>
        <v>прямая</v>
      </c>
    </row>
    <row r="7" spans="1:5" ht="26.25" customHeight="1">
      <c r="A7" s="45" t="s">
        <v>139</v>
      </c>
      <c r="B7" s="44">
        <f>ИНФ!B15</f>
        <v>33</v>
      </c>
      <c r="C7" s="44">
        <f>ИНФ!C15</f>
        <v>9</v>
      </c>
      <c r="D7" s="52">
        <f t="shared" si="0"/>
        <v>3.6666666666666665</v>
      </c>
      <c r="E7" s="53" t="str">
        <f>ИНФ!E13</f>
        <v>прямая</v>
      </c>
    </row>
    <row r="8" spans="1:5" ht="37.5" customHeight="1">
      <c r="A8" s="45" t="s">
        <v>140</v>
      </c>
      <c r="B8" s="44">
        <f>ИНФ!B16</f>
        <v>1</v>
      </c>
      <c r="C8" s="44">
        <f>ИНФ!C16</f>
        <v>1</v>
      </c>
      <c r="D8" s="52">
        <f t="shared" si="0"/>
        <v>1</v>
      </c>
      <c r="E8" s="53" t="str">
        <f>ИНФ!E13</f>
        <v>прямая</v>
      </c>
    </row>
    <row r="9" spans="1:5" ht="27" customHeight="1">
      <c r="A9" s="45" t="s">
        <v>141</v>
      </c>
      <c r="B9" s="44">
        <f>ИНФ!B17</f>
        <v>47</v>
      </c>
      <c r="C9" s="44">
        <f>ИНФ!C17</f>
        <v>32</v>
      </c>
      <c r="D9" s="52">
        <f t="shared" si="0"/>
        <v>1.46875</v>
      </c>
      <c r="E9" s="53" t="str">
        <f>ИНФ!E13</f>
        <v>прямая</v>
      </c>
    </row>
    <row r="10" spans="1:5" ht="36.75" customHeight="1">
      <c r="A10" s="45" t="s">
        <v>142</v>
      </c>
      <c r="B10" s="44">
        <f>ИНФ!B18</f>
        <v>55</v>
      </c>
      <c r="C10" s="44">
        <f>ИНФ!C18</f>
        <v>20</v>
      </c>
      <c r="D10" s="52">
        <f t="shared" si="0"/>
        <v>2.75</v>
      </c>
      <c r="E10" s="53" t="str">
        <f>ИНФ!E13</f>
        <v>прямая</v>
      </c>
    </row>
    <row r="11" spans="1:5" ht="38.25">
      <c r="A11" s="45" t="s">
        <v>34</v>
      </c>
      <c r="B11" s="44">
        <f>ИНФ!B22</f>
        <v>1</v>
      </c>
      <c r="C11" s="44">
        <f>ИНФ!C22</f>
        <v>1</v>
      </c>
      <c r="D11" s="52">
        <f t="shared" si="0"/>
        <v>1</v>
      </c>
      <c r="E11" s="53" t="str">
        <f>ИНФ!E22</f>
        <v>прямая</v>
      </c>
    </row>
    <row r="12" spans="1:5" ht="40.5" customHeight="1">
      <c r="A12" s="43" t="s">
        <v>35</v>
      </c>
      <c r="B12" s="44">
        <f>ИНФ!B23</f>
        <v>1</v>
      </c>
      <c r="C12" s="44">
        <f>ИНФ!C23</f>
        <v>1</v>
      </c>
      <c r="D12" s="68">
        <f>IF(C12=0, IF(B12=0,1, 1.2), B12/C12)</f>
        <v>1</v>
      </c>
      <c r="E12" s="53" t="str">
        <f>ИНФ!E23</f>
        <v>прямая</v>
      </c>
    </row>
    <row r="13" spans="1:5" ht="39.75" customHeight="1">
      <c r="A13" s="43" t="s">
        <v>36</v>
      </c>
      <c r="B13" s="44">
        <f>ИНФ!B24</f>
        <v>1</v>
      </c>
      <c r="C13" s="44">
        <f>ИНФ!C24</f>
        <v>1</v>
      </c>
      <c r="D13" s="68">
        <f>IF(C13=0, IF(B13=0,1, 1.2), B13/C13)</f>
        <v>1</v>
      </c>
      <c r="E13" s="53" t="str">
        <f>ИНФ!E24</f>
        <v>прямая</v>
      </c>
    </row>
    <row r="14" spans="1:5" ht="52.5" customHeight="1">
      <c r="A14" s="45" t="s">
        <v>37</v>
      </c>
      <c r="B14" s="44">
        <f>ИНФ!B26</f>
        <v>1</v>
      </c>
      <c r="C14" s="44">
        <f>ИНФ!C26</f>
        <v>1</v>
      </c>
      <c r="D14" s="52">
        <f t="shared" si="0"/>
        <v>1</v>
      </c>
      <c r="E14" s="53" t="str">
        <f>ИНФ!E26</f>
        <v>прямая</v>
      </c>
    </row>
    <row r="15" spans="1:5" ht="64.5" customHeight="1">
      <c r="A15" s="45" t="s">
        <v>38</v>
      </c>
      <c r="B15" s="44">
        <f>ИНФ!B28</f>
        <v>1</v>
      </c>
      <c r="C15" s="44">
        <f>ИНФ!C28</f>
        <v>1</v>
      </c>
      <c r="D15" s="52">
        <f t="shared" si="0"/>
        <v>1</v>
      </c>
      <c r="E15" s="53" t="str">
        <f>ИНФ!E28</f>
        <v>прямая</v>
      </c>
    </row>
    <row r="16" spans="1:5" ht="64.5" customHeight="1">
      <c r="A16" s="43" t="s">
        <v>10</v>
      </c>
      <c r="B16" s="46">
        <f>ИНФ!B32</f>
        <v>0</v>
      </c>
      <c r="C16" s="66">
        <f>ИНФ!C32</f>
        <v>1.012</v>
      </c>
      <c r="D16" s="52">
        <f t="shared" si="0"/>
        <v>0</v>
      </c>
      <c r="E16" s="53" t="str">
        <f>ИНФ!E32</f>
        <v>обратная</v>
      </c>
    </row>
    <row r="17" spans="1:5" ht="55.5" customHeight="1">
      <c r="A17" s="43" t="s">
        <v>41</v>
      </c>
      <c r="B17" s="46">
        <f>ИНФ!B35</f>
        <v>15.143193409180071</v>
      </c>
      <c r="C17" s="46">
        <f>ИНФ!C35</f>
        <v>8.61</v>
      </c>
      <c r="D17" s="52">
        <f t="shared" si="0"/>
        <v>1.7587913367224242</v>
      </c>
      <c r="E17" s="53" t="str">
        <f>ИНФ!E35</f>
        <v>обратная</v>
      </c>
    </row>
    <row r="18" spans="1:5" ht="75.75" customHeight="1">
      <c r="A18" s="43" t="s">
        <v>42</v>
      </c>
      <c r="B18" s="44">
        <f>ИНФ!B36</f>
        <v>0</v>
      </c>
      <c r="C18" s="44">
        <f>ИНФ!C36</f>
        <v>2.82E-3</v>
      </c>
      <c r="D18" s="68">
        <f>IF(C18=0, IF(B18=0,1, 1.2), B18/C18)</f>
        <v>0</v>
      </c>
      <c r="E18" s="53" t="str">
        <f>ИНФ!E36</f>
        <v>обратная</v>
      </c>
    </row>
    <row r="19" spans="1:5" ht="15.75">
      <c r="A19" s="47" t="s">
        <v>143</v>
      </c>
      <c r="B19" s="42">
        <f>ИСП!F38</f>
        <v>0.43099999999999999</v>
      </c>
      <c r="C19" s="42">
        <v>0.58599999999999997</v>
      </c>
      <c r="D19" s="51">
        <f t="shared" si="0"/>
        <v>0.73549488054607515</v>
      </c>
      <c r="E19" s="54"/>
    </row>
    <row r="20" spans="1:5" ht="37.5" customHeight="1">
      <c r="A20" s="43" t="s">
        <v>47</v>
      </c>
      <c r="B20" s="44">
        <f>ИСП!B12</f>
        <v>15.242112986060162</v>
      </c>
      <c r="C20" s="44">
        <f>ИСП!C12</f>
        <v>35</v>
      </c>
      <c r="D20" s="52">
        <f t="shared" si="0"/>
        <v>0.43548894245886177</v>
      </c>
      <c r="E20" s="53" t="str">
        <f>ИСП!E12</f>
        <v>обратная</v>
      </c>
    </row>
    <row r="21" spans="1:5" ht="51" customHeight="1">
      <c r="A21" s="43" t="s">
        <v>48</v>
      </c>
      <c r="B21" s="44">
        <f>ИСП!B13</f>
        <v>133.77065527065528</v>
      </c>
      <c r="C21" s="44">
        <f>ИСП!C13</f>
        <v>327</v>
      </c>
      <c r="D21" s="52">
        <f t="shared" si="0"/>
        <v>0.40908457269313542</v>
      </c>
      <c r="E21" s="53" t="str">
        <f>ИСП!E13</f>
        <v>обратная</v>
      </c>
    </row>
    <row r="22" spans="1:5" ht="50.25" customHeight="1">
      <c r="A22" s="43" t="s">
        <v>50</v>
      </c>
      <c r="B22" s="44">
        <f>ИСП!B17</f>
        <v>8.5</v>
      </c>
      <c r="C22" s="44">
        <f>ИСП!C17</f>
        <v>25</v>
      </c>
      <c r="D22" s="104">
        <f>ИСП!D17</f>
        <v>0</v>
      </c>
      <c r="E22" s="53" t="str">
        <f>ИСП!E17</f>
        <v>обратная</v>
      </c>
    </row>
    <row r="23" spans="1:5" ht="36.75" customHeight="1">
      <c r="A23" s="144" t="s">
        <v>144</v>
      </c>
      <c r="B23" s="44">
        <f>ИСП!B19</f>
        <v>16.826240093924273</v>
      </c>
      <c r="C23" s="44">
        <f>ИСП!C19</f>
        <v>18</v>
      </c>
      <c r="D23" s="52">
        <f t="shared" si="0"/>
        <v>0.93479111632912626</v>
      </c>
      <c r="E23" s="53" t="str">
        <f>ИСП!E18</f>
        <v>обратная</v>
      </c>
    </row>
    <row r="24" spans="1:5" ht="19.5" customHeight="1">
      <c r="A24" s="43" t="s">
        <v>145</v>
      </c>
      <c r="B24" s="44">
        <f>ИСП!B20</f>
        <v>40.658291457286431</v>
      </c>
      <c r="C24" s="44">
        <f>ИСП!C20</f>
        <v>29</v>
      </c>
      <c r="D24" s="52">
        <f t="shared" si="0"/>
        <v>1.4020100502512562</v>
      </c>
      <c r="E24" s="53" t="str">
        <f>ИСП!E18</f>
        <v>обратная</v>
      </c>
    </row>
    <row r="25" spans="1:5" ht="79.5" customHeight="1">
      <c r="A25" s="43" t="s">
        <v>53</v>
      </c>
      <c r="B25" s="50">
        <f>ИСП!B21</f>
        <v>4.7619047619047619</v>
      </c>
      <c r="C25" s="44">
        <f>ИСП!C21</f>
        <v>0.377</v>
      </c>
      <c r="D25" s="68">
        <f>IF(C25=0, IF(B25=0,1, 1.2), B25/C25)</f>
        <v>12.631047113805735</v>
      </c>
      <c r="E25" s="53" t="str">
        <f>ИСП!E21</f>
        <v>обратная</v>
      </c>
    </row>
    <row r="26" spans="1:5" ht="116.25" customHeight="1">
      <c r="A26" s="43" t="s">
        <v>54</v>
      </c>
      <c r="B26" s="50">
        <f>ИСП!B25</f>
        <v>0</v>
      </c>
      <c r="C26" s="46">
        <f>ИСП!C25</f>
        <v>0</v>
      </c>
      <c r="D26" s="68">
        <f>IF(C26=0, IF(B26=0,1, 1.2), B26/C26)</f>
        <v>1</v>
      </c>
      <c r="E26" s="53" t="str">
        <f>ИСП!E25</f>
        <v>обратная</v>
      </c>
    </row>
    <row r="27" spans="1:5" ht="77.25" customHeight="1">
      <c r="A27" s="43" t="s">
        <v>14</v>
      </c>
      <c r="B27" s="44">
        <f>ИСП!B27</f>
        <v>0</v>
      </c>
      <c r="C27" s="44">
        <f>ИСП!C27</f>
        <v>0</v>
      </c>
      <c r="D27" s="68">
        <f>IF(C27=0, IF(B27=0,1, 1.2), B27/C27)</f>
        <v>1</v>
      </c>
      <c r="E27" s="53" t="str">
        <f>ИСП!E27</f>
        <v>обратная</v>
      </c>
    </row>
    <row r="28" spans="1:5" ht="51" customHeight="1">
      <c r="A28" s="43" t="s">
        <v>16</v>
      </c>
      <c r="B28" s="46">
        <f>ИСП!B30</f>
        <v>8.4346802667712828E-2</v>
      </c>
      <c r="C28" s="46">
        <f>ИСП!C30</f>
        <v>0.75</v>
      </c>
      <c r="D28" s="52">
        <f t="shared" si="0"/>
        <v>0.11246240355695043</v>
      </c>
      <c r="E28" s="53" t="str">
        <f>ИСП!E30</f>
        <v>обратная</v>
      </c>
    </row>
    <row r="29" spans="1:5" ht="50.25" customHeight="1">
      <c r="A29" s="43" t="s">
        <v>56</v>
      </c>
      <c r="B29" s="44">
        <f>ИСП!B34</f>
        <v>1</v>
      </c>
      <c r="C29" s="44">
        <f>ИСП!C34</f>
        <v>1</v>
      </c>
      <c r="D29" s="52">
        <f t="shared" si="0"/>
        <v>1</v>
      </c>
      <c r="E29" s="53" t="str">
        <f>ИСП!E34</f>
        <v>прямая</v>
      </c>
    </row>
    <row r="30" spans="1:5" ht="78" customHeight="1">
      <c r="A30" s="43" t="s">
        <v>57</v>
      </c>
      <c r="B30" s="44">
        <f>ИСП!B35</f>
        <v>0.68198133524766691</v>
      </c>
      <c r="C30" s="44">
        <f>ИСП!C35</f>
        <v>6.6E-3</v>
      </c>
      <c r="D30" s="68">
        <f>IF(C30=0, IF(B30=0,1, 1.2), B30/C30)</f>
        <v>103.33050534055559</v>
      </c>
      <c r="E30" s="53" t="str">
        <f>ИСП!E35</f>
        <v>обратная</v>
      </c>
    </row>
    <row r="31" spans="1:5" ht="52.5" customHeight="1">
      <c r="A31" s="43" t="s">
        <v>58</v>
      </c>
      <c r="B31" s="44">
        <f>ИСП!B37</f>
        <v>0</v>
      </c>
      <c r="C31" s="44">
        <f>ИСП!C37</f>
        <v>0</v>
      </c>
      <c r="D31" s="68">
        <f>IF(C31=0, IF(B31=0,1, 1.2), B31/C31)</f>
        <v>1</v>
      </c>
      <c r="E31" s="53" t="str">
        <f>ИСП!E37</f>
        <v>обратная</v>
      </c>
    </row>
    <row r="32" spans="1:5" ht="15.75">
      <c r="A32" s="47" t="s">
        <v>146</v>
      </c>
      <c r="B32" s="42">
        <f>РОС!F37</f>
        <v>2.041666666666667</v>
      </c>
      <c r="C32" s="42">
        <v>2</v>
      </c>
      <c r="D32" s="51">
        <f t="shared" si="0"/>
        <v>1.0208333333333335</v>
      </c>
      <c r="E32" s="54"/>
    </row>
    <row r="33" spans="1:5" ht="51" customHeight="1">
      <c r="A33" s="48" t="s">
        <v>60</v>
      </c>
      <c r="B33" s="49">
        <f>РОС!B10</f>
        <v>1</v>
      </c>
      <c r="C33" s="49">
        <f>РОС!C10</f>
        <v>1</v>
      </c>
      <c r="D33" s="52">
        <f t="shared" si="0"/>
        <v>1</v>
      </c>
      <c r="E33" s="53" t="str">
        <f>РОС!E10</f>
        <v>прямая</v>
      </c>
    </row>
    <row r="34" spans="1:5" ht="50.25" customHeight="1">
      <c r="A34" s="48" t="s">
        <v>61</v>
      </c>
      <c r="B34" s="66">
        <f>РОС!B14</f>
        <v>0.78854452726559432</v>
      </c>
      <c r="C34" s="46">
        <f>РОС!C14</f>
        <v>7.64</v>
      </c>
      <c r="D34" s="52">
        <f t="shared" si="0"/>
        <v>0.10321263445884743</v>
      </c>
      <c r="E34" s="53" t="str">
        <f>РОС!E14</f>
        <v>обратная</v>
      </c>
    </row>
    <row r="35" spans="1:5" ht="65.25" customHeight="1">
      <c r="A35" s="48" t="s">
        <v>62</v>
      </c>
      <c r="B35" s="44">
        <f>РОС!B15</f>
        <v>55.223880597014926</v>
      </c>
      <c r="C35" s="46">
        <f>РОС!C15</f>
        <v>100</v>
      </c>
      <c r="D35" s="147">
        <f t="shared" si="0"/>
        <v>0.55223880597014929</v>
      </c>
      <c r="E35" s="148" t="str">
        <f>РОС!E15</f>
        <v>прямая</v>
      </c>
    </row>
    <row r="36" spans="1:5" ht="77.25" customHeight="1">
      <c r="A36" s="48" t="s">
        <v>63</v>
      </c>
      <c r="B36" s="46">
        <f>РОС!B16</f>
        <v>0</v>
      </c>
      <c r="C36" s="46">
        <f>РОС!C16</f>
        <v>3.69</v>
      </c>
      <c r="D36" s="52">
        <f t="shared" si="0"/>
        <v>0</v>
      </c>
      <c r="E36" s="53" t="str">
        <f>РОС!E16</f>
        <v>обратная</v>
      </c>
    </row>
    <row r="37" spans="1:5" ht="75.75" customHeight="1">
      <c r="A37" s="48" t="s">
        <v>64</v>
      </c>
      <c r="B37" s="143">
        <f>РОС!B17</f>
        <v>1.9615535504119261E-3</v>
      </c>
      <c r="C37" s="143">
        <f>РОС!C17</f>
        <v>0</v>
      </c>
      <c r="D37" s="149">
        <f>IF(C37=0, IF(B37=0,1, 1.2), B37/C37)</f>
        <v>1.2</v>
      </c>
      <c r="E37" s="148" t="str">
        <f>РОС!E17</f>
        <v>обратная</v>
      </c>
    </row>
    <row r="38" spans="1:5" ht="52.5" customHeight="1">
      <c r="A38" s="48" t="s">
        <v>65</v>
      </c>
      <c r="B38" s="46">
        <f>РОС!B18</f>
        <v>0.26284817575519814</v>
      </c>
      <c r="C38" s="46">
        <f>РОС!C18</f>
        <v>0.30199999999999999</v>
      </c>
      <c r="D38" s="147">
        <f t="shared" si="0"/>
        <v>0.87035819786489454</v>
      </c>
      <c r="E38" s="148" t="str">
        <f>РОС!E18</f>
        <v>прямая</v>
      </c>
    </row>
    <row r="39" spans="1:5" ht="39" customHeight="1">
      <c r="A39" s="48" t="s">
        <v>66</v>
      </c>
      <c r="B39" s="44">
        <f>РОС!B19</f>
        <v>4</v>
      </c>
      <c r="C39" s="44">
        <f>РОС!C19</f>
        <v>11</v>
      </c>
      <c r="D39" s="147">
        <f t="shared" si="0"/>
        <v>0.36363636363636365</v>
      </c>
      <c r="E39" s="148" t="str">
        <f>РОС!E19</f>
        <v>прямая</v>
      </c>
    </row>
    <row r="40" spans="1:5" ht="25.5" customHeight="1">
      <c r="A40" s="48" t="s">
        <v>68</v>
      </c>
      <c r="B40" s="44">
        <f>РОС!B23</f>
        <v>12.817561672086935</v>
      </c>
      <c r="C40" s="44">
        <f>РОС!C23</f>
        <v>11</v>
      </c>
      <c r="D40" s="52">
        <f t="shared" si="0"/>
        <v>1.1652328792806304</v>
      </c>
      <c r="E40" s="53" t="str">
        <f>РОС!E23</f>
        <v>обратная</v>
      </c>
    </row>
    <row r="41" spans="1:5" ht="15" customHeight="1">
      <c r="A41" s="48" t="s">
        <v>147</v>
      </c>
      <c r="B41" s="46">
        <f>РОС!B25</f>
        <v>0.63471011746873818</v>
      </c>
      <c r="C41" s="50">
        <f>РОС!C25</f>
        <v>2.27</v>
      </c>
      <c r="D41" s="52">
        <f t="shared" si="0"/>
        <v>0.2796079812637613</v>
      </c>
      <c r="E41" s="53">
        <f>РОС!E24</f>
        <v>0</v>
      </c>
    </row>
    <row r="42" spans="1:5" ht="25.5">
      <c r="A42" s="48" t="s">
        <v>148</v>
      </c>
      <c r="B42" s="50">
        <f>РОС!B26</f>
        <v>0.1042061386888973</v>
      </c>
      <c r="C42" s="50">
        <f>РОС!C26</f>
        <v>5.1999999999999998E-2</v>
      </c>
      <c r="D42" s="68">
        <f>IF(C42=0, IF(B42=0,1, 1.2), B42/C42)</f>
        <v>2.0039642055557176</v>
      </c>
      <c r="E42" s="53">
        <f>РОС!E24</f>
        <v>0</v>
      </c>
    </row>
    <row r="43" spans="1:5" ht="25.5">
      <c r="A43" s="48" t="s">
        <v>149</v>
      </c>
      <c r="B43" s="44">
        <f>РОС!B27</f>
        <v>0</v>
      </c>
      <c r="C43" s="105">
        <f>РОС!C27</f>
        <v>5.1999999999999998E-2</v>
      </c>
      <c r="D43" s="68">
        <f>IF(C43=0, IF(B43=0,1, 1.2), B43/C43)</f>
        <v>0</v>
      </c>
      <c r="E43" s="53">
        <f>РОС!E24</f>
        <v>0</v>
      </c>
    </row>
    <row r="44" spans="1:5" ht="39" customHeight="1">
      <c r="A44" s="48" t="s">
        <v>3</v>
      </c>
      <c r="B44" s="44">
        <f>РОС!B30</f>
        <v>13.432835820895523</v>
      </c>
      <c r="C44" s="44">
        <f>РОС!C30</f>
        <v>0</v>
      </c>
      <c r="D44" s="149">
        <f>IF(C44=0, IF(B44=0,1, 1.2), B44/C44)</f>
        <v>1.2</v>
      </c>
      <c r="E44" s="148" t="str">
        <f>РОС!E30</f>
        <v>обратная</v>
      </c>
    </row>
    <row r="45" spans="1:5" ht="38.25" customHeight="1">
      <c r="A45" s="48" t="s">
        <v>71</v>
      </c>
      <c r="B45" s="50" t="str">
        <f>РОС!B34</f>
        <v>-</v>
      </c>
      <c r="C45" s="50">
        <f>РОС!C34</f>
        <v>1.18</v>
      </c>
      <c r="D45" s="149" t="str">
        <f>РОС!D34</f>
        <v>-</v>
      </c>
      <c r="E45" s="53" t="str">
        <f>РОС!E34</f>
        <v>обратная</v>
      </c>
    </row>
    <row r="46" spans="1:5" ht="75" customHeight="1">
      <c r="A46" s="48" t="s">
        <v>72</v>
      </c>
      <c r="B46" s="44" t="str">
        <f>РОС!B35</f>
        <v>-</v>
      </c>
      <c r="C46" s="44">
        <f>РОС!C35</f>
        <v>42</v>
      </c>
      <c r="D46" s="149" t="str">
        <f>РОС!D35</f>
        <v>-</v>
      </c>
      <c r="E46" s="53" t="str">
        <f>РОС!E35</f>
        <v>прямая</v>
      </c>
    </row>
    <row r="47" spans="1:5" ht="15.75">
      <c r="A47" s="47" t="s">
        <v>154</v>
      </c>
      <c r="B47" s="65">
        <f>0.1*B5+0.7*B19+0.2*B32</f>
        <v>0.89336666666666675</v>
      </c>
      <c r="C47" s="65">
        <f>0.1*C5+0.7*C19+0.2*C32</f>
        <v>1.0102</v>
      </c>
      <c r="D47" s="67">
        <f>B47/C47</f>
        <v>0.88434633405926233</v>
      </c>
      <c r="E47" s="54"/>
    </row>
    <row r="48" spans="1:5" ht="6" customHeight="1"/>
    <row r="49" spans="1:5" ht="6" customHeight="1">
      <c r="A49" s="133"/>
      <c r="B49" s="133"/>
      <c r="C49" s="133"/>
      <c r="D49" s="133"/>
      <c r="E49" s="133"/>
    </row>
    <row r="50" spans="1:5" ht="15.75">
      <c r="A50" s="133" t="s">
        <v>166</v>
      </c>
      <c r="B50" s="133"/>
      <c r="C50" s="133"/>
      <c r="D50" s="133"/>
      <c r="E50" s="133"/>
    </row>
    <row r="51" spans="1:5" ht="7.5" customHeight="1">
      <c r="A51" s="133"/>
      <c r="B51" s="133"/>
      <c r="C51" s="133"/>
      <c r="D51" s="133"/>
      <c r="E51" s="133"/>
    </row>
    <row r="52" spans="1:5" ht="31.5">
      <c r="A52" s="133" t="s">
        <v>187</v>
      </c>
      <c r="B52" s="133"/>
      <c r="C52" s="259"/>
      <c r="D52" s="259"/>
      <c r="E52" s="259"/>
    </row>
    <row r="53" spans="1:5" ht="18" customHeight="1">
      <c r="A53" s="133"/>
      <c r="B53" s="133"/>
      <c r="C53" s="133"/>
      <c r="D53" s="134"/>
      <c r="E53" s="133"/>
    </row>
    <row r="54" spans="1:5" ht="36.75" customHeight="1">
      <c r="A54" s="133" t="s">
        <v>167</v>
      </c>
      <c r="B54" s="133"/>
      <c r="C54" s="259"/>
      <c r="D54" s="259"/>
      <c r="E54" s="259"/>
    </row>
    <row r="55" spans="1:5" ht="16.5" customHeight="1">
      <c r="A55" s="133"/>
      <c r="B55" s="133"/>
      <c r="C55" s="133"/>
      <c r="D55" s="134"/>
      <c r="E55" s="133"/>
    </row>
    <row r="56" spans="1:5" ht="34.5" customHeight="1">
      <c r="A56" s="133" t="s">
        <v>190</v>
      </c>
      <c r="B56" s="133"/>
      <c r="C56" s="259"/>
      <c r="D56" s="259"/>
      <c r="E56" s="259"/>
    </row>
    <row r="57" spans="1:5" ht="14.25" customHeight="1">
      <c r="A57" s="133"/>
      <c r="B57" s="133"/>
      <c r="C57" s="133"/>
      <c r="D57" s="134"/>
      <c r="E57" s="133"/>
    </row>
    <row r="58" spans="1:5" ht="39.75" customHeight="1">
      <c r="A58" s="133" t="s">
        <v>168</v>
      </c>
      <c r="B58" s="133"/>
      <c r="C58" s="259"/>
      <c r="D58" s="259"/>
      <c r="E58" s="259"/>
    </row>
    <row r="59" spans="1:5" ht="18.75" customHeight="1">
      <c r="A59" s="133"/>
      <c r="B59" s="133"/>
      <c r="C59" s="142"/>
      <c r="D59" s="142"/>
      <c r="E59" s="142"/>
    </row>
    <row r="60" spans="1:5" ht="31.5">
      <c r="A60" s="133" t="s">
        <v>189</v>
      </c>
      <c r="B60" s="133"/>
      <c r="C60" s="133"/>
      <c r="D60" s="259"/>
      <c r="E60" s="259"/>
    </row>
    <row r="61" spans="1:5" ht="48" customHeight="1">
      <c r="A61" s="133" t="s">
        <v>169</v>
      </c>
      <c r="B61" s="133"/>
      <c r="C61" s="259"/>
      <c r="D61" s="259"/>
      <c r="E61" s="259"/>
    </row>
  </sheetData>
  <sheetProtection selectLockedCells="1" selectUnlockedCells="1"/>
  <protectedRanges>
    <protectedRange sqref="B5:B17 C6:C17" name="Диапазон1_1"/>
  </protectedRanges>
  <mergeCells count="11">
    <mergeCell ref="C54:E54"/>
    <mergeCell ref="C56:E56"/>
    <mergeCell ref="C58:E58"/>
    <mergeCell ref="C61:E61"/>
    <mergeCell ref="A1:E1"/>
    <mergeCell ref="A2:A4"/>
    <mergeCell ref="B2:C2"/>
    <mergeCell ref="D2:D4"/>
    <mergeCell ref="E2:E4"/>
    <mergeCell ref="C52:E52"/>
    <mergeCell ref="D60:E60"/>
  </mergeCells>
  <pageMargins left="0.70866141732283472" right="0.70866141732283472" top="0.27559055118110237" bottom="0.19685039370078741" header="0.31496062992125984" footer="0.31496062992125984"/>
  <pageSetup paperSize="9" scale="9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view="pageBreakPreview" topLeftCell="A29" zoomScale="110" zoomScaleNormal="100" zoomScaleSheetLayoutView="110" workbookViewId="0">
      <pane xSplit="1" topLeftCell="B1" activePane="topRight" state="frozen"/>
      <selection pane="topRight" activeCell="B35" sqref="B35"/>
    </sheetView>
  </sheetViews>
  <sheetFormatPr defaultRowHeight="12.75"/>
  <cols>
    <col min="1" max="1" width="77.7109375" style="10" customWidth="1"/>
    <col min="2" max="3" width="8.28515625" style="10" customWidth="1"/>
    <col min="4" max="4" width="12.7109375" customWidth="1"/>
    <col min="5" max="5" width="8.28515625" customWidth="1"/>
    <col min="6" max="6" width="13.42578125" customWidth="1"/>
  </cols>
  <sheetData>
    <row r="2" spans="1:7" s="1" customFormat="1" ht="14.25">
      <c r="A2" s="2"/>
      <c r="B2" s="59"/>
      <c r="C2" s="60"/>
      <c r="D2" s="60"/>
      <c r="E2" s="60"/>
      <c r="F2" s="60"/>
    </row>
    <row r="3" spans="1:7" s="1" customFormat="1">
      <c r="A3" s="2"/>
      <c r="B3" s="60"/>
      <c r="C3" s="60"/>
      <c r="D3" s="60"/>
      <c r="E3" s="60"/>
      <c r="F3" s="60"/>
      <c r="G3" s="32"/>
    </row>
    <row r="4" spans="1:7" s="1" customFormat="1">
      <c r="A4" s="2"/>
      <c r="B4" s="60"/>
      <c r="C4" s="60"/>
      <c r="D4" s="60"/>
      <c r="E4" s="60"/>
      <c r="F4" s="60"/>
    </row>
    <row r="5" spans="1:7" s="1" customFormat="1" ht="13.5" thickBot="1">
      <c r="A5" s="2"/>
    </row>
    <row r="6" spans="1:7">
      <c r="A6" s="267" t="s">
        <v>11</v>
      </c>
      <c r="B6" s="268" t="str">
        <f>Свод!B2</f>
        <v>Тамбовэнерго</v>
      </c>
      <c r="C6" s="269"/>
      <c r="D6" s="269"/>
      <c r="E6" s="269"/>
      <c r="F6" s="270"/>
    </row>
    <row r="7" spans="1:7">
      <c r="A7" s="267"/>
      <c r="B7" s="271" t="s">
        <v>4</v>
      </c>
      <c r="C7" s="272"/>
      <c r="D7" s="273" t="s">
        <v>25</v>
      </c>
      <c r="E7" s="273" t="s">
        <v>26</v>
      </c>
      <c r="F7" s="266" t="s">
        <v>2</v>
      </c>
    </row>
    <row r="8" spans="1:7">
      <c r="A8" s="267"/>
      <c r="B8" s="112" t="s">
        <v>44</v>
      </c>
      <c r="C8" s="113" t="s">
        <v>45</v>
      </c>
      <c r="D8" s="274"/>
      <c r="E8" s="273"/>
      <c r="F8" s="266"/>
    </row>
    <row r="9" spans="1:7" ht="15.75">
      <c r="A9" s="114">
        <v>1</v>
      </c>
      <c r="B9" s="112">
        <v>2</v>
      </c>
      <c r="C9" s="113">
        <v>3</v>
      </c>
      <c r="D9" s="115">
        <v>4</v>
      </c>
      <c r="E9" s="115">
        <v>5</v>
      </c>
      <c r="F9" s="116">
        <v>6</v>
      </c>
    </row>
    <row r="10" spans="1:7" ht="25.5">
      <c r="A10" s="12" t="s">
        <v>27</v>
      </c>
      <c r="B10" s="11" t="s">
        <v>1</v>
      </c>
      <c r="C10" s="30" t="s">
        <v>1</v>
      </c>
      <c r="D10" s="5" t="s">
        <v>1</v>
      </c>
      <c r="E10" s="5" t="s">
        <v>1</v>
      </c>
      <c r="F10" s="6">
        <f>AVERAGE(F12:F13)</f>
        <v>2</v>
      </c>
    </row>
    <row r="11" spans="1:7" ht="15.75">
      <c r="A11" s="12" t="s">
        <v>5</v>
      </c>
      <c r="B11" s="11"/>
      <c r="C11" s="30"/>
      <c r="D11" s="5"/>
      <c r="E11" s="5"/>
      <c r="F11" s="6"/>
    </row>
    <row r="12" spans="1:7" ht="25.5">
      <c r="A12" s="13" t="s">
        <v>28</v>
      </c>
      <c r="B12" s="122">
        <f>Исходные!C3/Исходные!C4*100</f>
        <v>25.490196078431371</v>
      </c>
      <c r="C12" s="123">
        <v>32</v>
      </c>
      <c r="D12" s="7">
        <f>IF(C12=0, IF(B12=0,100, 120), B12/C12*100)</f>
        <v>79.656862745098039</v>
      </c>
      <c r="E12" s="7" t="s">
        <v>23</v>
      </c>
      <c r="F12" s="6">
        <f>IF(OR(AND(D12&lt;80,E12="прямая"),AND(D12&gt;120,E12="обратная")),3,IF(OR(AND(D12&gt;120,E12="прямая"),AND(D12&lt;80,E12="обратная")),1,2))</f>
        <v>3</v>
      </c>
    </row>
    <row r="13" spans="1:7" ht="38.25">
      <c r="A13" s="13" t="s">
        <v>29</v>
      </c>
      <c r="B13" s="58">
        <f>SUM(B15:B18)</f>
        <v>136</v>
      </c>
      <c r="C13" s="123">
        <v>62</v>
      </c>
      <c r="D13" s="57">
        <f>IF(C13=0, IF(B13=0,100, 120), B13/C13*100)</f>
        <v>219.35483870967741</v>
      </c>
      <c r="E13" s="7" t="s">
        <v>23</v>
      </c>
      <c r="F13" s="6">
        <f>IF(OR(AND(D13&lt;80,E13="прямая"),AND(D13&gt;120,E13="обратная")),3,IF(OR(AND(D13&gt;120,E13="прямая"),AND(D13&lt;80,E13="обратная")),1,2))</f>
        <v>1</v>
      </c>
    </row>
    <row r="14" spans="1:7" ht="15.75">
      <c r="A14" s="13" t="s">
        <v>30</v>
      </c>
      <c r="B14" s="8"/>
      <c r="C14" s="63"/>
      <c r="D14" s="7"/>
      <c r="E14" s="7"/>
      <c r="F14" s="9"/>
    </row>
    <row r="15" spans="1:7" ht="25.5">
      <c r="A15" s="12" t="s">
        <v>31</v>
      </c>
      <c r="B15" s="37">
        <f>Исходные!C5</f>
        <v>33</v>
      </c>
      <c r="C15" s="123">
        <v>9</v>
      </c>
      <c r="D15" s="7"/>
      <c r="E15" s="7" t="s">
        <v>1</v>
      </c>
      <c r="F15" s="31" t="s">
        <v>1</v>
      </c>
    </row>
    <row r="16" spans="1:7" ht="38.25">
      <c r="A16" s="12" t="s">
        <v>32</v>
      </c>
      <c r="B16" s="37">
        <v>1</v>
      </c>
      <c r="C16" s="123">
        <v>1</v>
      </c>
      <c r="D16" s="7"/>
      <c r="E16" s="7" t="s">
        <v>1</v>
      </c>
      <c r="F16" s="31" t="s">
        <v>1</v>
      </c>
    </row>
    <row r="17" spans="1:6" ht="25.5">
      <c r="A17" s="12" t="s">
        <v>6</v>
      </c>
      <c r="B17" s="37">
        <f>Исходные!C6</f>
        <v>47</v>
      </c>
      <c r="C17" s="123">
        <v>32</v>
      </c>
      <c r="D17" s="7"/>
      <c r="E17" s="7" t="s">
        <v>1</v>
      </c>
      <c r="F17" s="31" t="s">
        <v>1</v>
      </c>
    </row>
    <row r="18" spans="1:6" ht="25.5">
      <c r="A18" s="12" t="s">
        <v>7</v>
      </c>
      <c r="B18" s="37">
        <f>Исходные!C7</f>
        <v>55</v>
      </c>
      <c r="C18" s="123">
        <v>20</v>
      </c>
      <c r="D18" s="7"/>
      <c r="E18" s="7" t="s">
        <v>1</v>
      </c>
      <c r="F18" s="31" t="s">
        <v>1</v>
      </c>
    </row>
    <row r="19" spans="1:6" ht="15.75">
      <c r="A19" s="13"/>
      <c r="B19" s="8"/>
      <c r="C19" s="63"/>
      <c r="D19" s="7"/>
      <c r="E19" s="7"/>
      <c r="F19" s="9"/>
    </row>
    <row r="20" spans="1:6" ht="25.5">
      <c r="A20" s="12" t="s">
        <v>33</v>
      </c>
      <c r="B20" s="11" t="s">
        <v>1</v>
      </c>
      <c r="C20" s="64" t="s">
        <v>1</v>
      </c>
      <c r="D20" s="5" t="s">
        <v>1</v>
      </c>
      <c r="E20" s="5" t="s">
        <v>1</v>
      </c>
      <c r="F20" s="69">
        <f>AVERAGE(F22:F24)</f>
        <v>2</v>
      </c>
    </row>
    <row r="21" spans="1:6" ht="15.75">
      <c r="A21" s="12" t="s">
        <v>8</v>
      </c>
      <c r="B21" s="8"/>
      <c r="C21" s="63"/>
      <c r="D21" s="7"/>
      <c r="E21" s="7"/>
      <c r="F21" s="9"/>
    </row>
    <row r="22" spans="1:6" ht="25.5">
      <c r="A22" s="12" t="s">
        <v>34</v>
      </c>
      <c r="B22" s="37">
        <v>1</v>
      </c>
      <c r="C22" s="123">
        <v>1</v>
      </c>
      <c r="D22" s="35">
        <f t="shared" ref="D22:D28" si="0">IF(C22=0, IF(B22=0,100, 120), B22/C22*100)</f>
        <v>100</v>
      </c>
      <c r="E22" s="35" t="s">
        <v>23</v>
      </c>
      <c r="F22" s="78">
        <f>IF(OR(AND(D22&lt;80,E22="прямая"),AND(D22&gt;120,E22="обратная")),3,IF(OR(AND(D22&gt;120,E22="прямая"),AND(D22&lt;80,E22="обратная")),1,2))</f>
        <v>2</v>
      </c>
    </row>
    <row r="23" spans="1:6" ht="25.5">
      <c r="A23" s="13" t="s">
        <v>35</v>
      </c>
      <c r="B23" s="37">
        <v>1</v>
      </c>
      <c r="C23" s="123">
        <v>1</v>
      </c>
      <c r="D23" s="35">
        <f t="shared" si="0"/>
        <v>100</v>
      </c>
      <c r="E23" s="35" t="s">
        <v>23</v>
      </c>
      <c r="F23" s="78">
        <f>IF(OR(AND(D23&lt;80,E23="прямая"),AND(D23&gt;120,E23="обратная")),3,IF(OR(AND(D23&gt;120,E23="прямая"),AND(D23&lt;80,E23="обратная")),1,2))</f>
        <v>2</v>
      </c>
    </row>
    <row r="24" spans="1:6" ht="25.5">
      <c r="A24" s="13" t="s">
        <v>36</v>
      </c>
      <c r="B24" s="37">
        <v>1</v>
      </c>
      <c r="C24" s="124">
        <v>1</v>
      </c>
      <c r="D24" s="35">
        <f t="shared" si="0"/>
        <v>100</v>
      </c>
      <c r="E24" s="35" t="s">
        <v>23</v>
      </c>
      <c r="F24" s="78">
        <f>IF(OR(AND(D24&lt;80,E24="прямая"),AND(D24&gt;120,E24="обратная")),3,IF(OR(AND(D24&gt;120,E24="прямая"),AND(D24&lt;80,E24="обратная")),1,2))</f>
        <v>2</v>
      </c>
    </row>
    <row r="25" spans="1:6" ht="15.75">
      <c r="A25" s="12"/>
      <c r="B25" s="92"/>
      <c r="C25" s="91"/>
      <c r="D25" s="35"/>
      <c r="E25" s="35"/>
      <c r="F25" s="78"/>
    </row>
    <row r="26" spans="1:6" ht="38.25">
      <c r="A26" s="12" t="s">
        <v>37</v>
      </c>
      <c r="B26" s="37">
        <v>1</v>
      </c>
      <c r="C26" s="123">
        <v>1</v>
      </c>
      <c r="D26" s="35">
        <f t="shared" si="0"/>
        <v>100</v>
      </c>
      <c r="E26" s="35" t="s">
        <v>23</v>
      </c>
      <c r="F26" s="78">
        <f>IF(OR(AND(D26&lt;80,E26="прямая"),AND(D26&gt;120,E26="обратная")),3,IF(OR(AND(D26&gt;120,E26="прямая"),AND(D26&lt;80,E26="обратная")),1,2))</f>
        <v>2</v>
      </c>
    </row>
    <row r="27" spans="1:6" ht="15.75">
      <c r="A27" s="12"/>
      <c r="B27" s="92"/>
      <c r="C27" s="91"/>
      <c r="D27" s="35"/>
      <c r="E27" s="35"/>
      <c r="F27" s="78"/>
    </row>
    <row r="28" spans="1:6" ht="38.25">
      <c r="A28" s="12" t="s">
        <v>38</v>
      </c>
      <c r="B28" s="37">
        <v>1</v>
      </c>
      <c r="C28" s="123">
        <v>1</v>
      </c>
      <c r="D28" s="35">
        <f t="shared" si="0"/>
        <v>100</v>
      </c>
      <c r="E28" s="35" t="s">
        <v>23</v>
      </c>
      <c r="F28" s="78">
        <f>IF(OR(AND(D28&lt;80,E28="прямая"),AND(D28&gt;120,E28="обратная")),3,IF(OR(AND(D28&gt;120,E28="прямая"),AND(D28&lt;80,E28="обратная")),1,2))</f>
        <v>2</v>
      </c>
    </row>
    <row r="29" spans="1:6" ht="15.75">
      <c r="A29" s="12"/>
      <c r="B29" s="93"/>
      <c r="C29" s="94"/>
      <c r="D29" s="35"/>
      <c r="E29" s="35"/>
      <c r="F29" s="78"/>
    </row>
    <row r="30" spans="1:6" ht="25.5">
      <c r="A30" s="12" t="s">
        <v>9</v>
      </c>
      <c r="B30" s="92" t="s">
        <v>1</v>
      </c>
      <c r="C30" s="91" t="s">
        <v>1</v>
      </c>
      <c r="D30" s="35" t="s">
        <v>1</v>
      </c>
      <c r="E30" s="35" t="s">
        <v>1</v>
      </c>
      <c r="F30" s="78">
        <f>F32/1</f>
        <v>1</v>
      </c>
    </row>
    <row r="31" spans="1:6" ht="15.75">
      <c r="A31" s="12" t="s">
        <v>39</v>
      </c>
      <c r="B31" s="93"/>
      <c r="C31" s="94"/>
      <c r="D31" s="35"/>
      <c r="E31" s="35"/>
      <c r="F31" s="95"/>
    </row>
    <row r="32" spans="1:6" ht="38.25">
      <c r="A32" s="13" t="s">
        <v>10</v>
      </c>
      <c r="B32" s="96">
        <f>100*Исходные!C8/Исходные!C9</f>
        <v>0</v>
      </c>
      <c r="C32" s="125">
        <v>1.012</v>
      </c>
      <c r="D32" s="35">
        <f>IF(C32=0, IF(B32=0,100, 120), B32/C32*100)</f>
        <v>0</v>
      </c>
      <c r="E32" s="35" t="s">
        <v>24</v>
      </c>
      <c r="F32" s="78">
        <f>IF(OR(AND(D32&lt;80,E32="прямая"),AND(D32&gt;120,E32="обратная")),3,IF(OR(AND(D32&gt;120,E32="прямая"),AND(D32&lt;80,E32="обратная")),1,2))</f>
        <v>1</v>
      </c>
    </row>
    <row r="33" spans="1:6" ht="25.5">
      <c r="A33" s="12" t="s">
        <v>40</v>
      </c>
      <c r="B33" s="92" t="s">
        <v>1</v>
      </c>
      <c r="C33" s="91" t="s">
        <v>1</v>
      </c>
      <c r="D33" s="97" t="s">
        <v>1</v>
      </c>
      <c r="E33" s="97" t="s">
        <v>1</v>
      </c>
      <c r="F33" s="78">
        <f>AVERAGE(F35:F36)</f>
        <v>2</v>
      </c>
    </row>
    <row r="34" spans="1:6" ht="15.75">
      <c r="A34" s="12" t="s">
        <v>5</v>
      </c>
      <c r="B34" s="92"/>
      <c r="C34" s="91"/>
      <c r="D34" s="35"/>
      <c r="E34" s="35"/>
      <c r="F34" s="78"/>
    </row>
    <row r="35" spans="1:6" ht="38.25">
      <c r="A35" s="13" t="s">
        <v>41</v>
      </c>
      <c r="B35" s="251">
        <f>100*Исходные!C13/Исходные!C14</f>
        <v>15.143193409180071</v>
      </c>
      <c r="C35" s="125">
        <v>8.61</v>
      </c>
      <c r="D35" s="35">
        <f>IF(C35=0, IF(B35=0,100, 120), B35/C35*100)</f>
        <v>175.8791336722424</v>
      </c>
      <c r="E35" s="35" t="s">
        <v>24</v>
      </c>
      <c r="F35" s="78">
        <f>IF(OR(AND(D35&lt;80,E35="прямая"),AND(D35&gt;120,E35="обратная")),3,IF(OR(AND(D35&gt;120,E35="прямая"),AND(D35&lt;80,E35="обратная")),1,2))</f>
        <v>3</v>
      </c>
    </row>
    <row r="36" spans="1:6" ht="51">
      <c r="A36" s="13" t="s">
        <v>42</v>
      </c>
      <c r="B36" s="37">
        <f>100*Исходные!C15/Исходные!C16</f>
        <v>0</v>
      </c>
      <c r="C36" s="130">
        <v>2.82E-3</v>
      </c>
      <c r="D36" s="35">
        <f>IF(C36=0, IF(B36=0,100, 120), B36/C36*100)</f>
        <v>0</v>
      </c>
      <c r="E36" s="35" t="s">
        <v>24</v>
      </c>
      <c r="F36" s="78">
        <f>IF(OR(AND(D36&lt;80,E36="прямая"),AND(D36&gt;120,E36="обратная")),3,IF(OR(AND(D36&gt;120,E36="прямая"),AND(D36&lt;80,E36="обратная")),1,2))</f>
        <v>1</v>
      </c>
    </row>
    <row r="37" spans="1:6" ht="16.5" thickBot="1">
      <c r="A37" s="14" t="s">
        <v>43</v>
      </c>
      <c r="B37" s="98" t="s">
        <v>1</v>
      </c>
      <c r="C37" s="99" t="s">
        <v>1</v>
      </c>
      <c r="D37" s="100" t="s">
        <v>1</v>
      </c>
      <c r="E37" s="100" t="s">
        <v>1</v>
      </c>
      <c r="F37" s="101">
        <f>AVERAGE(F10,F20,F26,F28,F30,F33)</f>
        <v>1.8333333333333333</v>
      </c>
    </row>
  </sheetData>
  <sheetProtection selectLockedCells="1" selectUnlockedCells="1"/>
  <protectedRanges>
    <protectedRange sqref="B12:B36" name="Диапазон1"/>
    <protectedRange sqref="C12:C36" name="Диапазон1_2"/>
  </protectedRanges>
  <mergeCells count="6">
    <mergeCell ref="F7:F8"/>
    <mergeCell ref="A6:A8"/>
    <mergeCell ref="B6:F6"/>
    <mergeCell ref="B7:C7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8" orientation="portrait" r:id="rId1"/>
  <ignoredErrors>
    <ignoredError sqref="B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view="pageBreakPreview" topLeftCell="A10" zoomScaleNormal="80" zoomScaleSheetLayoutView="100" workbookViewId="0">
      <selection activeCell="F38" sqref="F38"/>
    </sheetView>
  </sheetViews>
  <sheetFormatPr defaultRowHeight="12.75"/>
  <cols>
    <col min="1" max="1" width="76.5703125" style="10" customWidth="1"/>
    <col min="2" max="2" width="11" style="10" customWidth="1"/>
    <col min="3" max="3" width="10.28515625" style="10" customWidth="1"/>
    <col min="4" max="4" width="12.85546875" customWidth="1"/>
    <col min="5" max="5" width="8.28515625" customWidth="1"/>
    <col min="6" max="6" width="10.85546875" customWidth="1"/>
  </cols>
  <sheetData>
    <row r="2" spans="1:7" s="1" customFormat="1" ht="14.25">
      <c r="A2" s="2"/>
      <c r="B2" s="3"/>
    </row>
    <row r="3" spans="1:7" s="1" customFormat="1">
      <c r="A3" s="2"/>
      <c r="D3" s="61"/>
      <c r="E3" s="61"/>
      <c r="F3" s="61"/>
      <c r="G3" s="32"/>
    </row>
    <row r="4" spans="1:7" s="1" customFormat="1">
      <c r="A4" s="2"/>
      <c r="D4" s="61"/>
      <c r="E4" s="61"/>
      <c r="F4" s="61"/>
    </row>
    <row r="5" spans="1:7" s="1" customFormat="1" ht="13.5" thickBot="1">
      <c r="A5" s="2"/>
    </row>
    <row r="6" spans="1:7">
      <c r="A6" s="267" t="s">
        <v>11</v>
      </c>
      <c r="B6" s="268" t="str">
        <f>ИНФ!B6</f>
        <v>Тамбовэнерго</v>
      </c>
      <c r="C6" s="269"/>
      <c r="D6" s="269"/>
      <c r="E6" s="269"/>
      <c r="F6" s="270"/>
    </row>
    <row r="7" spans="1:7">
      <c r="A7" s="267"/>
      <c r="B7" s="271" t="s">
        <v>4</v>
      </c>
      <c r="C7" s="272"/>
      <c r="D7" s="273" t="s">
        <v>25</v>
      </c>
      <c r="E7" s="273" t="s">
        <v>26</v>
      </c>
      <c r="F7" s="266" t="s">
        <v>2</v>
      </c>
    </row>
    <row r="8" spans="1:7">
      <c r="A8" s="267"/>
      <c r="B8" s="112" t="s">
        <v>44</v>
      </c>
      <c r="C8" s="113" t="s">
        <v>45</v>
      </c>
      <c r="D8" s="274"/>
      <c r="E8" s="273"/>
      <c r="F8" s="266"/>
    </row>
    <row r="9" spans="1:7" ht="16.5" thickBot="1">
      <c r="A9" s="117">
        <v>1</v>
      </c>
      <c r="B9" s="118">
        <v>2</v>
      </c>
      <c r="C9" s="119">
        <v>3</v>
      </c>
      <c r="D9" s="120">
        <v>4</v>
      </c>
      <c r="E9" s="120">
        <v>5</v>
      </c>
      <c r="F9" s="121">
        <v>6</v>
      </c>
    </row>
    <row r="10" spans="1:7" ht="51">
      <c r="A10" s="13" t="s">
        <v>46</v>
      </c>
      <c r="B10" s="22" t="s">
        <v>1</v>
      </c>
      <c r="C10" s="23" t="s">
        <v>1</v>
      </c>
      <c r="D10" s="24" t="s">
        <v>1</v>
      </c>
      <c r="E10" s="23" t="s">
        <v>1</v>
      </c>
      <c r="F10" s="4">
        <f>AVERAGE(F12:F13)</f>
        <v>1</v>
      </c>
    </row>
    <row r="11" spans="1:7">
      <c r="A11" s="13" t="s">
        <v>5</v>
      </c>
      <c r="B11" s="25"/>
      <c r="C11" s="20"/>
      <c r="D11" s="21"/>
      <c r="E11" s="20"/>
      <c r="F11" s="15"/>
    </row>
    <row r="12" spans="1:7" ht="31.5">
      <c r="A12" s="13" t="s">
        <v>47</v>
      </c>
      <c r="B12" s="80">
        <f>Исходные!C17/Исходные!C18</f>
        <v>15.242112986060162</v>
      </c>
      <c r="C12" s="123">
        <v>35</v>
      </c>
      <c r="D12" s="35">
        <f>IF(C12=0, IF(B12=0,100, 120), B12/C12*100)</f>
        <v>43.548894245886174</v>
      </c>
      <c r="E12" s="34" t="s">
        <v>24</v>
      </c>
      <c r="F12" s="78">
        <f>IF(OR(AND(D12&lt;80,E12="прямая"),AND(D12&gt;120,E12="обратная")),3,IF(OR(AND(D12&gt;120,E12="прямая"),AND(D12&lt;80,E12="обратная")),1,2))</f>
        <v>1</v>
      </c>
    </row>
    <row r="13" spans="1:7" s="36" customFormat="1" ht="38.25">
      <c r="A13" s="33" t="s">
        <v>48</v>
      </c>
      <c r="B13" s="80">
        <f>Исходные!C19/Исходные!C20</f>
        <v>133.77065527065528</v>
      </c>
      <c r="C13" s="123">
        <v>327</v>
      </c>
      <c r="D13" s="35">
        <f>IF(C13=0, IF(B13=0,100, 120), B13/C13*100)</f>
        <v>40.908457269313544</v>
      </c>
      <c r="E13" s="34" t="s">
        <v>24</v>
      </c>
      <c r="F13" s="78">
        <f>IF(OR(AND(D13&lt;80,E13="прямая"),AND(D13&gt;120,E13="обратная")),3,IF(OR(AND(D13&gt;120,E13="прямая"),AND(D13&lt;80,E13="обратная")),1,2))</f>
        <v>1</v>
      </c>
    </row>
    <row r="14" spans="1:7" ht="15.75">
      <c r="A14" s="13"/>
      <c r="B14" s="55"/>
      <c r="C14" s="34"/>
      <c r="D14" s="34"/>
      <c r="E14" s="34"/>
      <c r="F14" s="82"/>
    </row>
    <row r="15" spans="1:7" ht="25.5">
      <c r="A15" s="13" t="s">
        <v>49</v>
      </c>
      <c r="B15" s="55" t="s">
        <v>1</v>
      </c>
      <c r="C15" s="34" t="s">
        <v>1</v>
      </c>
      <c r="D15" s="34" t="s">
        <v>1</v>
      </c>
      <c r="E15" s="34" t="s">
        <v>1</v>
      </c>
      <c r="F15" s="78">
        <f>IF(B17="-", AVERAGE(F18,F21), AVERAGE(F17,F18,F21))</f>
        <v>0.54166666666666663</v>
      </c>
    </row>
    <row r="16" spans="1:7">
      <c r="A16" s="13" t="s">
        <v>5</v>
      </c>
      <c r="B16" s="72"/>
      <c r="C16" s="73"/>
      <c r="D16" s="73"/>
      <c r="E16" s="73"/>
      <c r="F16" s="76"/>
    </row>
    <row r="17" spans="1:6" ht="38.25">
      <c r="A17" s="13" t="s">
        <v>50</v>
      </c>
      <c r="B17" s="27">
        <f>IF(Исходные!C21=0, "-", Исходные!C21/Исходные!C22)</f>
        <v>8.5</v>
      </c>
      <c r="C17" s="126">
        <v>25</v>
      </c>
      <c r="D17" s="226">
        <v>0</v>
      </c>
      <c r="E17" s="34" t="s">
        <v>24</v>
      </c>
      <c r="F17" s="78">
        <f>IF(OR(AND(D17&lt;80,E17="прямая"),AND(D17&gt;120,E17="обратная")),0.75,IF(OR(AND(D17&gt;120,E17="прямая"),AND(D17&lt;80,E17="обратная")),0.25,0.5))</f>
        <v>0.25</v>
      </c>
    </row>
    <row r="18" spans="1:6" ht="31.5">
      <c r="A18" s="13" t="s">
        <v>51</v>
      </c>
      <c r="B18" s="55" t="s">
        <v>1</v>
      </c>
      <c r="C18" s="34" t="s">
        <v>1</v>
      </c>
      <c r="D18" s="35" t="s">
        <v>1</v>
      </c>
      <c r="E18" s="34" t="s">
        <v>24</v>
      </c>
      <c r="F18" s="78">
        <f>AVERAGE(F19:F20)</f>
        <v>0.625</v>
      </c>
    </row>
    <row r="19" spans="1:6" ht="31.5">
      <c r="A19" s="13" t="s">
        <v>52</v>
      </c>
      <c r="B19" s="62">
        <f>Исходные!C23/Исходные!C24</f>
        <v>16.826240093924273</v>
      </c>
      <c r="C19" s="126">
        <v>18</v>
      </c>
      <c r="D19" s="35">
        <f>IF(C19=0, IF(B19=0,100, 120), B19/C19*100)</f>
        <v>93.47911163291262</v>
      </c>
      <c r="E19" s="34" t="s">
        <v>24</v>
      </c>
      <c r="F19" s="78">
        <f>IF(OR(AND(D19&lt;80,E19="прямая"),AND(D19&gt;120,E19="обратная")),0.75,IF(OR(AND(D19&gt;120,E19="прямая"),AND(D19&lt;80,E19="обратная")),0.25,0.5))</f>
        <v>0.5</v>
      </c>
    </row>
    <row r="20" spans="1:6" ht="31.5">
      <c r="A20" s="13" t="s">
        <v>12</v>
      </c>
      <c r="B20" s="62">
        <f>Исходные!C25/Исходные!C26</f>
        <v>40.658291457286431</v>
      </c>
      <c r="C20" s="126">
        <v>29</v>
      </c>
      <c r="D20" s="35">
        <f>IF(C20=0, IF(B20=0,100, 120), B20/C20*100)</f>
        <v>140.20100502512562</v>
      </c>
      <c r="E20" s="34" t="s">
        <v>24</v>
      </c>
      <c r="F20" s="78">
        <f>IF(OR(AND(D20&lt;80,E20="прямая"),AND(D20&gt;120,E20="обратная")),0.75,IF(OR(AND(D20&gt;120,E20="прямая"),AND(D20&lt;80,E20="обратная")),0.25,0.5))</f>
        <v>0.75</v>
      </c>
    </row>
    <row r="21" spans="1:6" ht="51">
      <c r="A21" s="13" t="s">
        <v>53</v>
      </c>
      <c r="B21" s="77">
        <f>Исходные!C27/(Исходные!C28+Исходные!C29)*100</f>
        <v>4.7619047619047619</v>
      </c>
      <c r="C21" s="129">
        <v>0.377</v>
      </c>
      <c r="D21" s="35">
        <f>IF(C21=0, IF(B21=0,100, 120), B21/C21*100)</f>
        <v>1263.1047113805735</v>
      </c>
      <c r="E21" s="34" t="s">
        <v>24</v>
      </c>
      <c r="F21" s="78">
        <f>IF(OR(AND(D21&lt;80,E21="прямая"),AND(D21&gt;120,E21="обратная")),0.75,IF(OR(AND(D21&gt;120,E21="прямая"),AND(D21&lt;80,E21="обратная")),0.25,0.5))</f>
        <v>0.75</v>
      </c>
    </row>
    <row r="22" spans="1:6">
      <c r="A22" s="13"/>
      <c r="B22" s="72"/>
      <c r="C22" s="73"/>
      <c r="D22" s="73"/>
      <c r="E22" s="73"/>
      <c r="F22" s="76"/>
    </row>
    <row r="23" spans="1:6" ht="25.5">
      <c r="A23" s="13" t="s">
        <v>13</v>
      </c>
      <c r="B23" s="55" t="s">
        <v>1</v>
      </c>
      <c r="C23" s="34" t="s">
        <v>1</v>
      </c>
      <c r="D23" s="34" t="s">
        <v>1</v>
      </c>
      <c r="E23" s="34" t="s">
        <v>1</v>
      </c>
      <c r="F23" s="78">
        <f>F25</f>
        <v>0.2</v>
      </c>
    </row>
    <row r="24" spans="1:6">
      <c r="A24" s="13" t="s">
        <v>39</v>
      </c>
      <c r="B24" s="72"/>
      <c r="C24" s="73"/>
      <c r="D24" s="73"/>
      <c r="E24" s="73"/>
      <c r="F24" s="76"/>
    </row>
    <row r="25" spans="1:6" ht="76.5">
      <c r="A25" s="13" t="s">
        <v>54</v>
      </c>
      <c r="B25" s="80">
        <f>100*Исходные!C30/Исходные!C31</f>
        <v>0</v>
      </c>
      <c r="C25" s="126">
        <v>0</v>
      </c>
      <c r="D25" s="35">
        <f>IF(C25=0, IF(B25=0,100, 120), B25/C25*100)</f>
        <v>100</v>
      </c>
      <c r="E25" s="34" t="s">
        <v>24</v>
      </c>
      <c r="F25" s="78">
        <f>IF(OR(AND(D25&lt;80,E25="прямая"),AND(D25&gt;120,E25="обратная")),0.3,IF(OR(AND(D25&gt;120,E25="прямая"),AND(D25&lt;80,E25="обратная")),0.1,0.2))</f>
        <v>0.2</v>
      </c>
    </row>
    <row r="26" spans="1:6" ht="25.5">
      <c r="A26" s="13" t="s">
        <v>55</v>
      </c>
      <c r="B26" s="55" t="s">
        <v>1</v>
      </c>
      <c r="C26" s="34" t="s">
        <v>1</v>
      </c>
      <c r="D26" s="34" t="s">
        <v>1</v>
      </c>
      <c r="E26" s="34" t="s">
        <v>1</v>
      </c>
      <c r="F26" s="78">
        <f>F27</f>
        <v>0.2</v>
      </c>
    </row>
    <row r="27" spans="1:6" ht="51">
      <c r="A27" s="13" t="s">
        <v>14</v>
      </c>
      <c r="B27" s="27">
        <f>100*Исходные!C32/Исходные!C33</f>
        <v>0</v>
      </c>
      <c r="C27" s="123">
        <v>0</v>
      </c>
      <c r="D27" s="35">
        <f>IF(C27=0, IF(B27=0,100, 120), B27/C27*100)</f>
        <v>100</v>
      </c>
      <c r="E27" s="34" t="s">
        <v>24</v>
      </c>
      <c r="F27" s="78">
        <f>IF(OR(AND(D27&lt;80,E27="прямая"),AND(D27&gt;120,E27="обратная")),0.3,IF(OR(AND(D27&gt;120,E27="прямая"),AND(D27&lt;80,E27="обратная")),0.1,0.2))</f>
        <v>0.2</v>
      </c>
    </row>
    <row r="28" spans="1:6" ht="15.75">
      <c r="A28" s="13"/>
      <c r="B28" s="27"/>
      <c r="C28" s="34"/>
      <c r="D28" s="70"/>
      <c r="E28" s="34"/>
      <c r="F28" s="82"/>
    </row>
    <row r="29" spans="1:6" ht="25.5">
      <c r="A29" s="13" t="s">
        <v>15</v>
      </c>
      <c r="B29" s="55" t="s">
        <v>1</v>
      </c>
      <c r="C29" s="34" t="s">
        <v>1</v>
      </c>
      <c r="D29" s="34" t="s">
        <v>1</v>
      </c>
      <c r="E29" s="34" t="s">
        <v>1</v>
      </c>
      <c r="F29" s="78">
        <f>F30</f>
        <v>0.25</v>
      </c>
    </row>
    <row r="30" spans="1:6" ht="31.5">
      <c r="A30" s="13" t="s">
        <v>16</v>
      </c>
      <c r="B30" s="80">
        <f>100*Исходные!C34/Исходные!C35</f>
        <v>8.4346802667712828E-2</v>
      </c>
      <c r="C30" s="127">
        <v>0.75</v>
      </c>
      <c r="D30" s="35">
        <f>IF(C30=0, IF(B30=0,100, 120), B30/C30*100)</f>
        <v>11.246240355695043</v>
      </c>
      <c r="E30" s="34" t="s">
        <v>24</v>
      </c>
      <c r="F30" s="78">
        <f>IF(OR(AND(D30&lt;80,E30="прямая"),AND(D30&gt;120,E30="обратная")),0.75,IF(AND(D30&gt;80,D30&lt;120),0.5,0.25))</f>
        <v>0.25</v>
      </c>
    </row>
    <row r="31" spans="1:6" ht="15.75">
      <c r="A31" s="13"/>
      <c r="B31" s="27"/>
      <c r="C31" s="34"/>
      <c r="D31" s="70"/>
      <c r="E31" s="34"/>
      <c r="F31" s="82"/>
    </row>
    <row r="32" spans="1:6" ht="25.5">
      <c r="A32" s="13" t="s">
        <v>17</v>
      </c>
      <c r="B32" s="27" t="s">
        <v>1</v>
      </c>
      <c r="C32" s="34" t="s">
        <v>1</v>
      </c>
      <c r="D32" s="70" t="s">
        <v>1</v>
      </c>
      <c r="E32" s="34" t="s">
        <v>1</v>
      </c>
      <c r="F32" s="78">
        <f>AVERAGE(F34:F35)</f>
        <v>0.625</v>
      </c>
    </row>
    <row r="33" spans="1:6" ht="15.75">
      <c r="A33" s="13" t="s">
        <v>5</v>
      </c>
      <c r="B33" s="27"/>
      <c r="C33" s="34"/>
      <c r="D33" s="70"/>
      <c r="E33" s="34"/>
      <c r="F33" s="82"/>
    </row>
    <row r="34" spans="1:6" ht="38.25">
      <c r="A34" s="13" t="s">
        <v>56</v>
      </c>
      <c r="B34" s="128">
        <v>1</v>
      </c>
      <c r="C34" s="126">
        <v>1</v>
      </c>
      <c r="D34" s="35">
        <f>IF(C34=0, IF(B34=0,100, 120), B34/C34*100)</f>
        <v>100</v>
      </c>
      <c r="E34" s="34" t="s">
        <v>23</v>
      </c>
      <c r="F34" s="78">
        <f>IF(OR(AND(D34&lt;80,E34="прямая"),AND(D34&gt;120,E34="обратная")),0.75,IF(OR(AND(D34&gt;120,E34="прямая"),AND(D34&lt;80,E34="обратная")),0.25,0.5))</f>
        <v>0.5</v>
      </c>
    </row>
    <row r="35" spans="1:6" ht="51">
      <c r="A35" s="13" t="s">
        <v>57</v>
      </c>
      <c r="B35" s="27">
        <f>100*Исходные!C36/Исходные!C37</f>
        <v>0.68198133524766691</v>
      </c>
      <c r="C35" s="131">
        <v>6.6E-3</v>
      </c>
      <c r="D35" s="35">
        <f>IF(C35=0, IF(B35=0,100, 120), B35/C35*100)</f>
        <v>10333.050534055559</v>
      </c>
      <c r="E35" s="34" t="s">
        <v>24</v>
      </c>
      <c r="F35" s="78">
        <f>IF(OR(AND(D35&lt;80,E35="прямая"),AND(D35&gt;120,E35="обратная")),0.75,IF(OR(AND(D35&gt;120,E35="прямая"),AND(D35&lt;80,E35="обратная")),0.25,0.5))</f>
        <v>0.75</v>
      </c>
    </row>
    <row r="36" spans="1:6" ht="25.5">
      <c r="A36" s="13" t="s">
        <v>18</v>
      </c>
      <c r="B36" s="55" t="s">
        <v>1</v>
      </c>
      <c r="C36" s="34" t="s">
        <v>1</v>
      </c>
      <c r="D36" s="70" t="s">
        <v>1</v>
      </c>
      <c r="E36" s="34" t="s">
        <v>1</v>
      </c>
      <c r="F36" s="78">
        <f>F37</f>
        <v>0.2</v>
      </c>
    </row>
    <row r="37" spans="1:6" ht="38.25">
      <c r="A37" s="13" t="s">
        <v>58</v>
      </c>
      <c r="B37" s="27">
        <f>100*Исходные!C38/Исходные!C39</f>
        <v>0</v>
      </c>
      <c r="C37" s="126">
        <v>0</v>
      </c>
      <c r="D37" s="35">
        <f>IF(C37=0, IF(B37=0,100, 120), B37/C37*100)</f>
        <v>100</v>
      </c>
      <c r="E37" s="34" t="s">
        <v>24</v>
      </c>
      <c r="F37" s="78">
        <f>IF(OR(AND(D37&lt;80,E37="прямая"),AND(D37&gt;120,E37="обратная")),0.3,IF(OR(AND(D37&gt;120,E37="прямая"),AND(D37&lt;80,E37="обратная")),0.1,0.2))</f>
        <v>0.2</v>
      </c>
    </row>
    <row r="38" spans="1:6" ht="16.5" thickBot="1">
      <c r="A38" s="13" t="s">
        <v>59</v>
      </c>
      <c r="B38" s="87" t="s">
        <v>1</v>
      </c>
      <c r="C38" s="88" t="s">
        <v>1</v>
      </c>
      <c r="D38" s="88" t="s">
        <v>1</v>
      </c>
      <c r="E38" s="88" t="s">
        <v>1</v>
      </c>
      <c r="F38" s="90">
        <f>ROUND(AVERAGE(F10,F15,F23,F26,F29,F32,F36),3)</f>
        <v>0.43099999999999999</v>
      </c>
    </row>
  </sheetData>
  <sheetProtection selectLockedCells="1" selectUnlockedCells="1"/>
  <mergeCells count="6">
    <mergeCell ref="A6:A8"/>
    <mergeCell ref="B6:F6"/>
    <mergeCell ref="D7:D8"/>
    <mergeCell ref="E7:E8"/>
    <mergeCell ref="F7:F8"/>
    <mergeCell ref="B7:C7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view="pageBreakPreview" topLeftCell="A7" zoomScaleNormal="70" zoomScaleSheetLayoutView="100" workbookViewId="0">
      <selection activeCell="E39" sqref="E39"/>
    </sheetView>
  </sheetViews>
  <sheetFormatPr defaultRowHeight="12.75"/>
  <cols>
    <col min="1" max="1" width="78.140625" style="10" customWidth="1"/>
    <col min="2" max="2" width="10.140625" style="10" customWidth="1"/>
    <col min="3" max="3" width="8.28515625" style="10" customWidth="1"/>
    <col min="4" max="4" width="13.140625" customWidth="1"/>
    <col min="5" max="5" width="8.28515625" customWidth="1"/>
    <col min="6" max="6" width="11" customWidth="1"/>
  </cols>
  <sheetData>
    <row r="2" spans="1:7" s="1" customFormat="1" ht="14.25">
      <c r="A2" s="29"/>
    </row>
    <row r="3" spans="1:7" s="1" customFormat="1">
      <c r="A3" s="2"/>
      <c r="D3" s="60"/>
      <c r="E3" s="60"/>
      <c r="F3" s="60"/>
      <c r="G3" s="32"/>
    </row>
    <row r="4" spans="1:7" s="1" customFormat="1">
      <c r="A4" s="2"/>
    </row>
    <row r="5" spans="1:7" s="1" customFormat="1" ht="13.5" thickBot="1">
      <c r="A5" s="2"/>
    </row>
    <row r="6" spans="1:7">
      <c r="A6" s="267" t="s">
        <v>11</v>
      </c>
      <c r="B6" s="268" t="str">
        <f>ИНФ!B6</f>
        <v>Тамбовэнерго</v>
      </c>
      <c r="C6" s="269"/>
      <c r="D6" s="269"/>
      <c r="E6" s="269"/>
      <c r="F6" s="270"/>
    </row>
    <row r="7" spans="1:7">
      <c r="A7" s="267"/>
      <c r="B7" s="271" t="s">
        <v>4</v>
      </c>
      <c r="C7" s="272"/>
      <c r="D7" s="273" t="s">
        <v>25</v>
      </c>
      <c r="E7" s="273" t="s">
        <v>26</v>
      </c>
      <c r="F7" s="266" t="s">
        <v>2</v>
      </c>
    </row>
    <row r="8" spans="1:7">
      <c r="A8" s="267"/>
      <c r="B8" s="112" t="s">
        <v>44</v>
      </c>
      <c r="C8" s="113" t="s">
        <v>45</v>
      </c>
      <c r="D8" s="274"/>
      <c r="E8" s="273"/>
      <c r="F8" s="266"/>
    </row>
    <row r="9" spans="1:7" ht="16.5" thickBot="1">
      <c r="A9" s="114">
        <v>1</v>
      </c>
      <c r="B9" s="118">
        <v>2</v>
      </c>
      <c r="C9" s="119">
        <v>3</v>
      </c>
      <c r="D9" s="120">
        <v>4</v>
      </c>
      <c r="E9" s="120">
        <v>5</v>
      </c>
      <c r="F9" s="121">
        <v>6</v>
      </c>
    </row>
    <row r="10" spans="1:7" ht="38.25">
      <c r="A10" s="14" t="s">
        <v>60</v>
      </c>
      <c r="B10" s="38">
        <v>1</v>
      </c>
      <c r="C10" s="23">
        <v>1</v>
      </c>
      <c r="D10" s="28">
        <f>IF(C10=0, IF(B10=0,100, 120), B10/C10*100)</f>
        <v>100</v>
      </c>
      <c r="E10" s="28" t="s">
        <v>23</v>
      </c>
      <c r="F10" s="6">
        <f>IF(OR(AND(D10&lt;80,E10="прямая"),AND(D10&gt;120,E10="обратная")),3,IF(OR(AND(D10&gt;120,E10="прямая"),AND(D10&lt;80,E10="обратная")),1,2))</f>
        <v>2</v>
      </c>
    </row>
    <row r="11" spans="1:7" ht="15.75">
      <c r="A11" s="14"/>
      <c r="B11" s="26"/>
      <c r="C11" s="19"/>
      <c r="D11" s="17"/>
      <c r="E11" s="16"/>
      <c r="F11" s="18"/>
    </row>
    <row r="12" spans="1:7" ht="15.75">
      <c r="A12" s="14" t="s">
        <v>19</v>
      </c>
      <c r="B12" s="55" t="s">
        <v>1</v>
      </c>
      <c r="C12" s="34" t="s">
        <v>1</v>
      </c>
      <c r="D12" s="70" t="s">
        <v>1</v>
      </c>
      <c r="E12" s="70" t="s">
        <v>1</v>
      </c>
      <c r="F12" s="71">
        <f>AVERAGE(F14:F19)</f>
        <v>2</v>
      </c>
    </row>
    <row r="13" spans="1:7">
      <c r="A13" s="14" t="s">
        <v>5</v>
      </c>
      <c r="B13" s="72"/>
      <c r="C13" s="73"/>
      <c r="D13" s="74"/>
      <c r="E13" s="75"/>
      <c r="F13" s="76"/>
    </row>
    <row r="14" spans="1:7" ht="38.25">
      <c r="A14" s="14" t="s">
        <v>61</v>
      </c>
      <c r="B14" s="77">
        <f>100*Исходные!C40/Исходные!C41</f>
        <v>0.78854452726559432</v>
      </c>
      <c r="C14" s="127">
        <v>7.64</v>
      </c>
      <c r="D14" s="35">
        <f t="shared" ref="D14:D19" si="0">IF(C14=0, IF(B14=0,100, 120), B14/C14*100)</f>
        <v>10.321263445884743</v>
      </c>
      <c r="E14" s="35" t="s">
        <v>24</v>
      </c>
      <c r="F14" s="78">
        <f t="shared" ref="F14:F19" si="1">IF(OR(AND(D14&lt;80,E14="прямая"),AND(D14&gt;120,E14="обратная")),3,IF(OR(AND(D14&gt;120,E14="прямая"),AND(D14&lt;80,E14="обратная")),1,2))</f>
        <v>1</v>
      </c>
    </row>
    <row r="15" spans="1:7" ht="38.25">
      <c r="A15" s="14" t="s">
        <v>62</v>
      </c>
      <c r="B15" s="79">
        <f>100*Исходные!C42/Исходные!C43</f>
        <v>55.223880597014926</v>
      </c>
      <c r="C15" s="127">
        <v>100</v>
      </c>
      <c r="D15" s="35">
        <f t="shared" si="0"/>
        <v>55.223880597014926</v>
      </c>
      <c r="E15" s="35" t="s">
        <v>23</v>
      </c>
      <c r="F15" s="78">
        <f t="shared" si="1"/>
        <v>3</v>
      </c>
    </row>
    <row r="16" spans="1:7" ht="51">
      <c r="A16" s="14" t="s">
        <v>63</v>
      </c>
      <c r="B16" s="56">
        <f>100*Исходные!C44/Исходные!C45</f>
        <v>0</v>
      </c>
      <c r="C16" s="127">
        <v>3.69</v>
      </c>
      <c r="D16" s="35">
        <f t="shared" si="0"/>
        <v>0</v>
      </c>
      <c r="E16" s="35" t="s">
        <v>24</v>
      </c>
      <c r="F16" s="78">
        <f t="shared" si="1"/>
        <v>1</v>
      </c>
    </row>
    <row r="17" spans="1:6" ht="51">
      <c r="A17" s="14" t="s">
        <v>64</v>
      </c>
      <c r="B17" s="27">
        <f>100*Исходные!C46/Исходные!C47</f>
        <v>1.9615535504119261E-3</v>
      </c>
      <c r="C17" s="123">
        <v>0</v>
      </c>
      <c r="D17" s="35">
        <f t="shared" si="0"/>
        <v>120</v>
      </c>
      <c r="E17" s="35" t="s">
        <v>24</v>
      </c>
      <c r="F17" s="78">
        <f t="shared" si="1"/>
        <v>2</v>
      </c>
    </row>
    <row r="18" spans="1:6" ht="38.25">
      <c r="A18" s="14" t="s">
        <v>65</v>
      </c>
      <c r="B18" s="80">
        <f>100*Исходные!C48/Исходные!C49</f>
        <v>0.26284817575519814</v>
      </c>
      <c r="C18" s="129">
        <v>0.30199999999999999</v>
      </c>
      <c r="D18" s="35">
        <f t="shared" si="0"/>
        <v>87.035819786489455</v>
      </c>
      <c r="E18" s="35" t="s">
        <v>23</v>
      </c>
      <c r="F18" s="78">
        <f t="shared" si="1"/>
        <v>2</v>
      </c>
    </row>
    <row r="19" spans="1:6" ht="25.5">
      <c r="A19" s="14" t="s">
        <v>66</v>
      </c>
      <c r="B19" s="27">
        <f>Исходные!C50</f>
        <v>4</v>
      </c>
      <c r="C19" s="123">
        <v>11</v>
      </c>
      <c r="D19" s="35">
        <f t="shared" si="0"/>
        <v>36.363636363636367</v>
      </c>
      <c r="E19" s="35" t="s">
        <v>23</v>
      </c>
      <c r="F19" s="78">
        <f t="shared" si="1"/>
        <v>3</v>
      </c>
    </row>
    <row r="20" spans="1:6" ht="15.75">
      <c r="A20" s="14"/>
      <c r="B20" s="55"/>
      <c r="C20" s="34"/>
      <c r="D20" s="74"/>
      <c r="E20" s="81"/>
      <c r="F20" s="82"/>
    </row>
    <row r="21" spans="1:6" ht="15.75">
      <c r="A21" s="14" t="s">
        <v>67</v>
      </c>
      <c r="B21" s="55" t="s">
        <v>1</v>
      </c>
      <c r="C21" s="34" t="s">
        <v>1</v>
      </c>
      <c r="D21" s="34" t="s">
        <v>1</v>
      </c>
      <c r="E21" s="34" t="s">
        <v>1</v>
      </c>
      <c r="F21" s="83">
        <f>AVERAGE(F23:F24)</f>
        <v>2.166666666666667</v>
      </c>
    </row>
    <row r="22" spans="1:6" ht="15.75">
      <c r="A22" s="14" t="s">
        <v>5</v>
      </c>
      <c r="B22" s="55"/>
      <c r="C22" s="34"/>
      <c r="D22" s="74"/>
      <c r="E22" s="81"/>
      <c r="F22" s="82"/>
    </row>
    <row r="23" spans="1:6" ht="31.5">
      <c r="A23" s="12" t="s">
        <v>68</v>
      </c>
      <c r="B23" s="79">
        <f>(Исходные!C51+Исходные!C52)/(Исходные!C53+Исходные!C54)</f>
        <v>12.817561672086935</v>
      </c>
      <c r="C23" s="123">
        <v>11</v>
      </c>
      <c r="D23" s="35">
        <f>IF(C23=0, IF(B23=0,100, 120), B23/C23*100)</f>
        <v>116.52328792806304</v>
      </c>
      <c r="E23" s="35" t="s">
        <v>24</v>
      </c>
      <c r="F23" s="78">
        <f>IF(OR(AND(D23&lt;80,E23="прямая"),AND(D23&gt;120,E23="обратная")),3,IF(OR(AND(D23&gt;120,E23="прямая"),AND(D23&lt;80,E23="обратная")),1,2))</f>
        <v>2</v>
      </c>
    </row>
    <row r="24" spans="1:6" ht="25.5">
      <c r="A24" s="14" t="s">
        <v>69</v>
      </c>
      <c r="B24" s="55" t="s">
        <v>1</v>
      </c>
      <c r="C24" s="34" t="s">
        <v>1</v>
      </c>
      <c r="D24" s="35" t="s">
        <v>1</v>
      </c>
      <c r="E24" s="35"/>
      <c r="F24" s="83">
        <f>AVERAGE(F25:F27)</f>
        <v>2.3333333333333335</v>
      </c>
    </row>
    <row r="25" spans="1:6" ht="15.75">
      <c r="A25" s="14" t="s">
        <v>20</v>
      </c>
      <c r="B25" s="80">
        <f>Исходные!C55*1000/Исходные!C58</f>
        <v>0.63471011746873818</v>
      </c>
      <c r="C25" s="127">
        <v>2.27</v>
      </c>
      <c r="D25" s="35">
        <f>IF(C25=0, IF(B25=0,100, 120), B25/C25*100)</f>
        <v>27.96079812637613</v>
      </c>
      <c r="E25" s="35" t="s">
        <v>23</v>
      </c>
      <c r="F25" s="78">
        <f>IF(OR(AND(D25&lt;80,E25="прямая"),AND(D25&gt;120,E25="обратная")),3,IF(OR(AND(D25&gt;120,E25="прямая"),AND(D25&lt;80,E25="обратная")),1,2))</f>
        <v>3</v>
      </c>
    </row>
    <row r="26" spans="1:6" ht="15.75">
      <c r="A26" s="14" t="s">
        <v>21</v>
      </c>
      <c r="B26" s="84">
        <f>Исходные!C56*1000/Исходные!C58</f>
        <v>0.1042061386888973</v>
      </c>
      <c r="C26" s="129">
        <v>5.1999999999999998E-2</v>
      </c>
      <c r="D26" s="35">
        <f>IF(C26=0, IF(B26=0,100, 120), B26/C26*100)</f>
        <v>200.39642055557175</v>
      </c>
      <c r="E26" s="35" t="s">
        <v>23</v>
      </c>
      <c r="F26" s="78">
        <f>IF(OR(AND(D26&lt;80,E26="прямая"),AND(D26&gt;120,E26="обратная")),3,IF(OR(AND(D26&gt;120,E26="прямая"),AND(D26&lt;80,E26="обратная")),1,2))</f>
        <v>1</v>
      </c>
    </row>
    <row r="27" spans="1:6" ht="15.75">
      <c r="A27" s="14" t="s">
        <v>70</v>
      </c>
      <c r="B27" s="27">
        <f>Исходные!C57*1000/Исходные!C58</f>
        <v>0</v>
      </c>
      <c r="C27" s="126">
        <v>5.1999999999999998E-2</v>
      </c>
      <c r="D27" s="35">
        <f>IF(C27=0, IF(B27=0,100, 120), B27/C27*100)</f>
        <v>0</v>
      </c>
      <c r="E27" s="35" t="s">
        <v>23</v>
      </c>
      <c r="F27" s="78">
        <f>IF(OR(AND(D27&lt;80,E27="прямая"),AND(D27&gt;120,E27="обратная")),3,IF(OR(AND(D27&gt;120,E27="прямая"),AND(D27&lt;80,E27="обратная")),1,2))</f>
        <v>3</v>
      </c>
    </row>
    <row r="28" spans="1:6" ht="15.75">
      <c r="A28" s="14"/>
      <c r="B28" s="55"/>
      <c r="C28" s="34"/>
      <c r="D28" s="74"/>
      <c r="E28" s="81"/>
      <c r="F28" s="82"/>
    </row>
    <row r="29" spans="1:6" ht="15.75">
      <c r="A29" s="14" t="s">
        <v>22</v>
      </c>
      <c r="B29" s="55" t="s">
        <v>1</v>
      </c>
      <c r="C29" s="34" t="s">
        <v>1</v>
      </c>
      <c r="D29" s="34" t="s">
        <v>1</v>
      </c>
      <c r="E29" s="34" t="s">
        <v>1</v>
      </c>
      <c r="F29" s="78">
        <f>F30</f>
        <v>2</v>
      </c>
    </row>
    <row r="30" spans="1:6" ht="31.5">
      <c r="A30" s="14" t="s">
        <v>3</v>
      </c>
      <c r="B30" s="80">
        <f>Исходные!C59*1000/Исходные!C60</f>
        <v>13.432835820895523</v>
      </c>
      <c r="C30" s="123">
        <v>0</v>
      </c>
      <c r="D30" s="35">
        <f>IF(C30=0, IF(B30=0,100, 120), B30/C30*100)</f>
        <v>120</v>
      </c>
      <c r="E30" s="35" t="s">
        <v>24</v>
      </c>
      <c r="F30" s="78">
        <f>IF(OR(AND(D30&lt;80,E30="прямая"),AND(D30&gt;120,E30="обратная")),3,IF(OR(AND(D30&gt;120,E30="прямая"),AND(D30&lt;80,E30="обратная")),1,2))</f>
        <v>2</v>
      </c>
    </row>
    <row r="31" spans="1:6" ht="15.75">
      <c r="A31" s="14"/>
      <c r="B31" s="72"/>
      <c r="C31" s="73"/>
      <c r="D31" s="74"/>
      <c r="E31" s="81"/>
      <c r="F31" s="76"/>
    </row>
    <row r="32" spans="1:6" ht="38.25">
      <c r="A32" s="14" t="s">
        <v>0</v>
      </c>
      <c r="B32" s="55" t="s">
        <v>1</v>
      </c>
      <c r="C32" s="34" t="s">
        <v>1</v>
      </c>
      <c r="D32" s="34" t="s">
        <v>1</v>
      </c>
      <c r="E32" s="34" t="s">
        <v>1</v>
      </c>
      <c r="F32" s="78" t="str">
        <f>IF(B34="-", "-", AVERAGE(F34:F35))</f>
        <v>-</v>
      </c>
    </row>
    <row r="33" spans="1:6" ht="15.75">
      <c r="A33" s="14" t="s">
        <v>5</v>
      </c>
      <c r="B33" s="55"/>
      <c r="C33" s="34"/>
      <c r="D33" s="85"/>
      <c r="E33" s="81"/>
      <c r="F33" s="82"/>
    </row>
    <row r="34" spans="1:6" ht="31.5">
      <c r="A34" s="14" t="s">
        <v>71</v>
      </c>
      <c r="B34" s="132" t="str">
        <f>IF(Исходные!C62=0, "-", Исходные!C61/Исходные!C62)</f>
        <v>-</v>
      </c>
      <c r="C34" s="126">
        <v>1.18</v>
      </c>
      <c r="D34" s="35" t="str">
        <f>IF(B34="-","-",IF(C34=0,IF(B34=0,100, 120), B34/C34*100))</f>
        <v>-</v>
      </c>
      <c r="E34" s="35" t="s">
        <v>24</v>
      </c>
      <c r="F34" s="78">
        <f>IF(OR(AND(D34&lt;80,E34="прямая"),AND(D34&gt;120,E34="обратная")),3,IF(OR(AND(D34&gt;120,E34="прямая"),AND(D34&lt;80,E34="обратная")),1,2))</f>
        <v>3</v>
      </c>
    </row>
    <row r="35" spans="1:6" ht="51">
      <c r="A35" s="14" t="s">
        <v>72</v>
      </c>
      <c r="B35" s="132" t="str">
        <f>IF(Исходные!C63=0, "-", Исходные!C63*100/Исходные!C64)</f>
        <v>-</v>
      </c>
      <c r="C35" s="126">
        <v>42</v>
      </c>
      <c r="D35" s="35" t="str">
        <f>IF(B35="-","-",IF(C35=0,IF(B35=0,100, 120), B35/C35*100))</f>
        <v>-</v>
      </c>
      <c r="E35" s="35" t="s">
        <v>23</v>
      </c>
      <c r="F35" s="78">
        <f>IF(OR(AND(D35&lt;80,E35="прямая"),AND(D35&gt;120,E35="обратная")),3,IF(OR(AND(D35&gt;120,E35="прямая"),AND(D35&lt;80,E35="обратная")),1,2))</f>
        <v>1</v>
      </c>
    </row>
    <row r="36" spans="1:6" ht="15.75">
      <c r="A36" s="14"/>
      <c r="B36" s="86"/>
      <c r="C36" s="81"/>
      <c r="D36" s="85"/>
      <c r="E36" s="81"/>
      <c r="F36" s="82"/>
    </row>
    <row r="37" spans="1:6" ht="16.5" thickBot="1">
      <c r="A37" s="14" t="s">
        <v>73</v>
      </c>
      <c r="B37" s="87" t="s">
        <v>1</v>
      </c>
      <c r="C37" s="88" t="s">
        <v>1</v>
      </c>
      <c r="D37" s="88" t="s">
        <v>1</v>
      </c>
      <c r="E37" s="88" t="s">
        <v>1</v>
      </c>
      <c r="F37" s="89">
        <f>IF(F32="-", AVERAGE(F10,F12,F21,F29), AVERAGE(F10,F12,F21,F29,F32))</f>
        <v>2.041666666666667</v>
      </c>
    </row>
  </sheetData>
  <sheetProtection selectLockedCells="1" selectUnlockedCells="1"/>
  <mergeCells count="6">
    <mergeCell ref="A6:A8"/>
    <mergeCell ref="B6:F6"/>
    <mergeCell ref="D7:D8"/>
    <mergeCell ref="E7:E8"/>
    <mergeCell ref="F7:F8"/>
    <mergeCell ref="B7:C7"/>
  </mergeCells>
  <pageMargins left="0.70866141732283472" right="0.70866141732283472" top="0.74803149606299213" bottom="0.74803149606299213" header="0.31496062992125984" footer="0.31496062992125984"/>
  <pageSetup paperSize="8" orientation="portrait" r:id="rId1"/>
  <ignoredErrors>
    <ignoredError sqref="B18" unlockedFormula="1"/>
    <ignoredError sqref="F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zoomScaleNormal="100" zoomScaleSheetLayoutView="100" workbookViewId="0">
      <pane xSplit="2" ySplit="2" topLeftCell="C12" activePane="bottomRight" state="frozen"/>
      <selection pane="topRight" activeCell="C1" sqref="C1"/>
      <selection pane="bottomLeft" activeCell="A2" sqref="A2"/>
      <selection pane="bottomRight" activeCell="G17" sqref="G17:G20"/>
    </sheetView>
  </sheetViews>
  <sheetFormatPr defaultRowHeight="15.75"/>
  <cols>
    <col min="1" max="1" width="8" customWidth="1"/>
    <col min="2" max="2" width="57.28515625" customWidth="1"/>
    <col min="3" max="3" width="9.5703125" style="140" bestFit="1" customWidth="1"/>
    <col min="4" max="4" width="10.5703125" style="140" hidden="1" customWidth="1"/>
    <col min="5" max="5" width="10.42578125" style="140" hidden="1" customWidth="1"/>
    <col min="6" max="6" width="10.5703125" style="140" hidden="1" customWidth="1"/>
    <col min="7" max="7" width="10.42578125" style="140" customWidth="1"/>
    <col min="8" max="8" width="69.85546875" customWidth="1"/>
    <col min="9" max="9" width="17.7109375" style="138" customWidth="1"/>
  </cols>
  <sheetData>
    <row r="1" spans="1:9">
      <c r="A1" s="39" t="s">
        <v>136</v>
      </c>
      <c r="B1" s="39"/>
      <c r="C1" s="139"/>
      <c r="D1" s="139"/>
      <c r="E1" s="139"/>
      <c r="F1" s="139"/>
      <c r="G1" s="139"/>
      <c r="H1" s="138"/>
    </row>
    <row r="2" spans="1:9" ht="12.75">
      <c r="A2" s="165"/>
      <c r="B2" s="165" t="s">
        <v>135</v>
      </c>
      <c r="C2" s="165" t="s">
        <v>74</v>
      </c>
      <c r="D2" s="166" t="s">
        <v>191</v>
      </c>
      <c r="E2" s="166" t="s">
        <v>192</v>
      </c>
      <c r="F2" s="166" t="s">
        <v>193</v>
      </c>
      <c r="G2" s="166" t="s">
        <v>194</v>
      </c>
      <c r="H2" s="186" t="s">
        <v>239</v>
      </c>
    </row>
    <row r="3" spans="1:9" ht="24">
      <c r="A3" s="276" t="s">
        <v>155</v>
      </c>
      <c r="B3" s="167" t="s">
        <v>75</v>
      </c>
      <c r="C3" s="210">
        <v>39</v>
      </c>
      <c r="D3" s="169" t="s">
        <v>188</v>
      </c>
      <c r="E3" s="170" t="s">
        <v>188</v>
      </c>
      <c r="F3" s="170" t="s">
        <v>188</v>
      </c>
      <c r="G3" s="171" t="s">
        <v>188</v>
      </c>
      <c r="H3" s="183"/>
    </row>
    <row r="4" spans="1:9" ht="12.75">
      <c r="A4" s="276"/>
      <c r="B4" s="167" t="s">
        <v>76</v>
      </c>
      <c r="C4" s="210">
        <v>153</v>
      </c>
      <c r="D4" s="169" t="s">
        <v>188</v>
      </c>
      <c r="E4" s="170" t="s">
        <v>188</v>
      </c>
      <c r="F4" s="170" t="s">
        <v>188</v>
      </c>
      <c r="G4" s="171" t="s">
        <v>188</v>
      </c>
      <c r="H4" s="183"/>
    </row>
    <row r="5" spans="1:9" ht="24">
      <c r="A5" s="171" t="s">
        <v>156</v>
      </c>
      <c r="B5" s="167" t="s">
        <v>77</v>
      </c>
      <c r="C5" s="210">
        <v>33</v>
      </c>
      <c r="D5" s="169" t="s">
        <v>188</v>
      </c>
      <c r="E5" s="170" t="s">
        <v>188</v>
      </c>
      <c r="F5" s="170" t="s">
        <v>188</v>
      </c>
      <c r="G5" s="171" t="s">
        <v>188</v>
      </c>
      <c r="H5" s="183"/>
    </row>
    <row r="6" spans="1:9" ht="24">
      <c r="A6" s="171" t="s">
        <v>157</v>
      </c>
      <c r="B6" s="167" t="s">
        <v>78</v>
      </c>
      <c r="C6" s="210">
        <v>47</v>
      </c>
      <c r="D6" s="169" t="s">
        <v>188</v>
      </c>
      <c r="E6" s="170" t="s">
        <v>188</v>
      </c>
      <c r="F6" s="170" t="s">
        <v>188</v>
      </c>
      <c r="G6" s="171" t="s">
        <v>188</v>
      </c>
      <c r="H6" s="183"/>
    </row>
    <row r="7" spans="1:9" ht="24">
      <c r="A7" s="171" t="s">
        <v>158</v>
      </c>
      <c r="B7" s="167" t="s">
        <v>79</v>
      </c>
      <c r="C7" s="211">
        <v>55</v>
      </c>
      <c r="D7" s="169" t="s">
        <v>188</v>
      </c>
      <c r="E7" s="170" t="s">
        <v>188</v>
      </c>
      <c r="F7" s="171" t="s">
        <v>188</v>
      </c>
      <c r="G7" s="171" t="s">
        <v>188</v>
      </c>
      <c r="H7" s="183"/>
    </row>
    <row r="8" spans="1:9" ht="138" customHeight="1">
      <c r="A8" s="276" t="s">
        <v>159</v>
      </c>
      <c r="B8" s="167" t="s">
        <v>195</v>
      </c>
      <c r="C8" s="172">
        <f t="shared" ref="C8:C13" si="0">MAX(D8:G8)</f>
        <v>0</v>
      </c>
      <c r="D8" s="168">
        <v>0</v>
      </c>
      <c r="E8" s="168">
        <v>0</v>
      </c>
      <c r="F8" s="168">
        <v>0</v>
      </c>
      <c r="G8" s="168">
        <v>0</v>
      </c>
      <c r="H8" s="184" t="s">
        <v>196</v>
      </c>
    </row>
    <row r="9" spans="1:9" ht="21.75" customHeight="1">
      <c r="A9" s="276"/>
      <c r="B9" s="173" t="s">
        <v>160</v>
      </c>
      <c r="C9" s="219">
        <f t="shared" si="0"/>
        <v>50980</v>
      </c>
      <c r="D9" s="175">
        <f>D10+D11</f>
        <v>12771</v>
      </c>
      <c r="E9" s="175">
        <f>E10+E11</f>
        <v>23444</v>
      </c>
      <c r="F9" s="175">
        <f t="shared" ref="F9" si="1">F10+F11-F12</f>
        <v>37687</v>
      </c>
      <c r="G9" s="175">
        <f>G10+G11-G12</f>
        <v>50980</v>
      </c>
      <c r="H9" s="185" t="s">
        <v>197</v>
      </c>
      <c r="I9" s="159"/>
    </row>
    <row r="10" spans="1:9" ht="38.25">
      <c r="A10" s="276"/>
      <c r="B10" s="173" t="s">
        <v>175</v>
      </c>
      <c r="C10" s="225">
        <f t="shared" si="0"/>
        <v>15939</v>
      </c>
      <c r="D10" s="176">
        <v>3917</v>
      </c>
      <c r="E10" s="176">
        <v>7197</v>
      </c>
      <c r="F10" s="176">
        <v>12051</v>
      </c>
      <c r="G10" s="168">
        <v>15939</v>
      </c>
      <c r="H10" s="184" t="s">
        <v>198</v>
      </c>
      <c r="I10" s="160"/>
    </row>
    <row r="11" spans="1:9" ht="24">
      <c r="A11" s="276"/>
      <c r="B11" s="173" t="s">
        <v>176</v>
      </c>
      <c r="C11" s="172">
        <f t="shared" si="0"/>
        <v>35046</v>
      </c>
      <c r="D11" s="168">
        <v>8854</v>
      </c>
      <c r="E11" s="176">
        <v>16247</v>
      </c>
      <c r="F11" s="168">
        <v>25640</v>
      </c>
      <c r="G11" s="168">
        <v>35046</v>
      </c>
      <c r="H11" s="183"/>
    </row>
    <row r="12" spans="1:9" ht="36.75" customHeight="1">
      <c r="A12" s="276"/>
      <c r="B12" s="173" t="s">
        <v>177</v>
      </c>
      <c r="C12" s="174">
        <f t="shared" si="0"/>
        <v>5</v>
      </c>
      <c r="D12" s="168">
        <v>0</v>
      </c>
      <c r="E12" s="168">
        <v>2</v>
      </c>
      <c r="F12" s="168">
        <v>4</v>
      </c>
      <c r="G12" s="168">
        <v>5</v>
      </c>
      <c r="H12" s="184" t="s">
        <v>199</v>
      </c>
    </row>
    <row r="13" spans="1:9" ht="36">
      <c r="A13" s="276" t="s">
        <v>161</v>
      </c>
      <c r="B13" s="167" t="s">
        <v>134</v>
      </c>
      <c r="C13" s="252">
        <f t="shared" si="0"/>
        <v>7720</v>
      </c>
      <c r="D13" s="168">
        <f>SUM(D67:D68)</f>
        <v>2090</v>
      </c>
      <c r="E13" s="168">
        <f>SUM(E67:E68)</f>
        <v>3355</v>
      </c>
      <c r="F13" s="168">
        <f>SUM(F67:F68)</f>
        <v>5709</v>
      </c>
      <c r="G13" s="168">
        <f>SUM(G67:G68)</f>
        <v>7720</v>
      </c>
      <c r="H13" s="255" t="s">
        <v>200</v>
      </c>
    </row>
    <row r="14" spans="1:9" ht="12.75">
      <c r="A14" s="276"/>
      <c r="B14" s="167" t="s">
        <v>160</v>
      </c>
      <c r="C14" s="177">
        <f>C9</f>
        <v>50980</v>
      </c>
      <c r="D14" s="219">
        <f t="shared" ref="D14:F14" si="2">D9</f>
        <v>12771</v>
      </c>
      <c r="E14" s="227">
        <f t="shared" si="2"/>
        <v>23444</v>
      </c>
      <c r="F14" s="219">
        <f t="shared" si="2"/>
        <v>37687</v>
      </c>
      <c r="G14" s="175">
        <f>G9</f>
        <v>50980</v>
      </c>
      <c r="H14" s="182" t="s">
        <v>201</v>
      </c>
    </row>
    <row r="15" spans="1:9" ht="48">
      <c r="A15" s="276" t="s">
        <v>162</v>
      </c>
      <c r="B15" s="167" t="s">
        <v>80</v>
      </c>
      <c r="C15" s="171">
        <f>MAX(D15:G15)</f>
        <v>0</v>
      </c>
      <c r="D15" s="168">
        <v>0</v>
      </c>
      <c r="E15" s="168">
        <v>0</v>
      </c>
      <c r="F15" s="168">
        <v>0</v>
      </c>
      <c r="G15" s="168">
        <v>0</v>
      </c>
      <c r="H15" s="184" t="s">
        <v>202</v>
      </c>
    </row>
    <row r="16" spans="1:9" ht="12.75">
      <c r="A16" s="276"/>
      <c r="B16" s="167" t="s">
        <v>160</v>
      </c>
      <c r="C16" s="177">
        <f>C9</f>
        <v>50980</v>
      </c>
      <c r="D16" s="219">
        <f t="shared" ref="D16:F16" si="3">D9</f>
        <v>12771</v>
      </c>
      <c r="E16" s="227">
        <f t="shared" si="3"/>
        <v>23444</v>
      </c>
      <c r="F16" s="219">
        <f t="shared" si="3"/>
        <v>37687</v>
      </c>
      <c r="G16" s="232">
        <f>G9</f>
        <v>50980</v>
      </c>
      <c r="H16" s="182" t="s">
        <v>201</v>
      </c>
    </row>
    <row r="17" spans="1:9" ht="81" customHeight="1">
      <c r="A17" s="276" t="s">
        <v>85</v>
      </c>
      <c r="B17" s="178" t="s">
        <v>81</v>
      </c>
      <c r="C17" s="225">
        <f>MAX(D17:G17)</f>
        <v>20775</v>
      </c>
      <c r="D17" s="168">
        <v>2556</v>
      </c>
      <c r="E17" s="168">
        <v>6489</v>
      </c>
      <c r="F17" s="168">
        <v>13779</v>
      </c>
      <c r="G17" s="257">
        <v>20775</v>
      </c>
      <c r="H17" s="184" t="s">
        <v>203</v>
      </c>
      <c r="I17" s="275"/>
    </row>
    <row r="18" spans="1:9" ht="78.75" customHeight="1">
      <c r="A18" s="276"/>
      <c r="B18" s="178" t="s">
        <v>82</v>
      </c>
      <c r="C18" s="225">
        <f>MAX(D18:G18)</f>
        <v>1363</v>
      </c>
      <c r="D18" s="168">
        <v>336</v>
      </c>
      <c r="E18" s="168">
        <v>617</v>
      </c>
      <c r="F18" s="168">
        <v>1024</v>
      </c>
      <c r="G18" s="257">
        <v>1363</v>
      </c>
      <c r="H18" s="184" t="s">
        <v>204</v>
      </c>
      <c r="I18" s="275"/>
    </row>
    <row r="19" spans="1:9" ht="36">
      <c r="A19" s="276" t="s">
        <v>84</v>
      </c>
      <c r="B19" s="178" t="s">
        <v>83</v>
      </c>
      <c r="C19" s="174">
        <f>MAX(D19:G19)</f>
        <v>93907</v>
      </c>
      <c r="D19" s="168">
        <v>14574</v>
      </c>
      <c r="E19" s="168">
        <v>32120</v>
      </c>
      <c r="F19" s="168">
        <v>36168</v>
      </c>
      <c r="G19" s="257">
        <v>93907</v>
      </c>
      <c r="H19" s="184"/>
      <c r="I19" s="275"/>
    </row>
    <row r="20" spans="1:9" ht="24">
      <c r="A20" s="276"/>
      <c r="B20" s="178" t="s">
        <v>87</v>
      </c>
      <c r="C20" s="225">
        <f>MAX(D20:G20)</f>
        <v>702</v>
      </c>
      <c r="D20" s="168">
        <v>218</v>
      </c>
      <c r="E20" s="168">
        <v>385</v>
      </c>
      <c r="F20" s="168">
        <v>466</v>
      </c>
      <c r="G20" s="257">
        <v>702</v>
      </c>
      <c r="H20" s="183"/>
      <c r="I20" s="275"/>
    </row>
    <row r="21" spans="1:9" ht="36">
      <c r="A21" s="277" t="s">
        <v>86</v>
      </c>
      <c r="B21" s="178" t="s">
        <v>88</v>
      </c>
      <c r="C21" s="169">
        <f>SUM(D21:G21)</f>
        <v>34</v>
      </c>
      <c r="D21" s="168">
        <v>7</v>
      </c>
      <c r="E21" s="168">
        <v>0</v>
      </c>
      <c r="F21" s="168">
        <v>12</v>
      </c>
      <c r="G21" s="168">
        <v>15</v>
      </c>
      <c r="H21" s="183"/>
    </row>
    <row r="22" spans="1:9" ht="24">
      <c r="A22" s="277"/>
      <c r="B22" s="178" t="s">
        <v>89</v>
      </c>
      <c r="C22" s="169">
        <f>SUM(D22:G22)</f>
        <v>4</v>
      </c>
      <c r="D22" s="168">
        <v>1</v>
      </c>
      <c r="E22" s="168">
        <v>0</v>
      </c>
      <c r="F22" s="168">
        <v>2</v>
      </c>
      <c r="G22" s="168">
        <v>1</v>
      </c>
      <c r="H22" s="183"/>
    </row>
    <row r="23" spans="1:9" ht="114.75" customHeight="1">
      <c r="A23" s="276" t="s">
        <v>90</v>
      </c>
      <c r="B23" s="167" t="s">
        <v>92</v>
      </c>
      <c r="C23" s="179">
        <f>MAX(D23:G23)</f>
        <v>57327</v>
      </c>
      <c r="D23" s="168">
        <v>26525</v>
      </c>
      <c r="E23" s="168">
        <v>9543</v>
      </c>
      <c r="F23" s="168">
        <v>16411</v>
      </c>
      <c r="G23" s="168">
        <v>57327</v>
      </c>
      <c r="H23" s="184" t="s">
        <v>205</v>
      </c>
    </row>
    <row r="24" spans="1:9" ht="73.5" customHeight="1">
      <c r="A24" s="276"/>
      <c r="B24" s="167" t="s">
        <v>91</v>
      </c>
      <c r="C24" s="179">
        <f>MAX(D24:G24)</f>
        <v>3407</v>
      </c>
      <c r="D24" s="168">
        <v>752</v>
      </c>
      <c r="E24" s="168">
        <v>238</v>
      </c>
      <c r="F24" s="168">
        <v>404</v>
      </c>
      <c r="G24" s="168">
        <v>3407</v>
      </c>
      <c r="H24" s="184" t="s">
        <v>206</v>
      </c>
    </row>
    <row r="25" spans="1:9" ht="96" customHeight="1">
      <c r="A25" s="276" t="s">
        <v>95</v>
      </c>
      <c r="B25" s="167" t="s">
        <v>93</v>
      </c>
      <c r="C25" s="179">
        <f>MAX(D25:G25)</f>
        <v>8091</v>
      </c>
      <c r="D25" s="168">
        <v>6967</v>
      </c>
      <c r="E25" s="168">
        <v>2864</v>
      </c>
      <c r="F25" s="168">
        <v>1392</v>
      </c>
      <c r="G25" s="168">
        <v>8091</v>
      </c>
      <c r="H25" s="184" t="s">
        <v>207</v>
      </c>
    </row>
    <row r="26" spans="1:9" ht="87" customHeight="1">
      <c r="A26" s="276"/>
      <c r="B26" s="167" t="s">
        <v>94</v>
      </c>
      <c r="C26" s="179">
        <f>MAX(D26:G26)</f>
        <v>199</v>
      </c>
      <c r="D26" s="168">
        <v>199</v>
      </c>
      <c r="E26" s="168">
        <v>48</v>
      </c>
      <c r="F26" s="168">
        <v>15</v>
      </c>
      <c r="G26" s="168">
        <v>141</v>
      </c>
      <c r="H26" s="184" t="s">
        <v>208</v>
      </c>
    </row>
    <row r="27" spans="1:9" ht="36">
      <c r="A27" s="277" t="s">
        <v>98</v>
      </c>
      <c r="B27" s="178" t="s">
        <v>96</v>
      </c>
      <c r="C27" s="231">
        <f>SUM(D27:G27)</f>
        <v>1</v>
      </c>
      <c r="D27" s="168">
        <v>0</v>
      </c>
      <c r="E27" s="168">
        <v>0</v>
      </c>
      <c r="F27" s="168">
        <v>0</v>
      </c>
      <c r="G27" s="168">
        <v>1</v>
      </c>
      <c r="H27" s="184"/>
    </row>
    <row r="28" spans="1:9" ht="24">
      <c r="A28" s="277"/>
      <c r="B28" s="178" t="s">
        <v>164</v>
      </c>
      <c r="C28" s="168">
        <v>19</v>
      </c>
      <c r="D28" s="174" t="s">
        <v>188</v>
      </c>
      <c r="E28" s="227" t="s">
        <v>188</v>
      </c>
      <c r="F28" s="168" t="s">
        <v>188</v>
      </c>
      <c r="G28" s="174" t="s">
        <v>188</v>
      </c>
      <c r="H28" s="184"/>
    </row>
    <row r="29" spans="1:9" ht="12.75">
      <c r="A29" s="277"/>
      <c r="B29" s="178" t="s">
        <v>97</v>
      </c>
      <c r="C29" s="174">
        <f>SUM(D29:G29)</f>
        <v>2</v>
      </c>
      <c r="D29" s="168">
        <v>0</v>
      </c>
      <c r="E29" s="168">
        <v>1</v>
      </c>
      <c r="F29" s="168">
        <v>0</v>
      </c>
      <c r="G29" s="168">
        <v>1</v>
      </c>
      <c r="H29" s="184"/>
    </row>
    <row r="30" spans="1:9" ht="84">
      <c r="A30" s="276" t="s">
        <v>101</v>
      </c>
      <c r="B30" s="258" t="s">
        <v>100</v>
      </c>
      <c r="C30" s="171">
        <f>SUM(D30:G30)</f>
        <v>0</v>
      </c>
      <c r="D30" s="168">
        <v>0</v>
      </c>
      <c r="E30" s="168">
        <v>0</v>
      </c>
      <c r="F30" s="168">
        <v>0</v>
      </c>
      <c r="G30" s="254">
        <v>0</v>
      </c>
      <c r="H30" s="184"/>
    </row>
    <row r="31" spans="1:9" ht="63.75" customHeight="1">
      <c r="A31" s="276"/>
      <c r="B31" s="167" t="s">
        <v>99</v>
      </c>
      <c r="C31" s="172">
        <f>MAX(D31:G31)</f>
        <v>2010</v>
      </c>
      <c r="D31" s="168">
        <v>352</v>
      </c>
      <c r="E31" s="168">
        <v>922</v>
      </c>
      <c r="F31" s="253">
        <v>1588</v>
      </c>
      <c r="G31" s="254">
        <v>2010</v>
      </c>
      <c r="H31" s="184" t="s">
        <v>209</v>
      </c>
    </row>
    <row r="32" spans="1:9" ht="48">
      <c r="A32" s="276" t="s">
        <v>103</v>
      </c>
      <c r="B32" s="258" t="s">
        <v>102</v>
      </c>
      <c r="C32" s="225">
        <f>SUM(D32:G32)</f>
        <v>0</v>
      </c>
      <c r="D32" s="168">
        <v>0</v>
      </c>
      <c r="E32" s="168">
        <v>0</v>
      </c>
      <c r="F32" s="168">
        <v>0</v>
      </c>
      <c r="G32" s="168">
        <v>0</v>
      </c>
      <c r="H32" s="184"/>
    </row>
    <row r="33" spans="1:9" ht="24">
      <c r="A33" s="276"/>
      <c r="B33" s="167" t="s">
        <v>99</v>
      </c>
      <c r="C33" s="172">
        <f>C31</f>
        <v>2010</v>
      </c>
      <c r="D33" s="168">
        <f t="shared" ref="D33" si="4">D31</f>
        <v>352</v>
      </c>
      <c r="E33" s="168">
        <f>E31</f>
        <v>922</v>
      </c>
      <c r="F33" s="174">
        <f>F31</f>
        <v>1588</v>
      </c>
      <c r="G33" s="174">
        <f>G31</f>
        <v>2010</v>
      </c>
      <c r="H33" s="184" t="s">
        <v>210</v>
      </c>
    </row>
    <row r="34" spans="1:9" ht="62.25" customHeight="1">
      <c r="A34" s="276" t="s">
        <v>105</v>
      </c>
      <c r="B34" s="167" t="s">
        <v>104</v>
      </c>
      <c r="C34" s="219">
        <f>MAX(D34:G34)</f>
        <v>43</v>
      </c>
      <c r="D34" s="168">
        <v>4</v>
      </c>
      <c r="E34" s="168">
        <v>5</v>
      </c>
      <c r="F34" s="168">
        <v>23</v>
      </c>
      <c r="G34" s="168">
        <v>43</v>
      </c>
      <c r="H34" s="184" t="s">
        <v>211</v>
      </c>
      <c r="I34" s="161"/>
    </row>
    <row r="35" spans="1:9" ht="24" customHeight="1">
      <c r="A35" s="276"/>
      <c r="B35" s="167" t="s">
        <v>160</v>
      </c>
      <c r="C35" s="177">
        <f>C9</f>
        <v>50980</v>
      </c>
      <c r="D35" s="219">
        <f t="shared" ref="D35:F35" si="5">D9</f>
        <v>12771</v>
      </c>
      <c r="E35" s="227">
        <f t="shared" si="5"/>
        <v>23444</v>
      </c>
      <c r="F35" s="219">
        <f t="shared" si="5"/>
        <v>37687</v>
      </c>
      <c r="G35" s="175">
        <f>G9</f>
        <v>50980</v>
      </c>
      <c r="H35" s="184" t="s">
        <v>212</v>
      </c>
    </row>
    <row r="36" spans="1:9" ht="48">
      <c r="A36" s="276" t="s">
        <v>107</v>
      </c>
      <c r="B36" s="167" t="s">
        <v>106</v>
      </c>
      <c r="C36" s="171">
        <f>MAX(D36:G36)</f>
        <v>57</v>
      </c>
      <c r="D36" s="168">
        <v>0</v>
      </c>
      <c r="E36" s="168">
        <v>0</v>
      </c>
      <c r="F36" s="168">
        <v>49</v>
      </c>
      <c r="G36" s="168">
        <f>SUM(G69:G70)</f>
        <v>57</v>
      </c>
      <c r="H36" s="184" t="s">
        <v>281</v>
      </c>
    </row>
    <row r="37" spans="1:9" ht="26.25" customHeight="1">
      <c r="A37" s="276"/>
      <c r="B37" s="167" t="s">
        <v>160</v>
      </c>
      <c r="C37" s="222">
        <f>MAX(D37:G37)</f>
        <v>8358</v>
      </c>
      <c r="D37" s="221">
        <v>1609</v>
      </c>
      <c r="E37" s="168">
        <v>3660</v>
      </c>
      <c r="F37" s="168">
        <v>6582</v>
      </c>
      <c r="G37" s="168">
        <v>8358</v>
      </c>
      <c r="H37" s="184" t="s">
        <v>255</v>
      </c>
    </row>
    <row r="38" spans="1:9" ht="36">
      <c r="A38" s="276" t="s">
        <v>109</v>
      </c>
      <c r="B38" s="167" t="s">
        <v>108</v>
      </c>
      <c r="C38" s="169">
        <f>MAX(D38:G38)</f>
        <v>0</v>
      </c>
      <c r="D38" s="168">
        <v>0</v>
      </c>
      <c r="E38" s="168">
        <v>0</v>
      </c>
      <c r="F38" s="168">
        <v>0</v>
      </c>
      <c r="G38" s="168">
        <v>0</v>
      </c>
      <c r="H38" s="184" t="s">
        <v>213</v>
      </c>
    </row>
    <row r="39" spans="1:9" ht="12.75">
      <c r="A39" s="276"/>
      <c r="B39" s="167" t="s">
        <v>160</v>
      </c>
      <c r="C39" s="177">
        <f>C9</f>
        <v>50980</v>
      </c>
      <c r="D39" s="219">
        <f t="shared" ref="D39:F39" si="6">D9</f>
        <v>12771</v>
      </c>
      <c r="E39" s="227">
        <f t="shared" si="6"/>
        <v>23444</v>
      </c>
      <c r="F39" s="219">
        <f t="shared" si="6"/>
        <v>37687</v>
      </c>
      <c r="G39" s="175">
        <f>G9</f>
        <v>50980</v>
      </c>
      <c r="H39" s="184" t="s">
        <v>212</v>
      </c>
    </row>
    <row r="40" spans="1:9" ht="100.5" customHeight="1">
      <c r="A40" s="276" t="s">
        <v>111</v>
      </c>
      <c r="B40" s="178" t="s">
        <v>110</v>
      </c>
      <c r="C40" s="169">
        <f>MAX(D40:G40)</f>
        <v>402</v>
      </c>
      <c r="D40" s="168">
        <v>94</v>
      </c>
      <c r="E40" s="168">
        <v>136</v>
      </c>
      <c r="F40" s="168">
        <v>402</v>
      </c>
      <c r="G40" s="168">
        <v>279</v>
      </c>
      <c r="H40" s="184" t="s">
        <v>214</v>
      </c>
      <c r="I40" s="162"/>
    </row>
    <row r="41" spans="1:9" ht="27" customHeight="1">
      <c r="A41" s="276"/>
      <c r="B41" s="178" t="s">
        <v>160</v>
      </c>
      <c r="C41" s="224">
        <f t="shared" ref="C41" si="7">MAX(D41:G41)</f>
        <v>50980</v>
      </c>
      <c r="D41" s="174">
        <f t="shared" ref="D41:F41" si="8">D9</f>
        <v>12771</v>
      </c>
      <c r="E41" s="227">
        <f t="shared" si="8"/>
        <v>23444</v>
      </c>
      <c r="F41" s="174">
        <f t="shared" si="8"/>
        <v>37687</v>
      </c>
      <c r="G41" s="175">
        <f>G9</f>
        <v>50980</v>
      </c>
      <c r="H41" s="184" t="s">
        <v>212</v>
      </c>
    </row>
    <row r="42" spans="1:9" ht="115.5" customHeight="1">
      <c r="A42" s="276" t="s">
        <v>113</v>
      </c>
      <c r="B42" s="167" t="s">
        <v>112</v>
      </c>
      <c r="C42" s="250">
        <f>MAX(D42:G42)</f>
        <v>222</v>
      </c>
      <c r="D42" s="168">
        <v>90</v>
      </c>
      <c r="E42" s="168">
        <v>119</v>
      </c>
      <c r="F42" s="168">
        <v>162</v>
      </c>
      <c r="G42" s="168">
        <v>222</v>
      </c>
      <c r="H42" s="184" t="s">
        <v>215</v>
      </c>
      <c r="I42" s="162"/>
    </row>
    <row r="43" spans="1:9" ht="36">
      <c r="A43" s="276"/>
      <c r="B43" s="167" t="str">
        <f>B40</f>
        <v xml:space="preserve"> Общее количество обращений потребителей услуг с указанием на ненадлежащее качество услуг по передаче электрической энергии и обслуживание</v>
      </c>
      <c r="C43" s="219">
        <f>C40</f>
        <v>402</v>
      </c>
      <c r="D43" s="219">
        <f t="shared" ref="D43:F43" si="9">D40</f>
        <v>94</v>
      </c>
      <c r="E43" s="227">
        <f t="shared" si="9"/>
        <v>136</v>
      </c>
      <c r="F43" s="219">
        <f t="shared" si="9"/>
        <v>402</v>
      </c>
      <c r="G43" s="223">
        <f>G40</f>
        <v>279</v>
      </c>
      <c r="H43" s="184" t="s">
        <v>216</v>
      </c>
    </row>
    <row r="44" spans="1:9" ht="105" customHeight="1">
      <c r="A44" s="276" t="s">
        <v>114</v>
      </c>
      <c r="B44" s="167" t="s">
        <v>165</v>
      </c>
      <c r="C44" s="169">
        <f>MAX(D44:G44)</f>
        <v>0</v>
      </c>
      <c r="D44" s="168">
        <v>0</v>
      </c>
      <c r="E44" s="168">
        <v>0</v>
      </c>
      <c r="F44" s="168">
        <v>0</v>
      </c>
      <c r="G44" s="168">
        <v>0</v>
      </c>
      <c r="H44" s="184" t="s">
        <v>217</v>
      </c>
    </row>
    <row r="45" spans="1:9" ht="48">
      <c r="A45" s="276"/>
      <c r="B45" s="167" t="str">
        <f>B42</f>
        <v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v>
      </c>
      <c r="C45" s="174">
        <f>C42</f>
        <v>222</v>
      </c>
      <c r="D45" s="174">
        <f>D42</f>
        <v>90</v>
      </c>
      <c r="E45" s="227">
        <f t="shared" ref="E45" si="10">E42</f>
        <v>119</v>
      </c>
      <c r="F45" s="174">
        <f t="shared" ref="F45:G45" si="11">F42</f>
        <v>162</v>
      </c>
      <c r="G45" s="174">
        <f t="shared" si="11"/>
        <v>222</v>
      </c>
      <c r="H45" s="184" t="s">
        <v>218</v>
      </c>
    </row>
    <row r="46" spans="1:9" ht="73.5" customHeight="1">
      <c r="A46" s="276" t="s">
        <v>116</v>
      </c>
      <c r="B46" s="167" t="s">
        <v>115</v>
      </c>
      <c r="C46" s="225">
        <f>MAX(D46:G46)</f>
        <v>1</v>
      </c>
      <c r="D46" s="168">
        <v>1</v>
      </c>
      <c r="E46" s="168">
        <v>1</v>
      </c>
      <c r="F46" s="168">
        <v>1</v>
      </c>
      <c r="G46" s="168">
        <v>1</v>
      </c>
      <c r="H46" s="184" t="s">
        <v>219</v>
      </c>
    </row>
    <row r="47" spans="1:9" ht="12.75">
      <c r="A47" s="276"/>
      <c r="B47" s="167" t="s">
        <v>160</v>
      </c>
      <c r="C47" s="177">
        <f>C9</f>
        <v>50980</v>
      </c>
      <c r="D47" s="219">
        <f t="shared" ref="D47:F47" si="12">D9</f>
        <v>12771</v>
      </c>
      <c r="E47" s="227">
        <f t="shared" si="12"/>
        <v>23444</v>
      </c>
      <c r="F47" s="219">
        <f t="shared" si="12"/>
        <v>37687</v>
      </c>
      <c r="G47" s="175">
        <f>G9</f>
        <v>50980</v>
      </c>
      <c r="H47" s="184" t="s">
        <v>212</v>
      </c>
    </row>
    <row r="48" spans="1:9" ht="63.75">
      <c r="A48" s="276" t="s">
        <v>118</v>
      </c>
      <c r="B48" s="167" t="s">
        <v>117</v>
      </c>
      <c r="C48" s="220">
        <f>MAX(D48:G48)</f>
        <v>134</v>
      </c>
      <c r="D48" s="168">
        <v>79</v>
      </c>
      <c r="E48" s="168">
        <v>105</v>
      </c>
      <c r="F48" s="168">
        <v>120</v>
      </c>
      <c r="G48" s="168">
        <v>134</v>
      </c>
      <c r="H48" s="184" t="s">
        <v>220</v>
      </c>
    </row>
    <row r="49" spans="1:9" ht="12.75">
      <c r="A49" s="276"/>
      <c r="B49" s="167" t="s">
        <v>160</v>
      </c>
      <c r="C49" s="177">
        <f>C9</f>
        <v>50980</v>
      </c>
      <c r="D49" s="219">
        <f t="shared" ref="D49:F49" si="13">D9</f>
        <v>12771</v>
      </c>
      <c r="E49" s="227">
        <f t="shared" si="13"/>
        <v>23444</v>
      </c>
      <c r="F49" s="219">
        <f t="shared" si="13"/>
        <v>37687</v>
      </c>
      <c r="G49" s="233">
        <f>G9</f>
        <v>50980</v>
      </c>
      <c r="H49" s="184" t="s">
        <v>212</v>
      </c>
    </row>
    <row r="50" spans="1:9" ht="36">
      <c r="A50" s="171" t="s">
        <v>120</v>
      </c>
      <c r="B50" s="167" t="s">
        <v>119</v>
      </c>
      <c r="C50" s="179">
        <f>D50+E50+F50+G50</f>
        <v>4</v>
      </c>
      <c r="D50" s="168">
        <v>1</v>
      </c>
      <c r="E50" s="168">
        <v>1</v>
      </c>
      <c r="F50" s="168">
        <v>2</v>
      </c>
      <c r="G50" s="168">
        <v>0</v>
      </c>
      <c r="H50" s="184"/>
    </row>
    <row r="51" spans="1:9" ht="138" customHeight="1">
      <c r="A51" s="276" t="s">
        <v>121</v>
      </c>
      <c r="B51" s="167" t="s">
        <v>184</v>
      </c>
      <c r="C51" s="179">
        <f>MAX(D51:G51)</f>
        <v>158029</v>
      </c>
      <c r="D51" s="168">
        <v>19437</v>
      </c>
      <c r="E51" s="168">
        <v>44073</v>
      </c>
      <c r="F51" s="256">
        <f>2340+35298</f>
        <v>37638</v>
      </c>
      <c r="G51" s="221">
        <v>158029</v>
      </c>
      <c r="H51" s="184" t="s">
        <v>221</v>
      </c>
      <c r="I51" s="163"/>
    </row>
    <row r="52" spans="1:9" ht="70.5" customHeight="1">
      <c r="A52" s="276"/>
      <c r="B52" s="167" t="s">
        <v>178</v>
      </c>
      <c r="C52" s="179">
        <f>MAX(D52:G52)</f>
        <v>3562</v>
      </c>
      <c r="D52" s="168">
        <v>680</v>
      </c>
      <c r="E52" s="168">
        <v>786</v>
      </c>
      <c r="F52" s="168">
        <v>1291</v>
      </c>
      <c r="G52" s="168">
        <v>3562</v>
      </c>
      <c r="H52" s="184" t="s">
        <v>222</v>
      </c>
      <c r="I52" s="163"/>
    </row>
    <row r="53" spans="1:9" ht="24">
      <c r="A53" s="276"/>
      <c r="B53" s="178" t="s">
        <v>179</v>
      </c>
      <c r="C53" s="172">
        <f>MAX(D53:G53)</f>
        <v>12388</v>
      </c>
      <c r="D53" s="168">
        <v>1210</v>
      </c>
      <c r="E53" s="168">
        <v>2049</v>
      </c>
      <c r="F53" s="256">
        <f>956+805</f>
        <v>1761</v>
      </c>
      <c r="G53" s="168">
        <v>12388</v>
      </c>
      <c r="H53" s="184" t="s">
        <v>223</v>
      </c>
      <c r="I53" s="162"/>
    </row>
    <row r="54" spans="1:9" ht="24">
      <c r="A54" s="276"/>
      <c r="B54" s="167" t="s">
        <v>224</v>
      </c>
      <c r="C54" s="172">
        <f>MAX(D54:G54)</f>
        <v>219</v>
      </c>
      <c r="D54" s="168">
        <v>88</v>
      </c>
      <c r="E54" s="168">
        <v>125</v>
      </c>
      <c r="F54" s="168">
        <v>31</v>
      </c>
      <c r="G54" s="168">
        <v>219</v>
      </c>
      <c r="H54" s="184" t="s">
        <v>225</v>
      </c>
    </row>
    <row r="55" spans="1:9" ht="15.75" customHeight="1">
      <c r="A55" s="276" t="s">
        <v>126</v>
      </c>
      <c r="B55" s="167" t="s">
        <v>122</v>
      </c>
      <c r="C55" s="172">
        <f>MAX(D55:G55)</f>
        <v>134</v>
      </c>
      <c r="D55" s="168">
        <v>0</v>
      </c>
      <c r="E55" s="168">
        <v>105</v>
      </c>
      <c r="F55" s="180">
        <v>120</v>
      </c>
      <c r="G55" s="180">
        <v>134</v>
      </c>
      <c r="H55" s="184"/>
    </row>
    <row r="56" spans="1:9" ht="24">
      <c r="A56" s="276"/>
      <c r="B56" s="167" t="s">
        <v>123</v>
      </c>
      <c r="C56" s="172">
        <f t="shared" ref="C56:C61" si="14">MAX(D56:G56)</f>
        <v>22</v>
      </c>
      <c r="D56" s="168">
        <v>0</v>
      </c>
      <c r="E56" s="168">
        <v>0</v>
      </c>
      <c r="F56" s="180">
        <v>0</v>
      </c>
      <c r="G56" s="168">
        <v>22</v>
      </c>
      <c r="H56" s="184"/>
    </row>
    <row r="57" spans="1:9" ht="24">
      <c r="A57" s="276"/>
      <c r="B57" s="167" t="s">
        <v>124</v>
      </c>
      <c r="C57" s="172">
        <f t="shared" si="14"/>
        <v>0</v>
      </c>
      <c r="D57" s="168">
        <v>0</v>
      </c>
      <c r="E57" s="168">
        <v>0</v>
      </c>
      <c r="F57" s="168">
        <v>0</v>
      </c>
      <c r="G57" s="168">
        <v>0</v>
      </c>
      <c r="H57" s="184"/>
    </row>
    <row r="58" spans="1:9" ht="18" customHeight="1">
      <c r="A58" s="276"/>
      <c r="B58" s="178" t="s">
        <v>125</v>
      </c>
      <c r="C58" s="175">
        <v>211120</v>
      </c>
      <c r="D58" s="174" t="s">
        <v>188</v>
      </c>
      <c r="E58" s="227" t="s">
        <v>188</v>
      </c>
      <c r="F58" s="174" t="s">
        <v>188</v>
      </c>
      <c r="G58" s="174" t="s">
        <v>188</v>
      </c>
      <c r="H58" s="184"/>
    </row>
    <row r="59" spans="1:9" ht="51">
      <c r="A59" s="276" t="s">
        <v>127</v>
      </c>
      <c r="B59" s="167" t="s">
        <v>163</v>
      </c>
      <c r="C59" s="171">
        <f>MAX(D59:G59)</f>
        <v>27</v>
      </c>
      <c r="D59" s="168">
        <v>2</v>
      </c>
      <c r="E59" s="168">
        <v>3</v>
      </c>
      <c r="F59" s="168">
        <v>10</v>
      </c>
      <c r="G59" s="168">
        <v>27</v>
      </c>
      <c r="H59" s="184" t="s">
        <v>226</v>
      </c>
    </row>
    <row r="60" spans="1:9" ht="24">
      <c r="A60" s="276"/>
      <c r="B60" s="167" t="s">
        <v>99</v>
      </c>
      <c r="C60" s="172">
        <f>MAX(D60:G60)</f>
        <v>2010</v>
      </c>
      <c r="D60" s="180">
        <f t="shared" ref="D60:E60" si="15">D31</f>
        <v>352</v>
      </c>
      <c r="E60" s="180">
        <f t="shared" si="15"/>
        <v>922</v>
      </c>
      <c r="F60" s="180">
        <f>F31</f>
        <v>1588</v>
      </c>
      <c r="G60" s="180">
        <f>G31</f>
        <v>2010</v>
      </c>
      <c r="H60" s="184" t="s">
        <v>210</v>
      </c>
    </row>
    <row r="61" spans="1:9" ht="76.5">
      <c r="A61" s="276" t="s">
        <v>130</v>
      </c>
      <c r="B61" s="167" t="s">
        <v>128</v>
      </c>
      <c r="C61" s="181">
        <f t="shared" si="14"/>
        <v>0</v>
      </c>
      <c r="D61" s="168">
        <v>0</v>
      </c>
      <c r="E61" s="168">
        <v>0</v>
      </c>
      <c r="F61" s="168">
        <v>0</v>
      </c>
      <c r="G61" s="168">
        <v>0</v>
      </c>
      <c r="H61" s="184" t="s">
        <v>227</v>
      </c>
    </row>
    <row r="62" spans="1:9" ht="25.5">
      <c r="A62" s="276"/>
      <c r="B62" s="167" t="s">
        <v>129</v>
      </c>
      <c r="C62" s="171">
        <f>SUM(D62:G62)</f>
        <v>0</v>
      </c>
      <c r="D62" s="168">
        <v>0</v>
      </c>
      <c r="E62" s="168">
        <v>0</v>
      </c>
      <c r="F62" s="168">
        <v>0</v>
      </c>
      <c r="G62" s="168">
        <v>0</v>
      </c>
      <c r="H62" s="184" t="s">
        <v>228</v>
      </c>
    </row>
    <row r="63" spans="1:9" ht="25.5">
      <c r="A63" s="276" t="s">
        <v>131</v>
      </c>
      <c r="B63" s="167" t="s">
        <v>132</v>
      </c>
      <c r="C63" s="171">
        <f>SUM(D63:G63)</f>
        <v>0</v>
      </c>
      <c r="D63" s="168">
        <v>0</v>
      </c>
      <c r="E63" s="168">
        <v>0</v>
      </c>
      <c r="F63" s="168">
        <v>0</v>
      </c>
      <c r="G63" s="168">
        <v>0</v>
      </c>
      <c r="H63" s="184" t="s">
        <v>228</v>
      </c>
    </row>
    <row r="64" spans="1:9" ht="38.25">
      <c r="A64" s="276"/>
      <c r="B64" s="167" t="s">
        <v>133</v>
      </c>
      <c r="C64" s="171">
        <f>SUM(D64:G64)</f>
        <v>0</v>
      </c>
      <c r="D64" s="168">
        <v>0</v>
      </c>
      <c r="E64" s="168">
        <v>0</v>
      </c>
      <c r="F64" s="168">
        <v>0</v>
      </c>
      <c r="G64" s="168">
        <v>0</v>
      </c>
      <c r="H64" s="184" t="s">
        <v>229</v>
      </c>
    </row>
    <row r="65" spans="1:8">
      <c r="A65" s="145"/>
      <c r="B65" s="145"/>
      <c r="H65" s="138"/>
    </row>
    <row r="66" spans="1:8">
      <c r="A66" s="145"/>
      <c r="B66" s="107" t="s">
        <v>230</v>
      </c>
      <c r="H66" s="138"/>
    </row>
    <row r="67" spans="1:8" ht="53.25" customHeight="1">
      <c r="A67" s="276" t="s">
        <v>241</v>
      </c>
      <c r="B67" s="167" t="s">
        <v>231</v>
      </c>
      <c r="C67" s="250">
        <f>MAX(D67:G67)</f>
        <v>2048</v>
      </c>
      <c r="D67" s="168">
        <v>533</v>
      </c>
      <c r="E67" s="168">
        <v>1134</v>
      </c>
      <c r="F67" s="168">
        <v>1553</v>
      </c>
      <c r="G67" s="168">
        <v>2048</v>
      </c>
      <c r="H67" s="187" t="s">
        <v>232</v>
      </c>
    </row>
    <row r="68" spans="1:8" ht="51">
      <c r="A68" s="276"/>
      <c r="B68" s="167" t="s">
        <v>233</v>
      </c>
      <c r="C68" s="252">
        <f>MAX(D68:G68)</f>
        <v>5672</v>
      </c>
      <c r="D68" s="168">
        <v>1557</v>
      </c>
      <c r="E68" s="168">
        <v>2221</v>
      </c>
      <c r="F68" s="168">
        <v>4156</v>
      </c>
      <c r="G68" s="168">
        <v>5672</v>
      </c>
      <c r="H68" s="188" t="s">
        <v>234</v>
      </c>
    </row>
    <row r="69" spans="1:8" ht="87.75" customHeight="1">
      <c r="A69" s="276" t="s">
        <v>259</v>
      </c>
      <c r="B69" s="167" t="s">
        <v>235</v>
      </c>
      <c r="C69" s="171">
        <f t="shared" ref="C69" si="16">MAX(D69:G69)</f>
        <v>3</v>
      </c>
      <c r="D69" s="168">
        <v>1</v>
      </c>
      <c r="E69" s="168">
        <v>2</v>
      </c>
      <c r="F69" s="168">
        <v>3</v>
      </c>
      <c r="G69" s="168">
        <v>2</v>
      </c>
      <c r="H69" s="187" t="s">
        <v>236</v>
      </c>
    </row>
    <row r="70" spans="1:8" ht="48">
      <c r="A70" s="276"/>
      <c r="B70" s="167" t="s">
        <v>237</v>
      </c>
      <c r="C70" s="171">
        <f>MAX(D70:G70)</f>
        <v>55</v>
      </c>
      <c r="D70" s="168">
        <v>19</v>
      </c>
      <c r="E70" s="168">
        <v>26</v>
      </c>
      <c r="F70" s="168">
        <v>44</v>
      </c>
      <c r="G70" s="168">
        <v>55</v>
      </c>
      <c r="H70" s="188" t="s">
        <v>238</v>
      </c>
    </row>
    <row r="83" spans="3:3">
      <c r="C83" s="141"/>
    </row>
  </sheetData>
  <protectedRanges>
    <protectedRange sqref="G71:H65538" name="Q2"/>
    <protectedRange sqref="F7:G7 F5:G5 E6:F6 G3:G6 E3:F4 G1 G65:G70" name="Q2_4"/>
    <protectedRange sqref="G23:G24" name="Q2_2_2"/>
    <protectedRange sqref="G29 G27" name="Q2_4_3_2"/>
    <protectedRange sqref="G21:G22" name="Q2_4_1_2_1"/>
    <protectedRange sqref="G17:G20" name="Q2_4_1_2_2"/>
  </protectedRanges>
  <mergeCells count="28">
    <mergeCell ref="A67:A68"/>
    <mergeCell ref="A69:A70"/>
    <mergeCell ref="A44:A45"/>
    <mergeCell ref="A46:A47"/>
    <mergeCell ref="A3:A4"/>
    <mergeCell ref="A13:A14"/>
    <mergeCell ref="A15:A16"/>
    <mergeCell ref="A32:A33"/>
    <mergeCell ref="A19:A20"/>
    <mergeCell ref="A17:A18"/>
    <mergeCell ref="A21:A22"/>
    <mergeCell ref="A8:A12"/>
    <mergeCell ref="I17:I20"/>
    <mergeCell ref="A51:A54"/>
    <mergeCell ref="A61:A62"/>
    <mergeCell ref="A38:A39"/>
    <mergeCell ref="A63:A64"/>
    <mergeCell ref="A23:A24"/>
    <mergeCell ref="A25:A26"/>
    <mergeCell ref="A27:A29"/>
    <mergeCell ref="A30:A31"/>
    <mergeCell ref="A55:A58"/>
    <mergeCell ref="A59:A60"/>
    <mergeCell ref="A34:A35"/>
    <mergeCell ref="A48:A49"/>
    <mergeCell ref="A36:A37"/>
    <mergeCell ref="A40:A41"/>
    <mergeCell ref="A42:A43"/>
  </mergeCells>
  <pageMargins left="0.11811023622047245" right="0.11811023622047245" top="0.15748031496062992" bottom="0.15748031496062992" header="0.31496062992125984" footer="0.31496062992125984"/>
  <pageSetup paperSize="9" scale="55" fitToHeight="2" orientation="portrait" r:id="rId1"/>
  <ignoredErrors>
    <ignoredError sqref="G13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opLeftCell="A16" zoomScale="80" zoomScaleNormal="80" workbookViewId="0">
      <selection activeCell="D51" sqref="D51"/>
    </sheetView>
  </sheetViews>
  <sheetFormatPr defaultRowHeight="12.75" outlineLevelRow="1"/>
  <cols>
    <col min="1" max="1" width="45.28515625" customWidth="1"/>
    <col min="2" max="2" width="21.85546875" customWidth="1"/>
    <col min="3" max="3" width="15.7109375" customWidth="1"/>
    <col min="4" max="4" width="63.5703125" style="155" customWidth="1"/>
    <col min="5" max="5" width="76" customWidth="1"/>
  </cols>
  <sheetData>
    <row r="2" spans="1:5" ht="15.75">
      <c r="A2" s="279" t="s">
        <v>284</v>
      </c>
      <c r="B2" s="279"/>
      <c r="C2" s="279"/>
      <c r="D2" s="279"/>
      <c r="E2" s="279"/>
    </row>
    <row r="3" spans="1:5">
      <c r="B3" s="102"/>
      <c r="C3" s="103"/>
      <c r="E3" s="103"/>
    </row>
    <row r="5" spans="1:5">
      <c r="A5" s="280" t="s">
        <v>170</v>
      </c>
      <c r="B5" s="280" t="s">
        <v>171</v>
      </c>
      <c r="C5" s="280" t="s">
        <v>172</v>
      </c>
      <c r="D5" s="280" t="s">
        <v>173</v>
      </c>
      <c r="E5" s="280" t="s">
        <v>174</v>
      </c>
    </row>
    <row r="6" spans="1:5">
      <c r="A6" s="280"/>
      <c r="B6" s="280"/>
      <c r="C6" s="280"/>
      <c r="D6" s="280"/>
      <c r="E6" s="280"/>
    </row>
    <row r="7" spans="1:5">
      <c r="A7" s="278" t="str">
        <f>Свод!B2</f>
        <v>Тамбовэнерго</v>
      </c>
      <c r="B7" s="278"/>
      <c r="C7" s="278"/>
      <c r="D7" s="278"/>
      <c r="E7" s="278"/>
    </row>
    <row r="8" spans="1:5">
      <c r="A8" s="106" t="s">
        <v>181</v>
      </c>
      <c r="B8" s="106"/>
      <c r="C8" s="106"/>
      <c r="D8" s="156"/>
      <c r="E8" s="106"/>
    </row>
    <row r="9" spans="1:5" s="1" customFormat="1" ht="67.5" customHeight="1" outlineLevel="1">
      <c r="A9" s="192" t="s">
        <v>139</v>
      </c>
      <c r="B9" s="192" t="s">
        <v>183</v>
      </c>
      <c r="C9" s="164" t="s">
        <v>283</v>
      </c>
      <c r="D9" s="235">
        <v>33</v>
      </c>
      <c r="E9" s="234" t="s">
        <v>260</v>
      </c>
    </row>
    <row r="10" spans="1:5" ht="59.25" customHeight="1" outlineLevel="1">
      <c r="A10" s="190" t="s">
        <v>142</v>
      </c>
      <c r="B10" s="196" t="s">
        <v>183</v>
      </c>
      <c r="C10" s="164" t="s">
        <v>283</v>
      </c>
      <c r="D10" s="236">
        <v>55</v>
      </c>
      <c r="E10" s="135" t="s">
        <v>242</v>
      </c>
    </row>
    <row r="11" spans="1:5" ht="99" customHeight="1" outlineLevel="1">
      <c r="A11" s="191" t="s">
        <v>10</v>
      </c>
      <c r="B11" s="193" t="s">
        <v>185</v>
      </c>
      <c r="C11" s="164" t="s">
        <v>283</v>
      </c>
      <c r="D11" s="237" t="s">
        <v>269</v>
      </c>
      <c r="E11" s="135" t="s">
        <v>263</v>
      </c>
    </row>
    <row r="12" spans="1:5" ht="80.25" customHeight="1" outlineLevel="1">
      <c r="A12" s="191" t="s">
        <v>41</v>
      </c>
      <c r="B12" s="192" t="s">
        <v>185</v>
      </c>
      <c r="C12" s="164" t="s">
        <v>283</v>
      </c>
      <c r="D12" s="237" t="s">
        <v>270</v>
      </c>
      <c r="E12" s="135" t="s">
        <v>253</v>
      </c>
    </row>
    <row r="13" spans="1:5" s="145" customFormat="1" ht="102.75" customHeight="1" outlineLevel="1">
      <c r="A13" s="43" t="s">
        <v>42</v>
      </c>
      <c r="B13" s="192" t="s">
        <v>185</v>
      </c>
      <c r="C13" s="164" t="s">
        <v>283</v>
      </c>
      <c r="D13" s="238">
        <v>0</v>
      </c>
      <c r="E13" s="135" t="s">
        <v>258</v>
      </c>
    </row>
    <row r="14" spans="1:5" ht="15">
      <c r="A14" s="106" t="s">
        <v>180</v>
      </c>
      <c r="B14" s="106"/>
      <c r="C14" s="136"/>
      <c r="D14" s="229"/>
      <c r="E14" s="106"/>
    </row>
    <row r="15" spans="1:5" ht="104.25" customHeight="1" outlineLevel="1">
      <c r="A15" s="197" t="s">
        <v>47</v>
      </c>
      <c r="B15" s="199" t="s">
        <v>24</v>
      </c>
      <c r="C15" s="164" t="s">
        <v>283</v>
      </c>
      <c r="D15" s="239" t="s">
        <v>271</v>
      </c>
      <c r="E15" s="150" t="s">
        <v>243</v>
      </c>
    </row>
    <row r="16" spans="1:5" ht="108.75" customHeight="1" outlineLevel="1" thickBot="1">
      <c r="A16" s="198" t="s">
        <v>48</v>
      </c>
      <c r="B16" s="199" t="s">
        <v>185</v>
      </c>
      <c r="C16" s="164" t="s">
        <v>283</v>
      </c>
      <c r="D16" s="240" t="s">
        <v>272</v>
      </c>
      <c r="E16" s="137" t="s">
        <v>244</v>
      </c>
    </row>
    <row r="17" spans="1:9" s="145" customFormat="1" ht="91.5" customHeight="1" outlineLevel="1" thickBot="1">
      <c r="A17" s="43" t="s">
        <v>50</v>
      </c>
      <c r="B17" s="199" t="s">
        <v>185</v>
      </c>
      <c r="C17" s="164" t="s">
        <v>283</v>
      </c>
      <c r="D17" s="240" t="s">
        <v>273</v>
      </c>
      <c r="E17" s="249" t="s">
        <v>274</v>
      </c>
    </row>
    <row r="18" spans="1:9" s="145" customFormat="1" ht="117" customHeight="1" outlineLevel="1">
      <c r="A18" s="43" t="s">
        <v>256</v>
      </c>
      <c r="B18" s="199" t="s">
        <v>185</v>
      </c>
      <c r="C18" s="164" t="s">
        <v>283</v>
      </c>
      <c r="D18" s="240" t="s">
        <v>267</v>
      </c>
      <c r="E18" s="146" t="s">
        <v>264</v>
      </c>
    </row>
    <row r="19" spans="1:9" ht="78" customHeight="1" outlineLevel="1">
      <c r="A19" s="189" t="s">
        <v>145</v>
      </c>
      <c r="B19" s="194" t="s">
        <v>185</v>
      </c>
      <c r="C19" s="164" t="s">
        <v>283</v>
      </c>
      <c r="D19" s="241" t="s">
        <v>265</v>
      </c>
      <c r="E19" s="146" t="s">
        <v>245</v>
      </c>
    </row>
    <row r="20" spans="1:9" s="145" customFormat="1" ht="126.75" customHeight="1" outlineLevel="1">
      <c r="A20" s="151" t="s">
        <v>53</v>
      </c>
      <c r="B20" s="194" t="s">
        <v>185</v>
      </c>
      <c r="C20" s="164" t="s">
        <v>283</v>
      </c>
      <c r="D20" s="230">
        <v>0</v>
      </c>
      <c r="E20" s="212"/>
    </row>
    <row r="21" spans="1:9" s="145" customFormat="1" ht="150" customHeight="1" outlineLevel="1">
      <c r="A21" s="13" t="s">
        <v>54</v>
      </c>
      <c r="B21" s="194" t="s">
        <v>185</v>
      </c>
      <c r="C21" s="164" t="s">
        <v>283</v>
      </c>
      <c r="D21" s="228">
        <v>0</v>
      </c>
      <c r="E21" s="157" t="s">
        <v>246</v>
      </c>
      <c r="I21" s="158"/>
    </row>
    <row r="22" spans="1:9" s="145" customFormat="1" ht="150" customHeight="1" outlineLevel="1">
      <c r="A22" s="43" t="s">
        <v>14</v>
      </c>
      <c r="B22" s="194" t="s">
        <v>185</v>
      </c>
      <c r="C22" s="164" t="s">
        <v>283</v>
      </c>
      <c r="D22" s="228">
        <v>0</v>
      </c>
      <c r="E22" s="213" t="s">
        <v>247</v>
      </c>
      <c r="I22" s="158"/>
    </row>
    <row r="23" spans="1:9" ht="108.75" customHeight="1" outlineLevel="1">
      <c r="A23" s="195" t="s">
        <v>16</v>
      </c>
      <c r="B23" s="194" t="s">
        <v>24</v>
      </c>
      <c r="C23" s="164" t="s">
        <v>283</v>
      </c>
      <c r="D23" s="238" t="s">
        <v>275</v>
      </c>
      <c r="E23" s="146" t="s">
        <v>261</v>
      </c>
    </row>
    <row r="24" spans="1:9" s="145" customFormat="1" ht="131.25" customHeight="1" outlineLevel="1">
      <c r="A24" s="195" t="s">
        <v>57</v>
      </c>
      <c r="B24" s="194" t="s">
        <v>24</v>
      </c>
      <c r="C24" s="164" t="s">
        <v>283</v>
      </c>
      <c r="D24" s="242">
        <v>49</v>
      </c>
      <c r="E24" s="212" t="s">
        <v>276</v>
      </c>
    </row>
    <row r="25" spans="1:9" s="145" customFormat="1" ht="131.25" customHeight="1" outlineLevel="1">
      <c r="A25" s="43" t="s">
        <v>58</v>
      </c>
      <c r="B25" s="194" t="s">
        <v>24</v>
      </c>
      <c r="C25" s="164" t="s">
        <v>283</v>
      </c>
      <c r="D25" s="241">
        <v>0</v>
      </c>
      <c r="E25" s="135" t="s">
        <v>248</v>
      </c>
    </row>
    <row r="26" spans="1:9" ht="15">
      <c r="A26" s="106" t="s">
        <v>182</v>
      </c>
      <c r="B26" s="106"/>
      <c r="C26" s="154"/>
      <c r="D26" s="229"/>
      <c r="E26" s="106"/>
    </row>
    <row r="27" spans="1:9" s="138" customFormat="1" ht="93.75" customHeight="1">
      <c r="A27" s="204" t="s">
        <v>61</v>
      </c>
      <c r="B27" s="200" t="s">
        <v>24</v>
      </c>
      <c r="C27" s="164" t="s">
        <v>283</v>
      </c>
      <c r="D27" s="243" t="s">
        <v>277</v>
      </c>
      <c r="E27" s="146" t="s">
        <v>257</v>
      </c>
    </row>
    <row r="28" spans="1:9" ht="150" outlineLevel="1">
      <c r="A28" s="217" t="s">
        <v>186</v>
      </c>
      <c r="B28" s="218" t="s">
        <v>185</v>
      </c>
      <c r="C28" s="164" t="s">
        <v>283</v>
      </c>
      <c r="D28" s="244" t="s">
        <v>266</v>
      </c>
      <c r="E28" s="135"/>
    </row>
    <row r="29" spans="1:9" ht="83.25" customHeight="1" outlineLevel="1">
      <c r="A29" s="205" t="s">
        <v>65</v>
      </c>
      <c r="B29" s="194" t="s">
        <v>23</v>
      </c>
      <c r="C29" s="164" t="s">
        <v>283</v>
      </c>
      <c r="D29" s="245" t="s">
        <v>278</v>
      </c>
      <c r="E29" s="152" t="s">
        <v>249</v>
      </c>
    </row>
    <row r="30" spans="1:9" s="145" customFormat="1" ht="58.5" customHeight="1" outlineLevel="1">
      <c r="A30" s="45" t="s">
        <v>66</v>
      </c>
      <c r="B30" s="194" t="s">
        <v>23</v>
      </c>
      <c r="C30" s="164" t="s">
        <v>283</v>
      </c>
      <c r="D30" s="245">
        <v>1</v>
      </c>
      <c r="E30" s="152" t="s">
        <v>268</v>
      </c>
    </row>
    <row r="31" spans="1:9" ht="97.5" customHeight="1" outlineLevel="1">
      <c r="A31" s="206" t="s">
        <v>68</v>
      </c>
      <c r="B31" s="201" t="s">
        <v>24</v>
      </c>
      <c r="C31" s="164" t="s">
        <v>283</v>
      </c>
      <c r="D31" s="246" t="s">
        <v>280</v>
      </c>
      <c r="E31" s="153" t="s">
        <v>254</v>
      </c>
    </row>
    <row r="32" spans="1:9" ht="54.75" customHeight="1" outlineLevel="1">
      <c r="A32" s="206" t="s">
        <v>147</v>
      </c>
      <c r="B32" s="201" t="s">
        <v>23</v>
      </c>
      <c r="C32" s="164" t="s">
        <v>283</v>
      </c>
      <c r="D32" s="247" t="s">
        <v>279</v>
      </c>
      <c r="E32" s="214" t="s">
        <v>250</v>
      </c>
    </row>
    <row r="33" spans="1:6" ht="45" customHeight="1" outlineLevel="1">
      <c r="A33" s="207" t="s">
        <v>148</v>
      </c>
      <c r="B33" s="201" t="s">
        <v>23</v>
      </c>
      <c r="C33" s="164" t="s">
        <v>283</v>
      </c>
      <c r="D33" s="244">
        <v>0</v>
      </c>
      <c r="E33" s="208"/>
    </row>
    <row r="34" spans="1:6" ht="47.25" customHeight="1" outlineLevel="1">
      <c r="A34" s="207" t="s">
        <v>149</v>
      </c>
      <c r="B34" s="201" t="s">
        <v>23</v>
      </c>
      <c r="C34" s="164" t="s">
        <v>283</v>
      </c>
      <c r="D34" s="244">
        <v>0</v>
      </c>
      <c r="E34" s="216" t="s">
        <v>251</v>
      </c>
    </row>
    <row r="35" spans="1:6" ht="57.75" customHeight="1" outlineLevel="1">
      <c r="A35" s="209" t="s">
        <v>3</v>
      </c>
      <c r="B35" s="202" t="s">
        <v>24</v>
      </c>
      <c r="C35" s="164" t="s">
        <v>283</v>
      </c>
      <c r="D35" s="246" t="s">
        <v>262</v>
      </c>
      <c r="E35" s="215" t="s">
        <v>226</v>
      </c>
      <c r="F35" s="138"/>
    </row>
    <row r="36" spans="1:6" ht="57.75" customHeight="1" outlineLevel="1">
      <c r="A36" s="209" t="s">
        <v>71</v>
      </c>
      <c r="B36" s="203" t="s">
        <v>24</v>
      </c>
      <c r="C36" s="164" t="s">
        <v>283</v>
      </c>
      <c r="D36" s="246">
        <v>0</v>
      </c>
      <c r="E36" s="208" t="s">
        <v>252</v>
      </c>
      <c r="F36" s="138"/>
    </row>
    <row r="37" spans="1:6" ht="64.5" customHeight="1" outlineLevel="1">
      <c r="A37" s="209" t="s">
        <v>72</v>
      </c>
      <c r="B37" s="203" t="s">
        <v>23</v>
      </c>
      <c r="C37" s="136" t="s">
        <v>283</v>
      </c>
      <c r="D37" s="248">
        <v>0</v>
      </c>
      <c r="E37" s="208" t="s">
        <v>252</v>
      </c>
      <c r="F37" s="138"/>
    </row>
  </sheetData>
  <mergeCells count="7">
    <mergeCell ref="A7:E7"/>
    <mergeCell ref="A2:E2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Свод</vt:lpstr>
      <vt:lpstr>ИНФ</vt:lpstr>
      <vt:lpstr>ИСП</vt:lpstr>
      <vt:lpstr>РОС</vt:lpstr>
      <vt:lpstr>Исходные</vt:lpstr>
      <vt:lpstr>Пояснения</vt:lpstr>
      <vt:lpstr>ИНФ!Область_печати</vt:lpstr>
      <vt:lpstr>ИСП!Область_печати</vt:lpstr>
      <vt:lpstr>Исходные!Область_печати</vt:lpstr>
      <vt:lpstr>Пояснения!Область_печати</vt:lpstr>
      <vt:lpstr>РОС!Область_печати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Фраер</dc:creator>
  <cp:lastModifiedBy>Погорелова Юлия Михайловна</cp:lastModifiedBy>
  <cp:lastPrinted>2020-02-11T12:42:31Z</cp:lastPrinted>
  <dcterms:created xsi:type="dcterms:W3CDTF">2009-10-12T18:36:30Z</dcterms:created>
  <dcterms:modified xsi:type="dcterms:W3CDTF">2021-01-26T12:28:45Z</dcterms:modified>
</cp:coreProperties>
</file>