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5415" windowWidth="19155" windowHeight="5775" tabRatio="603"/>
  </bookViews>
  <sheets>
    <sheet name="с мая 2013" sheetId="2" r:id="rId1"/>
    <sheet name="согласование 2013" sheetId="3" r:id="rId2"/>
  </sheets>
  <definedNames>
    <definedName name="_xlnm._FilterDatabase" localSheetId="0" hidden="1">'с мая 2013'!$A$1:$AA$86</definedName>
    <definedName name="_xlnm._FilterDatabase" localSheetId="1" hidden="1">'согласование 2013'!$C$8:$H$8</definedName>
    <definedName name="Z_01132C0C_3D01_4D8A_8EA0_B5D52DAFF1EA_.wvu.Cols" localSheetId="0" hidden="1">#VALUE!</definedName>
    <definedName name="Z_01132C0C_3D01_4D8A_8EA0_B5D52DAFF1EA_.wvu.FilterData" localSheetId="0" hidden="1">'с мая 2013'!#REF!</definedName>
    <definedName name="Z_27408AF0_22BA_4514_9C63_AEEBDB4CAEAD_.wvu.Cols" localSheetId="0" hidden="1">#VALUE!</definedName>
    <definedName name="Z_27408AF0_22BA_4514_9C63_AEEBDB4CAEAD_.wvu.Cols" localSheetId="1" hidden="1">'согласование 2013'!$L:$L</definedName>
    <definedName name="Z_27408AF0_22BA_4514_9C63_AEEBDB4CAEAD_.wvu.FilterData" localSheetId="0" hidden="1">'с мая 2013'!$1:$1</definedName>
    <definedName name="Z_27408AF0_22BA_4514_9C63_AEEBDB4CAEAD_.wvu.FilterData" localSheetId="1" hidden="1">'согласование 2013'!$C$8:$H$8</definedName>
    <definedName name="Z_3B1239A8_1B7F_4DA1_9FB0_A5C9EDC16356_.wvu.FilterData" localSheetId="0" hidden="1">'с мая 2013'!#REF!</definedName>
    <definedName name="Z_4D7BB154_C7E3_465F_800E_F112D7C05E2F_.wvu.FilterData" localSheetId="0" hidden="1">'с мая 2013'!#REF!</definedName>
    <definedName name="Z_961C7BC2_7610_4F23_BBEF_A66D0013BF24_.wvu.FilterData" localSheetId="0" hidden="1">'с мая 2013'!#REF!</definedName>
    <definedName name="Z_99C48FFC_ACDF_49D4_9E61_C0DC7D91FB1A_.wvu.FilterData" localSheetId="0" hidden="1">'с мая 2013'!#REF!</definedName>
    <definedName name="Z_C1E7FB06_8C57_4179_ADC4_DBB5D906C1B0_.wvu.FilterData" localSheetId="0" hidden="1">'с мая 2013'!#REF!</definedName>
    <definedName name="Z_CC36E9FF_4FF3_429B_86B0_6FFEAD23DFE0_.wvu.FilterData" localSheetId="0" hidden="1">'с мая 2013'!#REF!</definedName>
    <definedName name="Z_E176B88B_CE98_46C6_8ED4_AA63628C8D27_.wvu.FilterData" localSheetId="0" hidden="1">'с мая 2013'!#REF!</definedName>
    <definedName name="Z_FB16B3EA_5B0C_4363_ADC9_BA654F8F1DA5_.wvu.FilterData" localSheetId="0" hidden="1">'с мая 2013'!#REF!</definedName>
  </definedNames>
  <calcPr calcId="145621"/>
  <customWorkbookViews>
    <customWorkbookView name="soloviev.ma - Личное представление" guid="{27408AF0-22BA-4514-9C63-AEEBDB4CAEAD}" mergeInterval="0" personalView="1" maximized="1" xWindow="1" yWindow="1" windowWidth="1276" windowHeight="740" activeSheetId="3"/>
    <customWorkbookView name="golyshev.mn - Личное представление" guid="{01132C0C-3D01-4D8A-8EA0-B5D52DAFF1EA}" mergeInterval="0" personalView="1" maximized="1" xWindow="1" yWindow="1" windowWidth="1276" windowHeight="713" activeSheetId="2"/>
  </customWorkbookViews>
</workbook>
</file>

<file path=xl/calcChain.xml><?xml version="1.0" encoding="utf-8"?>
<calcChain xmlns="http://schemas.openxmlformats.org/spreadsheetml/2006/main">
  <c r="R47" i="2" l="1"/>
  <c r="P86" i="2" l="1"/>
  <c r="S86" i="2" s="1"/>
  <c r="P85" i="2"/>
  <c r="Q85" i="2" s="1"/>
  <c r="P84" i="2"/>
  <c r="S84" i="2" s="1"/>
  <c r="P83" i="2"/>
  <c r="P82" i="2"/>
  <c r="R82" i="2" s="1"/>
  <c r="P81" i="2"/>
  <c r="P80" i="2"/>
  <c r="R80" i="2" s="1"/>
  <c r="P79" i="2"/>
  <c r="S79" i="2" s="1"/>
  <c r="P78" i="2"/>
  <c r="S78" i="2" s="1"/>
  <c r="P77" i="2"/>
  <c r="S77" i="2" s="1"/>
  <c r="P76" i="2"/>
  <c r="R76" i="2" s="1"/>
  <c r="P75" i="2"/>
  <c r="P74" i="2"/>
  <c r="S74" i="2" s="1"/>
  <c r="P73" i="2"/>
  <c r="P72" i="2"/>
  <c r="Q72" i="2" s="1"/>
  <c r="P71" i="2"/>
  <c r="R71" i="2" s="1"/>
  <c r="P70" i="2"/>
  <c r="S70" i="2" s="1"/>
  <c r="P69" i="2"/>
  <c r="S69" i="2" s="1"/>
  <c r="P67" i="2"/>
  <c r="S67" i="2" s="1"/>
  <c r="P66" i="2"/>
  <c r="R66" i="2" s="1"/>
  <c r="P65" i="2"/>
  <c r="R65" i="2" s="1"/>
  <c r="S51" i="2"/>
  <c r="R51" i="2"/>
  <c r="O51" i="2"/>
  <c r="P51" i="2" s="1"/>
  <c r="Q51" i="2" s="1"/>
  <c r="S47" i="2"/>
  <c r="O47" i="2"/>
  <c r="P47" i="2" s="1"/>
  <c r="S35" i="2"/>
  <c r="R35" i="2"/>
  <c r="O35" i="2"/>
  <c r="P35" i="2" s="1"/>
  <c r="P59" i="2"/>
  <c r="P64" i="2"/>
  <c r="P63" i="2"/>
  <c r="R63" i="2" s="1"/>
  <c r="P62" i="2"/>
  <c r="S62" i="2" s="1"/>
  <c r="P61" i="2"/>
  <c r="S61" i="2" s="1"/>
  <c r="P60" i="2"/>
  <c r="R60" i="2" s="1"/>
  <c r="P58" i="2"/>
  <c r="R58" i="2" s="1"/>
  <c r="P57" i="2"/>
  <c r="P56" i="2"/>
  <c r="R56" i="2" s="1"/>
  <c r="P55" i="2"/>
  <c r="S55" i="2" s="1"/>
  <c r="P52" i="2"/>
  <c r="S52" i="2" s="1"/>
  <c r="P49" i="2"/>
  <c r="Q49" i="2" s="1"/>
  <c r="P48" i="2"/>
  <c r="P46" i="2"/>
  <c r="R46" i="2" s="1"/>
  <c r="P45" i="2"/>
  <c r="S45" i="2" s="1"/>
  <c r="P44" i="2"/>
  <c r="S44" i="2" s="1"/>
  <c r="P43" i="2"/>
  <c r="P42" i="2"/>
  <c r="P41" i="2"/>
  <c r="S41" i="2" s="1"/>
  <c r="P40" i="2"/>
  <c r="S40" i="2" s="1"/>
  <c r="P39" i="2"/>
  <c r="S39" i="2" s="1"/>
  <c r="P38" i="2"/>
  <c r="R38" i="2" s="1"/>
  <c r="P37" i="2"/>
  <c r="S37" i="2" s="1"/>
  <c r="P36" i="2"/>
  <c r="R36" i="2" s="1"/>
  <c r="P34" i="2"/>
  <c r="P33" i="2"/>
  <c r="R33" i="2" s="1"/>
  <c r="P32" i="2"/>
  <c r="R32" i="2" s="1"/>
  <c r="P31" i="2"/>
  <c r="S31" i="2" s="1"/>
  <c r="P30" i="2"/>
  <c r="R30" i="2" s="1"/>
  <c r="P29" i="2"/>
  <c r="R29" i="2" s="1"/>
  <c r="S23" i="2"/>
  <c r="R23" i="2"/>
  <c r="O23" i="2"/>
  <c r="P23" i="2" s="1"/>
  <c r="P28" i="2"/>
  <c r="Q28" i="2" s="1"/>
  <c r="P26" i="2"/>
  <c r="S26" i="2" s="1"/>
  <c r="P25" i="2"/>
  <c r="R25" i="2" s="1"/>
  <c r="P24" i="2"/>
  <c r="S24" i="2" s="1"/>
  <c r="P22" i="2"/>
  <c r="S22" i="2" s="1"/>
  <c r="P21" i="2"/>
  <c r="R21" i="2" s="1"/>
  <c r="P19" i="2"/>
  <c r="Q19" i="2" s="1"/>
  <c r="P18" i="2"/>
  <c r="P17" i="2"/>
  <c r="S17" i="2" s="1"/>
  <c r="P16" i="2"/>
  <c r="S16" i="2" s="1"/>
  <c r="P15" i="2"/>
  <c r="P14" i="2"/>
  <c r="P13" i="2"/>
  <c r="Q13" i="2" s="1"/>
  <c r="P12" i="2"/>
  <c r="R12" i="2" s="1"/>
  <c r="P11" i="2"/>
  <c r="S11" i="2" s="1"/>
  <c r="P10" i="2"/>
  <c r="R10" i="2" s="1"/>
  <c r="P9" i="2"/>
  <c r="S9" i="2" s="1"/>
  <c r="P8" i="2"/>
  <c r="R8" i="2" s="1"/>
  <c r="P7" i="2"/>
  <c r="R7" i="2" s="1"/>
  <c r="P5" i="2"/>
  <c r="R5" i="2" s="1"/>
  <c r="P4" i="2"/>
  <c r="P3" i="2"/>
  <c r="P2" i="2"/>
  <c r="S2" i="2" s="1"/>
  <c r="U5" i="3"/>
  <c r="Z5" i="3"/>
  <c r="AA5" i="3"/>
  <c r="AC5" i="3"/>
  <c r="AE5" i="3"/>
  <c r="AE6" i="3" s="1"/>
  <c r="N6" i="3"/>
  <c r="O6" i="3"/>
  <c r="R6" i="3"/>
  <c r="S6" i="3"/>
  <c r="X6" i="3"/>
  <c r="Y6" i="3"/>
  <c r="AB6" i="3"/>
  <c r="AC6" i="3"/>
  <c r="M7" i="3"/>
  <c r="M6" i="3" s="1"/>
  <c r="N7" i="3"/>
  <c r="O7" i="3"/>
  <c r="P7" i="3"/>
  <c r="P6" i="3" s="1"/>
  <c r="Q7" i="3"/>
  <c r="Q6" i="3" s="1"/>
  <c r="R7" i="3"/>
  <c r="S7" i="3"/>
  <c r="T7" i="3"/>
  <c r="T6" i="3" s="1"/>
  <c r="U7" i="3"/>
  <c r="X7" i="3"/>
  <c r="Y7" i="3"/>
  <c r="Z7" i="3"/>
  <c r="AA7" i="3"/>
  <c r="AA6" i="3" s="1"/>
  <c r="AB7" i="3"/>
  <c r="AC7" i="3"/>
  <c r="AD7" i="3"/>
  <c r="AD6" i="3" s="1"/>
  <c r="AE7" i="3"/>
  <c r="AT7" i="3"/>
  <c r="AH9" i="3"/>
  <c r="AH10" i="3"/>
  <c r="AJ10" i="3" s="1"/>
  <c r="AK10" i="3"/>
  <c r="AL10" i="3"/>
  <c r="AH11" i="3"/>
  <c r="AH12" i="3"/>
  <c r="AJ12" i="3"/>
  <c r="AK12" i="3"/>
  <c r="AL12" i="3" s="1"/>
  <c r="AH13" i="3"/>
  <c r="AH14" i="3"/>
  <c r="AK14" i="3" s="1"/>
  <c r="AL14" i="3" s="1"/>
  <c r="AP14" i="3" s="1"/>
  <c r="AJ14" i="3"/>
  <c r="AH15" i="3"/>
  <c r="AK15" i="3" s="1"/>
  <c r="AL15" i="3"/>
  <c r="AJ15" i="3"/>
  <c r="AH16" i="3"/>
  <c r="AK16" i="3" s="1"/>
  <c r="AL16" i="3"/>
  <c r="AP16" i="3" s="1"/>
  <c r="AO16" i="3"/>
  <c r="AJ16" i="3"/>
  <c r="AH17" i="3"/>
  <c r="AK17" i="3"/>
  <c r="AL17" i="3"/>
  <c r="AN17" i="3" s="1"/>
  <c r="AJ17" i="3"/>
  <c r="AH18" i="3"/>
  <c r="AH19" i="3"/>
  <c r="AK19" i="3" s="1"/>
  <c r="AL19" i="3" s="1"/>
  <c r="AH20" i="3"/>
  <c r="AK20" i="3" s="1"/>
  <c r="AL20" i="3"/>
  <c r="AP20" i="3"/>
  <c r="AJ20" i="3"/>
  <c r="AH21" i="3"/>
  <c r="AK21" i="3" s="1"/>
  <c r="AL21" i="3" s="1"/>
  <c r="AR21" i="3" s="1"/>
  <c r="AJ21" i="3"/>
  <c r="AM21" i="3"/>
  <c r="AQ21" i="3"/>
  <c r="AH22" i="3"/>
  <c r="AJ22" i="3"/>
  <c r="AK22" i="3"/>
  <c r="AL22" i="3" s="1"/>
  <c r="AH23" i="3"/>
  <c r="AH24" i="3"/>
  <c r="AK24" i="3" s="1"/>
  <c r="AL24" i="3" s="1"/>
  <c r="AJ24" i="3"/>
  <c r="AH25" i="3"/>
  <c r="G26" i="3"/>
  <c r="AH27" i="3"/>
  <c r="AJ27" i="3" s="1"/>
  <c r="AK27" i="3"/>
  <c r="AL27" i="3"/>
  <c r="AH28" i="3"/>
  <c r="AH29" i="3"/>
  <c r="AJ29" i="3"/>
  <c r="AK29" i="3"/>
  <c r="AL29" i="3" s="1"/>
  <c r="AH30" i="3"/>
  <c r="AK30" i="3" s="1"/>
  <c r="AL30" i="3" s="1"/>
  <c r="AJ30" i="3"/>
  <c r="AH31" i="3"/>
  <c r="AH33" i="3"/>
  <c r="AH34" i="3"/>
  <c r="AH35" i="3"/>
  <c r="AH36" i="3"/>
  <c r="AK36" i="3" s="1"/>
  <c r="AL36" i="3" s="1"/>
  <c r="AM36" i="3" s="1"/>
  <c r="AJ36" i="3"/>
  <c r="AH37" i="3"/>
  <c r="AK37" i="3" s="1"/>
  <c r="AL37" i="3" s="1"/>
  <c r="AH38" i="3"/>
  <c r="AK38" i="3" s="1"/>
  <c r="AL38" i="3" s="1"/>
  <c r="AP38" i="3" s="1"/>
  <c r="AH39" i="3"/>
  <c r="AH40" i="3"/>
  <c r="AK40" i="3"/>
  <c r="AL40" i="3"/>
  <c r="AH41" i="3"/>
  <c r="AK41" i="3"/>
  <c r="AL41" i="3"/>
  <c r="AJ42" i="3"/>
  <c r="AK42" i="3"/>
  <c r="AL42" i="3"/>
  <c r="AP42" i="3"/>
  <c r="AQ42" i="3"/>
  <c r="AH43" i="3"/>
  <c r="AJ43" i="3"/>
  <c r="AK43" i="3"/>
  <c r="AL43" i="3"/>
  <c r="AH44" i="3"/>
  <c r="AJ44" i="3" s="1"/>
  <c r="AK44" i="3"/>
  <c r="AL44" i="3"/>
  <c r="AN44" i="3"/>
  <c r="J45" i="3"/>
  <c r="AH45" i="3"/>
  <c r="AJ45" i="3"/>
  <c r="AK45" i="3"/>
  <c r="AL45" i="3" s="1"/>
  <c r="AH46" i="3"/>
  <c r="AJ46" i="3"/>
  <c r="AK46" i="3"/>
  <c r="AL46" i="3" s="1"/>
  <c r="AH48" i="3"/>
  <c r="AK48" i="3" s="1"/>
  <c r="AL48" i="3" s="1"/>
  <c r="AJ48" i="3"/>
  <c r="AN48" i="3"/>
  <c r="AH49" i="3"/>
  <c r="AK49" i="3" s="1"/>
  <c r="AL49" i="3" s="1"/>
  <c r="AH51" i="3"/>
  <c r="AH52" i="3"/>
  <c r="AK51" i="3" s="1"/>
  <c r="AL51" i="3" s="1"/>
  <c r="AM52" i="3"/>
  <c r="AP52" i="3"/>
  <c r="AQ52" i="3"/>
  <c r="AH53" i="3"/>
  <c r="AK53" i="3" s="1"/>
  <c r="AL53" i="3" s="1"/>
  <c r="AJ53" i="3"/>
  <c r="AH54" i="3"/>
  <c r="J55" i="3"/>
  <c r="AH55" i="3"/>
  <c r="AK55" i="3"/>
  <c r="AL55" i="3" s="1"/>
  <c r="AH56" i="3"/>
  <c r="AJ55" i="3" s="1"/>
  <c r="AP56" i="3"/>
  <c r="AQ56" i="3"/>
  <c r="AH57" i="3"/>
  <c r="J58" i="3"/>
  <c r="AH58" i="3"/>
  <c r="AH59" i="3"/>
  <c r="AH60" i="3"/>
  <c r="AH61" i="3"/>
  <c r="AH63" i="3"/>
  <c r="AJ63" i="3"/>
  <c r="AK63" i="3"/>
  <c r="AL63" i="3"/>
  <c r="AO63" i="3" s="1"/>
  <c r="AH64" i="3"/>
  <c r="AH65" i="3"/>
  <c r="AH66" i="3"/>
  <c r="J67" i="3"/>
  <c r="AH67" i="3"/>
  <c r="AK67" i="3" s="1"/>
  <c r="AL67" i="3" s="1"/>
  <c r="AJ67" i="3"/>
  <c r="AO67" i="3"/>
  <c r="AH68" i="3"/>
  <c r="J70" i="3"/>
  <c r="AH70" i="3"/>
  <c r="AH71" i="3"/>
  <c r="AH72" i="3"/>
  <c r="J73" i="3"/>
  <c r="AH73" i="3"/>
  <c r="AH74" i="3"/>
  <c r="AH75" i="3"/>
  <c r="J76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W152" i="3"/>
  <c r="X152" i="3"/>
  <c r="Y152" i="3"/>
  <c r="Z152" i="3"/>
  <c r="AA152" i="3"/>
  <c r="AB152" i="3"/>
  <c r="AC152" i="3"/>
  <c r="AD152" i="3"/>
  <c r="AE152" i="3"/>
  <c r="W155" i="3"/>
  <c r="W156" i="3"/>
  <c r="X155" i="3"/>
  <c r="X156" i="3" s="1"/>
  <c r="Y155" i="3"/>
  <c r="Y156" i="3" s="1"/>
  <c r="Z155" i="3"/>
  <c r="Z156" i="3"/>
  <c r="AA155" i="3"/>
  <c r="AB155" i="3"/>
  <c r="AC155" i="3"/>
  <c r="AC156" i="3"/>
  <c r="AD155" i="3"/>
  <c r="AD156" i="3" s="1"/>
  <c r="AA156" i="3"/>
  <c r="AB156" i="3"/>
  <c r="AO36" i="3"/>
  <c r="AQ36" i="3"/>
  <c r="AR30" i="3"/>
  <c r="AM45" i="3"/>
  <c r="AO45" i="3"/>
  <c r="AP45" i="3"/>
  <c r="AR27" i="3"/>
  <c r="AM69" i="3"/>
  <c r="AM67" i="3"/>
  <c r="AN53" i="3"/>
  <c r="AJ35" i="3"/>
  <c r="AK35" i="3"/>
  <c r="AL35" i="3"/>
  <c r="AR35" i="3"/>
  <c r="AJ34" i="3"/>
  <c r="AK34" i="3"/>
  <c r="AL34" i="3"/>
  <c r="AM24" i="3"/>
  <c r="AR14" i="3"/>
  <c r="AJ11" i="3"/>
  <c r="AK11" i="3"/>
  <c r="AL11" i="3"/>
  <c r="AQ11" i="3" s="1"/>
  <c r="AJ49" i="3"/>
  <c r="AP48" i="3"/>
  <c r="AJ41" i="3"/>
  <c r="AJ40" i="3"/>
  <c r="AJ39" i="3"/>
  <c r="AK39" i="3"/>
  <c r="AL39" i="3"/>
  <c r="AJ37" i="3"/>
  <c r="AJ28" i="3"/>
  <c r="AK28" i="3"/>
  <c r="AL28" i="3" s="1"/>
  <c r="AR10" i="3"/>
  <c r="AM10" i="3"/>
  <c r="AM29" i="3"/>
  <c r="AN29" i="3"/>
  <c r="AM16" i="3"/>
  <c r="AR16" i="3"/>
  <c r="AO12" i="3"/>
  <c r="AN12" i="3"/>
  <c r="AP68" i="3"/>
  <c r="AN67" i="3"/>
  <c r="AN49" i="3"/>
  <c r="AO48" i="3"/>
  <c r="AN34" i="3"/>
  <c r="AO34" i="3"/>
  <c r="AM34" i="3"/>
  <c r="AR34" i="3"/>
  <c r="AO39" i="3"/>
  <c r="AM19" i="3"/>
  <c r="AN11" i="3"/>
  <c r="AO11" i="3"/>
  <c r="AM11" i="3"/>
  <c r="AR11" i="3"/>
  <c r="Q77" i="2"/>
  <c r="R70" i="2"/>
  <c r="S38" i="2" l="1"/>
  <c r="R77" i="2"/>
  <c r="R62" i="2"/>
  <c r="Q5" i="2"/>
  <c r="S5" i="2"/>
  <c r="R78" i="2"/>
  <c r="R74" i="2"/>
  <c r="Q70" i="2"/>
  <c r="R41" i="2"/>
  <c r="AM28" i="3"/>
  <c r="AQ28" i="3"/>
  <c r="AN28" i="3"/>
  <c r="AO28" i="3"/>
  <c r="AR28" i="3"/>
  <c r="AO55" i="3"/>
  <c r="AQ55" i="3"/>
  <c r="AP43" i="3"/>
  <c r="AN43" i="3"/>
  <c r="AO43" i="3"/>
  <c r="AM40" i="3"/>
  <c r="AO40" i="3"/>
  <c r="AQ40" i="3"/>
  <c r="AN40" i="3"/>
  <c r="AP49" i="3"/>
  <c r="AM49" i="3"/>
  <c r="AO49" i="3"/>
  <c r="AO46" i="3"/>
  <c r="AP46" i="3"/>
  <c r="AN46" i="3"/>
  <c r="AQ46" i="3"/>
  <c r="AM44" i="3"/>
  <c r="AP44" i="3"/>
  <c r="AO44" i="3"/>
  <c r="AQ44" i="3"/>
  <c r="AR41" i="3"/>
  <c r="AM41" i="3"/>
  <c r="AQ41" i="3"/>
  <c r="AP41" i="3"/>
  <c r="AM37" i="3"/>
  <c r="AO37" i="3"/>
  <c r="AN37" i="3"/>
  <c r="AK23" i="3"/>
  <c r="AL23" i="3" s="1"/>
  <c r="AJ23" i="3"/>
  <c r="AN19" i="3"/>
  <c r="AO19" i="3"/>
  <c r="AK9" i="3"/>
  <c r="AL9" i="3" s="1"/>
  <c r="AJ9" i="3"/>
  <c r="AQ43" i="3"/>
  <c r="AJ38" i="3"/>
  <c r="AK33" i="3"/>
  <c r="AL33" i="3" s="1"/>
  <c r="AJ33" i="3"/>
  <c r="AO29" i="3"/>
  <c r="AQ29" i="3"/>
  <c r="AP27" i="3"/>
  <c r="AM27" i="3"/>
  <c r="AK25" i="3"/>
  <c r="AL25" i="3" s="1"/>
  <c r="AJ25" i="3"/>
  <c r="AP22" i="3"/>
  <c r="AR22" i="3"/>
  <c r="AO22" i="3"/>
  <c r="AM22" i="3"/>
  <c r="AJ65" i="3"/>
  <c r="AK65" i="3"/>
  <c r="AL65" i="3" s="1"/>
  <c r="AM38" i="3"/>
  <c r="AO38" i="3"/>
  <c r="AN38" i="3"/>
  <c r="AK13" i="3"/>
  <c r="AL13" i="3" s="1"/>
  <c r="AJ13" i="3"/>
  <c r="AQ37" i="3"/>
  <c r="AM43" i="3"/>
  <c r="AJ19" i="3"/>
  <c r="AJ70" i="3"/>
  <c r="AK70" i="3"/>
  <c r="AL70" i="3" s="1"/>
  <c r="AM53" i="3"/>
  <c r="AO53" i="3"/>
  <c r="AP53" i="3"/>
  <c r="AP51" i="3"/>
  <c r="AO51" i="3"/>
  <c r="AK31" i="3"/>
  <c r="AL31" i="3" s="1"/>
  <c r="AM31" i="3" s="1"/>
  <c r="AJ31" i="3"/>
  <c r="AM39" i="3"/>
  <c r="AP39" i="3"/>
  <c r="AP69" i="3"/>
  <c r="AP67" i="3"/>
  <c r="AO68" i="3"/>
  <c r="AO69" i="3"/>
  <c r="AK54" i="3"/>
  <c r="AL54" i="3" s="1"/>
  <c r="AQ54" i="3" s="1"/>
  <c r="AJ54" i="3"/>
  <c r="AO42" i="3"/>
  <c r="AM42" i="3"/>
  <c r="AP24" i="3"/>
  <c r="AR24" i="3"/>
  <c r="AO20" i="3"/>
  <c r="AM20" i="3"/>
  <c r="AK18" i="3"/>
  <c r="AL18" i="3" s="1"/>
  <c r="AJ18" i="3"/>
  <c r="U6" i="3"/>
  <c r="AF5" i="3"/>
  <c r="AR15" i="3"/>
  <c r="AM15" i="3"/>
  <c r="AQ12" i="3"/>
  <c r="AR12" i="3"/>
  <c r="AM12" i="3"/>
  <c r="AP15" i="3"/>
  <c r="AM14" i="3"/>
  <c r="AO15" i="3"/>
  <c r="AK57" i="3"/>
  <c r="AL57" i="3" s="1"/>
  <c r="AJ57" i="3"/>
  <c r="AJ51" i="3"/>
  <c r="AR48" i="3"/>
  <c r="AM48" i="3"/>
  <c r="AN45" i="3"/>
  <c r="AQ45" i="3"/>
  <c r="AQ30" i="3"/>
  <c r="AM30" i="3"/>
  <c r="AO17" i="3"/>
  <c r="AO14" i="3"/>
  <c r="Z6" i="3"/>
  <c r="AF6" i="3" s="1"/>
  <c r="AF7" i="3"/>
  <c r="S63" i="2"/>
  <c r="R2" i="2"/>
  <c r="S58" i="2"/>
  <c r="S29" i="2"/>
  <c r="S32" i="2"/>
  <c r="Q52" i="2"/>
  <c r="S46" i="2"/>
  <c r="S33" i="2"/>
  <c r="Q63" i="2"/>
  <c r="R45" i="2"/>
  <c r="Q74" i="2"/>
  <c r="R52" i="2"/>
  <c r="S56" i="2"/>
  <c r="R61" i="2"/>
  <c r="Q84" i="2"/>
  <c r="Q56" i="2"/>
  <c r="R11" i="2"/>
  <c r="S25" i="2"/>
  <c r="R40" i="2"/>
  <c r="Q40" i="2"/>
  <c r="S59" i="2"/>
  <c r="R59" i="2"/>
  <c r="S80" i="2"/>
  <c r="Q80" i="2"/>
  <c r="S14" i="2"/>
  <c r="R14" i="2"/>
  <c r="Q21" i="2"/>
  <c r="R34" i="2"/>
  <c r="S34" i="2"/>
  <c r="S75" i="2"/>
  <c r="Q75" i="2"/>
  <c r="R75" i="2"/>
  <c r="S83" i="2"/>
  <c r="Q83" i="2"/>
  <c r="R79" i="2"/>
  <c r="Q78" i="2"/>
  <c r="Q61" i="2"/>
  <c r="S76" i="2"/>
  <c r="S36" i="2"/>
  <c r="R84" i="2"/>
  <c r="R31" i="2"/>
  <c r="R49" i="2"/>
  <c r="S49" i="2"/>
  <c r="S7" i="2"/>
  <c r="R67" i="2"/>
  <c r="Q67" i="2"/>
  <c r="S43" i="2"/>
  <c r="R43" i="2"/>
  <c r="Q14" i="2"/>
  <c r="S4" i="2"/>
  <c r="R4" i="2"/>
  <c r="R15" i="2"/>
  <c r="S15" i="2"/>
  <c r="R19" i="2"/>
  <c r="S19" i="2"/>
  <c r="Q31" i="2"/>
  <c r="S72" i="2"/>
  <c r="R72" i="2"/>
  <c r="Q29" i="2"/>
  <c r="Q45" i="2"/>
  <c r="Q15" i="2"/>
  <c r="S8" i="2"/>
  <c r="R13" i="2"/>
  <c r="S13" i="2"/>
  <c r="Q7" i="2"/>
  <c r="S21" i="2"/>
  <c r="R26" i="2"/>
  <c r="R16" i="2"/>
  <c r="S12" i="2"/>
  <c r="R9" i="2"/>
  <c r="Q26" i="2"/>
  <c r="Q86" i="2"/>
  <c r="R86" i="2"/>
  <c r="S48" i="2"/>
  <c r="R48" i="2"/>
  <c r="S65" i="2"/>
  <c r="S64" i="2"/>
  <c r="R64" i="2"/>
  <c r="Q64" i="2"/>
  <c r="R69" i="2"/>
  <c r="Q69" i="2"/>
  <c r="S81" i="2"/>
  <c r="R81" i="2"/>
  <c r="Q65" i="2"/>
  <c r="Q41" i="2"/>
  <c r="R37" i="2"/>
  <c r="R17" i="2"/>
  <c r="R22" i="2"/>
  <c r="Q36" i="2"/>
  <c r="Q17" i="2"/>
  <c r="Q9" i="2"/>
  <c r="S30" i="2"/>
  <c r="S28" i="2"/>
  <c r="R28" i="2"/>
  <c r="Q81" i="2"/>
  <c r="Q43" i="2"/>
  <c r="S10" i="2"/>
  <c r="Q42" i="2"/>
  <c r="S42" i="2"/>
  <c r="S73" i="2"/>
  <c r="R73" i="2"/>
  <c r="S82" i="2"/>
  <c r="Q82" i="2"/>
  <c r="R42" i="2"/>
  <c r="Q73" i="2"/>
  <c r="Q38" i="2"/>
  <c r="R39" i="2"/>
  <c r="Q66" i="2"/>
  <c r="S66" i="2"/>
  <c r="R55" i="2"/>
  <c r="Q55" i="2"/>
  <c r="R3" i="2"/>
  <c r="Q2" i="2"/>
  <c r="S3" i="2"/>
  <c r="S18" i="2"/>
  <c r="R18" i="2"/>
  <c r="R57" i="2"/>
  <c r="S57" i="2"/>
  <c r="R24" i="2"/>
  <c r="Q18" i="2"/>
  <c r="Q57" i="2"/>
  <c r="R44" i="2"/>
  <c r="R83" i="2"/>
  <c r="S60" i="2"/>
  <c r="Q58" i="2"/>
  <c r="Q71" i="2"/>
  <c r="S71" i="2"/>
  <c r="S85" i="2"/>
  <c r="R85" i="2"/>
  <c r="AQ57" i="3" l="1"/>
  <c r="AP57" i="3"/>
  <c r="AM57" i="3"/>
  <c r="AO57" i="3"/>
  <c r="AN13" i="3"/>
  <c r="AQ13" i="3"/>
  <c r="AM13" i="3"/>
  <c r="AO13" i="3"/>
  <c r="AR13" i="3"/>
  <c r="AR7" i="3" s="1"/>
  <c r="AP65" i="3"/>
  <c r="AM65" i="3"/>
  <c r="AN65" i="3"/>
  <c r="AR65" i="3"/>
  <c r="AO65" i="3"/>
  <c r="AO25" i="3"/>
  <c r="AR25" i="3"/>
  <c r="AM25" i="3"/>
  <c r="AP25" i="3"/>
  <c r="AO18" i="3"/>
  <c r="AM18" i="3"/>
  <c r="AN18" i="3"/>
  <c r="AQ72" i="3"/>
  <c r="AP72" i="3"/>
  <c r="AP70" i="3"/>
  <c r="AP71" i="3"/>
  <c r="AN72" i="3"/>
  <c r="AO72" i="3"/>
  <c r="AO70" i="3"/>
  <c r="AO33" i="3"/>
  <c r="AM33" i="3"/>
  <c r="AP33" i="3"/>
  <c r="AO9" i="3"/>
  <c r="AN9" i="3"/>
  <c r="AN7" i="3" s="1"/>
  <c r="AQ9" i="3"/>
  <c r="AM9" i="3"/>
  <c r="AS9" i="3"/>
  <c r="AS7" i="3" s="1"/>
  <c r="AM23" i="3"/>
  <c r="AP23" i="3"/>
  <c r="AP7" i="3" s="1"/>
  <c r="AR23" i="3"/>
  <c r="AO23" i="3"/>
  <c r="AO7" i="3" l="1"/>
  <c r="AM7" i="3"/>
  <c r="AQ7" i="3"/>
</calcChain>
</file>

<file path=xl/comments1.xml><?xml version="1.0" encoding="utf-8"?>
<comments xmlns="http://schemas.openxmlformats.org/spreadsheetml/2006/main">
  <authors>
    <author>soloviev.ma</author>
  </authors>
  <commentList>
    <comment ref="O61" authorId="0">
      <text>
        <r>
          <rPr>
            <b/>
            <sz val="9"/>
            <color indexed="81"/>
            <rFont val="Tahoma"/>
            <family val="2"/>
            <charset val="204"/>
          </rPr>
          <t>soloviev.ma:</t>
        </r>
        <r>
          <rPr>
            <sz val="9"/>
            <color indexed="81"/>
            <rFont val="Tahoma"/>
            <family val="2"/>
            <charset val="204"/>
          </rPr>
          <t xml:space="preserve">
было 100 (ТЗ 27 Р)</t>
        </r>
      </text>
    </comment>
    <comment ref="Q61" authorId="0">
      <text>
        <r>
          <rPr>
            <b/>
            <sz val="9"/>
            <color indexed="81"/>
            <rFont val="Tahoma"/>
            <family val="2"/>
            <charset val="204"/>
          </rPr>
          <t>soloviev.ma:</t>
        </r>
        <r>
          <rPr>
            <sz val="9"/>
            <color indexed="81"/>
            <rFont val="Tahoma"/>
            <family val="2"/>
            <charset val="204"/>
          </rPr>
          <t xml:space="preserve">
было 2173,1 (ТЗ 27 Р)</t>
        </r>
      </text>
    </comment>
  </commentList>
</comments>
</file>

<file path=xl/sharedStrings.xml><?xml version="1.0" encoding="utf-8"?>
<sst xmlns="http://schemas.openxmlformats.org/spreadsheetml/2006/main" count="1023" uniqueCount="496">
  <si>
    <t>Регион</t>
  </si>
  <si>
    <t>Месяц исполнения по договору ТП</t>
  </si>
  <si>
    <t>№ п/п</t>
  </si>
  <si>
    <t>Наименование заявителя по договору тех. присоединения</t>
  </si>
  <si>
    <t>Наименование присоединяемого объекта</t>
  </si>
  <si>
    <t>Реквизиты договора тех. присоединения</t>
  </si>
  <si>
    <t>Присоединяемая мощность, кВт</t>
  </si>
  <si>
    <t>Дата исполнения обязательств по договору ТП</t>
  </si>
  <si>
    <t>Ед. изм. закупаемой продукции</t>
  </si>
  <si>
    <t>Количество</t>
  </si>
  <si>
    <t>Дата ввода объекта в эксплуатацию</t>
  </si>
  <si>
    <t>Пояснения</t>
  </si>
  <si>
    <t>шт.</t>
  </si>
  <si>
    <t>км.</t>
  </si>
  <si>
    <t>крас</t>
  </si>
  <si>
    <t>нер</t>
  </si>
  <si>
    <t>кост</t>
  </si>
  <si>
    <t>к</t>
  </si>
  <si>
    <t>с</t>
  </si>
  <si>
    <t>проект</t>
  </si>
  <si>
    <t>№
 ЛОТА</t>
  </si>
  <si>
    <t>волг</t>
  </si>
  <si>
    <t>Расшифровка перечня работ</t>
  </si>
  <si>
    <t>формирование
 лотов</t>
  </si>
  <si>
    <t>Цена за ед-цу, тыс. руб.</t>
  </si>
  <si>
    <t>Предельная цена работ, тыс. руб.</t>
  </si>
  <si>
    <t>Сметная стоимость объекта, тыс. руб.</t>
  </si>
  <si>
    <t>текущие цены</t>
  </si>
  <si>
    <t>№ закупки в ГКПЗ</t>
  </si>
  <si>
    <t>122/2012-П(Ц)</t>
  </si>
  <si>
    <t>112/2012-П(Г,Н,Ш)</t>
  </si>
  <si>
    <t>№ ТЗ</t>
  </si>
  <si>
    <t>113/2012-П(Ц)</t>
  </si>
  <si>
    <t>114/2012-П(Ц)</t>
  </si>
  <si>
    <t>115/2012-П(Ц)</t>
  </si>
  <si>
    <t>116/2012-П(Ц)</t>
  </si>
  <si>
    <t>117/2012-П(Ц)</t>
  </si>
  <si>
    <t>118/2012-П(Ц)</t>
  </si>
  <si>
    <t>119/2012-П(Ц)</t>
  </si>
  <si>
    <t>120/2012-П(Ц)</t>
  </si>
  <si>
    <t>121/2012-П(Ц)</t>
  </si>
  <si>
    <t>123/2012-П(Ц)</t>
  </si>
  <si>
    <t>125 Р/2012-П(Ц)</t>
  </si>
  <si>
    <t>Состояние ТЗ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</si>
  <si>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</si>
  <si>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</si>
  <si>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</si>
  <si>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</si>
  <si>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</si>
  <si>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</si>
  <si>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</si>
  <si>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</si>
  <si>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</si>
  <si>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</si>
  <si>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17</t>
  </si>
  <si>
    <t>18</t>
  </si>
  <si>
    <t>1 реконстр.</t>
  </si>
  <si>
    <t>1 квартал 2013 г</t>
  </si>
  <si>
    <t>РЕЗЕРВ</t>
  </si>
  <si>
    <t>строки ИПР 2013</t>
  </si>
  <si>
    <t>стр-во ВЛИ-6/10 кВ</t>
  </si>
  <si>
    <t>стр-во ТП</t>
  </si>
  <si>
    <t>стр-во КЛ-6/10 кВ</t>
  </si>
  <si>
    <t>рек-ия 
ВЛ-0,4 кВ</t>
  </si>
  <si>
    <t>рек-ия ТП</t>
  </si>
  <si>
    <t>рек-ия 
ВЛ-10 кВ</t>
  </si>
  <si>
    <t>рек-ия 
КЛ-6/10 кВ</t>
  </si>
  <si>
    <t>стр-во 
ВЛЭП-0,4 кВ</t>
  </si>
  <si>
    <t>согласовано</t>
  </si>
  <si>
    <t>127/2012-П(Г)</t>
  </si>
  <si>
    <t>126/2012-ПИР(Ц)</t>
  </si>
  <si>
    <t>128/2012-П(Ц)</t>
  </si>
  <si>
    <t>129/2012-П(Ц)</t>
  </si>
  <si>
    <t>136/2012-П(Ц)</t>
  </si>
  <si>
    <t>138/2012-П(Ц)</t>
  </si>
  <si>
    <t>137/2012-П(Ц)</t>
  </si>
  <si>
    <t>134/2012-П(Ц)</t>
  </si>
  <si>
    <t>135/2012-П(Ц)</t>
  </si>
  <si>
    <t>2 квартал</t>
  </si>
  <si>
    <t>133/2012-П(Ц)</t>
  </si>
  <si>
    <t>139/2012-П(Ц)</t>
  </si>
  <si>
    <t>140 Р/2012-П(Ц)</t>
  </si>
  <si>
    <t>141/2012-П(Ц)</t>
  </si>
  <si>
    <t>2 реконструкция</t>
  </si>
  <si>
    <t>8 реконструкция</t>
  </si>
  <si>
    <t>4 реконструкция</t>
  </si>
  <si>
    <t>146 Р/2012-П(Ц)</t>
  </si>
  <si>
    <t>147/2012-П(Ц)</t>
  </si>
  <si>
    <t>148/2012-П(Ц)</t>
  </si>
  <si>
    <t>149/2012-П(Ц)</t>
  </si>
  <si>
    <t>150/2012-П(Ц)</t>
  </si>
  <si>
    <t>5 реконструкция</t>
  </si>
  <si>
    <t>145 Р/2012-П(Ц)</t>
  </si>
  <si>
    <t>3 реконструкция</t>
  </si>
  <si>
    <t>ЗАЛОЖЕНО</t>
  </si>
  <si>
    <t>СОГЛАСОВАНО</t>
  </si>
  <si>
    <t>3 квартал</t>
  </si>
  <si>
    <t>4 квартал</t>
  </si>
  <si>
    <t>дата передачи в УЛиМТО</t>
  </si>
  <si>
    <t>дата согласования
с ДИ МРСК</t>
  </si>
  <si>
    <t>159/2012-П(Ц)</t>
  </si>
  <si>
    <t>156/2012-П(Ц)</t>
  </si>
  <si>
    <t>158/2012-П(Ц)</t>
  </si>
  <si>
    <t>160/2012-П(Ц)</t>
  </si>
  <si>
    <t>111/2012-П(Ц)</t>
  </si>
  <si>
    <t>1/2013-П(Ц)</t>
  </si>
  <si>
    <t>2 Р/2013-П(Ц)</t>
  </si>
  <si>
    <t>3/2013-П(Ц)</t>
  </si>
  <si>
    <t>сумма закупки в плане</t>
  </si>
  <si>
    <t>неиспользуемый остаток</t>
  </si>
  <si>
    <t>5/2013-П(Ц)</t>
  </si>
  <si>
    <t>7 Р</t>
  </si>
  <si>
    <t>6/2013-П(Ц)</t>
  </si>
  <si>
    <t>8 Р/2013-П(Ц)</t>
  </si>
  <si>
    <t>9 реконструкция</t>
  </si>
  <si>
    <t>13/2013-П(Ц)</t>
  </si>
  <si>
    <t>14 Р/2013-П(Ц)</t>
  </si>
  <si>
    <t>12 Р/2013-П(Ц)</t>
  </si>
  <si>
    <t>10/2013-П(Ц)</t>
  </si>
  <si>
    <t>6 Р</t>
  </si>
  <si>
    <t>10 Р</t>
  </si>
  <si>
    <t>11 Р</t>
  </si>
  <si>
    <t>17/2013-П(Ц)</t>
  </si>
  <si>
    <t>19/2013-П(Ц)</t>
  </si>
  <si>
    <t>22/2013-П(Ц)</t>
  </si>
  <si>
    <t>23/2013-П(Ц)</t>
  </si>
  <si>
    <t>24/2013-П(Ц)</t>
  </si>
  <si>
    <t>26/2013-П(Ц)</t>
  </si>
  <si>
    <t>28 Р/2013-П(Ц)</t>
  </si>
  <si>
    <t>27 Р/2013-П(Ц)</t>
  </si>
  <si>
    <t>29/2013-П(Ц)</t>
  </si>
  <si>
    <t>33/2013-П(Ц)</t>
  </si>
  <si>
    <t>34/2013-П(Ц)</t>
  </si>
  <si>
    <t>Остатки на 14.03.2013</t>
  </si>
  <si>
    <t>ИТОГИ ДО 
14.03.2013</t>
  </si>
  <si>
    <t>35/2013-П(Ц)</t>
  </si>
  <si>
    <t>39/2013-П(Ц)</t>
  </si>
  <si>
    <t>744
(776)</t>
  </si>
  <si>
    <t>734
(656)</t>
  </si>
  <si>
    <t>749
(674)</t>
  </si>
  <si>
    <t>757
(775)</t>
  </si>
  <si>
    <t>768
(777)</t>
  </si>
  <si>
    <t>770
(680)</t>
  </si>
  <si>
    <t>794
(683)</t>
  </si>
  <si>
    <t>795
(778)</t>
  </si>
  <si>
    <t>40/2013-П(Ц)</t>
  </si>
  <si>
    <t>41/2013-П(Ц)</t>
  </si>
  <si>
    <t>44/2013-П(Ц)</t>
  </si>
  <si>
    <t>47/2013-П(Ц)</t>
  </si>
  <si>
    <t>49/2013-П(Ц)</t>
  </si>
  <si>
    <t>50/2013-П(Ц)</t>
  </si>
  <si>
    <t>15.042013</t>
  </si>
  <si>
    <t>51/2013-П(Ц)</t>
  </si>
  <si>
    <t>53/2013-П(Ц)</t>
  </si>
  <si>
    <t>55/2013-П(Ц)</t>
  </si>
  <si>
    <t>56/2013-П(Ц)</t>
  </si>
  <si>
    <t>57/2013-П(Ц)</t>
  </si>
  <si>
    <t>экономия по строкам</t>
  </si>
  <si>
    <t>согласованная стоимость ТЗ</t>
  </si>
  <si>
    <t>стоимость по итогам торгов</t>
  </si>
  <si>
    <t>падение</t>
  </si>
  <si>
    <t>58/2013-П(Ц)</t>
  </si>
  <si>
    <t>экономия</t>
  </si>
  <si>
    <t>61/2013-П(Ц)</t>
  </si>
  <si>
    <t>63/2013-П(Ц)</t>
  </si>
  <si>
    <t>62/2013-П(Ц)</t>
  </si>
  <si>
    <t>65/2013-П(Ц)</t>
  </si>
  <si>
    <t>67/2013-П(Ц)</t>
  </si>
  <si>
    <t>68/2013-П(Ц)</t>
  </si>
  <si>
    <t>остр</t>
  </si>
  <si>
    <t>ш</t>
  </si>
  <si>
    <t>г</t>
  </si>
  <si>
    <t>69/2013-П(Ц)</t>
  </si>
  <si>
    <t>70/2013-П(Ц)</t>
  </si>
  <si>
    <t>71/2013-П(Ц)</t>
  </si>
  <si>
    <t>72/2013-П(Ц)</t>
  </si>
  <si>
    <t>73/2013-П(Ц)</t>
  </si>
  <si>
    <t>р</t>
  </si>
  <si>
    <t>77/2013-П(Ц)</t>
  </si>
  <si>
    <t>79/2013-П(Ц)</t>
  </si>
  <si>
    <t>80/2013-П(Ц)</t>
  </si>
  <si>
    <t>81/2013-П(Ц)</t>
  </si>
  <si>
    <t>82/2013-П(Ц)</t>
  </si>
  <si>
    <t>78/2013-П(Ц)</t>
  </si>
  <si>
    <t>84/2013-П(Ц)</t>
  </si>
  <si>
    <t>85/2013-П(Ц)</t>
  </si>
  <si>
    <t>86/2013-П(Ц)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</si>
  <si>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</si>
  <si>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</si>
  <si>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</si>
  <si>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87/2013-П(Ц)</t>
  </si>
  <si>
    <t>89/2013-П(Ц)</t>
  </si>
  <si>
    <t>90/2013-П(Ц)</t>
  </si>
  <si>
    <t>88/2013-П(Ц)</t>
  </si>
  <si>
    <t>91/2013-П(Ц)</t>
  </si>
  <si>
    <t>92/2013-П(Ц)</t>
  </si>
  <si>
    <t>93/2013-П(Ц)</t>
  </si>
  <si>
    <t>94/2013-П(Ц)</t>
  </si>
  <si>
    <t>95/2013-П(Ц)</t>
  </si>
  <si>
    <t>96/2013-П(Ц)</t>
  </si>
  <si>
    <t>97/2013-П(Ц)</t>
  </si>
  <si>
    <t>98/2013-П(Ц)</t>
  </si>
  <si>
    <t>ОАО "Строймеханизация"</t>
  </si>
  <si>
    <t>99/2013-П(Ц)</t>
  </si>
  <si>
    <t>100/2013-П(Ц)</t>
  </si>
  <si>
    <t>101/2013-П(Ц)</t>
  </si>
  <si>
    <t>102/2013-П(Ц)</t>
  </si>
  <si>
    <t>103/2013-П(Ц)</t>
  </si>
  <si>
    <t>104/2013-П(Ц)</t>
  </si>
  <si>
    <t>105/2013-П(Ц)</t>
  </si>
  <si>
    <t>106/2013-П(Ц)</t>
  </si>
  <si>
    <t>107/2013-П(Ц)</t>
  </si>
  <si>
    <t>108/2013-П(Ц)</t>
  </si>
  <si>
    <t>Номер договора ТП в SAP</t>
  </si>
  <si>
    <t>109/2013-П(Ц)</t>
  </si>
  <si>
    <t>110/2013-П(Ц)</t>
  </si>
  <si>
    <t>111/2013-П(Ц)</t>
  </si>
  <si>
    <t>112/2013-П(Ц)</t>
  </si>
  <si>
    <t>113/2013-П(Ц)</t>
  </si>
  <si>
    <t>114/2013-П(Ц)</t>
  </si>
  <si>
    <t>стр-во 
КЛЭП-0,4 кВ</t>
  </si>
  <si>
    <t>115/2013-П(Ц)</t>
  </si>
  <si>
    <t>116/2013-П(Ц)</t>
  </si>
  <si>
    <t>117/2013-П(Ц)</t>
  </si>
  <si>
    <t>ООО "Недра"</t>
  </si>
  <si>
    <t>119/2013-П(Ц)</t>
  </si>
  <si>
    <t>120/2013-П(Ц)</t>
  </si>
  <si>
    <t>118/2013-ПИР(Ц)</t>
  </si>
  <si>
    <t>122/2013-П(Ц)</t>
  </si>
  <si>
    <t>121/2013-П(Ц)</t>
  </si>
  <si>
    <t>124/2013-П(Ц)</t>
  </si>
  <si>
    <t>125/2013-П(Ц)</t>
  </si>
  <si>
    <t>123/2013-ПИР(Ц)</t>
  </si>
  <si>
    <t>126/2013-П(Ц)</t>
  </si>
  <si>
    <t>127/2013-П(Ц)</t>
  </si>
  <si>
    <t>128/2013-П(Ц)</t>
  </si>
  <si>
    <t>Остаток</t>
  </si>
  <si>
    <t>129/2013-П(Ц)</t>
  </si>
  <si>
    <t>130/2013-П(Ц)</t>
  </si>
  <si>
    <t>131/2013-П(Ц)</t>
  </si>
  <si>
    <t>Строительство ВЛИ-0,4 кВ от ближайшей опоры ВЛИ-0,4 кВ ТП № 140 ПС-110/35/6 кВ «СУ ГРЭС», ф. 625 до дома заявителя с выполнением монтажа н/в ввода.</t>
  </si>
  <si>
    <t>1545-Ц/1(3)-ТП(2014)И</t>
  </si>
  <si>
    <t>Захарова Татьяна Николаевна</t>
  </si>
  <si>
    <t>жилой дом Костромской р-н, д.Горки, д.19</t>
  </si>
  <si>
    <t>1583-Ц/1(3)-ТП(2014)И</t>
  </si>
  <si>
    <t>Ковригин Аркадий Леонидович</t>
  </si>
  <si>
    <t>садовый дом, г.Кострома, пос.Козелино, с/т "Волжанка", участок №89</t>
  </si>
  <si>
    <t>Монтаж ответвления ВЛИ-0,4 кВ к вводу от опоры № 20 ВЛ-0,4 кВ, ф.2 ТП № 58 до наружной стены жилого дома.</t>
  </si>
  <si>
    <t>1180-Г/1(3)-ТП(2014)И</t>
  </si>
  <si>
    <t>Рогозянский Андрей Брониславович</t>
  </si>
  <si>
    <t>1308-Ц/1(3)-ТП(2014)И</t>
  </si>
  <si>
    <t>Самотаев Андрей Евгеньевич</t>
  </si>
  <si>
    <t>гаражный бокс№34, г. Кострома, бульв. Петрковский, ГСК №105, лит. А, линия VII, гаражный бокс №34</t>
  </si>
  <si>
    <t>1376-Ц/1(3)-ТП(2014)И</t>
  </si>
  <si>
    <t>Ткаченко Людмила Михайловна</t>
  </si>
  <si>
    <t>гаражный бокс №21, г. Кострома, ул. Юрия Смирнова, ГК №121</t>
  </si>
  <si>
    <t>1380-Ц/1(3)-ТП(2014)И</t>
  </si>
  <si>
    <t>Егоров Сергей Викторович</t>
  </si>
  <si>
    <t>1466-Г/1(3)-ТП(2014)И</t>
  </si>
  <si>
    <t>Калинина Светлана Викторовна</t>
  </si>
  <si>
    <t>Здание магазина , Буйский район, гпп. Чистые Боры, ул.Мира, д.10в</t>
  </si>
  <si>
    <t>1502-Ц/1(3)-ТП(2014)И</t>
  </si>
  <si>
    <t>Семенов Вячеслав Геннадьевич</t>
  </si>
  <si>
    <t>садовый дом г Волгореченск С/Т Водник участок 94</t>
  </si>
  <si>
    <t>1527-Ц/1(3)-ТП(2014)И</t>
  </si>
  <si>
    <t>Щур Надежда Геннадьевна</t>
  </si>
  <si>
    <t>индивидуальный жилой дом (строительство) Костромской р-он, Чернопенское с/п, д. Асташево, ул. Приволжская, в 25 м на юго-восток от д.№22</t>
  </si>
  <si>
    <t>1533-Ц/1(3)-ТП(2014)И</t>
  </si>
  <si>
    <t>Бахарева Ирина Александровна</t>
  </si>
  <si>
    <t>индивидуальный жилой дом (строительство) Костромской р-н, Шунгенское с/п, д.Стрельниково, ул.Замолодинская, в 15 м на северо-запад от д.1</t>
  </si>
  <si>
    <t>1534-Ц/1(3)-ТП(2014)И</t>
  </si>
  <si>
    <t>Сотова Наталья Борисовна</t>
  </si>
  <si>
    <t>индивидуальный жилой дом (строительство) Костромской р-н, Шунгенское с/п, д.Стрельниково, ул.Замолодинская, в 40 м на северо-запад от д.1</t>
  </si>
  <si>
    <t>1608-Ш/3(3)-ТП(2014)И</t>
  </si>
  <si>
    <t>ООО СК "НеоСтрой"</t>
  </si>
  <si>
    <t>Многоквартирный жилой дом №11 по ГП (строительство), Пыщугский р-н, с.Пыщуг, м/р-н Юго-Западный</t>
  </si>
  <si>
    <t>1609-Ш/3(3)-ТП(2014)И</t>
  </si>
  <si>
    <t>Многоквартирный жилой дом №9 по ГП (строительство), Пыщугский р-н, с.Пыщуг, м/р-н Юго-Западный</t>
  </si>
  <si>
    <t>Кузьмичев Алексей Евгеньевич</t>
  </si>
  <si>
    <t>садовый дом, , г. Волгореченск, садоводческое товарищество «Лесное», участок № 58.</t>
  </si>
  <si>
    <t>Чикинев Борис Николаевич</t>
  </si>
  <si>
    <t>гаражный бокс, г. Волгореченск, квартал № 26, гаражный бокс № 5.</t>
  </si>
  <si>
    <t xml:space="preserve">Замена существующих проводов А-25 на провода СИП сечением не менее 70 мм2 от РУ-0,4 кВ ТП №481 ф.10-03 ПС-110/35/10 кВ «Орехово» </t>
  </si>
  <si>
    <t>Монтаж ответвления ВЛИ-0,4 кВ к вводу от опоры № 32 ВЛ-0,4 кВ ф. Княжево ТП №481 до наружной стены жилого дома без разрыва.</t>
  </si>
  <si>
    <t>жилой дом, 
Галичский р-н, д. Кожухово, д.15</t>
  </si>
  <si>
    <t>Строительство ВЛИ-0,4 кВ от РУ-0,4 кВ ТП № 248 ПС 220/110/35/6 кВ «Кострома 2» до РЩ-0,4 кВ.</t>
  </si>
  <si>
    <t>Монтаж РЩ-0,4 кВ на 6 групп, с присоединением его от ВЛИ-0,4 кВ</t>
  </si>
  <si>
    <t>Установка дополнительного линейного коммутационного аппарата в РУ-0,4 кВ ТП №248.</t>
  </si>
  <si>
    <t>Монтаж ответвления ВЛИ-0,4 кВ от РЩ-0,4 кВ до наружной стены гаражного бокса №34.</t>
  </si>
  <si>
    <t>гараж, 
г. Кострома, ул. Ново-Полянская, в районе дома 11</t>
  </si>
  <si>
    <t>Строительство ВЛИ-0,4 кВ от опоры ВЛ-0,4 кВ ТП № 303 8. ПС-110/6 кВ «Северная» с выполнением монтажа н/в ввода.</t>
  </si>
  <si>
    <t>Строительство ВЛИ-0,4 кВ от опоры № 10-2 ВЛ-0,4 кВ, ф.2 ТП № 298 ПС-35/10 кВ «Сухоногово», ф. 10-01 до жилого дома с выполнением монтажа н/в ввода.</t>
  </si>
  <si>
    <t>Строительство ВЛИ-0,4 кВ от опоры № 30 ВЛ-0,4 кВ, ф.2 ТП № 657 ПС-110/35/6 кВ «Кострома-3», ф. 670 до жилого дома с выполнением монтажа н/в вводов.</t>
  </si>
  <si>
    <t>Строительство ВЛИ-0,4 кВ от РУ-0,4 кВ трансформаторной подстанции ТП-10/0,4 кВ.</t>
  </si>
  <si>
    <t xml:space="preserve"> Реконструкция опоры   №58 ВЛ-10 кВ ф. 10-07 ПС-110/35/10 кВ «Пыщуг» (установка дополнительного укоса к опоре). </t>
  </si>
  <si>
    <t>Установка линейного разъединителя на первой отпаечной ж/б опоре к точке присоединения.</t>
  </si>
  <si>
    <t xml:space="preserve"> Строительство отпайки ВЛЗ-10 кВ на ж/б опорах от опоры №58 ВЛ-10 кВ ф. 10-07 ПС-110/35/10 кВ «Пыщуг» до РУ-10 кВ проектируемой ТП-10/0,4 кВ с выполнением рбот по межеванию з.у..</t>
  </si>
  <si>
    <t>Монтаж трансформаторной подстанции ТП-10/0,4 кВ киоскового типа c установкой трансформатора мощностью 250 кВА с выполнением работ по межеванию з.у., установке охранной сигнализации и доп. замков.</t>
  </si>
  <si>
    <t>Замена деревянных опор № 12; 13; 14; 15; 16; 17; 18; 19; 20 ВЛ-0,4 кВ на ж/б опоры.</t>
  </si>
  <si>
    <t xml:space="preserve"> Замена голого провода А-16 на СИП сечением по-расчету в восьми пролетах опор № 12 - № 20 ВЛ-0,4 кВ, ф.2 ТП № 58 ПС-35/10 кВ «Ильинское», ф. 10-06.</t>
  </si>
  <si>
    <t>Строительство КЛ-0,4 кВ от опоры ВЛ-0,4 кВ района ТП № 575 ПС 220/110/35/6 кВ «Кострома 2» до гаража с выполнением монтажа н/в ввода.</t>
  </si>
  <si>
    <t xml:space="preserve"> В РУ-0,4кВ существующей ТП № 651 установить коммутационный аппарат на отходящий фидер 0,4кВ. </t>
  </si>
  <si>
    <t>Строительство ВЛИ-0,4 кВ от ближайшей опоры ВЛИ-0,4 кВ проектируемой ТП ф. 625, ПС-110/35/6 кВ «СУГРЭС» (проетируемой по дог. ТП № 1074-Ц/1(3)-ТП(2014)И, Соколова Е.П., ТЗ № 18/2014-П(Ц)) до дома.с выполнением монтажа н/в ввода.</t>
  </si>
  <si>
    <t>1729-Ц/1(3)-ТП(2014)И</t>
  </si>
  <si>
    <t>1731-Ц/1(3)-ТП(2014)И</t>
  </si>
  <si>
    <t>Строительство ВЛИ-0,4 кВ от ближайшей опоры ВЛИ-0,4 кВ ТП № 140 ПС-110/35/6 кВ «СУ ГРЭС», ф. 625 (проектируемой по дог. ТП №  3995-Ц/1(3)-ТП(2013)И, Шибачев В.Н., ТЗ 2/2014-П(Ц)) до гаражного бокса с выполнением монтажа н/в ввода.</t>
  </si>
  <si>
    <t>1234-Ш/3(3)-ТП(2014)И</t>
  </si>
  <si>
    <t>ОГБУЗ "Шарьинская окружная больница имени Каверина В.Ф."</t>
  </si>
  <si>
    <t>помещение (гражданское), г.Шарья, ул. м/р-н 2-й, д.48, помещение в здании больничного комплекса, (помещение стационара с детской поликлинникой)</t>
  </si>
  <si>
    <t xml:space="preserve"> Установка н/в ячейки типа ЩО-70 в РУ-0,4 кВ ТП-400 кВА № 189 ПС 35/6 кВ «Центральная», ф. 617.</t>
  </si>
  <si>
    <t>Увеличить сечение проводника 0,4 кВ от н/в контактов (шпилек) силового трансформатора в ТП-400 кВА № 189 до главного рубильника.</t>
  </si>
  <si>
    <t>475-Ш/3(2)-ТП(2014)И</t>
  </si>
  <si>
    <t>Многоквартирный жилой дом (строительство), г.Шарья, ул.Парковая, д2</t>
  </si>
  <si>
    <t>676-Ц/1(3)-ТП(2014)И</t>
  </si>
  <si>
    <t>Погуляйко Павел Аркадьевич</t>
  </si>
  <si>
    <t>объект административного и складского назначения III, IV, V класса опасности (строительство), г. Кострома ул. Зеленая, 1д</t>
  </si>
  <si>
    <t>884-Ц/3(3)-ТП(2014)И</t>
  </si>
  <si>
    <t>ООО "Фиори"  (всего 190 кВт, в т.ч. Ранее разрешенная 36 кВт)</t>
  </si>
  <si>
    <t>нежилое помещение №16, г.Кострома, ул.Советская, д.2/1</t>
  </si>
  <si>
    <t>1041-Ц/1(3)-ТП(2014)И</t>
  </si>
  <si>
    <t>Чернышов Валерий Николаевич</t>
  </si>
  <si>
    <t>индивидуальный жилой дом (строительство), Костромской р-н, п. Никольское, ул. Школьная, в 10 м на восток от д. №22</t>
  </si>
  <si>
    <t>Для присоединения строительной площадки по временной схеме присоединения установка дополнительного линейного коммутационного аппарата в РУ-0,4 кВ ТП №767.</t>
  </si>
  <si>
    <t>1076-Ц/1(3)-ТП(2014)И</t>
  </si>
  <si>
    <t>Воронова Марина Павловна</t>
  </si>
  <si>
    <t>Строящийся жилой дом, п. островское ул. Тихая</t>
  </si>
  <si>
    <t>1093-Ц/1(3)-ТП(2014)И</t>
  </si>
  <si>
    <t>Смирнов Алексей Николаевич</t>
  </si>
  <si>
    <t>объект незавершенного строительства (одноквартирный жилой дом), г. Кострома, ул. Желтова, д.8</t>
  </si>
  <si>
    <t>1174-Г/1(3)-ТП(2014)И</t>
  </si>
  <si>
    <t>Иванов Андрей Викторович</t>
  </si>
  <si>
    <t>строительство одноэтажного одноквартирного жилого дома, г Чухлома ул Рябиновая д 4</t>
  </si>
  <si>
    <t>1176-Г/1(3)-ТП(2014)И</t>
  </si>
  <si>
    <t>Мельников Николай Владимирович</t>
  </si>
  <si>
    <t>садовый домик, Галичский р-н, г. Галич, садоводческое товарищество "Строитель-2", уч.№ 4</t>
  </si>
  <si>
    <t>Установка дополнительного коммутационного аппарата в РУ-0,4 кВ ТП №052 для проектируемого жилого дома.</t>
  </si>
  <si>
    <t>1184-Г/1(3)-ТП(2014)И</t>
  </si>
  <si>
    <t>Яблокова Галина Михайловна</t>
  </si>
  <si>
    <t xml:space="preserve">гаражный бокс, г.Буй, ул.Максима Горького, в 65м на северо-запад от стадиона "Локомотив" </t>
  </si>
  <si>
    <t>1221-Ц/3(3)-ТП(2014)И</t>
  </si>
  <si>
    <t>Власов Игорь Николаевич</t>
  </si>
  <si>
    <t>объекты производственного назначения, Костромской р-н, Минское с/п,примерно в 700 м на северо-запад от п. Крутик</t>
  </si>
  <si>
    <t>1240-Ц/1(3)-ТП(2014)И</t>
  </si>
  <si>
    <t>Комаров Виталий Николаевич</t>
  </si>
  <si>
    <t>дом, Костромской р-н, НСТ "Пушкино", участок №10</t>
  </si>
  <si>
    <t>1337-Ц/1(3)-ТП(2014)И</t>
  </si>
  <si>
    <t>Смородин Владимир Васильевич, Смородина Тамара Васильевна</t>
  </si>
  <si>
    <t>садовый дом, Костромской р-он, СТ "Пушкино", уч-к №18</t>
  </si>
  <si>
    <t>1465-Г/1(3)-ТП(2014)И</t>
  </si>
  <si>
    <t>Белогорохов Анатолий Викторович</t>
  </si>
  <si>
    <t>гаражный бокс, г.Буй, ГСК "Химик-2", 2 очередь</t>
  </si>
  <si>
    <t>1610-Ц/5(2)-ТП(2014)И</t>
  </si>
  <si>
    <t>ТП для электроснабжения офисно-делового центра, г. Кострома, пл. Конституции, 6</t>
  </si>
  <si>
    <t>1628-Ц/1(3)-ТП(2014)И</t>
  </si>
  <si>
    <t>Севикян Гурген Габриелович</t>
  </si>
  <si>
    <t>садовый дом, Костромской р-н, Никольская с/а, СТ "Лира", уч.№2</t>
  </si>
  <si>
    <t>1633-Ц/1(3)-ТП(2014)И</t>
  </si>
  <si>
    <t>Петровичева Оксана Сергеевна</t>
  </si>
  <si>
    <t>индивидуальный жилой дом (строительство), Костромской р-он, дер. Становщиково, Середняковское с/п, д.70</t>
  </si>
  <si>
    <t>1678-Ц/2(3)-ТП(2014)И</t>
  </si>
  <si>
    <t>ИП Жукова Татьяна Романовна</t>
  </si>
  <si>
    <t>объект аттракционной техники, г. Кострома, парк "50-летия Победы" на ул. Профсоюзной</t>
  </si>
  <si>
    <t>1688-Ц/1(3)-ТП(2014)И</t>
  </si>
  <si>
    <t>Агапов Владимир Валерьевич</t>
  </si>
  <si>
    <t>объект незавершенного строительства (жилой дом), Костромской р-н, Никольское с/п, пос.Губачево, ул.Щаповская, д.19</t>
  </si>
  <si>
    <t>1718-Ц/1(3)-ТП(2014)И</t>
  </si>
  <si>
    <t>Моисеева Фейрузя</t>
  </si>
  <si>
    <t>нежилое помещение, СТ Строитель-1</t>
  </si>
  <si>
    <t>1720-Ц/1(3)-ТП(2014)И</t>
  </si>
  <si>
    <t>Чегодаева Татьяна Александровна</t>
  </si>
  <si>
    <t>садовый дом, СТ Лесное</t>
  </si>
  <si>
    <t>Строительство ВЛИ-0,4 кВ от ближайшей опоры ВЛИ-0,4 кВ проетируемой ТП ф. 625, ПС 110/35/6 кВ «СУ ГРЭС» (проетируемой по дог. ТП № 4022-Ц/1(3)-ТП(2013)И, Мубинова А., ТЗ № 4/2014-П(Ц)) до земельных участков с выполнением монтажа н/в вводов.</t>
  </si>
  <si>
    <t>Строительство КЛ-0,4 кВ с прокладкой в земле  от 2 секции шин 0,4 кВ  2-х трансформаторной подстанции ТП- №180 до ВРУ-0,4 кВ многоквартирного жилого дома.</t>
  </si>
  <si>
    <t>Установка н/в ячеек (типа ЩО-70) в РУ-0,4кВ ТП №180.</t>
  </si>
  <si>
    <t>Установка 2-го трансформатора 6/0,4 кВ мощностью 250 кВА и монтаж необходимого электрооборудования (шинный мост 0,4кВ; шинный мост 10кВ) в существующей ТП- №180.</t>
  </si>
  <si>
    <t>Установка РЩ-0,4 кВ (рядом с РЩ-1/34) с переключением на него кабельных линий 0,4 кВ нежилого помещения №16 по адресу: г. Кострома, ул. Советская, д.2/1.</t>
  </si>
  <si>
    <t xml:space="preserve"> Строительство ВЛИ-0,4 кВ от ВЛИ-0,4 кВ ТП №767 ПС 220/110/35/6 кВ «Кострома 2» (проектируемой по дог. ТП № 2026-Ц/1(3)-ТП(2013)И; Черепенин А.П., ТЗ № 95/2013-П(Ц)) до объекта административного и складского назначения с выполнением монтажа н/в ввода.</t>
  </si>
  <si>
    <t xml:space="preserve"> Строительство КЛ-0,4 кВ с прокладкой в земле  от 1 секции шин 0,4 кВ 2-х трансформаторной подстанции ТП- №180 ПС 35/6 кВ «Центральная», ф.615 до ВРУ-0,4 кВ многоквартирного  жилого дома.</t>
  </si>
  <si>
    <t xml:space="preserve"> Установка в/в ячеек (типа КСО-386-04 и КСО-386-14) в РУ-6 кВ ТП №180.</t>
  </si>
  <si>
    <t>Строительство КЛ-0,4 кВ от ТП №34 ПС связи 110/6 кВ «ТЭЦ 1» до РЩ-0,4 кВ.</t>
  </si>
  <si>
    <t>Строительство ВЛИ-0,4 кВ от опоры № 10 ВЛ-0,4 кВ, ф.1 ТП № 314 ПС-35/6 кВ «Никольское», ф. 603 до жилого дома с выполненнием монтажа н/в ввода.</t>
  </si>
  <si>
    <t>Строительство ВЛИ-0,4 кВ от опоры № 2-13 ВЛ-0,4 кВ, ф.1 ТП № 268 ПС-110/35/10 кВ «Красная Поляна», ф. 10-14 до жилого дома с выполнением монтажа н/в ввода.</t>
  </si>
  <si>
    <t>Произвести замену провода А-35 на провод СИП-4х95 в пролетах опор 1-20-38-46 ВЛ-0,4 кВ ф.1 ТП 6/0,4 кВ №154 ПС 110/6 кВ «Северная».</t>
  </si>
  <si>
    <t>Строительство ВЛИ-0,4 кВ проводами СИП на ж/б опорах от РУ-0,4 кВ ТП №052 ф. 10-06 ПС-110/35/10 кВ «Чухлома» до земельного участка жилого дома с авполнением монтажа н/в ввода.</t>
  </si>
  <si>
    <t>Установка линейного разъединителя на первой отпаечной ж/б опоре к ВЛ-10 кВ ф. 10-07 ПС-220/110/35/10 кВ «Галич».</t>
  </si>
  <si>
    <t>Строительство ВЛИ-0,4 кВ проводами СИП на ж/б опорах от РУ-0,4кВ КТП-10/0,4 кВ до объекта заявителя с выполнением монтажа н/в ввода.</t>
  </si>
  <si>
    <t>Замена существующей ТП-10/100 кВА № 357 ВЛ-10 кВ ф. 10-01 ПС-35/10 кВ «Минское» на трансформаторную подстанцию 10/250 кВА с заменой силового трансформатора 100 кВА на 250 кВА.</t>
  </si>
  <si>
    <t>Строительство ВЛИ-0,4 кВ от ближайшей опоры ВЛ-0,4 кВ ТП № 396 ПС-35/10 кВ «Минское», ф. 10-05 до домов заявителей с выполнением монтажа н/в вводов, предусмотреть ВЛИ-0,4 кВ до объекта Мирмиковой С.Ш..</t>
  </si>
  <si>
    <t>Строительство ВЛИ-0,4 кВ ф.1 проводами СИП на ж/б опорах от ВЛИ-0,4кВ КТП-10/0,4 кВ ПС 110/35/10 кВ «Буй районная»   ф.10-05 (проектируемой по ТЗ №  13/2014-П(Ц)) до земельного участка  гаражного бокса с выполнением монтажа н/в ввода.</t>
  </si>
  <si>
    <t>Установка двух дополнительных ячеек типа КСО на 1 и 2 секции РУ-10 кВ ТП № 777 ПС-110/10/6 кВ «Центральная».</t>
  </si>
  <si>
    <t>Строительство ВЛИ-0,4 кВ от ближайшей опоры ВЛИ-0,4 кВ ТП № 828 ПС-35/6 кВ «Никольское», ф. 602 (проектируемой по дог. ТП № 1049-Ц/1(3)-ТП(2014)И, Хритоненко Т.П., ТЗ № 16/2014-П(Ц)) до дома с выполнением монтажа н/в ввода.</t>
  </si>
  <si>
    <t>Строительство ВЛИ-0,4 кВ от опоры № 6 ВЛ-0,4 кВ, ф.2 ТП № 693 ПС-35/10 кВ «Коркино», ф. 10-04 до жилого дома с выполнением монтажа н/в ввода.</t>
  </si>
  <si>
    <t>Монтаж дополнительно двух проводов А-35 в одном пролете опор № 4 - № 5 ВЛ-0,4 кВ ТП № 693.</t>
  </si>
  <si>
    <t>Монтаж дополнительно четырех проводов А-35 в одном пролете опор № 5 - № 6 ВЛ-0,4 кВ, ф.2 ТП № 693.</t>
  </si>
  <si>
    <t>Установка на присоединении ВЛИ-0,4 кВ, в РУ-0,4 кВ вновь построенной трансформаторной подстанции дополнительного коммутационного аппарата.</t>
  </si>
  <si>
    <t xml:space="preserve">Строительство ВЛИ-0,4 кВ от РУ-0,4 кВ вновь построенной трансформаторной подстанции по ТУ от 27.03.2013 № 953/2013-Ц для ООО «Рекламно - производственное предприятие «Мастер» ПС-110/35/10 кВ «Восточная-2» эдо присоединяемого объекта с выполнением монтажа н/в ввода, предусмотреть ВЛИ-0,4 кВ до объекта ИП Красоткин С.А.. 
</t>
  </si>
  <si>
    <t xml:space="preserve"> Строительство ВЛИ-0,4 кВ от опоры № 11 ВЛ-0,4 кВ ТП № 727 ПС-35/10 кВ «Караваево», ф. 10-06 до жилого дома с выполнением монтажа н/в ввода.</t>
  </si>
  <si>
    <t>Строительство ВЛИ-0,4 кВ от ближайшей опоры ВЛИ-0,4 кВ ТП № 140 ПС-110/35/6 кВ «СУ ГРЭС», ф. 625(проектируемой по дог. ТП № 1128-Ц/1(3)-ТП(2014)И, Фролова Н.В., ТЗ 22/2014-П(Ц)) до строения заявителя с выполнением монтажа н/в ввода.</t>
  </si>
  <si>
    <t xml:space="preserve">Строительство ВЛЗ-10 кВ проводами марки СИП на ж/б опорах от опоры №4 ф. 10-07 ПС-220/110/35/10 кВ «Галич»  до РУ-10кВ проектируемой КТП-10/0,4 кВ с выполнением работ по межеванию з.у.. </t>
  </si>
  <si>
    <t>Монтаж трансформаторной подстанции СТП-10/0,4 кВ c установкой трансформатора мощностью 63 кВА  свыполнением работ по межеванию з.у..</t>
  </si>
  <si>
    <t>667-Ц/2(3)-ТП(2014)И</t>
  </si>
  <si>
    <t>МУП"Ильинское" Самсоновского сельского поселения</t>
  </si>
  <si>
    <t>скважина артезианская №2478 с насосной станцией, Костромской р-н, пос. Трифоныч</t>
  </si>
  <si>
    <t>1464-Г/1(3)-ТП(2014)И</t>
  </si>
  <si>
    <t>Назаров Виктор Валерьевич</t>
  </si>
  <si>
    <t>жилой дом, Галичский р-н, г. Галич, ул. Моховая</t>
  </si>
  <si>
    <t>1520-Ц/1(3)-ТП(2014)И</t>
  </si>
  <si>
    <t>Смирнова Ольга Игоревна</t>
  </si>
  <si>
    <t>садовый дом г. Кострома, пос. Козелино, с/т "Волжанка", уч-к №62</t>
  </si>
  <si>
    <t>1524-Ц/1(3)-ТП(2014)И</t>
  </si>
  <si>
    <t>Поляков Игорь Григорьевич</t>
  </si>
  <si>
    <t>садовый дом Костромской р-н, Никольская с/а, СТ "Заря"</t>
  </si>
  <si>
    <t>1586-Ц/1(3)-ТП(2014)И</t>
  </si>
  <si>
    <t>Масюрова Ольга Валентиновна</t>
  </si>
  <si>
    <t>земельный участок № 73, с/т "Темп"</t>
  </si>
  <si>
    <t>1589-Ц/1(3)-ТП(2014)И</t>
  </si>
  <si>
    <t>Годинов Василий Борисович</t>
  </si>
  <si>
    <t>жилой дом, Костромской р-н, д. Кузьминка. ул. Березовая Роща, в 150 м на с-з от д №5</t>
  </si>
  <si>
    <t>1659-Г/1(3)-ТП(2014)И</t>
  </si>
  <si>
    <t>Денисов Сергей Александрович</t>
  </si>
  <si>
    <t>садовый домик, Галичский р-н, г. Галич, ул. Гладышева</t>
  </si>
  <si>
    <t>1728-Ц/1(3)-ТП(2014)И</t>
  </si>
  <si>
    <t>Кутузов Борис Васильевич</t>
  </si>
  <si>
    <t>садовый дом, г. Кострома, район Автодрома, СТ "Ивушка", уч-к № 20</t>
  </si>
  <si>
    <t>1738-Ц/1(3)-ТП(2014)И</t>
  </si>
  <si>
    <t>Неганова Любовь Борисовна</t>
  </si>
  <si>
    <t>индивидуальный жилой дом (строительство), Костромской р-н, дер. Жданово, ул. Липовая, примерно в 5 м. по направлению на юго-запад от ориентира дом № 1 "А"</t>
  </si>
  <si>
    <t>1767-Ц/2(3)-ТП(2014)И</t>
  </si>
  <si>
    <t>ООО "РЕАЛТИ"</t>
  </si>
  <si>
    <t>нежилое здание, Красносельский р-он, Боровикоское с/п, пансионат отдыха с лечением "Волгарь", учебно-методический центр</t>
  </si>
  <si>
    <t>1769-Ц/1(3)-ТП(2014)И</t>
  </si>
  <si>
    <t>Бикчурина Инна Владимировна</t>
  </si>
  <si>
    <t>индивидуальный жилой дом (строительство), Костромской р-н, д. Терентьево, д.34</t>
  </si>
  <si>
    <t>1780-Ц/1(3)-ТП(2014)И</t>
  </si>
  <si>
    <t>Новиков Евгений Евгеньевич</t>
  </si>
  <si>
    <t>нежилое строение, г. Нерехта, ул. Додина д. 1</t>
  </si>
  <si>
    <t>1834-Ц/1(3)-ТП(2014)И</t>
  </si>
  <si>
    <t>Ишкина Юлия Сергеевна</t>
  </si>
  <si>
    <t>садовый дом, г.Волгореченск, с/т "Строитель-1" уч.534</t>
  </si>
  <si>
    <t xml:space="preserve">Установка в РУ-0,4 кВ ТП № 79 дополнительного коммутационного аппарата. </t>
  </si>
  <si>
    <t>1797-Ц/1(3)-ТП(2014)И</t>
  </si>
  <si>
    <t>Мамонов Николай Леонидович</t>
  </si>
  <si>
    <t>индивидуальный жилой дом (строительство), Костромской р-н, п. Шувалово,ул. Победы,120 м на северо-запад от д.№62</t>
  </si>
  <si>
    <t>1798-Ц/1(3)-ТП(2014)И</t>
  </si>
  <si>
    <t>Малинин Вячеслав Владимирович</t>
  </si>
  <si>
    <t>индивидуальный жилой дом (строительство), Костромской р-он, д. Стрельниково, ул. Цицинская, в 40 м на север от д.№3</t>
  </si>
  <si>
    <t>1835-Ц/1(3)-ТП(2014)И</t>
  </si>
  <si>
    <t>Котов Андрей Леонидович</t>
  </si>
  <si>
    <t>автосервис (строительство), г.Кострома, ул.Запрудня, д.1</t>
  </si>
  <si>
    <t>1838-Ц/1(3)-ТП(2014)И</t>
  </si>
  <si>
    <t>Шалина Наталия Валерьевна</t>
  </si>
  <si>
    <t>Строительство ВЛИ-0,4 кВ от ВЛИ-0,4 кВ проектируемой СТП-10/0,4 кВ ф. 10-05 ПС 35/10 кВ «Ильинское» (по дог. ТП № 718-Ц/1(3)-ТП(2014)И, Михин А.В., ТЗ № 15/2014-П(Ц)) до скважины артезианской № 2478 с насосной станцией с выполнением монтажа н/в ввода.</t>
  </si>
  <si>
    <t>Строительство ВЛИ-0,4 кВ проводами СИП на ж/б опорах от линейных изоляторов опоры №2 ВЛ-0,4 кВ ф. Моховая КТП № 703 ф. 10-21 ПС-220/110/35/10 кВ «Галич» до земельного участка  жилого дома заявителя с выполнением монтажа н/в ввода.</t>
  </si>
  <si>
    <t xml:space="preserve"> Строительство ВЛИ-0,4 кВ от опоры ВЛИ-0,4 кВ ТП № 756 ПС 110/6 кВ «Строммашина» (проектируемой по дог. ТП № 1370-Ц/1(3)-ТП(2014)И, Барышникова Г.П., 21/2014-П(Ц)) до земельного участка заявителя с выполнением монтажа н/в ввода.</t>
  </si>
  <si>
    <t>Строительство ВЛИ-0,4 кВ от ближайшей опоры ВЛИ-0,4 кВ ТП № 313 ПС-35/6 кВ «Никольское», ф. 604 (проектируемой по дог. ТП№ 1116-Ц/1(3)-ТП(2014)И, Дубровина Е.И., ТЗ № 20/2014-П(Ц)) до дома заявителя с выполнением монтажа н/в ввода.</t>
  </si>
  <si>
    <t>Строительство ВЛИ-0,4 кВ от ближайшей опоры ВЛИ-0,4 кВ проектируемой ТП-6/0,4 кВ ф. 621, ПС-110/35/6 «СУ ГРЭС» (проектируемой по дог. ТП № 499-Ц/1(3)-ТП(2014)И, Старков В.А., ТЗ № 12/2014-П(Ц) ) до дома заявителя с выполнением монтажа н/в ввода.</t>
  </si>
  <si>
    <t xml:space="preserve"> Строительство ВЛИ-0,4 кВ от опоры № 6/14 ВЛ-0,4 кВ ТП № 94 ПС-35/10 кВ «Сухоногово», ф. 10-04 до жилого дома заявителя с выполнением монтажа н/в ввода.</t>
  </si>
  <si>
    <t xml:space="preserve"> Строительство ВЛИ-0,23 кВ проводами СИП на ж/б опорах от линейных изоляторов опоры №4 ф. Сад Приозерный ВЛ-0,4 кВ ТП №729 ф.10-01, ПС 220/110/35/10 кВ «Галич» заявителя с выполнением монтажа н/в ввода.</t>
  </si>
  <si>
    <t>Строительство ВЛИ-0,4 кВ от РУ-0,4 кВ проектируемой для СТ "Ивушка" ТП-10/0,4 кВ до участка заявителя с выполнением монтажа н/в ввода.</t>
  </si>
  <si>
    <t>Строительство ВЛИ-0,4 кВ от опоры № 18 ВЛ-0,4 кВ, ф.2 ТП № 230 ПС-35/10 кВ «Сущево», ф. 10-05 до жилого дома заявителя с выполнением монтажа н/в ввода.</t>
  </si>
  <si>
    <t>Установка в РУ-0,4 кВ ТП № 399 дополнительного коммутационного аппарата.</t>
  </si>
  <si>
    <t>Строительство ВЛИ-0,4 кВ от РУ-0,4 кВ ТП № 399 ПС-35/10 кВ «Исаево», ф. 10-13 до здания заявителя с выполнением монтажа н/в ввода.</t>
  </si>
  <si>
    <t>Строительство ВЛИ-0,4 кВ от опоры № 2-2 ВЛ-0,4 кВ, ф.2 ТП № 45 ПС-110/35/10 кВ «Василево», ф. 10-01 до жилого дома заявителя с выполнением монтажа н/в ввода.</t>
  </si>
  <si>
    <t>Строительство ВЛИ-0,4 кВ от РУ-0,4 кВ ТП № 79 ПС-110/35/10/6 кВ «Нерехта-1», ф. 604 от ЦРП-6 кВ до нежилого строения заявителя с выполнением монтажа н/в ввода.</t>
  </si>
  <si>
    <t xml:space="preserve"> Строительство ВЛИ-0,4 кВ от опоры № 12 ВЛ-0,4 кВ, ф.2 ТП № 223 ПС-35/10 кВ «Сущево», ф. 10-05 до жилого дома заявителя с выполнением монтажа н/в ввода.</t>
  </si>
  <si>
    <t>Строительство ВЛИ-0,4 кВ от опоры № 10 ВЛ-0,4 кВ, ф.2 ТП № 658 ПС-110/35/6 кВ «Кострома-3», ф. 670 до жилого дома заявителя с выполнением монтажа н/в ввода.</t>
  </si>
  <si>
    <t>Строительство ВЛИ-0,4 кВ от опоры ВЛ-0,4 кВ ТП № 219 ПС-110/6 кВ «Северная» до объекта заявителя с выполнением монтажа н/в ввода.</t>
  </si>
  <si>
    <t xml:space="preserve"> Строительство ВЛИ-0,4 кВ от ВЛИ-0,4 кВ ТП 6/0,4 кВ № 781 ПС 110/35/6 кВ «Кострома-3» до земельного участка заявителя с выполнением монтажа н/в ввода.</t>
  </si>
  <si>
    <t>садовый дом, Костромской р-н, СНТ "Приозёрный" (Шунгенское с/п), 
участок № 109</t>
  </si>
  <si>
    <t>939-Ц/2(3)-ТП(2014)И</t>
  </si>
  <si>
    <t>ИП Рачинский Сергей Дмириевич</t>
  </si>
  <si>
    <t>павильон по осуществлению дополнительных ритуальных услуг, Костромской р-он, с. Костенево, в 50 м на северо-восток от д. №20</t>
  </si>
  <si>
    <t xml:space="preserve"> Строительство ВЛИ-0,4 кВ от опоры № 7 ВЛ-0,4 кВ, ф.2 ТП № 219 ф. 606 ПС 35/6 кВ «Никольское» до земельного участка заявителя с выполнением монтажа н/в ввода.</t>
  </si>
  <si>
    <t>1078-Ц/1(3)-ТП(2014)И</t>
  </si>
  <si>
    <t>Вербицкий Андрей Михайлович</t>
  </si>
  <si>
    <t>жилой дом, д.Синцово ул Молодежная дом 1 б</t>
  </si>
  <si>
    <t>Строительство ВЛИ-0,4 кВ от ближайшей опоры ВЛ-0,4 кВ ТП № 118 ф. 10-03 ПС 35/10 кВ "Новинки" до границы земельного участка жилого дома.</t>
  </si>
  <si>
    <t>1172-Г/1(3)-ТП(2014)И</t>
  </si>
  <si>
    <t>Буталова Елена Николаевна</t>
  </si>
  <si>
    <t>Строительство ВЛИ-0,4 кВ проводами СИП на ж/б опорах от линейных изоляторов опоры №4/3 ВЛИ-0,4 кВ  ф. М.Горького ТП №715 ф.10-09 ПС 110/10 кВ «Буй С» до границ земельных участкаов заявителей с выполнением монтажа н/в вводов.</t>
  </si>
  <si>
    <t>Строительство ВЛИ-0,4 кВ проводами СИП на ж/б опорах от РУ-0,4кВ ТП №651 ф. 10-25 ПС-220/110/10 кВ «Борок » до земельных участков заявителей с выполнением монтажа н/в вводов, 
предусмотреть прохождение ВЛИ-0,4 кВ до участка Ювенской Е.Г.</t>
  </si>
  <si>
    <t>1460-Г/1(3)-ТП(2014)И</t>
  </si>
  <si>
    <t>Румянцева Галина Константиновна</t>
  </si>
  <si>
    <t>Здание магазина , Буйский район, гпп Чистые Боры, ул.Мира, д.10а</t>
  </si>
  <si>
    <t>1812-Ц/1(3)-ТП(2014)И</t>
  </si>
  <si>
    <t>Шалыт Олег Соломонович</t>
  </si>
  <si>
    <t>хоз. постройка, Костромской р-он, д.Пушкино, НСТ "Пушкино", участок №19</t>
  </si>
  <si>
    <t>1926-Ц/1(3)-ТП(2014)И</t>
  </si>
  <si>
    <t>Кудрова Елена Александровна</t>
  </si>
  <si>
    <t>хозяйственное строение (садовый дом), г. Кострома, п. Козелино, НСТ "Волжанка", уч. № 12</t>
  </si>
  <si>
    <t>1918-Ц/1(3)-ТП(2014)И</t>
  </si>
  <si>
    <t>Краснова Анжела Николаевна</t>
  </si>
  <si>
    <t>садовый домик с мансардой, г. Кострома, п. Козелино, СТ "Волжанка", уч. №91</t>
  </si>
  <si>
    <t>Строительство ВЛИ-0,4 кВ от опоры ВЛИ-0,4 кВ района ТП №756 ПС 110/6 кВ «Строммашина» до земельного участка № 89 с выполнением монтажа н/в вводов.</t>
  </si>
  <si>
    <t>24/2014-П(Ц)</t>
  </si>
  <si>
    <t>октябрь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</si>
</sst>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4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8" fillId="0" borderId="0"/>
  </cellStyleXfs>
  <cellXfs count="2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2" borderId="2" xfId="0" applyFont="1" applyFill="1" applyBorder="1"/>
    <xf numFmtId="0" fontId="11" fillId="2" borderId="0" xfId="0" applyFont="1" applyFill="1"/>
    <xf numFmtId="0" fontId="11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4" borderId="0" xfId="0" applyFont="1" applyFill="1"/>
    <xf numFmtId="0" fontId="0" fillId="0" borderId="2" xfId="0" applyBorder="1"/>
    <xf numFmtId="0" fontId="3" fillId="0" borderId="2" xfId="17" applyFont="1" applyFill="1" applyBorder="1" applyAlignment="1">
      <alignment vertical="center" wrapText="1"/>
    </xf>
    <xf numFmtId="0" fontId="3" fillId="0" borderId="3" xfId="17" applyFont="1" applyFill="1" applyBorder="1" applyAlignment="1">
      <alignment vertical="center" wrapText="1"/>
    </xf>
    <xf numFmtId="0" fontId="1" fillId="0" borderId="1" xfId="16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2" borderId="2" xfId="0" applyFill="1" applyBorder="1"/>
    <xf numFmtId="0" fontId="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" fillId="4" borderId="2" xfId="17" applyFont="1" applyFill="1" applyBorder="1" applyAlignment="1">
      <alignment horizontal="center" vertical="center" wrapText="1"/>
    </xf>
    <xf numFmtId="0" fontId="11" fillId="4" borderId="2" xfId="0" applyFont="1" applyFill="1" applyBorder="1"/>
    <xf numFmtId="0" fontId="1" fillId="0" borderId="2" xfId="16" applyFont="1" applyFill="1" applyBorder="1" applyAlignment="1">
      <alignment horizontal="center" vertical="center" wrapText="1"/>
    </xf>
    <xf numFmtId="0" fontId="1" fillId="0" borderId="2" xfId="17" applyFont="1" applyFill="1" applyBorder="1" applyAlignment="1">
      <alignment horizontal="center" vertical="center" wrapText="1"/>
    </xf>
    <xf numFmtId="0" fontId="1" fillId="2" borderId="2" xfId="17" applyFont="1" applyFill="1" applyBorder="1" applyAlignment="1">
      <alignment horizontal="center" vertical="center" wrapText="1"/>
    </xf>
    <xf numFmtId="0" fontId="1" fillId="3" borderId="2" xfId="17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" xfId="16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0" xfId="0" applyFill="1"/>
    <xf numFmtId="0" fontId="1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" fillId="3" borderId="5" xfId="17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" fillId="2" borderId="2" xfId="17" applyFont="1" applyFill="1" applyBorder="1" applyAlignment="1">
      <alignment horizontal="center" vertical="center" wrapText="1"/>
    </xf>
    <xf numFmtId="0" fontId="1" fillId="0" borderId="3" xfId="17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3" borderId="2" xfId="0" applyFont="1" applyFill="1" applyBorder="1"/>
    <xf numFmtId="0" fontId="0" fillId="4" borderId="0" xfId="0" applyFill="1"/>
    <xf numFmtId="164" fontId="11" fillId="4" borderId="2" xfId="0" applyNumberFormat="1" applyFont="1" applyFill="1" applyBorder="1" applyAlignment="1">
      <alignment horizontal="center" vertical="center"/>
    </xf>
    <xf numFmtId="165" fontId="1" fillId="0" borderId="2" xfId="17" applyNumberFormat="1" applyFont="1" applyFill="1" applyBorder="1" applyAlignment="1">
      <alignment horizontal="center" vertical="center" wrapText="1"/>
    </xf>
    <xf numFmtId="165" fontId="1" fillId="0" borderId="1" xfId="17" applyNumberFormat="1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2" borderId="2" xfId="17" applyFont="1" applyFill="1" applyBorder="1" applyAlignment="1">
      <alignment horizontal="center" vertical="center" wrapText="1"/>
    </xf>
    <xf numFmtId="14" fontId="1" fillId="3" borderId="2" xfId="17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" fillId="3" borderId="5" xfId="16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0" fontId="0" fillId="2" borderId="0" xfId="0" applyFill="1"/>
    <xf numFmtId="49" fontId="1" fillId="2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0" fontId="1" fillId="2" borderId="2" xfId="17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" fillId="2" borderId="2" xfId="17" applyFont="1" applyFill="1" applyBorder="1" applyAlignment="1">
      <alignment horizontal="center" vertical="center" wrapText="1"/>
    </xf>
    <xf numFmtId="0" fontId="1" fillId="0" borderId="1" xfId="17" applyFont="1" applyFill="1" applyBorder="1" applyAlignment="1">
      <alignment horizontal="center" vertical="center" wrapText="1"/>
    </xf>
    <xf numFmtId="0" fontId="0" fillId="4" borderId="2" xfId="0" applyFill="1" applyBorder="1"/>
    <xf numFmtId="0" fontId="11" fillId="2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" fillId="2" borderId="2" xfId="17" applyFont="1" applyFill="1" applyBorder="1" applyAlignment="1">
      <alignment horizontal="center" vertical="center" wrapText="1"/>
    </xf>
    <xf numFmtId="0" fontId="11" fillId="3" borderId="0" xfId="0" applyFont="1" applyFill="1"/>
    <xf numFmtId="0" fontId="11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4" fontId="11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" fillId="2" borderId="2" xfId="17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5" fontId="1" fillId="5" borderId="2" xfId="17" applyNumberFormat="1" applyFont="1" applyFill="1" applyBorder="1" applyAlignment="1">
      <alignment horizontal="center" vertical="center" wrapText="1"/>
    </xf>
    <xf numFmtId="0" fontId="0" fillId="3" borderId="3" xfId="0" applyFill="1" applyBorder="1"/>
    <xf numFmtId="0" fontId="1" fillId="3" borderId="3" xfId="17" applyFont="1" applyFill="1" applyBorder="1" applyAlignment="1">
      <alignment horizontal="center" vertical="center" wrapText="1"/>
    </xf>
    <xf numFmtId="0" fontId="11" fillId="3" borderId="3" xfId="0" applyFont="1" applyFill="1" applyBorder="1"/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5" fontId="1" fillId="2" borderId="2" xfId="17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3" xfId="0" applyFont="1" applyFill="1" applyBorder="1" applyAlignment="1">
      <alignment horizontal="center" vertical="center"/>
    </xf>
    <xf numFmtId="0" fontId="1" fillId="2" borderId="2" xfId="17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4" fontId="1" fillId="3" borderId="3" xfId="17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3" borderId="0" xfId="0" applyFill="1" applyBorder="1"/>
    <xf numFmtId="0" fontId="11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6" borderId="0" xfId="0" applyFill="1"/>
    <xf numFmtId="0" fontId="0" fillId="6" borderId="2" xfId="0" applyFill="1" applyBorder="1"/>
    <xf numFmtId="0" fontId="1" fillId="6" borderId="3" xfId="17" applyFont="1" applyFill="1" applyBorder="1" applyAlignment="1">
      <alignment horizontal="center" vertical="center" wrapText="1"/>
    </xf>
    <xf numFmtId="0" fontId="1" fillId="6" borderId="2" xfId="17" applyFont="1" applyFill="1" applyBorder="1" applyAlignment="1">
      <alignment horizontal="center" vertical="center" wrapText="1"/>
    </xf>
    <xf numFmtId="14" fontId="1" fillId="6" borderId="2" xfId="17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1" fillId="6" borderId="2" xfId="0" applyFont="1" applyFill="1" applyBorder="1"/>
    <xf numFmtId="0" fontId="0" fillId="0" borderId="0" xfId="0"/>
    <xf numFmtId="0" fontId="11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14" fontId="1" fillId="4" borderId="2" xfId="17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/>
    </xf>
    <xf numFmtId="0" fontId="0" fillId="5" borderId="2" xfId="0" applyFill="1" applyBorder="1"/>
    <xf numFmtId="0" fontId="1" fillId="5" borderId="2" xfId="17" applyFont="1" applyFill="1" applyBorder="1" applyAlignment="1">
      <alignment horizontal="center" vertical="center" wrapText="1"/>
    </xf>
    <xf numFmtId="14" fontId="1" fillId="5" borderId="2" xfId="17" applyNumberFormat="1" applyFont="1" applyFill="1" applyBorder="1" applyAlignment="1">
      <alignment horizontal="center" vertical="center" wrapText="1"/>
    </xf>
    <xf numFmtId="0" fontId="11" fillId="5" borderId="2" xfId="0" applyFont="1" applyFill="1" applyBorder="1"/>
    <xf numFmtId="0" fontId="11" fillId="5" borderId="6" xfId="0" applyFont="1" applyFill="1" applyBorder="1" applyAlignment="1">
      <alignment horizontal="center" vertical="center"/>
    </xf>
    <xf numFmtId="0" fontId="0" fillId="5" borderId="0" xfId="0" applyFill="1"/>
    <xf numFmtId="0" fontId="0" fillId="6" borderId="3" xfId="0" applyFill="1" applyBorder="1"/>
    <xf numFmtId="14" fontId="1" fillId="6" borderId="3" xfId="17" applyNumberFormat="1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/>
    </xf>
    <xf numFmtId="0" fontId="11" fillId="6" borderId="3" xfId="0" applyFont="1" applyFill="1" applyBorder="1"/>
    <xf numFmtId="0" fontId="11" fillId="6" borderId="7" xfId="0" applyFont="1" applyFill="1" applyBorder="1" applyAlignment="1">
      <alignment horizontal="center" vertical="center"/>
    </xf>
    <xf numFmtId="0" fontId="0" fillId="6" borderId="0" xfId="0" applyFill="1" applyBorder="1"/>
    <xf numFmtId="0" fontId="11" fillId="3" borderId="3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4" fontId="1" fillId="2" borderId="2" xfId="17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" fillId="4" borderId="6" xfId="17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11" fillId="2" borderId="2" xfId="0" applyFont="1" applyFill="1" applyBorder="1" applyAlignment="1">
      <alignment horizontal="center" vertical="center"/>
    </xf>
    <xf numFmtId="0" fontId="13" fillId="2" borderId="2" xfId="0" applyFont="1" applyFill="1" applyBorder="1"/>
    <xf numFmtId="0" fontId="14" fillId="0" borderId="0" xfId="0" applyFont="1"/>
    <xf numFmtId="0" fontId="15" fillId="2" borderId="2" xfId="0" applyFont="1" applyFill="1" applyBorder="1" applyAlignment="1">
      <alignment horizontal="center" vertical="center"/>
    </xf>
    <xf numFmtId="0" fontId="14" fillId="2" borderId="0" xfId="0" applyFont="1" applyFill="1"/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9" fillId="0" borderId="2" xfId="1" quotePrefix="1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2" borderId="2" xfId="1" quotePrefix="1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4" fontId="11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11" fillId="0" borderId="3" xfId="0" applyNumberFormat="1" applyFont="1" applyFill="1" applyBorder="1" applyAlignment="1">
      <alignment horizontal="center" vertical="center" wrapText="1"/>
    </xf>
    <xf numFmtId="14" fontId="11" fillId="0" borderId="6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165" fontId="11" fillId="2" borderId="7" xfId="0" applyNumberFormat="1" applyFont="1" applyFill="1" applyBorder="1" applyAlignment="1">
      <alignment horizontal="center" vertical="center"/>
    </xf>
    <xf numFmtId="165" fontId="11" fillId="2" borderId="6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" fillId="0" borderId="8" xfId="17" applyFont="1" applyFill="1" applyBorder="1" applyAlignment="1">
      <alignment horizontal="center" vertical="center" wrapText="1"/>
    </xf>
    <xf numFmtId="0" fontId="1" fillId="0" borderId="10" xfId="17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1" xfId="17" applyFont="1" applyFill="1" applyBorder="1" applyAlignment="1">
      <alignment horizontal="center" vertical="center" wrapText="1"/>
    </xf>
    <xf numFmtId="0" fontId="1" fillId="0" borderId="9" xfId="17" applyFont="1" applyFill="1" applyBorder="1" applyAlignment="1">
      <alignment horizontal="center" vertical="center" wrapText="1"/>
    </xf>
    <xf numFmtId="0" fontId="1" fillId="0" borderId="5" xfId="17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" fillId="0" borderId="3" xfId="17" applyFont="1" applyFill="1" applyBorder="1" applyAlignment="1">
      <alignment horizontal="center" vertical="center" textRotation="90" wrapText="1"/>
    </xf>
    <xf numFmtId="0" fontId="1" fillId="0" borderId="7" xfId="17" applyFont="1" applyFill="1" applyBorder="1" applyAlignment="1">
      <alignment horizontal="center" vertical="center" textRotation="90" wrapText="1"/>
    </xf>
    <xf numFmtId="0" fontId="1" fillId="0" borderId="6" xfId="17" applyFont="1" applyFill="1" applyBorder="1" applyAlignment="1">
      <alignment horizontal="center" vertical="center" textRotation="90" wrapText="1"/>
    </xf>
    <xf numFmtId="0" fontId="11" fillId="0" borderId="3" xfId="0" applyFont="1" applyBorder="1" applyAlignment="1">
      <alignment horizontal="center" vertical="center" textRotation="90"/>
    </xf>
    <xf numFmtId="0" fontId="11" fillId="0" borderId="7" xfId="0" applyFont="1" applyBorder="1" applyAlignment="1">
      <alignment horizontal="center" vertical="center" textRotation="90"/>
    </xf>
    <xf numFmtId="0" fontId="11" fillId="3" borderId="7" xfId="0" applyFont="1" applyFill="1" applyBorder="1" applyAlignment="1">
      <alignment horizontal="center" vertical="center" textRotation="90"/>
    </xf>
    <xf numFmtId="0" fontId="11" fillId="0" borderId="6" xfId="0" applyFont="1" applyBorder="1" applyAlignment="1">
      <alignment horizontal="center" vertical="center" textRotation="90"/>
    </xf>
    <xf numFmtId="0" fontId="11" fillId="3" borderId="6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</cellXfs>
  <cellStyles count="19">
    <cellStyle name="SAPBEXstdItem" xfId="1"/>
    <cellStyle name="Обычный" xfId="0" builtinId="0"/>
    <cellStyle name="Обычный 11" xfId="2"/>
    <cellStyle name="Обычный 2" xfId="3"/>
    <cellStyle name="Обычный 2 2" xfId="4"/>
    <cellStyle name="Обычный 2 2 6" xfId="5"/>
    <cellStyle name="Обычный 254" xfId="6"/>
    <cellStyle name="Обычный 255" xfId="7"/>
    <cellStyle name="Обычный 257" xfId="8"/>
    <cellStyle name="Обычный 258" xfId="9"/>
    <cellStyle name="Обычный 259" xfId="10"/>
    <cellStyle name="Обычный 266" xfId="11"/>
    <cellStyle name="Обычный 268" xfId="12"/>
    <cellStyle name="Обычный 269" xfId="13"/>
    <cellStyle name="Обычный 271" xfId="14"/>
    <cellStyle name="Обычный 272" xfId="15"/>
    <cellStyle name="Обычный_ОБЩИЙ ОТЧЕТ ПО ДОГОВОРАМ 2008 год" xfId="16"/>
    <cellStyle name="Обычный_форма 2 (ЦПО 2008) (3)" xfId="17"/>
    <cellStyle name="Стиль 1" xfId="18"/>
  </cellStyles>
  <dxfs count="10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tabSelected="1" topLeftCell="F1" zoomScale="55" zoomScaleNormal="55" workbookViewId="0">
      <pane ySplit="1" topLeftCell="A2" activePane="bottomLeft" state="frozen"/>
      <selection pane="bottomLeft" activeCell="Q2" sqref="Q2:Q4"/>
    </sheetView>
  </sheetViews>
  <sheetFormatPr defaultColWidth="0" defaultRowHeight="18" x14ac:dyDescent="0.25"/>
  <cols>
    <col min="1" max="1" width="14" style="4" hidden="1" customWidth="1"/>
    <col min="2" max="2" width="13.5703125" style="4" hidden="1" customWidth="1"/>
    <col min="3" max="3" width="14.140625" style="7" hidden="1" customWidth="1"/>
    <col min="4" max="4" width="19.28515625" style="7" hidden="1" customWidth="1"/>
    <col min="5" max="5" width="7" style="10" hidden="1" customWidth="1"/>
    <col min="6" max="7" width="16.7109375" style="155" customWidth="1"/>
    <col min="8" max="8" width="29" style="155" customWidth="1"/>
    <col min="9" max="9" width="34.140625" style="19" customWidth="1"/>
    <col min="10" max="10" width="14.7109375" style="19" customWidth="1"/>
    <col min="11" max="11" width="17.7109375" style="19" customWidth="1"/>
    <col min="12" max="12" width="47.28515625" style="19" customWidth="1"/>
    <col min="13" max="13" width="11.5703125" style="20" customWidth="1"/>
    <col min="14" max="14" width="17.5703125" style="122" customWidth="1"/>
    <col min="15" max="15" width="20.140625" style="154" customWidth="1"/>
    <col min="16" max="16" width="17.28515625" style="26" customWidth="1"/>
    <col min="17" max="17" width="17" style="57" customWidth="1"/>
    <col min="18" max="19" width="17.5703125" style="97" customWidth="1"/>
    <col min="20" max="20" width="18.42578125" style="108" customWidth="1"/>
    <col min="21" max="21" width="20.42578125" style="66" customWidth="1"/>
    <col min="22" max="22" width="15.85546875" style="3" hidden="1" customWidth="1"/>
    <col min="23" max="23" width="27.5703125" style="120" hidden="1" customWidth="1"/>
    <col min="24" max="24" width="38.28515625" style="21" hidden="1" customWidth="1"/>
    <col min="25" max="25" width="21.5703125" style="3" customWidth="1"/>
    <col min="26" max="27" width="9.140625" style="3" customWidth="1"/>
    <col min="28" max="16384" width="0" style="3" hidden="1"/>
  </cols>
  <sheetData>
    <row r="1" spans="1:24" s="1" customFormat="1" ht="112.5" customHeight="1" x14ac:dyDescent="0.25">
      <c r="A1" s="18"/>
      <c r="B1" s="11" t="s">
        <v>20</v>
      </c>
      <c r="C1" s="22" t="s">
        <v>0</v>
      </c>
      <c r="D1" s="22" t="s">
        <v>1</v>
      </c>
      <c r="E1" s="22" t="s">
        <v>2</v>
      </c>
      <c r="F1" s="80" t="s">
        <v>5</v>
      </c>
      <c r="G1" s="80" t="s">
        <v>213</v>
      </c>
      <c r="H1" s="80" t="s">
        <v>3</v>
      </c>
      <c r="I1" s="22" t="s">
        <v>4</v>
      </c>
      <c r="J1" s="22" t="s">
        <v>6</v>
      </c>
      <c r="K1" s="80" t="s">
        <v>7</v>
      </c>
      <c r="L1" s="22" t="s">
        <v>22</v>
      </c>
      <c r="M1" s="80" t="s">
        <v>8</v>
      </c>
      <c r="N1" s="80" t="s">
        <v>9</v>
      </c>
      <c r="O1" s="80" t="s">
        <v>24</v>
      </c>
      <c r="P1" s="25" t="s">
        <v>25</v>
      </c>
      <c r="Q1" s="80" t="s">
        <v>26</v>
      </c>
      <c r="R1" s="156" t="s">
        <v>187</v>
      </c>
      <c r="S1" s="156" t="s">
        <v>188</v>
      </c>
      <c r="T1" s="80" t="s">
        <v>189</v>
      </c>
      <c r="U1" s="65" t="s">
        <v>10</v>
      </c>
      <c r="V1" s="2" t="s">
        <v>11</v>
      </c>
      <c r="W1" s="80" t="s">
        <v>23</v>
      </c>
      <c r="X1" s="23" t="s">
        <v>19</v>
      </c>
    </row>
    <row r="2" spans="1:24" ht="54" x14ac:dyDescent="0.25">
      <c r="C2" s="107" t="s">
        <v>16</v>
      </c>
      <c r="E2" s="107" t="s">
        <v>177</v>
      </c>
      <c r="F2" s="203" t="s">
        <v>241</v>
      </c>
      <c r="G2" s="164">
        <v>40906259</v>
      </c>
      <c r="H2" s="203" t="s">
        <v>242</v>
      </c>
      <c r="I2" s="203" t="s">
        <v>243</v>
      </c>
      <c r="J2" s="203">
        <v>15</v>
      </c>
      <c r="K2" s="199">
        <v>41974</v>
      </c>
      <c r="L2" s="164" t="s">
        <v>298</v>
      </c>
      <c r="M2" s="157" t="s">
        <v>12</v>
      </c>
      <c r="N2" s="157">
        <v>9</v>
      </c>
      <c r="O2" s="157">
        <v>18</v>
      </c>
      <c r="P2" s="159">
        <f t="shared" ref="P2:P5" si="0">N2*O2</f>
        <v>162</v>
      </c>
      <c r="Q2" s="201">
        <f>P2+P3+P4</f>
        <v>366.8</v>
      </c>
      <c r="R2" s="158">
        <f t="shared" ref="R2:R5" si="1">0.08*P2</f>
        <v>12.96</v>
      </c>
      <c r="S2" s="158">
        <f t="shared" ref="S2:S5" si="2">0.92*P2</f>
        <v>149.04000000000002</v>
      </c>
      <c r="U2" s="66" t="s">
        <v>495</v>
      </c>
      <c r="W2" s="193" t="s">
        <v>494</v>
      </c>
    </row>
    <row r="3" spans="1:24" ht="90" x14ac:dyDescent="0.25">
      <c r="C3" s="107" t="s">
        <v>16</v>
      </c>
      <c r="E3" s="107" t="s">
        <v>177</v>
      </c>
      <c r="F3" s="206"/>
      <c r="G3" s="165"/>
      <c r="H3" s="206"/>
      <c r="I3" s="206"/>
      <c r="J3" s="206"/>
      <c r="K3" s="205"/>
      <c r="L3" s="164" t="s">
        <v>299</v>
      </c>
      <c r="M3" s="157" t="s">
        <v>13</v>
      </c>
      <c r="N3" s="157">
        <v>0.32</v>
      </c>
      <c r="O3" s="243">
        <v>618.125</v>
      </c>
      <c r="P3" s="159">
        <f t="shared" si="0"/>
        <v>197.8</v>
      </c>
      <c r="Q3" s="209"/>
      <c r="R3" s="158">
        <f t="shared" si="1"/>
        <v>15.824000000000002</v>
      </c>
      <c r="S3" s="158">
        <f t="shared" si="2"/>
        <v>181.97600000000003</v>
      </c>
      <c r="U3" s="197" t="s">
        <v>495</v>
      </c>
      <c r="W3" s="196" t="s">
        <v>494</v>
      </c>
    </row>
    <row r="4" spans="1:24" ht="72" x14ac:dyDescent="0.25">
      <c r="C4" s="107" t="s">
        <v>16</v>
      </c>
      <c r="E4" s="107" t="s">
        <v>177</v>
      </c>
      <c r="F4" s="204"/>
      <c r="G4" s="165"/>
      <c r="H4" s="204"/>
      <c r="I4" s="204"/>
      <c r="J4" s="204"/>
      <c r="K4" s="200"/>
      <c r="L4" s="164" t="s">
        <v>247</v>
      </c>
      <c r="M4" s="157" t="s">
        <v>12</v>
      </c>
      <c r="N4" s="157">
        <v>1</v>
      </c>
      <c r="O4" s="243">
        <v>7</v>
      </c>
      <c r="P4" s="159">
        <f t="shared" si="0"/>
        <v>7</v>
      </c>
      <c r="Q4" s="202"/>
      <c r="R4" s="158">
        <f t="shared" si="1"/>
        <v>0.56000000000000005</v>
      </c>
      <c r="S4" s="158">
        <f t="shared" si="2"/>
        <v>6.44</v>
      </c>
      <c r="U4" s="197" t="s">
        <v>495</v>
      </c>
      <c r="W4" s="196" t="s">
        <v>494</v>
      </c>
    </row>
    <row r="5" spans="1:24" ht="108" customHeight="1" x14ac:dyDescent="0.25">
      <c r="C5" s="7" t="s">
        <v>17</v>
      </c>
      <c r="E5" s="107" t="s">
        <v>18</v>
      </c>
      <c r="F5" s="164" t="s">
        <v>244</v>
      </c>
      <c r="G5" s="160">
        <v>40903025</v>
      </c>
      <c r="H5" s="164" t="s">
        <v>245</v>
      </c>
      <c r="I5" s="164" t="s">
        <v>246</v>
      </c>
      <c r="J5" s="164">
        <v>5</v>
      </c>
      <c r="K5" s="119">
        <v>41975</v>
      </c>
      <c r="L5" s="203" t="s">
        <v>493</v>
      </c>
      <c r="M5" s="201" t="s">
        <v>13</v>
      </c>
      <c r="N5" s="201">
        <v>0.1</v>
      </c>
      <c r="O5" s="244">
        <v>1050</v>
      </c>
      <c r="P5" s="210">
        <f t="shared" si="0"/>
        <v>105</v>
      </c>
      <c r="Q5" s="201">
        <f>P5</f>
        <v>105</v>
      </c>
      <c r="R5" s="213">
        <f t="shared" si="1"/>
        <v>8.4</v>
      </c>
      <c r="S5" s="213">
        <f t="shared" si="2"/>
        <v>96.600000000000009</v>
      </c>
      <c r="U5" s="197" t="s">
        <v>495</v>
      </c>
      <c r="W5" s="196" t="s">
        <v>494</v>
      </c>
    </row>
    <row r="6" spans="1:24" ht="72.75" customHeight="1" x14ac:dyDescent="0.25">
      <c r="A6" s="117"/>
      <c r="B6" s="117"/>
      <c r="C6" s="195" t="s">
        <v>17</v>
      </c>
      <c r="D6" s="195"/>
      <c r="E6" s="195" t="s">
        <v>18</v>
      </c>
      <c r="F6" s="192" t="s">
        <v>490</v>
      </c>
      <c r="G6" s="198">
        <v>40913996</v>
      </c>
      <c r="H6" s="192" t="s">
        <v>491</v>
      </c>
      <c r="I6" s="194" t="s">
        <v>492</v>
      </c>
      <c r="J6" s="192">
        <v>5</v>
      </c>
      <c r="K6" s="119">
        <v>41997</v>
      </c>
      <c r="L6" s="204"/>
      <c r="M6" s="202"/>
      <c r="N6" s="202"/>
      <c r="O6" s="245"/>
      <c r="P6" s="212"/>
      <c r="Q6" s="202"/>
      <c r="R6" s="215"/>
      <c r="S6" s="215"/>
      <c r="T6" s="193"/>
      <c r="U6" s="197" t="s">
        <v>495</v>
      </c>
      <c r="W6" s="196" t="s">
        <v>494</v>
      </c>
    </row>
    <row r="7" spans="1:24" ht="90" x14ac:dyDescent="0.25">
      <c r="C7" s="7" t="s">
        <v>171</v>
      </c>
      <c r="E7" s="107" t="s">
        <v>18</v>
      </c>
      <c r="F7" s="203" t="s">
        <v>248</v>
      </c>
      <c r="G7" s="164">
        <v>40881361</v>
      </c>
      <c r="H7" s="203" t="s">
        <v>249</v>
      </c>
      <c r="I7" s="203" t="s">
        <v>284</v>
      </c>
      <c r="J7" s="203">
        <v>10</v>
      </c>
      <c r="K7" s="199">
        <v>41957</v>
      </c>
      <c r="L7" s="164" t="s">
        <v>282</v>
      </c>
      <c r="M7" s="162" t="s">
        <v>13</v>
      </c>
      <c r="N7" s="162">
        <v>1.26</v>
      </c>
      <c r="O7" s="243">
        <v>605.23809523808995</v>
      </c>
      <c r="P7" s="163">
        <f t="shared" ref="P7:P28" si="3">N7*O7</f>
        <v>762.59999999999332</v>
      </c>
      <c r="Q7" s="201">
        <f>P7+P8</f>
        <v>768.59999999999332</v>
      </c>
      <c r="R7" s="161">
        <f t="shared" ref="R7:R28" si="4">0.08*P7</f>
        <v>61.00799999999947</v>
      </c>
      <c r="S7" s="161">
        <f t="shared" ref="S7:S28" si="5">0.92*P7</f>
        <v>701.59199999999385</v>
      </c>
      <c r="U7" s="197" t="s">
        <v>495</v>
      </c>
      <c r="W7" s="196" t="s">
        <v>494</v>
      </c>
    </row>
    <row r="8" spans="1:24" ht="72" x14ac:dyDescent="0.25">
      <c r="A8" s="117"/>
      <c r="B8" s="117"/>
      <c r="C8" s="107" t="s">
        <v>171</v>
      </c>
      <c r="D8" s="107"/>
      <c r="E8" s="107" t="s">
        <v>18</v>
      </c>
      <c r="F8" s="204"/>
      <c r="G8" s="164"/>
      <c r="H8" s="204"/>
      <c r="I8" s="204"/>
      <c r="J8" s="204"/>
      <c r="K8" s="200"/>
      <c r="L8" s="164" t="s">
        <v>283</v>
      </c>
      <c r="M8" s="162" t="s">
        <v>12</v>
      </c>
      <c r="N8" s="162">
        <v>1</v>
      </c>
      <c r="O8" s="243">
        <v>6</v>
      </c>
      <c r="P8" s="163">
        <f t="shared" si="3"/>
        <v>6</v>
      </c>
      <c r="Q8" s="202"/>
      <c r="R8" s="161">
        <f t="shared" si="4"/>
        <v>0.48</v>
      </c>
      <c r="S8" s="161">
        <f t="shared" si="5"/>
        <v>5.5200000000000005</v>
      </c>
      <c r="T8" s="165"/>
      <c r="U8" s="197" t="s">
        <v>495</v>
      </c>
      <c r="W8" s="196" t="s">
        <v>494</v>
      </c>
    </row>
    <row r="9" spans="1:24" ht="78" customHeight="1" x14ac:dyDescent="0.25">
      <c r="C9" s="7" t="s">
        <v>17</v>
      </c>
      <c r="E9" s="107" t="s">
        <v>18</v>
      </c>
      <c r="F9" s="203" t="s">
        <v>250</v>
      </c>
      <c r="G9" s="164">
        <v>40885854</v>
      </c>
      <c r="H9" s="203" t="s">
        <v>251</v>
      </c>
      <c r="I9" s="203" t="s">
        <v>252</v>
      </c>
      <c r="J9" s="203">
        <v>15</v>
      </c>
      <c r="K9" s="199">
        <v>41968</v>
      </c>
      <c r="L9" s="164" t="s">
        <v>285</v>
      </c>
      <c r="M9" s="162" t="s">
        <v>13</v>
      </c>
      <c r="N9" s="162">
        <v>0.2</v>
      </c>
      <c r="O9" s="178">
        <v>1050</v>
      </c>
      <c r="P9" s="163">
        <f t="shared" si="3"/>
        <v>210</v>
      </c>
      <c r="Q9" s="201">
        <f>P9+P10+P11+P12</f>
        <v>282</v>
      </c>
      <c r="R9" s="161">
        <f t="shared" si="4"/>
        <v>16.8</v>
      </c>
      <c r="S9" s="161">
        <f t="shared" si="5"/>
        <v>193.20000000000002</v>
      </c>
      <c r="U9" s="197" t="s">
        <v>495</v>
      </c>
      <c r="W9" s="196" t="s">
        <v>494</v>
      </c>
    </row>
    <row r="10" spans="1:24" ht="36" x14ac:dyDescent="0.25">
      <c r="C10" s="7" t="s">
        <v>17</v>
      </c>
      <c r="E10" s="107" t="s">
        <v>18</v>
      </c>
      <c r="F10" s="206"/>
      <c r="G10" s="165"/>
      <c r="H10" s="206"/>
      <c r="I10" s="206"/>
      <c r="J10" s="206"/>
      <c r="K10" s="205"/>
      <c r="L10" s="164" t="s">
        <v>286</v>
      </c>
      <c r="M10" s="162" t="s">
        <v>12</v>
      </c>
      <c r="N10" s="162">
        <v>1</v>
      </c>
      <c r="O10" s="162">
        <v>60</v>
      </c>
      <c r="P10" s="163">
        <f t="shared" si="3"/>
        <v>60</v>
      </c>
      <c r="Q10" s="209"/>
      <c r="R10" s="161">
        <f t="shared" si="4"/>
        <v>4.8</v>
      </c>
      <c r="S10" s="161">
        <f t="shared" si="5"/>
        <v>55.2</v>
      </c>
      <c r="U10" s="197" t="s">
        <v>495</v>
      </c>
      <c r="W10" s="196" t="s">
        <v>494</v>
      </c>
    </row>
    <row r="11" spans="1:24" ht="54" x14ac:dyDescent="0.25">
      <c r="C11" s="7" t="s">
        <v>17</v>
      </c>
      <c r="E11" s="107" t="s">
        <v>18</v>
      </c>
      <c r="F11" s="206"/>
      <c r="G11" s="165"/>
      <c r="H11" s="206"/>
      <c r="I11" s="206"/>
      <c r="J11" s="206"/>
      <c r="K11" s="205"/>
      <c r="L11" s="164" t="s">
        <v>287</v>
      </c>
      <c r="M11" s="162" t="s">
        <v>12</v>
      </c>
      <c r="N11" s="162">
        <v>1</v>
      </c>
      <c r="O11" s="162">
        <v>5</v>
      </c>
      <c r="P11" s="163">
        <f t="shared" si="3"/>
        <v>5</v>
      </c>
      <c r="Q11" s="209"/>
      <c r="R11" s="161">
        <f t="shared" si="4"/>
        <v>0.4</v>
      </c>
      <c r="S11" s="161">
        <f t="shared" si="5"/>
        <v>4.6000000000000005</v>
      </c>
      <c r="U11" s="197" t="s">
        <v>495</v>
      </c>
      <c r="W11" s="196" t="s">
        <v>494</v>
      </c>
    </row>
    <row r="12" spans="1:24" ht="54" x14ac:dyDescent="0.25">
      <c r="C12" s="7" t="s">
        <v>17</v>
      </c>
      <c r="E12" s="107" t="s">
        <v>18</v>
      </c>
      <c r="F12" s="204"/>
      <c r="G12" s="165"/>
      <c r="H12" s="204"/>
      <c r="I12" s="204"/>
      <c r="J12" s="204"/>
      <c r="K12" s="200"/>
      <c r="L12" s="164" t="s">
        <v>288</v>
      </c>
      <c r="M12" s="162" t="s">
        <v>12</v>
      </c>
      <c r="N12" s="162">
        <v>1</v>
      </c>
      <c r="O12" s="162">
        <v>7</v>
      </c>
      <c r="P12" s="163">
        <f t="shared" si="3"/>
        <v>7</v>
      </c>
      <c r="Q12" s="202"/>
      <c r="R12" s="161">
        <f t="shared" si="4"/>
        <v>0.56000000000000005</v>
      </c>
      <c r="S12" s="161">
        <f t="shared" si="5"/>
        <v>6.44</v>
      </c>
      <c r="U12" s="197" t="s">
        <v>495</v>
      </c>
      <c r="W12" s="196" t="s">
        <v>494</v>
      </c>
    </row>
    <row r="13" spans="1:24" ht="90" x14ac:dyDescent="0.25">
      <c r="C13" s="7" t="s">
        <v>17</v>
      </c>
      <c r="E13" s="107" t="s">
        <v>18</v>
      </c>
      <c r="F13" s="164" t="s">
        <v>253</v>
      </c>
      <c r="G13" s="164">
        <v>40891740</v>
      </c>
      <c r="H13" s="164" t="s">
        <v>254</v>
      </c>
      <c r="I13" s="164" t="s">
        <v>255</v>
      </c>
      <c r="J13" s="164">
        <v>7</v>
      </c>
      <c r="K13" s="119">
        <v>41968</v>
      </c>
      <c r="L13" s="164" t="s">
        <v>300</v>
      </c>
      <c r="M13" s="162" t="s">
        <v>13</v>
      </c>
      <c r="N13" s="162">
        <v>0.04</v>
      </c>
      <c r="O13" s="178">
        <v>1050</v>
      </c>
      <c r="P13" s="163">
        <f t="shared" si="3"/>
        <v>42</v>
      </c>
      <c r="Q13" s="165">
        <f>P13</f>
        <v>42</v>
      </c>
      <c r="R13" s="161">
        <f t="shared" si="4"/>
        <v>3.36</v>
      </c>
      <c r="S13" s="161">
        <f t="shared" si="5"/>
        <v>38.64</v>
      </c>
      <c r="U13" s="197" t="s">
        <v>495</v>
      </c>
      <c r="W13" s="196" t="s">
        <v>494</v>
      </c>
    </row>
    <row r="14" spans="1:24" ht="72" x14ac:dyDescent="0.25">
      <c r="C14" s="7" t="s">
        <v>17</v>
      </c>
      <c r="E14" s="107" t="s">
        <v>18</v>
      </c>
      <c r="F14" s="164" t="s">
        <v>256</v>
      </c>
      <c r="G14" s="164">
        <v>40904735</v>
      </c>
      <c r="H14" s="164" t="s">
        <v>257</v>
      </c>
      <c r="I14" s="164" t="s">
        <v>289</v>
      </c>
      <c r="J14" s="164">
        <v>7</v>
      </c>
      <c r="K14" s="119">
        <v>41968</v>
      </c>
      <c r="L14" s="164" t="s">
        <v>290</v>
      </c>
      <c r="M14" s="162" t="s">
        <v>13</v>
      </c>
      <c r="N14" s="162">
        <v>0.08</v>
      </c>
      <c r="O14" s="178">
        <v>1050</v>
      </c>
      <c r="P14" s="163">
        <f t="shared" si="3"/>
        <v>84</v>
      </c>
      <c r="Q14" s="165">
        <f>P14</f>
        <v>84</v>
      </c>
      <c r="R14" s="161">
        <f t="shared" si="4"/>
        <v>6.72</v>
      </c>
      <c r="S14" s="161">
        <f t="shared" si="5"/>
        <v>77.28</v>
      </c>
      <c r="U14" s="197" t="s">
        <v>495</v>
      </c>
      <c r="W14" s="196" t="s">
        <v>494</v>
      </c>
    </row>
    <row r="15" spans="1:24" ht="144" x14ac:dyDescent="0.25">
      <c r="C15" s="7" t="s">
        <v>171</v>
      </c>
      <c r="E15" s="107" t="s">
        <v>18</v>
      </c>
      <c r="F15" s="187" t="s">
        <v>258</v>
      </c>
      <c r="G15" s="187">
        <v>40893197</v>
      </c>
      <c r="H15" s="187" t="s">
        <v>259</v>
      </c>
      <c r="I15" s="187" t="s">
        <v>260</v>
      </c>
      <c r="J15" s="187">
        <v>15</v>
      </c>
      <c r="K15" s="188">
        <v>41971</v>
      </c>
      <c r="L15" s="164" t="s">
        <v>480</v>
      </c>
      <c r="M15" s="162" t="s">
        <v>13</v>
      </c>
      <c r="N15" s="162">
        <v>0.15</v>
      </c>
      <c r="O15" s="178">
        <v>1050</v>
      </c>
      <c r="P15" s="163">
        <f t="shared" si="3"/>
        <v>157.5</v>
      </c>
      <c r="Q15" s="201">
        <f>P15+P16</f>
        <v>162.5</v>
      </c>
      <c r="R15" s="161">
        <f t="shared" si="4"/>
        <v>12.6</v>
      </c>
      <c r="S15" s="161">
        <f t="shared" si="5"/>
        <v>144.9</v>
      </c>
      <c r="U15" s="197" t="s">
        <v>495</v>
      </c>
      <c r="W15" s="196" t="s">
        <v>494</v>
      </c>
    </row>
    <row r="16" spans="1:24" ht="79.5" customHeight="1" x14ac:dyDescent="0.25">
      <c r="C16" s="195" t="s">
        <v>171</v>
      </c>
      <c r="D16" s="195"/>
      <c r="E16" s="195" t="s">
        <v>18</v>
      </c>
      <c r="F16" s="192" t="s">
        <v>481</v>
      </c>
      <c r="G16" s="192">
        <v>40893862</v>
      </c>
      <c r="H16" s="192" t="s">
        <v>482</v>
      </c>
      <c r="I16" s="192" t="s">
        <v>483</v>
      </c>
      <c r="J16" s="192">
        <v>15</v>
      </c>
      <c r="K16" s="119">
        <v>41971</v>
      </c>
      <c r="L16" s="164" t="s">
        <v>301</v>
      </c>
      <c r="M16" s="162" t="s">
        <v>12</v>
      </c>
      <c r="N16" s="162">
        <v>1</v>
      </c>
      <c r="O16" s="162">
        <v>5</v>
      </c>
      <c r="P16" s="163">
        <f t="shared" si="3"/>
        <v>5</v>
      </c>
      <c r="Q16" s="202"/>
      <c r="R16" s="161">
        <f t="shared" si="4"/>
        <v>0.4</v>
      </c>
      <c r="S16" s="161">
        <f t="shared" si="5"/>
        <v>4.6000000000000005</v>
      </c>
      <c r="U16" s="197" t="s">
        <v>495</v>
      </c>
      <c r="W16" s="196" t="s">
        <v>494</v>
      </c>
    </row>
    <row r="17" spans="1:23" ht="144" x14ac:dyDescent="0.25">
      <c r="C17" s="7" t="s">
        <v>21</v>
      </c>
      <c r="E17" s="107" t="s">
        <v>18</v>
      </c>
      <c r="F17" s="164" t="s">
        <v>261</v>
      </c>
      <c r="G17" s="164">
        <v>40879886</v>
      </c>
      <c r="H17" s="164" t="s">
        <v>262</v>
      </c>
      <c r="I17" s="164" t="s">
        <v>263</v>
      </c>
      <c r="J17" s="164">
        <v>5</v>
      </c>
      <c r="K17" s="119">
        <v>41974</v>
      </c>
      <c r="L17" s="164" t="s">
        <v>302</v>
      </c>
      <c r="M17" s="162" t="s">
        <v>13</v>
      </c>
      <c r="N17" s="162">
        <v>0.2</v>
      </c>
      <c r="O17" s="178">
        <v>1050</v>
      </c>
      <c r="P17" s="163">
        <f t="shared" si="3"/>
        <v>210</v>
      </c>
      <c r="Q17" s="165">
        <f>P17</f>
        <v>210</v>
      </c>
      <c r="R17" s="161">
        <f t="shared" si="4"/>
        <v>16.8</v>
      </c>
      <c r="S17" s="161">
        <f t="shared" si="5"/>
        <v>193.20000000000002</v>
      </c>
      <c r="U17" s="197" t="s">
        <v>495</v>
      </c>
      <c r="W17" s="196" t="s">
        <v>494</v>
      </c>
    </row>
    <row r="18" spans="1:23" ht="126" x14ac:dyDescent="0.25">
      <c r="C18" s="7" t="s">
        <v>16</v>
      </c>
      <c r="E18" s="107" t="s">
        <v>18</v>
      </c>
      <c r="F18" s="164" t="s">
        <v>264</v>
      </c>
      <c r="G18" s="164">
        <v>40904909</v>
      </c>
      <c r="H18" s="164" t="s">
        <v>265</v>
      </c>
      <c r="I18" s="164" t="s">
        <v>266</v>
      </c>
      <c r="J18" s="164">
        <v>7</v>
      </c>
      <c r="K18" s="119">
        <v>41974</v>
      </c>
      <c r="L18" s="164" t="s">
        <v>291</v>
      </c>
      <c r="M18" s="162" t="s">
        <v>13</v>
      </c>
      <c r="N18" s="162">
        <v>0.15</v>
      </c>
      <c r="O18" s="178">
        <v>1050</v>
      </c>
      <c r="P18" s="163">
        <f t="shared" si="3"/>
        <v>157.5</v>
      </c>
      <c r="Q18" s="165">
        <f>P18</f>
        <v>157.5</v>
      </c>
      <c r="R18" s="161">
        <f t="shared" si="4"/>
        <v>12.6</v>
      </c>
      <c r="S18" s="161">
        <f t="shared" si="5"/>
        <v>144.9</v>
      </c>
      <c r="U18" s="197" t="s">
        <v>495</v>
      </c>
      <c r="W18" s="196" t="s">
        <v>494</v>
      </c>
    </row>
    <row r="19" spans="1:23" ht="126" x14ac:dyDescent="0.25">
      <c r="C19" s="7" t="s">
        <v>16</v>
      </c>
      <c r="E19" s="107" t="s">
        <v>18</v>
      </c>
      <c r="F19" s="164" t="s">
        <v>267</v>
      </c>
      <c r="G19" s="164">
        <v>40905564</v>
      </c>
      <c r="H19" s="164" t="s">
        <v>268</v>
      </c>
      <c r="I19" s="164" t="s">
        <v>269</v>
      </c>
      <c r="J19" s="164">
        <v>7</v>
      </c>
      <c r="K19" s="119">
        <v>41974</v>
      </c>
      <c r="L19" s="203" t="s">
        <v>292</v>
      </c>
      <c r="M19" s="201" t="s">
        <v>13</v>
      </c>
      <c r="N19" s="201">
        <v>0.04</v>
      </c>
      <c r="O19" s="201">
        <v>1050</v>
      </c>
      <c r="P19" s="210">
        <f t="shared" si="3"/>
        <v>42</v>
      </c>
      <c r="Q19" s="201">
        <f>P19</f>
        <v>42</v>
      </c>
      <c r="R19" s="213">
        <f t="shared" si="4"/>
        <v>3.36</v>
      </c>
      <c r="S19" s="213">
        <f t="shared" si="5"/>
        <v>38.64</v>
      </c>
      <c r="U19" s="197" t="s">
        <v>495</v>
      </c>
      <c r="W19" s="196" t="s">
        <v>494</v>
      </c>
    </row>
    <row r="20" spans="1:23" ht="126" x14ac:dyDescent="0.25">
      <c r="C20" s="7" t="s">
        <v>16</v>
      </c>
      <c r="E20" s="107" t="s">
        <v>18</v>
      </c>
      <c r="F20" s="164" t="s">
        <v>270</v>
      </c>
      <c r="G20" s="164">
        <v>40905656</v>
      </c>
      <c r="H20" s="164" t="s">
        <v>271</v>
      </c>
      <c r="I20" s="164" t="s">
        <v>272</v>
      </c>
      <c r="J20" s="164">
        <v>7</v>
      </c>
      <c r="K20" s="119">
        <v>41974</v>
      </c>
      <c r="L20" s="204"/>
      <c r="M20" s="202"/>
      <c r="N20" s="202"/>
      <c r="O20" s="202"/>
      <c r="P20" s="212"/>
      <c r="Q20" s="202"/>
      <c r="R20" s="215"/>
      <c r="S20" s="215"/>
      <c r="U20" s="197" t="s">
        <v>495</v>
      </c>
      <c r="W20" s="196" t="s">
        <v>494</v>
      </c>
    </row>
    <row r="21" spans="1:23" ht="90" customHeight="1" x14ac:dyDescent="0.25">
      <c r="C21" s="7" t="s">
        <v>170</v>
      </c>
      <c r="E21" s="107" t="s">
        <v>18</v>
      </c>
      <c r="F21" s="203" t="s">
        <v>273</v>
      </c>
      <c r="G21" s="160">
        <v>40897158</v>
      </c>
      <c r="H21" s="203" t="s">
        <v>274</v>
      </c>
      <c r="I21" s="203" t="s">
        <v>275</v>
      </c>
      <c r="J21" s="203">
        <v>54.4</v>
      </c>
      <c r="K21" s="199">
        <v>41975</v>
      </c>
      <c r="L21" s="164" t="s">
        <v>295</v>
      </c>
      <c r="M21" s="162" t="s">
        <v>12</v>
      </c>
      <c r="N21" s="162">
        <v>1</v>
      </c>
      <c r="O21" s="162">
        <v>45</v>
      </c>
      <c r="P21" s="163">
        <f t="shared" si="3"/>
        <v>45</v>
      </c>
      <c r="Q21" s="201">
        <f>P21+P22+P23+P24+P25</f>
        <v>582.5</v>
      </c>
      <c r="R21" s="161">
        <f t="shared" si="4"/>
        <v>3.6</v>
      </c>
      <c r="S21" s="161">
        <f t="shared" si="5"/>
        <v>41.4</v>
      </c>
      <c r="U21" s="197" t="s">
        <v>495</v>
      </c>
      <c r="W21" s="196" t="s">
        <v>494</v>
      </c>
    </row>
    <row r="22" spans="1:23" ht="126" x14ac:dyDescent="0.25">
      <c r="A22" s="117"/>
      <c r="B22" s="117"/>
      <c r="C22" s="107" t="s">
        <v>170</v>
      </c>
      <c r="D22" s="107"/>
      <c r="E22" s="107" t="s">
        <v>18</v>
      </c>
      <c r="F22" s="206"/>
      <c r="G22" s="160"/>
      <c r="H22" s="206"/>
      <c r="I22" s="206"/>
      <c r="J22" s="206"/>
      <c r="K22" s="205"/>
      <c r="L22" s="164" t="s">
        <v>296</v>
      </c>
      <c r="M22" s="162" t="s">
        <v>13</v>
      </c>
      <c r="N22" s="162">
        <v>0.02</v>
      </c>
      <c r="O22" s="162">
        <v>1150</v>
      </c>
      <c r="P22" s="163">
        <f t="shared" si="3"/>
        <v>23</v>
      </c>
      <c r="Q22" s="209"/>
      <c r="R22" s="161">
        <f t="shared" si="4"/>
        <v>1.84</v>
      </c>
      <c r="S22" s="161">
        <f t="shared" si="5"/>
        <v>21.16</v>
      </c>
      <c r="T22" s="165"/>
      <c r="U22" s="197" t="s">
        <v>495</v>
      </c>
      <c r="W22" s="196" t="s">
        <v>494</v>
      </c>
    </row>
    <row r="23" spans="1:23" ht="144" x14ac:dyDescent="0.25">
      <c r="A23" s="117"/>
      <c r="B23" s="117"/>
      <c r="C23" s="107" t="s">
        <v>170</v>
      </c>
      <c r="D23" s="107"/>
      <c r="E23" s="107" t="s">
        <v>18</v>
      </c>
      <c r="F23" s="204"/>
      <c r="G23" s="160"/>
      <c r="H23" s="204"/>
      <c r="I23" s="204"/>
      <c r="J23" s="204"/>
      <c r="K23" s="200"/>
      <c r="L23" s="164" t="s">
        <v>297</v>
      </c>
      <c r="M23" s="162" t="s">
        <v>12</v>
      </c>
      <c r="N23" s="162">
        <v>1</v>
      </c>
      <c r="O23" s="166">
        <f>340+75+15+20</f>
        <v>450</v>
      </c>
      <c r="P23" s="163">
        <f t="shared" si="3"/>
        <v>450</v>
      </c>
      <c r="Q23" s="209"/>
      <c r="R23" s="161">
        <f>0.08*110</f>
        <v>8.8000000000000007</v>
      </c>
      <c r="S23" s="161">
        <f>0.92*110</f>
        <v>101.2</v>
      </c>
      <c r="T23" s="165">
        <v>340</v>
      </c>
      <c r="U23" s="197" t="s">
        <v>495</v>
      </c>
      <c r="W23" s="196" t="s">
        <v>494</v>
      </c>
    </row>
    <row r="24" spans="1:23" ht="54" x14ac:dyDescent="0.25">
      <c r="C24" s="7" t="s">
        <v>170</v>
      </c>
      <c r="E24" s="107" t="s">
        <v>18</v>
      </c>
      <c r="F24" s="203" t="s">
        <v>276</v>
      </c>
      <c r="G24" s="160">
        <v>40897064</v>
      </c>
      <c r="H24" s="203" t="s">
        <v>274</v>
      </c>
      <c r="I24" s="203" t="s">
        <v>277</v>
      </c>
      <c r="J24" s="203">
        <v>54.4</v>
      </c>
      <c r="K24" s="199">
        <v>41975</v>
      </c>
      <c r="L24" s="164" t="s">
        <v>293</v>
      </c>
      <c r="M24" s="162" t="s">
        <v>13</v>
      </c>
      <c r="N24" s="162">
        <v>0.05</v>
      </c>
      <c r="O24" s="178">
        <v>1050</v>
      </c>
      <c r="P24" s="163">
        <f t="shared" si="3"/>
        <v>52.5</v>
      </c>
      <c r="Q24" s="209"/>
      <c r="R24" s="161">
        <f t="shared" si="4"/>
        <v>4.2</v>
      </c>
      <c r="S24" s="161">
        <f t="shared" si="5"/>
        <v>48.300000000000004</v>
      </c>
      <c r="U24" s="197" t="s">
        <v>495</v>
      </c>
      <c r="W24" s="196" t="s">
        <v>494</v>
      </c>
    </row>
    <row r="25" spans="1:23" ht="72" x14ac:dyDescent="0.25">
      <c r="A25" s="117"/>
      <c r="B25" s="117"/>
      <c r="C25" s="107" t="s">
        <v>170</v>
      </c>
      <c r="D25" s="107"/>
      <c r="E25" s="107" t="s">
        <v>18</v>
      </c>
      <c r="F25" s="204"/>
      <c r="G25" s="160"/>
      <c r="H25" s="204"/>
      <c r="I25" s="204"/>
      <c r="J25" s="204"/>
      <c r="K25" s="200"/>
      <c r="L25" s="164" t="s">
        <v>294</v>
      </c>
      <c r="M25" s="162" t="s">
        <v>12</v>
      </c>
      <c r="N25" s="162">
        <v>1</v>
      </c>
      <c r="O25" s="162">
        <v>12</v>
      </c>
      <c r="P25" s="163">
        <f t="shared" si="3"/>
        <v>12</v>
      </c>
      <c r="Q25" s="202"/>
      <c r="R25" s="161">
        <f t="shared" si="4"/>
        <v>0.96</v>
      </c>
      <c r="S25" s="161">
        <f t="shared" si="5"/>
        <v>11.040000000000001</v>
      </c>
      <c r="T25" s="165"/>
      <c r="U25" s="197" t="s">
        <v>495</v>
      </c>
      <c r="W25" s="196" t="s">
        <v>494</v>
      </c>
    </row>
    <row r="26" spans="1:23" ht="94.5" customHeight="1" x14ac:dyDescent="0.25">
      <c r="C26" s="7" t="s">
        <v>21</v>
      </c>
      <c r="E26" s="107" t="s">
        <v>18</v>
      </c>
      <c r="F26" s="170" t="s">
        <v>303</v>
      </c>
      <c r="G26" s="107">
        <v>40910104</v>
      </c>
      <c r="H26" s="170" t="s">
        <v>278</v>
      </c>
      <c r="I26" s="170" t="s">
        <v>279</v>
      </c>
      <c r="J26" s="170">
        <v>10</v>
      </c>
      <c r="K26" s="119">
        <v>41991</v>
      </c>
      <c r="L26" s="203" t="s">
        <v>371</v>
      </c>
      <c r="M26" s="201" t="s">
        <v>13</v>
      </c>
      <c r="N26" s="201">
        <v>0.17</v>
      </c>
      <c r="O26" s="201">
        <v>1050</v>
      </c>
      <c r="P26" s="210">
        <f t="shared" si="3"/>
        <v>178.5</v>
      </c>
      <c r="Q26" s="201">
        <f>P26</f>
        <v>178.5</v>
      </c>
      <c r="R26" s="213">
        <f t="shared" si="4"/>
        <v>14.280000000000001</v>
      </c>
      <c r="S26" s="213">
        <f t="shared" si="5"/>
        <v>164.22</v>
      </c>
      <c r="U26" s="197" t="s">
        <v>495</v>
      </c>
      <c r="W26" s="196" t="s">
        <v>494</v>
      </c>
    </row>
    <row r="27" spans="1:23" ht="94.5" customHeight="1" x14ac:dyDescent="0.25">
      <c r="A27" s="117"/>
      <c r="B27" s="117"/>
      <c r="C27" s="107" t="s">
        <v>21</v>
      </c>
      <c r="D27" s="107"/>
      <c r="E27" s="107" t="s">
        <v>18</v>
      </c>
      <c r="F27" s="174" t="s">
        <v>368</v>
      </c>
      <c r="G27" s="107">
        <v>40912793</v>
      </c>
      <c r="H27" s="174" t="s">
        <v>369</v>
      </c>
      <c r="I27" s="174" t="s">
        <v>370</v>
      </c>
      <c r="J27" s="174">
        <v>10</v>
      </c>
      <c r="K27" s="119">
        <v>41992</v>
      </c>
      <c r="L27" s="204"/>
      <c r="M27" s="202"/>
      <c r="N27" s="202"/>
      <c r="O27" s="202"/>
      <c r="P27" s="212"/>
      <c r="Q27" s="202"/>
      <c r="R27" s="215"/>
      <c r="S27" s="215"/>
      <c r="T27" s="175"/>
      <c r="U27" s="197" t="s">
        <v>495</v>
      </c>
      <c r="W27" s="196" t="s">
        <v>494</v>
      </c>
    </row>
    <row r="28" spans="1:23" ht="144" x14ac:dyDescent="0.25">
      <c r="C28" s="7" t="s">
        <v>21</v>
      </c>
      <c r="E28" s="107" t="s">
        <v>18</v>
      </c>
      <c r="F28" s="170" t="s">
        <v>304</v>
      </c>
      <c r="G28" s="107">
        <v>40910493</v>
      </c>
      <c r="H28" s="170" t="s">
        <v>280</v>
      </c>
      <c r="I28" s="170" t="s">
        <v>281</v>
      </c>
      <c r="J28" s="170">
        <v>5</v>
      </c>
      <c r="K28" s="119">
        <v>41991</v>
      </c>
      <c r="L28" s="170" t="s">
        <v>305</v>
      </c>
      <c r="M28" s="162" t="s">
        <v>13</v>
      </c>
      <c r="N28" s="162">
        <v>0.4</v>
      </c>
      <c r="O28" s="178">
        <v>1050</v>
      </c>
      <c r="P28" s="163">
        <f t="shared" si="3"/>
        <v>420</v>
      </c>
      <c r="Q28" s="165">
        <f>P28</f>
        <v>420</v>
      </c>
      <c r="R28" s="161">
        <f t="shared" si="4"/>
        <v>33.6</v>
      </c>
      <c r="S28" s="161">
        <f t="shared" si="5"/>
        <v>386.40000000000003</v>
      </c>
      <c r="U28" s="197" t="s">
        <v>495</v>
      </c>
      <c r="W28" s="196" t="s">
        <v>494</v>
      </c>
    </row>
    <row r="29" spans="1:23" ht="72.75" customHeight="1" x14ac:dyDescent="0.25">
      <c r="C29" s="7" t="s">
        <v>170</v>
      </c>
      <c r="E29" s="107" t="s">
        <v>177</v>
      </c>
      <c r="F29" s="203" t="s">
        <v>306</v>
      </c>
      <c r="G29" s="174">
        <v>40887903</v>
      </c>
      <c r="H29" s="203" t="s">
        <v>307</v>
      </c>
      <c r="I29" s="203" t="s">
        <v>308</v>
      </c>
      <c r="J29" s="203">
        <v>160</v>
      </c>
      <c r="K29" s="199">
        <v>42138</v>
      </c>
      <c r="L29" s="174" t="s">
        <v>309</v>
      </c>
      <c r="M29" s="171" t="s">
        <v>12</v>
      </c>
      <c r="N29" s="167">
        <v>1</v>
      </c>
      <c r="O29" s="167">
        <v>70</v>
      </c>
      <c r="P29" s="169">
        <f>N29*O29</f>
        <v>70</v>
      </c>
      <c r="Q29" s="201">
        <f>P29+P30</f>
        <v>170</v>
      </c>
      <c r="R29" s="168">
        <f>0.08*P29</f>
        <v>5.6000000000000005</v>
      </c>
      <c r="S29" s="168">
        <f>0.92*P29</f>
        <v>64.400000000000006</v>
      </c>
      <c r="U29" s="197" t="s">
        <v>495</v>
      </c>
      <c r="W29" s="196" t="s">
        <v>494</v>
      </c>
    </row>
    <row r="30" spans="1:23" ht="90" x14ac:dyDescent="0.25">
      <c r="C30" s="7" t="s">
        <v>170</v>
      </c>
      <c r="E30" s="107" t="s">
        <v>177</v>
      </c>
      <c r="F30" s="204"/>
      <c r="G30" s="175"/>
      <c r="H30" s="204"/>
      <c r="I30" s="204"/>
      <c r="J30" s="204"/>
      <c r="K30" s="200"/>
      <c r="L30" s="174" t="s">
        <v>310</v>
      </c>
      <c r="M30" s="171" t="s">
        <v>12</v>
      </c>
      <c r="N30" s="167">
        <v>1</v>
      </c>
      <c r="O30" s="167">
        <v>100</v>
      </c>
      <c r="P30" s="169">
        <f>N30*O30</f>
        <v>100</v>
      </c>
      <c r="Q30" s="202"/>
      <c r="R30" s="168">
        <f>0.08*P30</f>
        <v>8</v>
      </c>
      <c r="S30" s="168">
        <f>0.92*P30</f>
        <v>92</v>
      </c>
      <c r="U30" s="197" t="s">
        <v>495</v>
      </c>
      <c r="W30" s="196" t="s">
        <v>494</v>
      </c>
    </row>
    <row r="31" spans="1:23" ht="126" x14ac:dyDescent="0.25">
      <c r="C31" s="7" t="s">
        <v>170</v>
      </c>
      <c r="E31" s="107" t="s">
        <v>177</v>
      </c>
      <c r="F31" s="203" t="s">
        <v>311</v>
      </c>
      <c r="G31" s="174">
        <v>40841584</v>
      </c>
      <c r="H31" s="203" t="s">
        <v>224</v>
      </c>
      <c r="I31" s="203" t="s">
        <v>312</v>
      </c>
      <c r="J31" s="203">
        <v>85</v>
      </c>
      <c r="K31" s="199">
        <v>42068</v>
      </c>
      <c r="L31" s="174" t="s">
        <v>377</v>
      </c>
      <c r="M31" s="171" t="s">
        <v>13</v>
      </c>
      <c r="N31" s="171">
        <v>0.1</v>
      </c>
      <c r="O31" s="171">
        <v>1420</v>
      </c>
      <c r="P31" s="173">
        <f t="shared" ref="P31:P64" si="6">N31*O31</f>
        <v>142</v>
      </c>
      <c r="Q31" s="201">
        <f>P31+P32+P33+P34+P35</f>
        <v>894</v>
      </c>
      <c r="R31" s="172">
        <f t="shared" ref="R31:R64" si="7">0.08*P31</f>
        <v>11.36</v>
      </c>
      <c r="S31" s="172">
        <f t="shared" ref="S31:S64" si="8">0.92*P31</f>
        <v>130.64000000000001</v>
      </c>
      <c r="U31" s="197" t="s">
        <v>495</v>
      </c>
      <c r="W31" s="196" t="s">
        <v>494</v>
      </c>
    </row>
    <row r="32" spans="1:23" ht="108" x14ac:dyDescent="0.25">
      <c r="A32" s="117"/>
      <c r="B32" s="117"/>
      <c r="C32" s="107" t="s">
        <v>170</v>
      </c>
      <c r="D32" s="107"/>
      <c r="E32" s="107" t="s">
        <v>177</v>
      </c>
      <c r="F32" s="206"/>
      <c r="G32" s="174"/>
      <c r="H32" s="206"/>
      <c r="I32" s="206"/>
      <c r="J32" s="206"/>
      <c r="K32" s="205"/>
      <c r="L32" s="174" t="s">
        <v>372</v>
      </c>
      <c r="M32" s="171" t="s">
        <v>13</v>
      </c>
      <c r="N32" s="171">
        <v>0.1</v>
      </c>
      <c r="O32" s="171">
        <v>1420</v>
      </c>
      <c r="P32" s="173">
        <f t="shared" si="6"/>
        <v>142</v>
      </c>
      <c r="Q32" s="209"/>
      <c r="R32" s="172">
        <f t="shared" si="7"/>
        <v>11.36</v>
      </c>
      <c r="S32" s="172">
        <f t="shared" si="8"/>
        <v>130.64000000000001</v>
      </c>
      <c r="T32" s="175"/>
      <c r="U32" s="197" t="s">
        <v>495</v>
      </c>
      <c r="W32" s="196" t="s">
        <v>494</v>
      </c>
    </row>
    <row r="33" spans="1:23" ht="54" x14ac:dyDescent="0.25">
      <c r="A33" s="117"/>
      <c r="B33" s="117"/>
      <c r="C33" s="107" t="s">
        <v>170</v>
      </c>
      <c r="D33" s="107"/>
      <c r="E33" s="107" t="s">
        <v>177</v>
      </c>
      <c r="F33" s="206"/>
      <c r="G33" s="174"/>
      <c r="H33" s="206"/>
      <c r="I33" s="206"/>
      <c r="J33" s="206"/>
      <c r="K33" s="205"/>
      <c r="L33" s="174" t="s">
        <v>378</v>
      </c>
      <c r="M33" s="171" t="s">
        <v>12</v>
      </c>
      <c r="N33" s="171">
        <v>2</v>
      </c>
      <c r="O33" s="171">
        <v>80</v>
      </c>
      <c r="P33" s="173">
        <f t="shared" si="6"/>
        <v>160</v>
      </c>
      <c r="Q33" s="209"/>
      <c r="R33" s="172">
        <f t="shared" si="7"/>
        <v>12.8</v>
      </c>
      <c r="S33" s="172">
        <f t="shared" si="8"/>
        <v>147.20000000000002</v>
      </c>
      <c r="T33" s="175"/>
      <c r="U33" s="197" t="s">
        <v>495</v>
      </c>
      <c r="W33" s="196" t="s">
        <v>494</v>
      </c>
    </row>
    <row r="34" spans="1:23" ht="52.5" customHeight="1" x14ac:dyDescent="0.25">
      <c r="A34" s="117"/>
      <c r="B34" s="117"/>
      <c r="C34" s="107" t="s">
        <v>170</v>
      </c>
      <c r="D34" s="107"/>
      <c r="E34" s="107" t="s">
        <v>177</v>
      </c>
      <c r="F34" s="206"/>
      <c r="G34" s="174"/>
      <c r="H34" s="206"/>
      <c r="I34" s="206"/>
      <c r="J34" s="206"/>
      <c r="K34" s="205"/>
      <c r="L34" s="174" t="s">
        <v>373</v>
      </c>
      <c r="M34" s="171" t="s">
        <v>12</v>
      </c>
      <c r="N34" s="171">
        <v>3</v>
      </c>
      <c r="O34" s="171">
        <v>70</v>
      </c>
      <c r="P34" s="173">
        <f t="shared" si="6"/>
        <v>210</v>
      </c>
      <c r="Q34" s="209"/>
      <c r="R34" s="172">
        <f t="shared" si="7"/>
        <v>16.8</v>
      </c>
      <c r="S34" s="172">
        <f t="shared" si="8"/>
        <v>193.20000000000002</v>
      </c>
      <c r="T34" s="175"/>
      <c r="U34" s="197" t="s">
        <v>495</v>
      </c>
      <c r="W34" s="196" t="s">
        <v>494</v>
      </c>
    </row>
    <row r="35" spans="1:23" ht="108" x14ac:dyDescent="0.25">
      <c r="A35" s="117"/>
      <c r="B35" s="117"/>
      <c r="C35" s="107" t="s">
        <v>170</v>
      </c>
      <c r="D35" s="107"/>
      <c r="E35" s="107" t="s">
        <v>177</v>
      </c>
      <c r="F35" s="204"/>
      <c r="G35" s="174"/>
      <c r="H35" s="204"/>
      <c r="I35" s="204"/>
      <c r="J35" s="204"/>
      <c r="K35" s="200"/>
      <c r="L35" s="174" t="s">
        <v>374</v>
      </c>
      <c r="M35" s="171" t="s">
        <v>12</v>
      </c>
      <c r="N35" s="171">
        <v>1</v>
      </c>
      <c r="O35" s="171">
        <f>140+50+50</f>
        <v>240</v>
      </c>
      <c r="P35" s="173">
        <f t="shared" si="6"/>
        <v>240</v>
      </c>
      <c r="Q35" s="202"/>
      <c r="R35" s="172">
        <f>0.08*100</f>
        <v>8</v>
      </c>
      <c r="S35" s="172">
        <f>0.92*100</f>
        <v>92</v>
      </c>
      <c r="T35" s="175">
        <v>140</v>
      </c>
      <c r="U35" s="197" t="s">
        <v>495</v>
      </c>
      <c r="W35" s="196" t="s">
        <v>494</v>
      </c>
    </row>
    <row r="36" spans="1:23" ht="180" x14ac:dyDescent="0.25">
      <c r="C36" s="7" t="s">
        <v>17</v>
      </c>
      <c r="E36" s="107" t="s">
        <v>18</v>
      </c>
      <c r="F36" s="203" t="s">
        <v>313</v>
      </c>
      <c r="G36" s="174">
        <v>40852037</v>
      </c>
      <c r="H36" s="203" t="s">
        <v>314</v>
      </c>
      <c r="I36" s="203" t="s">
        <v>315</v>
      </c>
      <c r="J36" s="203">
        <v>15</v>
      </c>
      <c r="K36" s="199">
        <v>41907</v>
      </c>
      <c r="L36" s="174" t="s">
        <v>376</v>
      </c>
      <c r="M36" s="171" t="s">
        <v>13</v>
      </c>
      <c r="N36" s="171">
        <v>0.15</v>
      </c>
      <c r="O36" s="178">
        <v>1050</v>
      </c>
      <c r="P36" s="173">
        <f t="shared" si="6"/>
        <v>157.5</v>
      </c>
      <c r="Q36" s="201">
        <f>P36+P37</f>
        <v>162.5</v>
      </c>
      <c r="R36" s="172">
        <f t="shared" si="7"/>
        <v>12.6</v>
      </c>
      <c r="S36" s="172">
        <f t="shared" si="8"/>
        <v>144.9</v>
      </c>
      <c r="U36" s="197" t="s">
        <v>495</v>
      </c>
      <c r="W36" s="196" t="s">
        <v>494</v>
      </c>
    </row>
    <row r="37" spans="1:23" ht="108" x14ac:dyDescent="0.25">
      <c r="A37" s="117"/>
      <c r="B37" s="117"/>
      <c r="C37" s="107" t="s">
        <v>17</v>
      </c>
      <c r="D37" s="107"/>
      <c r="E37" s="107" t="s">
        <v>18</v>
      </c>
      <c r="F37" s="204"/>
      <c r="G37" s="174"/>
      <c r="H37" s="204"/>
      <c r="I37" s="204"/>
      <c r="J37" s="204"/>
      <c r="K37" s="200"/>
      <c r="L37" s="174" t="s">
        <v>322</v>
      </c>
      <c r="M37" s="171" t="s">
        <v>12</v>
      </c>
      <c r="N37" s="171">
        <v>1</v>
      </c>
      <c r="O37" s="171">
        <v>5</v>
      </c>
      <c r="P37" s="173">
        <f t="shared" si="6"/>
        <v>5</v>
      </c>
      <c r="Q37" s="202"/>
      <c r="R37" s="172">
        <f t="shared" si="7"/>
        <v>0.4</v>
      </c>
      <c r="S37" s="172">
        <f t="shared" si="8"/>
        <v>4.6000000000000005</v>
      </c>
      <c r="T37" s="175"/>
      <c r="U37" s="197" t="s">
        <v>495</v>
      </c>
      <c r="W37" s="196" t="s">
        <v>494</v>
      </c>
    </row>
    <row r="38" spans="1:23" ht="54" x14ac:dyDescent="0.25">
      <c r="C38" s="7" t="s">
        <v>17</v>
      </c>
      <c r="E38" s="107" t="s">
        <v>18</v>
      </c>
      <c r="F38" s="203" t="s">
        <v>316</v>
      </c>
      <c r="G38" s="160">
        <v>40866487</v>
      </c>
      <c r="H38" s="203" t="s">
        <v>317</v>
      </c>
      <c r="I38" s="203" t="s">
        <v>318</v>
      </c>
      <c r="J38" s="203">
        <v>190</v>
      </c>
      <c r="K38" s="207">
        <v>42110</v>
      </c>
      <c r="L38" s="174" t="s">
        <v>379</v>
      </c>
      <c r="M38" s="171" t="s">
        <v>13</v>
      </c>
      <c r="N38" s="171">
        <v>0.1</v>
      </c>
      <c r="O38" s="171">
        <v>1420</v>
      </c>
      <c r="P38" s="173">
        <f t="shared" si="6"/>
        <v>142</v>
      </c>
      <c r="Q38" s="201">
        <f>P38+P39</f>
        <v>212</v>
      </c>
      <c r="R38" s="172">
        <f t="shared" si="7"/>
        <v>11.36</v>
      </c>
      <c r="S38" s="172">
        <f t="shared" si="8"/>
        <v>130.64000000000001</v>
      </c>
      <c r="U38" s="197" t="s">
        <v>495</v>
      </c>
      <c r="W38" s="196" t="s">
        <v>494</v>
      </c>
    </row>
    <row r="39" spans="1:23" ht="90" x14ac:dyDescent="0.25">
      <c r="A39" s="117"/>
      <c r="B39" s="117"/>
      <c r="C39" s="107" t="s">
        <v>17</v>
      </c>
      <c r="D39" s="107"/>
      <c r="E39" s="107" t="s">
        <v>18</v>
      </c>
      <c r="F39" s="204"/>
      <c r="G39" s="160"/>
      <c r="H39" s="204"/>
      <c r="I39" s="204"/>
      <c r="J39" s="204"/>
      <c r="K39" s="208"/>
      <c r="L39" s="174" t="s">
        <v>375</v>
      </c>
      <c r="M39" s="171" t="s">
        <v>12</v>
      </c>
      <c r="N39" s="171">
        <v>1</v>
      </c>
      <c r="O39" s="171">
        <v>70</v>
      </c>
      <c r="P39" s="173">
        <f t="shared" si="6"/>
        <v>70</v>
      </c>
      <c r="Q39" s="202"/>
      <c r="R39" s="172">
        <f t="shared" si="7"/>
        <v>5.6000000000000005</v>
      </c>
      <c r="S39" s="172">
        <f t="shared" si="8"/>
        <v>64.400000000000006</v>
      </c>
      <c r="T39" s="175"/>
      <c r="U39" s="197" t="s">
        <v>495</v>
      </c>
      <c r="W39" s="196" t="s">
        <v>494</v>
      </c>
    </row>
    <row r="40" spans="1:23" ht="108" x14ac:dyDescent="0.25">
      <c r="C40" s="7" t="s">
        <v>16</v>
      </c>
      <c r="E40" s="107" t="s">
        <v>18</v>
      </c>
      <c r="F40" s="174" t="s">
        <v>319</v>
      </c>
      <c r="G40" s="160">
        <v>40886450</v>
      </c>
      <c r="H40" s="174" t="s">
        <v>320</v>
      </c>
      <c r="I40" s="174" t="s">
        <v>321</v>
      </c>
      <c r="J40" s="174">
        <v>7</v>
      </c>
      <c r="K40" s="121">
        <v>41939</v>
      </c>
      <c r="L40" s="174" t="s">
        <v>380</v>
      </c>
      <c r="M40" s="171" t="s">
        <v>13</v>
      </c>
      <c r="N40" s="171">
        <v>0.15</v>
      </c>
      <c r="O40" s="178">
        <v>1050</v>
      </c>
      <c r="P40" s="173">
        <f t="shared" si="6"/>
        <v>157.5</v>
      </c>
      <c r="Q40" s="175">
        <f>P40</f>
        <v>157.5</v>
      </c>
      <c r="R40" s="172">
        <f t="shared" si="7"/>
        <v>12.6</v>
      </c>
      <c r="S40" s="172">
        <f t="shared" si="8"/>
        <v>144.9</v>
      </c>
      <c r="U40" s="197" t="s">
        <v>495</v>
      </c>
      <c r="W40" s="196" t="s">
        <v>494</v>
      </c>
    </row>
    <row r="41" spans="1:23" ht="108" x14ac:dyDescent="0.25">
      <c r="C41" s="7" t="s">
        <v>169</v>
      </c>
      <c r="E41" s="107" t="s">
        <v>18</v>
      </c>
      <c r="F41" s="174" t="s">
        <v>323</v>
      </c>
      <c r="G41" s="174">
        <v>40883427</v>
      </c>
      <c r="H41" s="174" t="s">
        <v>324</v>
      </c>
      <c r="I41" s="174" t="s">
        <v>325</v>
      </c>
      <c r="J41" s="174">
        <v>7</v>
      </c>
      <c r="K41" s="121">
        <v>41947</v>
      </c>
      <c r="L41" s="174" t="s">
        <v>381</v>
      </c>
      <c r="M41" s="171" t="s">
        <v>13</v>
      </c>
      <c r="N41" s="171">
        <v>0.06</v>
      </c>
      <c r="O41" s="178">
        <v>1050</v>
      </c>
      <c r="P41" s="173">
        <f t="shared" si="6"/>
        <v>63</v>
      </c>
      <c r="Q41" s="175">
        <f>P41</f>
        <v>63</v>
      </c>
      <c r="R41" s="172">
        <f t="shared" si="7"/>
        <v>5.04</v>
      </c>
      <c r="S41" s="172">
        <f t="shared" si="8"/>
        <v>57.96</v>
      </c>
      <c r="U41" s="197" t="s">
        <v>495</v>
      </c>
      <c r="W41" s="196" t="s">
        <v>494</v>
      </c>
    </row>
    <row r="42" spans="1:23" ht="90" x14ac:dyDescent="0.25">
      <c r="C42" s="7" t="s">
        <v>17</v>
      </c>
      <c r="E42" s="107" t="s">
        <v>177</v>
      </c>
      <c r="F42" s="174" t="s">
        <v>326</v>
      </c>
      <c r="G42" s="174">
        <v>40886538</v>
      </c>
      <c r="H42" s="174" t="s">
        <v>327</v>
      </c>
      <c r="I42" s="174" t="s">
        <v>328</v>
      </c>
      <c r="J42" s="174">
        <v>15</v>
      </c>
      <c r="K42" s="119">
        <v>41947</v>
      </c>
      <c r="L42" s="174" t="s">
        <v>382</v>
      </c>
      <c r="M42" s="171" t="s">
        <v>13</v>
      </c>
      <c r="N42" s="171">
        <v>0.5</v>
      </c>
      <c r="O42" s="171">
        <v>650</v>
      </c>
      <c r="P42" s="173">
        <f t="shared" si="6"/>
        <v>325</v>
      </c>
      <c r="Q42" s="175">
        <f>P42</f>
        <v>325</v>
      </c>
      <c r="R42" s="172">
        <f t="shared" si="7"/>
        <v>26</v>
      </c>
      <c r="S42" s="172">
        <f t="shared" si="8"/>
        <v>299</v>
      </c>
      <c r="U42" s="197" t="s">
        <v>495</v>
      </c>
      <c r="W42" s="196" t="s">
        <v>494</v>
      </c>
    </row>
    <row r="43" spans="1:23" ht="108" x14ac:dyDescent="0.25">
      <c r="C43" s="7" t="s">
        <v>171</v>
      </c>
      <c r="E43" s="107" t="s">
        <v>18</v>
      </c>
      <c r="F43" s="203" t="s">
        <v>329</v>
      </c>
      <c r="G43" s="174">
        <v>40869628</v>
      </c>
      <c r="H43" s="203" t="s">
        <v>330</v>
      </c>
      <c r="I43" s="203" t="s">
        <v>331</v>
      </c>
      <c r="J43" s="203">
        <v>5</v>
      </c>
      <c r="K43" s="199">
        <v>41957</v>
      </c>
      <c r="L43" s="174" t="s">
        <v>383</v>
      </c>
      <c r="M43" s="171" t="s">
        <v>13</v>
      </c>
      <c r="N43" s="171">
        <v>0.3</v>
      </c>
      <c r="O43" s="178">
        <v>1050</v>
      </c>
      <c r="P43" s="173">
        <f t="shared" si="6"/>
        <v>315</v>
      </c>
      <c r="Q43" s="201">
        <f>P43+P44</f>
        <v>320</v>
      </c>
      <c r="R43" s="172">
        <f t="shared" si="7"/>
        <v>25.2</v>
      </c>
      <c r="S43" s="172">
        <f t="shared" si="8"/>
        <v>289.8</v>
      </c>
      <c r="U43" s="197" t="s">
        <v>495</v>
      </c>
      <c r="W43" s="196" t="s">
        <v>494</v>
      </c>
    </row>
    <row r="44" spans="1:23" ht="72" x14ac:dyDescent="0.25">
      <c r="A44" s="117"/>
      <c r="B44" s="117"/>
      <c r="C44" s="107" t="s">
        <v>171</v>
      </c>
      <c r="D44" s="107"/>
      <c r="E44" s="107" t="s">
        <v>18</v>
      </c>
      <c r="F44" s="204"/>
      <c r="G44" s="174"/>
      <c r="H44" s="204"/>
      <c r="I44" s="204"/>
      <c r="J44" s="204"/>
      <c r="K44" s="200"/>
      <c r="L44" s="174" t="s">
        <v>335</v>
      </c>
      <c r="M44" s="171" t="s">
        <v>12</v>
      </c>
      <c r="N44" s="171">
        <v>1</v>
      </c>
      <c r="O44" s="171">
        <v>5</v>
      </c>
      <c r="P44" s="173">
        <f t="shared" si="6"/>
        <v>5</v>
      </c>
      <c r="Q44" s="202"/>
      <c r="R44" s="172">
        <f t="shared" si="7"/>
        <v>0.4</v>
      </c>
      <c r="S44" s="172">
        <f t="shared" si="8"/>
        <v>4.6000000000000005</v>
      </c>
      <c r="T44" s="175"/>
      <c r="U44" s="197" t="s">
        <v>495</v>
      </c>
      <c r="W44" s="196" t="s">
        <v>494</v>
      </c>
    </row>
    <row r="45" spans="1:23" ht="90" customHeight="1" x14ac:dyDescent="0.25">
      <c r="C45" s="7" t="s">
        <v>171</v>
      </c>
      <c r="E45" s="107" t="s">
        <v>18</v>
      </c>
      <c r="F45" s="203" t="s">
        <v>332</v>
      </c>
      <c r="G45" s="174">
        <v>40883439</v>
      </c>
      <c r="H45" s="203" t="s">
        <v>333</v>
      </c>
      <c r="I45" s="203" t="s">
        <v>334</v>
      </c>
      <c r="J45" s="203">
        <v>10</v>
      </c>
      <c r="K45" s="199">
        <v>41957</v>
      </c>
      <c r="L45" s="174" t="s">
        <v>384</v>
      </c>
      <c r="M45" s="171" t="s">
        <v>12</v>
      </c>
      <c r="N45" s="171">
        <v>1</v>
      </c>
      <c r="O45" s="171">
        <v>45</v>
      </c>
      <c r="P45" s="173">
        <f t="shared" si="6"/>
        <v>45</v>
      </c>
      <c r="Q45" s="201">
        <f>P45+P46+P47+P48</f>
        <v>629.5</v>
      </c>
      <c r="R45" s="172">
        <f t="shared" si="7"/>
        <v>3.6</v>
      </c>
      <c r="S45" s="172">
        <f t="shared" si="8"/>
        <v>41.4</v>
      </c>
      <c r="U45" s="197" t="s">
        <v>495</v>
      </c>
      <c r="W45" s="196" t="s">
        <v>494</v>
      </c>
    </row>
    <row r="46" spans="1:23" ht="126" x14ac:dyDescent="0.25">
      <c r="C46" s="7" t="s">
        <v>171</v>
      </c>
      <c r="E46" s="107" t="s">
        <v>18</v>
      </c>
      <c r="F46" s="206"/>
      <c r="G46" s="175"/>
      <c r="H46" s="206"/>
      <c r="I46" s="206"/>
      <c r="J46" s="206"/>
      <c r="K46" s="205"/>
      <c r="L46" s="174" t="s">
        <v>398</v>
      </c>
      <c r="M46" s="171" t="s">
        <v>13</v>
      </c>
      <c r="N46" s="171">
        <v>0.14000000000000001</v>
      </c>
      <c r="O46" s="171">
        <v>1150</v>
      </c>
      <c r="P46" s="173">
        <f t="shared" si="6"/>
        <v>161.00000000000003</v>
      </c>
      <c r="Q46" s="209"/>
      <c r="R46" s="172">
        <f t="shared" si="7"/>
        <v>12.880000000000003</v>
      </c>
      <c r="S46" s="172">
        <f t="shared" si="8"/>
        <v>148.12000000000003</v>
      </c>
      <c r="U46" s="197" t="s">
        <v>495</v>
      </c>
      <c r="W46" s="196" t="s">
        <v>494</v>
      </c>
    </row>
    <row r="47" spans="1:23" ht="108" x14ac:dyDescent="0.25">
      <c r="C47" s="7" t="s">
        <v>171</v>
      </c>
      <c r="E47" s="107" t="s">
        <v>18</v>
      </c>
      <c r="F47" s="206"/>
      <c r="G47" s="175"/>
      <c r="H47" s="206"/>
      <c r="I47" s="206"/>
      <c r="J47" s="206"/>
      <c r="K47" s="205"/>
      <c r="L47" s="174" t="s">
        <v>399</v>
      </c>
      <c r="M47" s="171" t="s">
        <v>12</v>
      </c>
      <c r="N47" s="171">
        <v>1</v>
      </c>
      <c r="O47" s="171">
        <f>180+50+15</f>
        <v>245</v>
      </c>
      <c r="P47" s="173">
        <f t="shared" si="6"/>
        <v>245</v>
      </c>
      <c r="Q47" s="209"/>
      <c r="R47" s="172">
        <f>0.08*65</f>
        <v>5.2</v>
      </c>
      <c r="S47" s="172">
        <f>0.92*65</f>
        <v>59.800000000000004</v>
      </c>
      <c r="T47" s="108">
        <v>180</v>
      </c>
      <c r="U47" s="197" t="s">
        <v>495</v>
      </c>
      <c r="W47" s="196" t="s">
        <v>494</v>
      </c>
    </row>
    <row r="48" spans="1:23" ht="90" x14ac:dyDescent="0.25">
      <c r="C48" s="7" t="s">
        <v>171</v>
      </c>
      <c r="E48" s="107" t="s">
        <v>18</v>
      </c>
      <c r="F48" s="204"/>
      <c r="G48" s="175"/>
      <c r="H48" s="204"/>
      <c r="I48" s="204"/>
      <c r="J48" s="204"/>
      <c r="K48" s="200"/>
      <c r="L48" s="174" t="s">
        <v>385</v>
      </c>
      <c r="M48" s="171" t="s">
        <v>13</v>
      </c>
      <c r="N48" s="171">
        <v>0.17</v>
      </c>
      <c r="O48" s="178">
        <v>1050</v>
      </c>
      <c r="P48" s="173">
        <f t="shared" si="6"/>
        <v>178.5</v>
      </c>
      <c r="Q48" s="202"/>
      <c r="R48" s="172">
        <f t="shared" si="7"/>
        <v>14.280000000000001</v>
      </c>
      <c r="S48" s="172">
        <f t="shared" si="8"/>
        <v>164.22</v>
      </c>
      <c r="U48" s="197" t="s">
        <v>495</v>
      </c>
      <c r="W48" s="196" t="s">
        <v>494</v>
      </c>
    </row>
    <row r="49" spans="1:27" ht="144" customHeight="1" x14ac:dyDescent="0.25">
      <c r="C49" s="7" t="s">
        <v>171</v>
      </c>
      <c r="E49" s="107" t="s">
        <v>18</v>
      </c>
      <c r="F49" s="174" t="s">
        <v>336</v>
      </c>
      <c r="G49" s="174">
        <v>40881608</v>
      </c>
      <c r="H49" s="174" t="s">
        <v>337</v>
      </c>
      <c r="I49" s="174" t="s">
        <v>338</v>
      </c>
      <c r="J49" s="174">
        <v>10</v>
      </c>
      <c r="K49" s="119">
        <v>41957</v>
      </c>
      <c r="L49" s="203" t="s">
        <v>479</v>
      </c>
      <c r="M49" s="201" t="s">
        <v>13</v>
      </c>
      <c r="N49" s="201">
        <v>0.12</v>
      </c>
      <c r="O49" s="201">
        <v>1050</v>
      </c>
      <c r="P49" s="210">
        <f t="shared" si="6"/>
        <v>126</v>
      </c>
      <c r="Q49" s="201">
        <f>P49</f>
        <v>126</v>
      </c>
      <c r="R49" s="213">
        <f t="shared" si="7"/>
        <v>10.08</v>
      </c>
      <c r="S49" s="213">
        <f t="shared" si="8"/>
        <v>115.92</v>
      </c>
      <c r="U49" s="197" t="s">
        <v>495</v>
      </c>
      <c r="W49" s="196" t="s">
        <v>494</v>
      </c>
    </row>
    <row r="50" spans="1:27" ht="72" x14ac:dyDescent="0.25">
      <c r="A50" s="117"/>
      <c r="B50" s="117"/>
      <c r="C50" s="195" t="s">
        <v>171</v>
      </c>
      <c r="D50" s="195"/>
      <c r="E50" s="195" t="s">
        <v>18</v>
      </c>
      <c r="F50" s="192" t="s">
        <v>477</v>
      </c>
      <c r="G50" s="192">
        <v>40881463</v>
      </c>
      <c r="H50" s="192" t="s">
        <v>478</v>
      </c>
      <c r="I50" s="192" t="s">
        <v>338</v>
      </c>
      <c r="J50" s="192">
        <v>15</v>
      </c>
      <c r="K50" s="119">
        <v>41957</v>
      </c>
      <c r="L50" s="204"/>
      <c r="M50" s="202"/>
      <c r="N50" s="202"/>
      <c r="O50" s="202"/>
      <c r="P50" s="212"/>
      <c r="Q50" s="202"/>
      <c r="R50" s="215"/>
      <c r="S50" s="215"/>
      <c r="T50" s="193"/>
      <c r="U50" s="197" t="s">
        <v>495</v>
      </c>
      <c r="W50" s="196" t="s">
        <v>494</v>
      </c>
    </row>
    <row r="51" spans="1:27" ht="126" x14ac:dyDescent="0.25">
      <c r="C51" s="7" t="s">
        <v>16</v>
      </c>
      <c r="E51" s="107" t="s">
        <v>177</v>
      </c>
      <c r="F51" s="174" t="s">
        <v>339</v>
      </c>
      <c r="G51" s="174">
        <v>40865846</v>
      </c>
      <c r="H51" s="174" t="s">
        <v>340</v>
      </c>
      <c r="I51" s="174" t="s">
        <v>341</v>
      </c>
      <c r="J51" s="174">
        <v>70</v>
      </c>
      <c r="K51" s="119">
        <v>42138</v>
      </c>
      <c r="L51" s="174" t="s">
        <v>386</v>
      </c>
      <c r="M51" s="171" t="s">
        <v>12</v>
      </c>
      <c r="N51" s="171">
        <v>1</v>
      </c>
      <c r="O51" s="171">
        <f>340+75+25</f>
        <v>440</v>
      </c>
      <c r="P51" s="173">
        <f t="shared" si="6"/>
        <v>440</v>
      </c>
      <c r="Q51" s="175">
        <f>P51</f>
        <v>440</v>
      </c>
      <c r="R51" s="172">
        <f>0.08*100</f>
        <v>8</v>
      </c>
      <c r="S51" s="172">
        <f>0.92*100</f>
        <v>92</v>
      </c>
      <c r="T51" s="108">
        <v>340</v>
      </c>
      <c r="U51" s="197" t="s">
        <v>495</v>
      </c>
      <c r="W51" s="196" t="s">
        <v>494</v>
      </c>
    </row>
    <row r="52" spans="1:27" ht="106.5" customHeight="1" x14ac:dyDescent="0.25">
      <c r="C52" s="7" t="s">
        <v>16</v>
      </c>
      <c r="E52" s="107" t="s">
        <v>18</v>
      </c>
      <c r="F52" s="174" t="s">
        <v>342</v>
      </c>
      <c r="G52" s="174">
        <v>40895908</v>
      </c>
      <c r="H52" s="174" t="s">
        <v>343</v>
      </c>
      <c r="I52" s="174" t="s">
        <v>344</v>
      </c>
      <c r="J52" s="174">
        <v>7</v>
      </c>
      <c r="K52" s="119">
        <v>41963</v>
      </c>
      <c r="L52" s="203" t="s">
        <v>387</v>
      </c>
      <c r="M52" s="201" t="s">
        <v>13</v>
      </c>
      <c r="N52" s="201">
        <v>0.3</v>
      </c>
      <c r="O52" s="201">
        <v>1050</v>
      </c>
      <c r="P52" s="210">
        <f t="shared" si="6"/>
        <v>315</v>
      </c>
      <c r="Q52" s="201">
        <f>P52</f>
        <v>315</v>
      </c>
      <c r="R52" s="213">
        <f t="shared" si="7"/>
        <v>25.2</v>
      </c>
      <c r="S52" s="213">
        <f t="shared" si="8"/>
        <v>289.8</v>
      </c>
      <c r="U52" s="197" t="s">
        <v>495</v>
      </c>
      <c r="W52" s="196" t="s">
        <v>494</v>
      </c>
    </row>
    <row r="53" spans="1:27" ht="106.5" customHeight="1" x14ac:dyDescent="0.25">
      <c r="A53" s="117"/>
      <c r="B53" s="117"/>
      <c r="C53" s="195" t="s">
        <v>16</v>
      </c>
      <c r="D53" s="195"/>
      <c r="E53" s="195" t="s">
        <v>18</v>
      </c>
      <c r="F53" s="192" t="s">
        <v>484</v>
      </c>
      <c r="G53" s="195">
        <v>40908002</v>
      </c>
      <c r="H53" s="192" t="s">
        <v>485</v>
      </c>
      <c r="I53" s="192" t="s">
        <v>486</v>
      </c>
      <c r="J53" s="192">
        <v>15</v>
      </c>
      <c r="K53" s="119">
        <v>41996</v>
      </c>
      <c r="L53" s="206"/>
      <c r="M53" s="209"/>
      <c r="N53" s="209"/>
      <c r="O53" s="209"/>
      <c r="P53" s="211"/>
      <c r="Q53" s="209"/>
      <c r="R53" s="214"/>
      <c r="S53" s="214"/>
      <c r="T53" s="193"/>
      <c r="U53" s="197" t="s">
        <v>495</v>
      </c>
      <c r="W53" s="196" t="s">
        <v>494</v>
      </c>
    </row>
    <row r="54" spans="1:27" ht="106.5" customHeight="1" x14ac:dyDescent="0.25">
      <c r="C54" s="7" t="s">
        <v>16</v>
      </c>
      <c r="E54" s="107" t="s">
        <v>18</v>
      </c>
      <c r="F54" s="174" t="s">
        <v>345</v>
      </c>
      <c r="G54" s="174">
        <v>40899243</v>
      </c>
      <c r="H54" s="174" t="s">
        <v>346</v>
      </c>
      <c r="I54" s="174" t="s">
        <v>347</v>
      </c>
      <c r="J54" s="174">
        <v>7</v>
      </c>
      <c r="K54" s="119">
        <v>41968</v>
      </c>
      <c r="L54" s="204"/>
      <c r="M54" s="202"/>
      <c r="N54" s="202"/>
      <c r="O54" s="202"/>
      <c r="P54" s="212"/>
      <c r="Q54" s="202"/>
      <c r="R54" s="215"/>
      <c r="S54" s="215"/>
      <c r="U54" s="197" t="s">
        <v>495</v>
      </c>
      <c r="W54" s="196" t="s">
        <v>494</v>
      </c>
    </row>
    <row r="55" spans="1:27" ht="144" x14ac:dyDescent="0.25">
      <c r="C55" s="7" t="s">
        <v>171</v>
      </c>
      <c r="E55" s="107" t="s">
        <v>18</v>
      </c>
      <c r="F55" s="174" t="s">
        <v>348</v>
      </c>
      <c r="G55" s="174">
        <v>40891451</v>
      </c>
      <c r="H55" s="174" t="s">
        <v>349</v>
      </c>
      <c r="I55" s="174" t="s">
        <v>350</v>
      </c>
      <c r="J55" s="174">
        <v>5</v>
      </c>
      <c r="K55" s="119">
        <v>41971</v>
      </c>
      <c r="L55" s="174" t="s">
        <v>388</v>
      </c>
      <c r="M55" s="171" t="s">
        <v>13</v>
      </c>
      <c r="N55" s="171">
        <v>0.05</v>
      </c>
      <c r="O55" s="178">
        <v>1050</v>
      </c>
      <c r="P55" s="173">
        <f t="shared" si="6"/>
        <v>52.5</v>
      </c>
      <c r="Q55" s="175">
        <f>P55</f>
        <v>52.5</v>
      </c>
      <c r="R55" s="172">
        <f t="shared" si="7"/>
        <v>4.2</v>
      </c>
      <c r="S55" s="172">
        <f t="shared" si="8"/>
        <v>48.300000000000004</v>
      </c>
      <c r="U55" s="197" t="s">
        <v>495</v>
      </c>
      <c r="W55" s="196" t="s">
        <v>494</v>
      </c>
    </row>
    <row r="56" spans="1:27" ht="90" x14ac:dyDescent="0.25">
      <c r="A56" s="152"/>
      <c r="B56" s="152"/>
      <c r="C56" s="175" t="s">
        <v>17</v>
      </c>
      <c r="D56" s="175"/>
      <c r="E56" s="175" t="s">
        <v>177</v>
      </c>
      <c r="F56" s="118" t="s">
        <v>351</v>
      </c>
      <c r="G56" s="176">
        <v>40894589</v>
      </c>
      <c r="H56" s="118" t="s">
        <v>202</v>
      </c>
      <c r="I56" s="118" t="s">
        <v>352</v>
      </c>
      <c r="J56" s="118">
        <v>378</v>
      </c>
      <c r="K56" s="139">
        <v>42157</v>
      </c>
      <c r="L56" s="118" t="s">
        <v>389</v>
      </c>
      <c r="M56" s="171" t="s">
        <v>12</v>
      </c>
      <c r="N56" s="171">
        <v>2</v>
      </c>
      <c r="O56" s="171">
        <v>80</v>
      </c>
      <c r="P56" s="173">
        <f t="shared" si="6"/>
        <v>160</v>
      </c>
      <c r="Q56" s="175">
        <f>P56</f>
        <v>160</v>
      </c>
      <c r="R56" s="172">
        <f t="shared" si="7"/>
        <v>12.8</v>
      </c>
      <c r="S56" s="172">
        <f t="shared" si="8"/>
        <v>147.20000000000002</v>
      </c>
      <c r="T56" s="175"/>
      <c r="U56" s="197" t="s">
        <v>495</v>
      </c>
      <c r="W56" s="196" t="s">
        <v>494</v>
      </c>
      <c r="X56" s="153"/>
      <c r="Y56" s="6"/>
      <c r="Z56" s="6"/>
      <c r="AA56" s="6"/>
    </row>
    <row r="57" spans="1:27" ht="144" x14ac:dyDescent="0.25">
      <c r="C57" s="7" t="s">
        <v>16</v>
      </c>
      <c r="E57" s="107" t="s">
        <v>18</v>
      </c>
      <c r="F57" s="174" t="s">
        <v>353</v>
      </c>
      <c r="G57" s="107">
        <v>40898568</v>
      </c>
      <c r="H57" s="174" t="s">
        <v>354</v>
      </c>
      <c r="I57" s="174" t="s">
        <v>355</v>
      </c>
      <c r="J57" s="174">
        <v>5</v>
      </c>
      <c r="K57" s="119">
        <v>41981</v>
      </c>
      <c r="L57" s="174" t="s">
        <v>390</v>
      </c>
      <c r="M57" s="171" t="s">
        <v>13</v>
      </c>
      <c r="N57" s="171">
        <v>0.08</v>
      </c>
      <c r="O57" s="178">
        <v>1050</v>
      </c>
      <c r="P57" s="173">
        <f t="shared" si="6"/>
        <v>84</v>
      </c>
      <c r="Q57" s="175">
        <f>P57</f>
        <v>84</v>
      </c>
      <c r="R57" s="172">
        <f t="shared" si="7"/>
        <v>6.72</v>
      </c>
      <c r="S57" s="172">
        <f t="shared" si="8"/>
        <v>77.28</v>
      </c>
      <c r="U57" s="197" t="s">
        <v>495</v>
      </c>
      <c r="W57" s="196" t="s">
        <v>494</v>
      </c>
    </row>
    <row r="58" spans="1:27" ht="108" customHeight="1" x14ac:dyDescent="0.25">
      <c r="C58" s="7" t="s">
        <v>16</v>
      </c>
      <c r="E58" s="107" t="s">
        <v>18</v>
      </c>
      <c r="F58" s="203" t="s">
        <v>356</v>
      </c>
      <c r="G58" s="107">
        <v>40883845</v>
      </c>
      <c r="H58" s="203" t="s">
        <v>357</v>
      </c>
      <c r="I58" s="203" t="s">
        <v>358</v>
      </c>
      <c r="J58" s="203">
        <v>15</v>
      </c>
      <c r="K58" s="199">
        <v>41981</v>
      </c>
      <c r="L58" s="174" t="s">
        <v>391</v>
      </c>
      <c r="M58" s="171" t="s">
        <v>13</v>
      </c>
      <c r="N58" s="171">
        <v>0.04</v>
      </c>
      <c r="O58" s="178">
        <v>1050</v>
      </c>
      <c r="P58" s="173">
        <f t="shared" si="6"/>
        <v>42</v>
      </c>
      <c r="Q58" s="201">
        <f>P58+P59+P60</f>
        <v>82</v>
      </c>
      <c r="R58" s="172">
        <f t="shared" si="7"/>
        <v>3.36</v>
      </c>
      <c r="S58" s="172">
        <f t="shared" si="8"/>
        <v>38.64</v>
      </c>
      <c r="U58" s="197" t="s">
        <v>495</v>
      </c>
      <c r="W58" s="196" t="s">
        <v>494</v>
      </c>
    </row>
    <row r="59" spans="1:27" ht="72" x14ac:dyDescent="0.25">
      <c r="A59" s="117"/>
      <c r="B59" s="117"/>
      <c r="C59" s="107" t="s">
        <v>16</v>
      </c>
      <c r="D59" s="107"/>
      <c r="E59" s="107" t="s">
        <v>18</v>
      </c>
      <c r="F59" s="206"/>
      <c r="G59" s="107"/>
      <c r="H59" s="206"/>
      <c r="I59" s="206"/>
      <c r="J59" s="206"/>
      <c r="K59" s="205"/>
      <c r="L59" s="174" t="s">
        <v>392</v>
      </c>
      <c r="M59" s="171" t="s">
        <v>13</v>
      </c>
      <c r="N59" s="171">
        <v>0.04</v>
      </c>
      <c r="O59" s="171">
        <v>350</v>
      </c>
      <c r="P59" s="173">
        <f>N59*O59</f>
        <v>14</v>
      </c>
      <c r="Q59" s="209"/>
      <c r="R59" s="172">
        <f>0.08*P59</f>
        <v>1.1200000000000001</v>
      </c>
      <c r="S59" s="172">
        <f>0.92*P59</f>
        <v>12.88</v>
      </c>
      <c r="T59" s="175"/>
      <c r="U59" s="197" t="s">
        <v>495</v>
      </c>
      <c r="W59" s="196" t="s">
        <v>494</v>
      </c>
    </row>
    <row r="60" spans="1:27" ht="72" x14ac:dyDescent="0.25">
      <c r="A60" s="117"/>
      <c r="B60" s="117"/>
      <c r="C60" s="107" t="s">
        <v>16</v>
      </c>
      <c r="D60" s="107"/>
      <c r="E60" s="107" t="s">
        <v>18</v>
      </c>
      <c r="F60" s="204"/>
      <c r="G60" s="107"/>
      <c r="H60" s="204"/>
      <c r="I60" s="204"/>
      <c r="J60" s="204"/>
      <c r="K60" s="200"/>
      <c r="L60" s="174" t="s">
        <v>393</v>
      </c>
      <c r="M60" s="171" t="s">
        <v>13</v>
      </c>
      <c r="N60" s="171">
        <v>0.04</v>
      </c>
      <c r="O60" s="171">
        <v>650</v>
      </c>
      <c r="P60" s="173">
        <f t="shared" si="6"/>
        <v>26</v>
      </c>
      <c r="Q60" s="202"/>
      <c r="R60" s="172">
        <f t="shared" si="7"/>
        <v>2.08</v>
      </c>
      <c r="S60" s="172">
        <f t="shared" si="8"/>
        <v>23.92</v>
      </c>
      <c r="T60" s="175"/>
      <c r="U60" s="197" t="s">
        <v>495</v>
      </c>
      <c r="W60" s="196" t="s">
        <v>494</v>
      </c>
    </row>
    <row r="61" spans="1:27" ht="221.25" customHeight="1" x14ac:dyDescent="0.25">
      <c r="C61" s="7" t="s">
        <v>17</v>
      </c>
      <c r="E61" s="107" t="s">
        <v>18</v>
      </c>
      <c r="F61" s="203" t="s">
        <v>359</v>
      </c>
      <c r="G61" s="107">
        <v>40900934</v>
      </c>
      <c r="H61" s="174" t="s">
        <v>360</v>
      </c>
      <c r="I61" s="203" t="s">
        <v>361</v>
      </c>
      <c r="J61" s="203">
        <v>5</v>
      </c>
      <c r="K61" s="199">
        <v>41988</v>
      </c>
      <c r="L61" s="174" t="s">
        <v>395</v>
      </c>
      <c r="M61" s="171" t="s">
        <v>13</v>
      </c>
      <c r="N61" s="171">
        <v>0.35</v>
      </c>
      <c r="O61" s="178">
        <v>1050</v>
      </c>
      <c r="P61" s="173">
        <f t="shared" si="6"/>
        <v>367.5</v>
      </c>
      <c r="Q61" s="201">
        <f>P61+P62</f>
        <v>372.5</v>
      </c>
      <c r="R61" s="172">
        <f t="shared" si="7"/>
        <v>29.400000000000002</v>
      </c>
      <c r="S61" s="172">
        <f t="shared" si="8"/>
        <v>338.1</v>
      </c>
      <c r="U61" s="197" t="s">
        <v>495</v>
      </c>
      <c r="W61" s="196" t="s">
        <v>494</v>
      </c>
    </row>
    <row r="62" spans="1:27" ht="90" x14ac:dyDescent="0.25">
      <c r="C62" s="7" t="s">
        <v>17</v>
      </c>
      <c r="E62" s="107" t="s">
        <v>18</v>
      </c>
      <c r="F62" s="204"/>
      <c r="G62" s="175"/>
      <c r="H62" s="175"/>
      <c r="I62" s="204"/>
      <c r="J62" s="204"/>
      <c r="K62" s="200"/>
      <c r="L62" s="174" t="s">
        <v>394</v>
      </c>
      <c r="M62" s="171" t="s">
        <v>12</v>
      </c>
      <c r="N62" s="171">
        <v>1</v>
      </c>
      <c r="O62" s="171">
        <v>5</v>
      </c>
      <c r="P62" s="173">
        <f t="shared" si="6"/>
        <v>5</v>
      </c>
      <c r="Q62" s="202"/>
      <c r="R62" s="172">
        <f t="shared" si="7"/>
        <v>0.4</v>
      </c>
      <c r="S62" s="172">
        <f t="shared" si="8"/>
        <v>4.6000000000000005</v>
      </c>
      <c r="U62" s="197" t="s">
        <v>495</v>
      </c>
      <c r="W62" s="196" t="s">
        <v>494</v>
      </c>
    </row>
    <row r="63" spans="1:27" ht="108" x14ac:dyDescent="0.25">
      <c r="C63" s="7" t="s">
        <v>16</v>
      </c>
      <c r="E63" s="107" t="s">
        <v>18</v>
      </c>
      <c r="F63" s="174" t="s">
        <v>362</v>
      </c>
      <c r="G63" s="107">
        <v>40899274</v>
      </c>
      <c r="H63" s="174" t="s">
        <v>363</v>
      </c>
      <c r="I63" s="174" t="s">
        <v>364</v>
      </c>
      <c r="J63" s="174">
        <v>7</v>
      </c>
      <c r="K63" s="119">
        <v>41991</v>
      </c>
      <c r="L63" s="174" t="s">
        <v>396</v>
      </c>
      <c r="M63" s="171" t="s">
        <v>13</v>
      </c>
      <c r="N63" s="171">
        <v>0.04</v>
      </c>
      <c r="O63" s="178">
        <v>1050</v>
      </c>
      <c r="P63" s="173">
        <f t="shared" si="6"/>
        <v>42</v>
      </c>
      <c r="Q63" s="175">
        <f>P63</f>
        <v>42</v>
      </c>
      <c r="R63" s="172">
        <f t="shared" si="7"/>
        <v>3.36</v>
      </c>
      <c r="S63" s="172">
        <f t="shared" si="8"/>
        <v>38.64</v>
      </c>
      <c r="U63" s="197" t="s">
        <v>495</v>
      </c>
      <c r="W63" s="196" t="s">
        <v>494</v>
      </c>
    </row>
    <row r="64" spans="1:27" ht="144" x14ac:dyDescent="0.25">
      <c r="C64" s="7" t="s">
        <v>21</v>
      </c>
      <c r="E64" s="107" t="s">
        <v>18</v>
      </c>
      <c r="F64" s="180" t="s">
        <v>365</v>
      </c>
      <c r="G64" s="107">
        <v>40913368</v>
      </c>
      <c r="H64" s="180" t="s">
        <v>366</v>
      </c>
      <c r="I64" s="180" t="s">
        <v>367</v>
      </c>
      <c r="J64" s="180">
        <v>5</v>
      </c>
      <c r="K64" s="119">
        <v>41991</v>
      </c>
      <c r="L64" s="180" t="s">
        <v>397</v>
      </c>
      <c r="M64" s="178" t="s">
        <v>13</v>
      </c>
      <c r="N64" s="171">
        <v>0.08</v>
      </c>
      <c r="O64" s="178">
        <v>1050</v>
      </c>
      <c r="P64" s="173">
        <f t="shared" si="6"/>
        <v>84</v>
      </c>
      <c r="Q64" s="175">
        <f>P64</f>
        <v>84</v>
      </c>
      <c r="R64" s="172">
        <f t="shared" si="7"/>
        <v>6.72</v>
      </c>
      <c r="S64" s="172">
        <f t="shared" si="8"/>
        <v>77.28</v>
      </c>
      <c r="U64" s="197" t="s">
        <v>495</v>
      </c>
      <c r="W64" s="196" t="s">
        <v>494</v>
      </c>
    </row>
    <row r="65" spans="1:23" ht="162" x14ac:dyDescent="0.25">
      <c r="C65" s="7" t="s">
        <v>16</v>
      </c>
      <c r="E65" s="107" t="s">
        <v>18</v>
      </c>
      <c r="F65" s="180" t="s">
        <v>400</v>
      </c>
      <c r="G65" s="180">
        <v>40853710</v>
      </c>
      <c r="H65" s="180" t="s">
        <v>401</v>
      </c>
      <c r="I65" s="180" t="s">
        <v>402</v>
      </c>
      <c r="J65" s="180">
        <v>10</v>
      </c>
      <c r="K65" s="119">
        <v>41906</v>
      </c>
      <c r="L65" s="180" t="s">
        <v>451</v>
      </c>
      <c r="M65" s="178" t="s">
        <v>13</v>
      </c>
      <c r="N65" s="178">
        <v>0.08</v>
      </c>
      <c r="O65" s="178">
        <v>1050</v>
      </c>
      <c r="P65" s="179">
        <f t="shared" ref="P65:P84" si="9">N65*O65</f>
        <v>84</v>
      </c>
      <c r="Q65" s="181">
        <f t="shared" ref="Q65:Q84" si="10">P65</f>
        <v>84</v>
      </c>
      <c r="R65" s="177">
        <f t="shared" ref="R65:R84" si="11">0.08*P65</f>
        <v>6.72</v>
      </c>
      <c r="S65" s="177">
        <f t="shared" ref="S65:S84" si="12">0.92*P65</f>
        <v>77.28</v>
      </c>
      <c r="U65" s="197" t="s">
        <v>495</v>
      </c>
      <c r="W65" s="196" t="s">
        <v>494</v>
      </c>
    </row>
    <row r="66" spans="1:23" ht="144" x14ac:dyDescent="0.25">
      <c r="C66" s="7" t="s">
        <v>171</v>
      </c>
      <c r="E66" s="107" t="s">
        <v>18</v>
      </c>
      <c r="F66" s="180" t="s">
        <v>403</v>
      </c>
      <c r="G66" s="180">
        <v>40891356</v>
      </c>
      <c r="H66" s="180" t="s">
        <v>404</v>
      </c>
      <c r="I66" s="180" t="s">
        <v>405</v>
      </c>
      <c r="J66" s="180">
        <v>10</v>
      </c>
      <c r="K66" s="119">
        <v>41971</v>
      </c>
      <c r="L66" s="180" t="s">
        <v>452</v>
      </c>
      <c r="M66" s="178" t="s">
        <v>13</v>
      </c>
      <c r="N66" s="178">
        <v>0.15</v>
      </c>
      <c r="O66" s="178">
        <v>1050</v>
      </c>
      <c r="P66" s="179">
        <f t="shared" si="9"/>
        <v>157.5</v>
      </c>
      <c r="Q66" s="181">
        <f t="shared" si="10"/>
        <v>157.5</v>
      </c>
      <c r="R66" s="177">
        <f t="shared" si="11"/>
        <v>12.6</v>
      </c>
      <c r="S66" s="177">
        <f t="shared" si="12"/>
        <v>144.9</v>
      </c>
      <c r="U66" s="197" t="s">
        <v>495</v>
      </c>
      <c r="W66" s="196" t="s">
        <v>494</v>
      </c>
    </row>
    <row r="67" spans="1:23" ht="162" customHeight="1" x14ac:dyDescent="0.25">
      <c r="C67" s="7" t="s">
        <v>17</v>
      </c>
      <c r="E67" s="107" t="s">
        <v>18</v>
      </c>
      <c r="F67" s="180" t="s">
        <v>406</v>
      </c>
      <c r="G67" s="180">
        <v>40905300</v>
      </c>
      <c r="H67" s="180" t="s">
        <v>407</v>
      </c>
      <c r="I67" s="180" t="s">
        <v>408</v>
      </c>
      <c r="J67" s="180">
        <v>7</v>
      </c>
      <c r="K67" s="119">
        <v>41974</v>
      </c>
      <c r="L67" s="203" t="s">
        <v>453</v>
      </c>
      <c r="M67" s="201" t="s">
        <v>13</v>
      </c>
      <c r="N67" s="201">
        <v>0.06</v>
      </c>
      <c r="O67" s="201">
        <v>1050</v>
      </c>
      <c r="P67" s="210">
        <f t="shared" si="9"/>
        <v>63</v>
      </c>
      <c r="Q67" s="201">
        <f t="shared" si="10"/>
        <v>63</v>
      </c>
      <c r="R67" s="213">
        <f t="shared" si="11"/>
        <v>5.04</v>
      </c>
      <c r="S67" s="213">
        <f t="shared" si="12"/>
        <v>57.96</v>
      </c>
      <c r="U67" s="197" t="s">
        <v>495</v>
      </c>
      <c r="W67" s="196" t="s">
        <v>494</v>
      </c>
    </row>
    <row r="68" spans="1:23" ht="90" x14ac:dyDescent="0.25">
      <c r="A68" s="117"/>
      <c r="B68" s="117"/>
      <c r="C68" s="195" t="s">
        <v>17</v>
      </c>
      <c r="D68" s="195"/>
      <c r="E68" s="195" t="s">
        <v>18</v>
      </c>
      <c r="F68" s="192" t="s">
        <v>487</v>
      </c>
      <c r="G68" s="198">
        <v>40911945</v>
      </c>
      <c r="H68" s="192" t="s">
        <v>488</v>
      </c>
      <c r="I68" s="194" t="s">
        <v>489</v>
      </c>
      <c r="J68" s="192">
        <v>5</v>
      </c>
      <c r="K68" s="119">
        <v>41998</v>
      </c>
      <c r="L68" s="204"/>
      <c r="M68" s="202"/>
      <c r="N68" s="202"/>
      <c r="O68" s="202"/>
      <c r="P68" s="212"/>
      <c r="Q68" s="202"/>
      <c r="R68" s="215"/>
      <c r="S68" s="215"/>
      <c r="T68" s="193"/>
      <c r="U68" s="197" t="s">
        <v>495</v>
      </c>
      <c r="W68" s="196" t="s">
        <v>494</v>
      </c>
    </row>
    <row r="69" spans="1:23" ht="144" x14ac:dyDescent="0.25">
      <c r="C69" s="7" t="s">
        <v>16</v>
      </c>
      <c r="E69" s="107" t="s">
        <v>18</v>
      </c>
      <c r="F69" s="180" t="s">
        <v>409</v>
      </c>
      <c r="G69" s="180">
        <v>40904892</v>
      </c>
      <c r="H69" s="180" t="s">
        <v>410</v>
      </c>
      <c r="I69" s="180" t="s">
        <v>411</v>
      </c>
      <c r="J69" s="180">
        <v>5</v>
      </c>
      <c r="K69" s="119">
        <v>41974</v>
      </c>
      <c r="L69" s="180" t="s">
        <v>454</v>
      </c>
      <c r="M69" s="178" t="s">
        <v>13</v>
      </c>
      <c r="N69" s="178">
        <v>0.3</v>
      </c>
      <c r="O69" s="178">
        <v>1050</v>
      </c>
      <c r="P69" s="179">
        <f t="shared" si="9"/>
        <v>315</v>
      </c>
      <c r="Q69" s="181">
        <f t="shared" si="10"/>
        <v>315</v>
      </c>
      <c r="R69" s="177">
        <f t="shared" si="11"/>
        <v>25.2</v>
      </c>
      <c r="S69" s="177">
        <f t="shared" si="12"/>
        <v>289.8</v>
      </c>
      <c r="U69" s="197" t="s">
        <v>495</v>
      </c>
      <c r="W69" s="196" t="s">
        <v>494</v>
      </c>
    </row>
    <row r="70" spans="1:23" ht="162" x14ac:dyDescent="0.25">
      <c r="C70" s="7" t="s">
        <v>21</v>
      </c>
      <c r="E70" s="107" t="s">
        <v>18</v>
      </c>
      <c r="F70" s="180" t="s">
        <v>412</v>
      </c>
      <c r="G70" s="160">
        <v>40873761</v>
      </c>
      <c r="H70" s="180" t="s">
        <v>413</v>
      </c>
      <c r="I70" s="180" t="s">
        <v>414</v>
      </c>
      <c r="J70" s="180">
        <v>5</v>
      </c>
      <c r="K70" s="119">
        <v>41975</v>
      </c>
      <c r="L70" s="180" t="s">
        <v>455</v>
      </c>
      <c r="M70" s="178" t="s">
        <v>13</v>
      </c>
      <c r="N70" s="178">
        <v>0.04</v>
      </c>
      <c r="O70" s="178">
        <v>1050</v>
      </c>
      <c r="P70" s="179">
        <f t="shared" si="9"/>
        <v>42</v>
      </c>
      <c r="Q70" s="181">
        <f t="shared" si="10"/>
        <v>42</v>
      </c>
      <c r="R70" s="177">
        <f t="shared" si="11"/>
        <v>3.36</v>
      </c>
      <c r="S70" s="177">
        <f t="shared" si="12"/>
        <v>38.64</v>
      </c>
      <c r="U70" s="197" t="s">
        <v>495</v>
      </c>
      <c r="W70" s="196" t="s">
        <v>494</v>
      </c>
    </row>
    <row r="71" spans="1:23" ht="90" x14ac:dyDescent="0.25">
      <c r="C71" s="7" t="s">
        <v>16</v>
      </c>
      <c r="E71" s="107" t="s">
        <v>18</v>
      </c>
      <c r="F71" s="180" t="s">
        <v>415</v>
      </c>
      <c r="G71" s="160">
        <v>40895235</v>
      </c>
      <c r="H71" s="180" t="s">
        <v>416</v>
      </c>
      <c r="I71" s="180" t="s">
        <v>417</v>
      </c>
      <c r="J71" s="180">
        <v>7</v>
      </c>
      <c r="K71" s="119">
        <v>41975</v>
      </c>
      <c r="L71" s="180" t="s">
        <v>456</v>
      </c>
      <c r="M71" s="178" t="s">
        <v>13</v>
      </c>
      <c r="N71" s="178">
        <v>0.08</v>
      </c>
      <c r="O71" s="178">
        <v>1050</v>
      </c>
      <c r="P71" s="179">
        <f t="shared" si="9"/>
        <v>84</v>
      </c>
      <c r="Q71" s="181">
        <f t="shared" si="10"/>
        <v>84</v>
      </c>
      <c r="R71" s="177">
        <f t="shared" si="11"/>
        <v>6.72</v>
      </c>
      <c r="S71" s="177">
        <f t="shared" si="12"/>
        <v>77.28</v>
      </c>
      <c r="U71" s="197" t="s">
        <v>495</v>
      </c>
      <c r="W71" s="196" t="s">
        <v>494</v>
      </c>
    </row>
    <row r="72" spans="1:23" ht="126" x14ac:dyDescent="0.25">
      <c r="C72" s="7" t="s">
        <v>171</v>
      </c>
      <c r="E72" s="107" t="s">
        <v>18</v>
      </c>
      <c r="F72" s="180" t="s">
        <v>418</v>
      </c>
      <c r="G72" s="160">
        <v>40902909</v>
      </c>
      <c r="H72" s="180" t="s">
        <v>419</v>
      </c>
      <c r="I72" s="180" t="s">
        <v>420</v>
      </c>
      <c r="J72" s="180">
        <v>5</v>
      </c>
      <c r="K72" s="119">
        <v>41981</v>
      </c>
      <c r="L72" s="180" t="s">
        <v>457</v>
      </c>
      <c r="M72" s="178" t="s">
        <v>13</v>
      </c>
      <c r="N72" s="178">
        <v>0.08</v>
      </c>
      <c r="O72" s="178">
        <v>1050</v>
      </c>
      <c r="P72" s="179">
        <f t="shared" si="9"/>
        <v>84</v>
      </c>
      <c r="Q72" s="181">
        <f t="shared" si="10"/>
        <v>84</v>
      </c>
      <c r="R72" s="177">
        <f t="shared" si="11"/>
        <v>6.72</v>
      </c>
      <c r="S72" s="177">
        <f t="shared" si="12"/>
        <v>77.28</v>
      </c>
      <c r="U72" s="197" t="s">
        <v>495</v>
      </c>
      <c r="W72" s="196" t="s">
        <v>494</v>
      </c>
    </row>
    <row r="73" spans="1:23" ht="90" x14ac:dyDescent="0.25">
      <c r="C73" s="7" t="s">
        <v>17</v>
      </c>
      <c r="E73" s="107" t="s">
        <v>18</v>
      </c>
      <c r="F73" s="180" t="s">
        <v>421</v>
      </c>
      <c r="G73" s="107">
        <v>40912250</v>
      </c>
      <c r="H73" s="180" t="s">
        <v>422</v>
      </c>
      <c r="I73" s="180" t="s">
        <v>423</v>
      </c>
      <c r="J73" s="180">
        <v>5</v>
      </c>
      <c r="K73" s="119">
        <v>41991</v>
      </c>
      <c r="L73" s="180" t="s">
        <v>458</v>
      </c>
      <c r="M73" s="178" t="s">
        <v>13</v>
      </c>
      <c r="N73" s="178">
        <v>0.1</v>
      </c>
      <c r="O73" s="178">
        <v>1050</v>
      </c>
      <c r="P73" s="179">
        <f t="shared" si="9"/>
        <v>105</v>
      </c>
      <c r="Q73" s="181">
        <f t="shared" si="10"/>
        <v>105</v>
      </c>
      <c r="R73" s="177">
        <f t="shared" si="11"/>
        <v>8.4</v>
      </c>
      <c r="S73" s="177">
        <f t="shared" si="12"/>
        <v>96.600000000000009</v>
      </c>
      <c r="U73" s="197" t="s">
        <v>495</v>
      </c>
      <c r="W73" s="196" t="s">
        <v>494</v>
      </c>
    </row>
    <row r="74" spans="1:23" ht="144" x14ac:dyDescent="0.25">
      <c r="C74" s="7" t="s">
        <v>16</v>
      </c>
      <c r="E74" s="107" t="s">
        <v>18</v>
      </c>
      <c r="F74" s="180" t="s">
        <v>424</v>
      </c>
      <c r="G74" s="107">
        <v>40885833</v>
      </c>
      <c r="H74" s="180" t="s">
        <v>425</v>
      </c>
      <c r="I74" s="180" t="s">
        <v>426</v>
      </c>
      <c r="J74" s="180">
        <v>15</v>
      </c>
      <c r="K74" s="119">
        <v>41995</v>
      </c>
      <c r="L74" s="180" t="s">
        <v>459</v>
      </c>
      <c r="M74" s="178" t="s">
        <v>13</v>
      </c>
      <c r="N74" s="178">
        <v>0.15</v>
      </c>
      <c r="O74" s="178">
        <v>1050</v>
      </c>
      <c r="P74" s="179">
        <f t="shared" si="9"/>
        <v>157.5</v>
      </c>
      <c r="Q74" s="181">
        <f t="shared" si="10"/>
        <v>157.5</v>
      </c>
      <c r="R74" s="177">
        <f t="shared" si="11"/>
        <v>12.6</v>
      </c>
      <c r="S74" s="177">
        <f t="shared" si="12"/>
        <v>144.9</v>
      </c>
      <c r="U74" s="197" t="s">
        <v>495</v>
      </c>
      <c r="W74" s="196" t="s">
        <v>494</v>
      </c>
    </row>
    <row r="75" spans="1:23" ht="99" customHeight="1" x14ac:dyDescent="0.25">
      <c r="C75" s="7" t="s">
        <v>14</v>
      </c>
      <c r="E75" s="107" t="s">
        <v>18</v>
      </c>
      <c r="F75" s="203" t="s">
        <v>427</v>
      </c>
      <c r="G75" s="107">
        <v>40915174</v>
      </c>
      <c r="H75" s="203" t="s">
        <v>428</v>
      </c>
      <c r="I75" s="203" t="s">
        <v>429</v>
      </c>
      <c r="J75" s="203">
        <v>15</v>
      </c>
      <c r="K75" s="199">
        <v>41995</v>
      </c>
      <c r="L75" s="180" t="s">
        <v>461</v>
      </c>
      <c r="M75" s="178" t="s">
        <v>13</v>
      </c>
      <c r="N75" s="178">
        <v>0.08</v>
      </c>
      <c r="O75" s="178">
        <v>1050</v>
      </c>
      <c r="P75" s="179">
        <f t="shared" si="9"/>
        <v>84</v>
      </c>
      <c r="Q75" s="201">
        <f>P75+P76</f>
        <v>89</v>
      </c>
      <c r="R75" s="177">
        <f t="shared" si="11"/>
        <v>6.72</v>
      </c>
      <c r="S75" s="177">
        <f t="shared" si="12"/>
        <v>77.28</v>
      </c>
      <c r="U75" s="197" t="s">
        <v>495</v>
      </c>
      <c r="W75" s="196" t="s">
        <v>494</v>
      </c>
    </row>
    <row r="76" spans="1:23" ht="54" x14ac:dyDescent="0.25">
      <c r="C76" s="7" t="s">
        <v>14</v>
      </c>
      <c r="E76" s="107" t="s">
        <v>18</v>
      </c>
      <c r="F76" s="204"/>
      <c r="G76" s="181"/>
      <c r="H76" s="204"/>
      <c r="I76" s="204"/>
      <c r="J76" s="204"/>
      <c r="K76" s="200"/>
      <c r="L76" s="180" t="s">
        <v>460</v>
      </c>
      <c r="M76" s="178" t="s">
        <v>12</v>
      </c>
      <c r="N76" s="178">
        <v>1</v>
      </c>
      <c r="O76" s="178">
        <v>5</v>
      </c>
      <c r="P76" s="179">
        <f t="shared" si="9"/>
        <v>5</v>
      </c>
      <c r="Q76" s="202"/>
      <c r="R76" s="177">
        <f t="shared" si="11"/>
        <v>0.4</v>
      </c>
      <c r="S76" s="177">
        <f t="shared" si="12"/>
        <v>4.6000000000000005</v>
      </c>
      <c r="U76" s="197" t="s">
        <v>495</v>
      </c>
      <c r="W76" s="196" t="s">
        <v>494</v>
      </c>
    </row>
    <row r="77" spans="1:23" ht="108" x14ac:dyDescent="0.25">
      <c r="C77" s="7" t="s">
        <v>16</v>
      </c>
      <c r="E77" s="107" t="s">
        <v>18</v>
      </c>
      <c r="F77" s="180" t="s">
        <v>430</v>
      </c>
      <c r="G77" s="107">
        <v>40912961</v>
      </c>
      <c r="H77" s="180" t="s">
        <v>431</v>
      </c>
      <c r="I77" s="180" t="s">
        <v>432</v>
      </c>
      <c r="J77" s="180">
        <v>7</v>
      </c>
      <c r="K77" s="119">
        <v>41995</v>
      </c>
      <c r="L77" s="180" t="s">
        <v>462</v>
      </c>
      <c r="M77" s="178" t="s">
        <v>13</v>
      </c>
      <c r="N77" s="178">
        <v>0.03</v>
      </c>
      <c r="O77" s="178">
        <v>1050</v>
      </c>
      <c r="P77" s="179">
        <f t="shared" si="9"/>
        <v>31.5</v>
      </c>
      <c r="Q77" s="181">
        <f t="shared" si="10"/>
        <v>31.5</v>
      </c>
      <c r="R77" s="177">
        <f t="shared" si="11"/>
        <v>2.52</v>
      </c>
      <c r="S77" s="177">
        <f t="shared" si="12"/>
        <v>28.98</v>
      </c>
      <c r="U77" s="197" t="s">
        <v>495</v>
      </c>
      <c r="W77" s="196" t="s">
        <v>494</v>
      </c>
    </row>
    <row r="78" spans="1:23" ht="90" x14ac:dyDescent="0.25">
      <c r="C78" s="7" t="s">
        <v>15</v>
      </c>
      <c r="E78" s="107" t="s">
        <v>18</v>
      </c>
      <c r="F78" s="203" t="s">
        <v>433</v>
      </c>
      <c r="G78" s="107">
        <v>40915979</v>
      </c>
      <c r="H78" s="203" t="s">
        <v>434</v>
      </c>
      <c r="I78" s="203" t="s">
        <v>435</v>
      </c>
      <c r="J78" s="203">
        <v>15</v>
      </c>
      <c r="K78" s="199">
        <v>41995</v>
      </c>
      <c r="L78" s="180" t="s">
        <v>463</v>
      </c>
      <c r="M78" s="178" t="s">
        <v>13</v>
      </c>
      <c r="N78" s="178">
        <v>0.25</v>
      </c>
      <c r="O78" s="178">
        <v>1050</v>
      </c>
      <c r="P78" s="179">
        <f t="shared" si="9"/>
        <v>262.5</v>
      </c>
      <c r="Q78" s="201">
        <f>P78+P79</f>
        <v>267.5</v>
      </c>
      <c r="R78" s="177">
        <f t="shared" si="11"/>
        <v>21</v>
      </c>
      <c r="S78" s="177">
        <f t="shared" si="12"/>
        <v>241.5</v>
      </c>
      <c r="U78" s="197" t="s">
        <v>495</v>
      </c>
      <c r="W78" s="196" t="s">
        <v>494</v>
      </c>
    </row>
    <row r="79" spans="1:23" ht="54" x14ac:dyDescent="0.25">
      <c r="A79" s="117"/>
      <c r="B79" s="117"/>
      <c r="C79" s="107" t="s">
        <v>15</v>
      </c>
      <c r="D79" s="107"/>
      <c r="E79" s="107" t="s">
        <v>18</v>
      </c>
      <c r="F79" s="204"/>
      <c r="G79" s="107"/>
      <c r="H79" s="204"/>
      <c r="I79" s="204"/>
      <c r="J79" s="204"/>
      <c r="K79" s="200"/>
      <c r="L79" s="180" t="s">
        <v>439</v>
      </c>
      <c r="M79" s="178" t="s">
        <v>12</v>
      </c>
      <c r="N79" s="178">
        <v>1</v>
      </c>
      <c r="O79" s="178">
        <v>5</v>
      </c>
      <c r="P79" s="179">
        <f t="shared" si="9"/>
        <v>5</v>
      </c>
      <c r="Q79" s="202"/>
      <c r="R79" s="177">
        <f t="shared" si="11"/>
        <v>0.4</v>
      </c>
      <c r="S79" s="177">
        <f t="shared" si="12"/>
        <v>4.6000000000000005</v>
      </c>
      <c r="T79" s="181"/>
      <c r="U79" s="197" t="s">
        <v>495</v>
      </c>
      <c r="W79" s="196" t="s">
        <v>494</v>
      </c>
    </row>
    <row r="80" spans="1:23" ht="108" x14ac:dyDescent="0.25">
      <c r="C80" s="7" t="s">
        <v>21</v>
      </c>
      <c r="E80" s="107" t="s">
        <v>18</v>
      </c>
      <c r="F80" s="180" t="s">
        <v>436</v>
      </c>
      <c r="G80" s="107">
        <v>40911178</v>
      </c>
      <c r="H80" s="180" t="s">
        <v>437</v>
      </c>
      <c r="I80" s="180" t="s">
        <v>438</v>
      </c>
      <c r="J80" s="180">
        <v>10</v>
      </c>
      <c r="K80" s="119">
        <v>41995</v>
      </c>
      <c r="L80" s="180" t="s">
        <v>240</v>
      </c>
      <c r="M80" s="178" t="s">
        <v>13</v>
      </c>
      <c r="N80" s="178">
        <v>0.15</v>
      </c>
      <c r="O80" s="178">
        <v>1050</v>
      </c>
      <c r="P80" s="179">
        <f t="shared" si="9"/>
        <v>157.5</v>
      </c>
      <c r="Q80" s="181">
        <f t="shared" si="10"/>
        <v>157.5</v>
      </c>
      <c r="R80" s="177">
        <f t="shared" si="11"/>
        <v>12.6</v>
      </c>
      <c r="S80" s="177">
        <f t="shared" si="12"/>
        <v>144.9</v>
      </c>
      <c r="U80" s="197" t="s">
        <v>495</v>
      </c>
      <c r="W80" s="196" t="s">
        <v>494</v>
      </c>
    </row>
    <row r="81" spans="1:24" ht="108" x14ac:dyDescent="0.25">
      <c r="C81" s="7" t="s">
        <v>16</v>
      </c>
      <c r="E81" s="107" t="s">
        <v>18</v>
      </c>
      <c r="F81" s="180" t="s">
        <v>440</v>
      </c>
      <c r="G81" s="107">
        <v>40908822</v>
      </c>
      <c r="H81" s="180" t="s">
        <v>441</v>
      </c>
      <c r="I81" s="180" t="s">
        <v>442</v>
      </c>
      <c r="J81" s="180">
        <v>15</v>
      </c>
      <c r="K81" s="119">
        <v>41996</v>
      </c>
      <c r="L81" s="180" t="s">
        <v>464</v>
      </c>
      <c r="M81" s="178" t="s">
        <v>13</v>
      </c>
      <c r="N81" s="178">
        <v>0.1</v>
      </c>
      <c r="O81" s="178">
        <v>1050</v>
      </c>
      <c r="P81" s="179">
        <f t="shared" si="9"/>
        <v>105</v>
      </c>
      <c r="Q81" s="181">
        <f t="shared" si="10"/>
        <v>105</v>
      </c>
      <c r="R81" s="177">
        <f t="shared" si="11"/>
        <v>8.4</v>
      </c>
      <c r="S81" s="177">
        <f t="shared" si="12"/>
        <v>96.600000000000009</v>
      </c>
      <c r="U81" s="197" t="s">
        <v>495</v>
      </c>
      <c r="W81" s="196" t="s">
        <v>494</v>
      </c>
    </row>
    <row r="82" spans="1:24" ht="108" x14ac:dyDescent="0.25">
      <c r="C82" s="7" t="s">
        <v>16</v>
      </c>
      <c r="E82" s="107" t="s">
        <v>18</v>
      </c>
      <c r="F82" s="180" t="s">
        <v>443</v>
      </c>
      <c r="G82" s="107">
        <v>40905715</v>
      </c>
      <c r="H82" s="180" t="s">
        <v>444</v>
      </c>
      <c r="I82" s="180" t="s">
        <v>445</v>
      </c>
      <c r="J82" s="180">
        <v>15</v>
      </c>
      <c r="K82" s="119">
        <v>41996</v>
      </c>
      <c r="L82" s="180" t="s">
        <v>465</v>
      </c>
      <c r="M82" s="178" t="s">
        <v>13</v>
      </c>
      <c r="N82" s="178">
        <v>0.2</v>
      </c>
      <c r="O82" s="178">
        <v>1050</v>
      </c>
      <c r="P82" s="179">
        <f t="shared" si="9"/>
        <v>210</v>
      </c>
      <c r="Q82" s="181">
        <f t="shared" si="10"/>
        <v>210</v>
      </c>
      <c r="R82" s="177">
        <f t="shared" si="11"/>
        <v>16.8</v>
      </c>
      <c r="S82" s="177">
        <f t="shared" si="12"/>
        <v>193.20000000000002</v>
      </c>
      <c r="U82" s="197" t="s">
        <v>495</v>
      </c>
      <c r="W82" s="196" t="s">
        <v>494</v>
      </c>
    </row>
    <row r="83" spans="1:24" ht="90" x14ac:dyDescent="0.25">
      <c r="C83" s="7" t="s">
        <v>17</v>
      </c>
      <c r="E83" s="107" t="s">
        <v>18</v>
      </c>
      <c r="F83" s="180" t="s">
        <v>446</v>
      </c>
      <c r="G83" s="107">
        <v>40910187</v>
      </c>
      <c r="H83" s="180" t="s">
        <v>447</v>
      </c>
      <c r="I83" s="180" t="s">
        <v>448</v>
      </c>
      <c r="J83" s="180">
        <v>15</v>
      </c>
      <c r="K83" s="119">
        <v>41996</v>
      </c>
      <c r="L83" s="180" t="s">
        <v>466</v>
      </c>
      <c r="M83" s="178" t="s">
        <v>13</v>
      </c>
      <c r="N83" s="178">
        <v>0.12</v>
      </c>
      <c r="O83" s="178">
        <v>1050</v>
      </c>
      <c r="P83" s="179">
        <f t="shared" si="9"/>
        <v>126</v>
      </c>
      <c r="Q83" s="181">
        <f t="shared" si="10"/>
        <v>126</v>
      </c>
      <c r="R83" s="177">
        <f t="shared" si="11"/>
        <v>10.08</v>
      </c>
      <c r="S83" s="177">
        <f t="shared" si="12"/>
        <v>115.92</v>
      </c>
      <c r="U83" s="197" t="s">
        <v>495</v>
      </c>
      <c r="W83" s="196" t="s">
        <v>494</v>
      </c>
    </row>
    <row r="84" spans="1:24" ht="90" x14ac:dyDescent="0.25">
      <c r="C84" s="7" t="s">
        <v>16</v>
      </c>
      <c r="E84" s="107" t="s">
        <v>18</v>
      </c>
      <c r="F84" s="180" t="s">
        <v>449</v>
      </c>
      <c r="G84" s="107">
        <v>40913302</v>
      </c>
      <c r="H84" s="180" t="s">
        <v>450</v>
      </c>
      <c r="I84" s="180" t="s">
        <v>468</v>
      </c>
      <c r="J84" s="180">
        <v>5</v>
      </c>
      <c r="K84" s="119">
        <v>41996</v>
      </c>
      <c r="L84" s="180" t="s">
        <v>467</v>
      </c>
      <c r="M84" s="178" t="s">
        <v>13</v>
      </c>
      <c r="N84" s="178">
        <v>0.2</v>
      </c>
      <c r="O84" s="178">
        <v>1050</v>
      </c>
      <c r="P84" s="179">
        <f t="shared" si="9"/>
        <v>210</v>
      </c>
      <c r="Q84" s="181">
        <f t="shared" si="10"/>
        <v>210</v>
      </c>
      <c r="R84" s="177">
        <f t="shared" si="11"/>
        <v>16.8</v>
      </c>
      <c r="S84" s="177">
        <f t="shared" si="12"/>
        <v>193.20000000000002</v>
      </c>
      <c r="U84" s="197" t="s">
        <v>495</v>
      </c>
      <c r="W84" s="196" t="s">
        <v>494</v>
      </c>
    </row>
    <row r="85" spans="1:24" ht="144" x14ac:dyDescent="0.25">
      <c r="A85" s="117"/>
      <c r="B85" s="117"/>
      <c r="C85" s="107" t="s">
        <v>16</v>
      </c>
      <c r="D85" s="107"/>
      <c r="E85" s="107" t="s">
        <v>18</v>
      </c>
      <c r="F85" s="185" t="s">
        <v>469</v>
      </c>
      <c r="G85" s="160">
        <v>40882747</v>
      </c>
      <c r="H85" s="185" t="s">
        <v>470</v>
      </c>
      <c r="I85" s="185" t="s">
        <v>471</v>
      </c>
      <c r="J85" s="185">
        <v>15</v>
      </c>
      <c r="K85" s="121">
        <v>41932</v>
      </c>
      <c r="L85" s="185" t="s">
        <v>472</v>
      </c>
      <c r="M85" s="182" t="s">
        <v>13</v>
      </c>
      <c r="N85" s="182">
        <v>0.2</v>
      </c>
      <c r="O85" s="182">
        <v>1050</v>
      </c>
      <c r="P85" s="184">
        <f t="shared" ref="P85:P86" si="13">N85*O85</f>
        <v>210</v>
      </c>
      <c r="Q85" s="186">
        <f>P85</f>
        <v>210</v>
      </c>
      <c r="R85" s="183">
        <f t="shared" ref="R85:R86" si="14">0.08*P85</f>
        <v>16.8</v>
      </c>
      <c r="S85" s="183">
        <f t="shared" ref="S85:S86" si="15">0.92*P85</f>
        <v>193.20000000000002</v>
      </c>
      <c r="T85" s="186"/>
      <c r="U85" s="197" t="s">
        <v>495</v>
      </c>
      <c r="V85" s="186"/>
      <c r="W85" s="196" t="s">
        <v>494</v>
      </c>
      <c r="X85" s="3"/>
    </row>
    <row r="86" spans="1:24" ht="90" x14ac:dyDescent="0.25">
      <c r="A86" s="117"/>
      <c r="B86" s="117"/>
      <c r="C86" s="195" t="s">
        <v>14</v>
      </c>
      <c r="D86" s="195"/>
      <c r="E86" s="195" t="s">
        <v>18</v>
      </c>
      <c r="F86" s="192" t="s">
        <v>473</v>
      </c>
      <c r="G86" s="192">
        <v>40888403</v>
      </c>
      <c r="H86" s="192" t="s">
        <v>474</v>
      </c>
      <c r="I86" s="192" t="s">
        <v>475</v>
      </c>
      <c r="J86" s="192">
        <v>15</v>
      </c>
      <c r="K86" s="119">
        <v>41947</v>
      </c>
      <c r="L86" s="192" t="s">
        <v>476</v>
      </c>
      <c r="M86" s="189" t="s">
        <v>13</v>
      </c>
      <c r="N86" s="189">
        <v>0.06</v>
      </c>
      <c r="O86" s="189">
        <v>1050</v>
      </c>
      <c r="P86" s="190">
        <f t="shared" si="13"/>
        <v>63</v>
      </c>
      <c r="Q86" s="193">
        <f t="shared" ref="Q86" si="16">P86</f>
        <v>63</v>
      </c>
      <c r="R86" s="191">
        <f t="shared" si="14"/>
        <v>5.04</v>
      </c>
      <c r="S86" s="191">
        <f t="shared" si="15"/>
        <v>57.96</v>
      </c>
      <c r="T86" s="193"/>
      <c r="U86" s="197" t="s">
        <v>495</v>
      </c>
      <c r="W86" s="196" t="s">
        <v>494</v>
      </c>
    </row>
  </sheetData>
  <autoFilter ref="A1:AA86"/>
  <customSheetViews>
    <customSheetView guid="{27408AF0-22BA-4514-9C63-AEEBDB4CAEAD}" scale="55" filter="1" showAutoFilter="1" hiddenColumns="1" topLeftCell="E1">
      <pane ySplit="1" topLeftCell="A2436" activePane="bottomLeft" state="frozen"/>
      <selection pane="bottomLeft" activeCell="L2518" sqref="L251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  <customSheetView guid="{01132C0C-3D01-4D8A-8EA0-B5D52DAFF1EA}" scale="55" showAutoFilter="1" hiddenColumns="1" topLeftCell="C1">
      <pane ySplit="3" topLeftCell="A600" activePane="bottomLeft" state="frozen"/>
      <selection pane="bottomLeft" activeCell="G604" sqref="G604"/>
      <pageMargins left="0.70866141732283472" right="0.70866141732283472" top="0.74803149606299213" bottom="0.74803149606299213" header="0.31496062992125984" footer="0.31496062992125984"/>
      <pageSetup paperSize="9" scale="50" orientation="landscape" r:id="rId2"/>
    </customSheetView>
  </customSheetViews>
  <mergeCells count="137">
    <mergeCell ref="F9:F12"/>
    <mergeCell ref="Q7:Q8"/>
    <mergeCell ref="M19:M20"/>
    <mergeCell ref="N19:N20"/>
    <mergeCell ref="O19:O20"/>
    <mergeCell ref="Q5:Q6"/>
    <mergeCell ref="R5:R6"/>
    <mergeCell ref="S5:S6"/>
    <mergeCell ref="O67:O68"/>
    <mergeCell ref="P67:P68"/>
    <mergeCell ref="Q67:Q68"/>
    <mergeCell ref="R67:R68"/>
    <mergeCell ref="S67:S68"/>
    <mergeCell ref="L5:L6"/>
    <mergeCell ref="M5:M6"/>
    <mergeCell ref="N5:N6"/>
    <mergeCell ref="O5:O6"/>
    <mergeCell ref="P5:P6"/>
    <mergeCell ref="S49:S50"/>
    <mergeCell ref="P19:P20"/>
    <mergeCell ref="Q19:Q20"/>
    <mergeCell ref="R19:R20"/>
    <mergeCell ref="S19:S20"/>
    <mergeCell ref="Q15:Q16"/>
    <mergeCell ref="F2:F4"/>
    <mergeCell ref="H2:H4"/>
    <mergeCell ref="I2:I4"/>
    <mergeCell ref="J2:J4"/>
    <mergeCell ref="K2:K4"/>
    <mergeCell ref="Q2:Q4"/>
    <mergeCell ref="F7:F8"/>
    <mergeCell ref="H7:H8"/>
    <mergeCell ref="I7:I8"/>
    <mergeCell ref="J7:J8"/>
    <mergeCell ref="K7:K8"/>
    <mergeCell ref="F21:F23"/>
    <mergeCell ref="H21:H23"/>
    <mergeCell ref="I21:I23"/>
    <mergeCell ref="J21:J23"/>
    <mergeCell ref="K21:K23"/>
    <mergeCell ref="F24:F25"/>
    <mergeCell ref="H24:H25"/>
    <mergeCell ref="F31:F35"/>
    <mergeCell ref="H31:H35"/>
    <mergeCell ref="I31:I35"/>
    <mergeCell ref="J31:J35"/>
    <mergeCell ref="K31:K35"/>
    <mergeCell ref="F29:F30"/>
    <mergeCell ref="H29:H30"/>
    <mergeCell ref="I29:I30"/>
    <mergeCell ref="I24:I25"/>
    <mergeCell ref="J24:J25"/>
    <mergeCell ref="K24:K25"/>
    <mergeCell ref="H9:H12"/>
    <mergeCell ref="I9:I12"/>
    <mergeCell ref="J9:J12"/>
    <mergeCell ref="K9:K12"/>
    <mergeCell ref="K29:K30"/>
    <mergeCell ref="Q29:Q30"/>
    <mergeCell ref="Q21:Q25"/>
    <mergeCell ref="L26:L27"/>
    <mergeCell ref="L19:L20"/>
    <mergeCell ref="Q9:Q12"/>
    <mergeCell ref="J29:J30"/>
    <mergeCell ref="M26:M27"/>
    <mergeCell ref="N26:N27"/>
    <mergeCell ref="O26:O27"/>
    <mergeCell ref="P26:P27"/>
    <mergeCell ref="S52:S54"/>
    <mergeCell ref="Q45:Q48"/>
    <mergeCell ref="Q43:Q44"/>
    <mergeCell ref="Q38:Q39"/>
    <mergeCell ref="Q52:Q54"/>
    <mergeCell ref="S26:S27"/>
    <mergeCell ref="R52:R54"/>
    <mergeCell ref="Q36:Q37"/>
    <mergeCell ref="Q31:Q35"/>
    <mergeCell ref="R49:R50"/>
    <mergeCell ref="Q49:Q50"/>
    <mergeCell ref="Q26:Q27"/>
    <mergeCell ref="R26:R27"/>
    <mergeCell ref="Q58:Q60"/>
    <mergeCell ref="L52:L54"/>
    <mergeCell ref="M52:M54"/>
    <mergeCell ref="N52:N54"/>
    <mergeCell ref="O52:O54"/>
    <mergeCell ref="P52:P54"/>
    <mergeCell ref="J58:J60"/>
    <mergeCell ref="L49:L50"/>
    <mergeCell ref="M49:M50"/>
    <mergeCell ref="N49:N50"/>
    <mergeCell ref="O49:O50"/>
    <mergeCell ref="P49:P50"/>
    <mergeCell ref="F43:F44"/>
    <mergeCell ref="H43:H44"/>
    <mergeCell ref="I43:I44"/>
    <mergeCell ref="J43:J44"/>
    <mergeCell ref="K43:K44"/>
    <mergeCell ref="F45:F48"/>
    <mergeCell ref="H45:H48"/>
    <mergeCell ref="I45:I48"/>
    <mergeCell ref="J45:J48"/>
    <mergeCell ref="K45:K48"/>
    <mergeCell ref="F36:F37"/>
    <mergeCell ref="H36:H37"/>
    <mergeCell ref="I36:I37"/>
    <mergeCell ref="J36:J37"/>
    <mergeCell ref="K36:K37"/>
    <mergeCell ref="F38:F39"/>
    <mergeCell ref="H38:H39"/>
    <mergeCell ref="I38:I39"/>
    <mergeCell ref="J38:J39"/>
    <mergeCell ref="K38:K39"/>
    <mergeCell ref="K78:K79"/>
    <mergeCell ref="Q78:Q79"/>
    <mergeCell ref="J78:J79"/>
    <mergeCell ref="K58:K60"/>
    <mergeCell ref="F61:F62"/>
    <mergeCell ref="I61:I62"/>
    <mergeCell ref="J61:J62"/>
    <mergeCell ref="K61:K62"/>
    <mergeCell ref="F78:F79"/>
    <mergeCell ref="H78:H79"/>
    <mergeCell ref="I78:I79"/>
    <mergeCell ref="F58:F60"/>
    <mergeCell ref="H58:H60"/>
    <mergeCell ref="I58:I60"/>
    <mergeCell ref="Q75:Q76"/>
    <mergeCell ref="F75:F76"/>
    <mergeCell ref="H75:H76"/>
    <mergeCell ref="I75:I76"/>
    <mergeCell ref="J75:J76"/>
    <mergeCell ref="K75:K76"/>
    <mergeCell ref="L67:L68"/>
    <mergeCell ref="M67:M68"/>
    <mergeCell ref="N67:N68"/>
    <mergeCell ref="Q61:Q62"/>
  </mergeCells>
  <conditionalFormatting sqref="G2">
    <cfRule type="duplicateValues" dxfId="107" priority="210"/>
  </conditionalFormatting>
  <conditionalFormatting sqref="G5">
    <cfRule type="duplicateValues" dxfId="106" priority="209"/>
  </conditionalFormatting>
  <conditionalFormatting sqref="G9">
    <cfRule type="duplicateValues" dxfId="105" priority="198"/>
  </conditionalFormatting>
  <conditionalFormatting sqref="G13:G15">
    <cfRule type="duplicateValues" dxfId="104" priority="197"/>
  </conditionalFormatting>
  <conditionalFormatting sqref="G17">
    <cfRule type="duplicateValues" dxfId="103" priority="196"/>
  </conditionalFormatting>
  <conditionalFormatting sqref="G18:G20">
    <cfRule type="duplicateValues" dxfId="102" priority="195"/>
  </conditionalFormatting>
  <conditionalFormatting sqref="G26 G28">
    <cfRule type="duplicateValues" dxfId="101" priority="193"/>
  </conditionalFormatting>
  <conditionalFormatting sqref="G26 G28">
    <cfRule type="duplicateValues" dxfId="100" priority="191"/>
    <cfRule type="duplicateValues" dxfId="99" priority="192"/>
  </conditionalFormatting>
  <conditionalFormatting sqref="G26">
    <cfRule type="duplicateValues" dxfId="98" priority="190"/>
  </conditionalFormatting>
  <conditionalFormatting sqref="G21:G25">
    <cfRule type="duplicateValues" dxfId="97" priority="3007"/>
  </conditionalFormatting>
  <conditionalFormatting sqref="G29">
    <cfRule type="duplicateValues" dxfId="96" priority="189"/>
  </conditionalFormatting>
  <conditionalFormatting sqref="G29">
    <cfRule type="duplicateValues" dxfId="95" priority="188"/>
  </conditionalFormatting>
  <conditionalFormatting sqref="G29">
    <cfRule type="duplicateValues" dxfId="94" priority="187"/>
  </conditionalFormatting>
  <conditionalFormatting sqref="G29">
    <cfRule type="duplicateValues" dxfId="93" priority="186"/>
  </conditionalFormatting>
  <conditionalFormatting sqref="G29">
    <cfRule type="duplicateValues" dxfId="92" priority="184"/>
    <cfRule type="duplicateValues" dxfId="91" priority="185"/>
  </conditionalFormatting>
  <conditionalFormatting sqref="G31:G35">
    <cfRule type="duplicateValues" dxfId="90" priority="183"/>
  </conditionalFormatting>
  <conditionalFormatting sqref="G38:G39 G31:G35">
    <cfRule type="duplicateValues" dxfId="89" priority="182"/>
  </conditionalFormatting>
  <conditionalFormatting sqref="G31:G39">
    <cfRule type="duplicateValues" dxfId="88" priority="181"/>
  </conditionalFormatting>
  <conditionalFormatting sqref="G31:G39">
    <cfRule type="duplicateValues" dxfId="87" priority="179"/>
    <cfRule type="duplicateValues" dxfId="86" priority="180"/>
  </conditionalFormatting>
  <conditionalFormatting sqref="G31:G40">
    <cfRule type="duplicateValues" dxfId="85" priority="178"/>
  </conditionalFormatting>
  <conditionalFormatting sqref="G31:G40">
    <cfRule type="duplicateValues" dxfId="84" priority="177"/>
  </conditionalFormatting>
  <conditionalFormatting sqref="G36:G37">
    <cfRule type="duplicateValues" dxfId="83" priority="176"/>
  </conditionalFormatting>
  <conditionalFormatting sqref="G38:G39">
    <cfRule type="duplicateValues" dxfId="82" priority="175"/>
  </conditionalFormatting>
  <conditionalFormatting sqref="G40">
    <cfRule type="duplicateValues" dxfId="81" priority="174"/>
  </conditionalFormatting>
  <conditionalFormatting sqref="G40">
    <cfRule type="duplicateValues" dxfId="80" priority="173"/>
  </conditionalFormatting>
  <conditionalFormatting sqref="G41:G45">
    <cfRule type="duplicateValues" dxfId="79" priority="172"/>
  </conditionalFormatting>
  <conditionalFormatting sqref="G41:G45">
    <cfRule type="duplicateValues" dxfId="78" priority="171"/>
  </conditionalFormatting>
  <conditionalFormatting sqref="G41:G45">
    <cfRule type="duplicateValues" dxfId="77" priority="170"/>
  </conditionalFormatting>
  <conditionalFormatting sqref="G41:G45">
    <cfRule type="duplicateValues" dxfId="76" priority="169"/>
  </conditionalFormatting>
  <conditionalFormatting sqref="G41:G45">
    <cfRule type="duplicateValues" dxfId="75" priority="167"/>
    <cfRule type="duplicateValues" dxfId="74" priority="168"/>
  </conditionalFormatting>
  <conditionalFormatting sqref="G52">
    <cfRule type="duplicateValues" dxfId="73" priority="160"/>
  </conditionalFormatting>
  <conditionalFormatting sqref="G52 G54">
    <cfRule type="duplicateValues" dxfId="72" priority="159"/>
  </conditionalFormatting>
  <conditionalFormatting sqref="G52">
    <cfRule type="duplicateValues" dxfId="71" priority="158"/>
  </conditionalFormatting>
  <conditionalFormatting sqref="G52">
    <cfRule type="duplicateValues" dxfId="70" priority="157"/>
  </conditionalFormatting>
  <conditionalFormatting sqref="G52">
    <cfRule type="duplicateValues" dxfId="69" priority="155"/>
    <cfRule type="duplicateValues" dxfId="68" priority="156"/>
  </conditionalFormatting>
  <conditionalFormatting sqref="G55">
    <cfRule type="duplicateValues" dxfId="67" priority="154"/>
  </conditionalFormatting>
  <conditionalFormatting sqref="G56">
    <cfRule type="duplicateValues" dxfId="66" priority="153"/>
  </conditionalFormatting>
  <conditionalFormatting sqref="G57">
    <cfRule type="duplicateValues" dxfId="65" priority="152"/>
  </conditionalFormatting>
  <conditionalFormatting sqref="G57">
    <cfRule type="duplicateValues" dxfId="64" priority="151"/>
  </conditionalFormatting>
  <conditionalFormatting sqref="G57">
    <cfRule type="duplicateValues" dxfId="63" priority="149"/>
    <cfRule type="duplicateValues" dxfId="62" priority="150"/>
  </conditionalFormatting>
  <conditionalFormatting sqref="G58:G61">
    <cfRule type="duplicateValues" dxfId="61" priority="148"/>
  </conditionalFormatting>
  <conditionalFormatting sqref="G58:G61">
    <cfRule type="duplicateValues" dxfId="60" priority="147"/>
  </conditionalFormatting>
  <conditionalFormatting sqref="G58:G61">
    <cfRule type="duplicateValues" dxfId="59" priority="145"/>
    <cfRule type="duplicateValues" dxfId="58" priority="146"/>
  </conditionalFormatting>
  <conditionalFormatting sqref="G27">
    <cfRule type="duplicateValues" dxfId="57" priority="140"/>
  </conditionalFormatting>
  <conditionalFormatting sqref="G27">
    <cfRule type="duplicateValues" dxfId="56" priority="139"/>
  </conditionalFormatting>
  <conditionalFormatting sqref="G27">
    <cfRule type="duplicateValues" dxfId="55" priority="137"/>
    <cfRule type="duplicateValues" dxfId="54" priority="138"/>
  </conditionalFormatting>
  <conditionalFormatting sqref="G63:G64">
    <cfRule type="duplicateValues" dxfId="53" priority="3008"/>
  </conditionalFormatting>
  <conditionalFormatting sqref="G63:G64">
    <cfRule type="duplicateValues" dxfId="52" priority="3010"/>
    <cfRule type="duplicateValues" dxfId="51" priority="3011"/>
  </conditionalFormatting>
  <conditionalFormatting sqref="G49 G51">
    <cfRule type="duplicateValues" dxfId="50" priority="3012"/>
  </conditionalFormatting>
  <conditionalFormatting sqref="G49 G51">
    <cfRule type="duplicateValues" dxfId="49" priority="3020"/>
    <cfRule type="duplicateValues" dxfId="48" priority="3021"/>
  </conditionalFormatting>
  <conditionalFormatting sqref="G65">
    <cfRule type="duplicateValues" dxfId="47" priority="136"/>
  </conditionalFormatting>
  <conditionalFormatting sqref="G65">
    <cfRule type="duplicateValues" dxfId="46" priority="135"/>
  </conditionalFormatting>
  <conditionalFormatting sqref="G65">
    <cfRule type="duplicateValues" dxfId="45" priority="133"/>
    <cfRule type="duplicateValues" dxfId="44" priority="134"/>
  </conditionalFormatting>
  <conditionalFormatting sqref="G65">
    <cfRule type="duplicateValues" dxfId="43" priority="132"/>
  </conditionalFormatting>
  <conditionalFormatting sqref="G65">
    <cfRule type="duplicateValues" dxfId="42" priority="131"/>
  </conditionalFormatting>
  <conditionalFormatting sqref="G65">
    <cfRule type="duplicateValues" dxfId="41" priority="130"/>
  </conditionalFormatting>
  <conditionalFormatting sqref="G66:G67">
    <cfRule type="duplicateValues" dxfId="40" priority="129"/>
  </conditionalFormatting>
  <conditionalFormatting sqref="G69:G71">
    <cfRule type="duplicateValues" dxfId="39" priority="128"/>
  </conditionalFormatting>
  <conditionalFormatting sqref="G72:G73">
    <cfRule type="duplicateValues" dxfId="38" priority="127"/>
  </conditionalFormatting>
  <conditionalFormatting sqref="G73">
    <cfRule type="duplicateValues" dxfId="37" priority="126"/>
  </conditionalFormatting>
  <conditionalFormatting sqref="G73">
    <cfRule type="duplicateValues" dxfId="36" priority="124"/>
    <cfRule type="duplicateValues" dxfId="35" priority="125"/>
  </conditionalFormatting>
  <conditionalFormatting sqref="G74:G75">
    <cfRule type="duplicateValues" dxfId="34" priority="123"/>
  </conditionalFormatting>
  <conditionalFormatting sqref="G77">
    <cfRule type="duplicateValues" dxfId="33" priority="122"/>
  </conditionalFormatting>
  <conditionalFormatting sqref="G78:G80">
    <cfRule type="duplicateValues" dxfId="32" priority="121"/>
  </conditionalFormatting>
  <conditionalFormatting sqref="G81:G84">
    <cfRule type="duplicateValues" dxfId="31" priority="120"/>
  </conditionalFormatting>
  <conditionalFormatting sqref="G85">
    <cfRule type="duplicateValues" dxfId="30" priority="101"/>
  </conditionalFormatting>
  <conditionalFormatting sqref="G85">
    <cfRule type="duplicateValues" dxfId="29" priority="100"/>
  </conditionalFormatting>
  <conditionalFormatting sqref="G85">
    <cfRule type="duplicateValues" dxfId="28" priority="99"/>
  </conditionalFormatting>
  <conditionalFormatting sqref="G85">
    <cfRule type="duplicateValues" dxfId="27" priority="98"/>
  </conditionalFormatting>
  <conditionalFormatting sqref="G7:G8">
    <cfRule type="duplicateValues" dxfId="26" priority="3022"/>
  </conditionalFormatting>
  <conditionalFormatting sqref="G7:G8">
    <cfRule type="duplicateValues" dxfId="25" priority="3024"/>
    <cfRule type="duplicateValues" dxfId="24" priority="3025"/>
  </conditionalFormatting>
  <conditionalFormatting sqref="G86">
    <cfRule type="duplicateValues" dxfId="23" priority="96"/>
  </conditionalFormatting>
  <conditionalFormatting sqref="G86">
    <cfRule type="duplicateValues" dxfId="22" priority="95"/>
  </conditionalFormatting>
  <conditionalFormatting sqref="G86">
    <cfRule type="duplicateValues" dxfId="21" priority="94"/>
  </conditionalFormatting>
  <conditionalFormatting sqref="G86">
    <cfRule type="duplicateValues" dxfId="20" priority="93"/>
  </conditionalFormatting>
  <conditionalFormatting sqref="G86">
    <cfRule type="duplicateValues" dxfId="19" priority="92"/>
  </conditionalFormatting>
  <conditionalFormatting sqref="G86">
    <cfRule type="duplicateValues" dxfId="18" priority="91"/>
  </conditionalFormatting>
  <conditionalFormatting sqref="G86">
    <cfRule type="duplicateValues" dxfId="17" priority="90"/>
  </conditionalFormatting>
  <conditionalFormatting sqref="G86">
    <cfRule type="duplicateValues" dxfId="16" priority="88"/>
    <cfRule type="duplicateValues" dxfId="15" priority="89"/>
  </conditionalFormatting>
  <conditionalFormatting sqref="G86">
    <cfRule type="duplicateValues" dxfId="14" priority="87"/>
  </conditionalFormatting>
  <conditionalFormatting sqref="G50">
    <cfRule type="duplicateValues" dxfId="13" priority="86"/>
  </conditionalFormatting>
  <conditionalFormatting sqref="G50">
    <cfRule type="duplicateValues" dxfId="12" priority="85"/>
  </conditionalFormatting>
  <conditionalFormatting sqref="G50">
    <cfRule type="duplicateValues" dxfId="11" priority="84"/>
  </conditionalFormatting>
  <conditionalFormatting sqref="G50">
    <cfRule type="duplicateValues" dxfId="10" priority="83"/>
  </conditionalFormatting>
  <conditionalFormatting sqref="G50">
    <cfRule type="duplicateValues" dxfId="9" priority="82"/>
  </conditionalFormatting>
  <conditionalFormatting sqref="G50">
    <cfRule type="duplicateValues" dxfId="8" priority="81"/>
  </conditionalFormatting>
  <conditionalFormatting sqref="G50">
    <cfRule type="duplicateValues" dxfId="7" priority="80"/>
  </conditionalFormatting>
  <conditionalFormatting sqref="G50">
    <cfRule type="duplicateValues" dxfId="6" priority="78"/>
    <cfRule type="duplicateValues" dxfId="5" priority="79"/>
  </conditionalFormatting>
  <conditionalFormatting sqref="G50">
    <cfRule type="duplicateValues" dxfId="4" priority="77"/>
  </conditionalFormatting>
  <conditionalFormatting sqref="G16">
    <cfRule type="duplicateValues" dxfId="3" priority="65"/>
  </conditionalFormatting>
  <conditionalFormatting sqref="G53">
    <cfRule type="duplicateValues" dxfId="2" priority="19"/>
  </conditionalFormatting>
  <conditionalFormatting sqref="G68">
    <cfRule type="duplicateValues" dxfId="1" priority="10"/>
  </conditionalFormatting>
  <conditionalFormatting sqref="G6">
    <cfRule type="duplicateValues" dxfId="0" priority="9"/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A161"/>
  <sheetViews>
    <sheetView topLeftCell="A86" zoomScale="55" zoomScaleNormal="55" workbookViewId="0">
      <selection activeCell="F38" sqref="F38"/>
    </sheetView>
  </sheetViews>
  <sheetFormatPr defaultRowHeight="18" outlineLevelRow="1" outlineLevelCol="1" x14ac:dyDescent="0.25"/>
  <cols>
    <col min="1" max="1" width="5.28515625" customWidth="1"/>
    <col min="2" max="2" width="10.28515625" customWidth="1"/>
    <col min="3" max="4" width="23.7109375" customWidth="1"/>
    <col min="5" max="6" width="24.5703125" customWidth="1"/>
    <col min="7" max="7" width="25.85546875" customWidth="1"/>
    <col min="8" max="8" width="22.28515625" style="4" hidden="1" customWidth="1"/>
    <col min="9" max="9" width="17.140625" style="4" hidden="1" customWidth="1"/>
    <col min="10" max="10" width="13.42578125" style="4" hidden="1" customWidth="1"/>
    <col min="11" max="11" width="10.28515625" hidden="1" customWidth="1"/>
    <col min="12" max="12" width="21.85546875" customWidth="1"/>
    <col min="13" max="13" width="16.85546875" customWidth="1" outlineLevel="1"/>
    <col min="14" max="20" width="15.28515625" customWidth="1" outlineLevel="1"/>
    <col min="21" max="21" width="22.140625" customWidth="1"/>
    <col min="22" max="22" width="9.140625" customWidth="1"/>
    <col min="23" max="23" width="18" style="116" customWidth="1"/>
    <col min="24" max="26" width="18" customWidth="1"/>
    <col min="27" max="27" width="18" style="64" customWidth="1"/>
    <col min="28" max="31" width="18" customWidth="1"/>
    <col min="32" max="32" width="18.7109375" style="64" customWidth="1"/>
    <col min="33" max="33" width="9.140625" style="64"/>
    <col min="34" max="39" width="18.7109375" style="64" customWidth="1"/>
    <col min="40" max="46" width="18" style="64" customWidth="1"/>
    <col min="47" max="157" width="9.140625" style="64"/>
  </cols>
  <sheetData>
    <row r="2" spans="2:157" x14ac:dyDescent="0.25">
      <c r="W2" s="3"/>
      <c r="X2" s="3"/>
      <c r="Y2" s="3"/>
      <c r="Z2" s="3"/>
      <c r="AA2" s="6"/>
      <c r="AB2" s="3"/>
      <c r="AC2" s="3"/>
      <c r="AD2" s="3"/>
      <c r="AE2" s="3"/>
    </row>
    <row r="3" spans="2:157" ht="18" customHeight="1" x14ac:dyDescent="0.25">
      <c r="M3" s="217" t="s">
        <v>59</v>
      </c>
      <c r="N3" s="218"/>
      <c r="O3" s="218"/>
      <c r="P3" s="218"/>
      <c r="Q3" s="218"/>
      <c r="R3" s="218"/>
      <c r="S3" s="218"/>
      <c r="T3" s="218"/>
      <c r="X3" s="232" t="s">
        <v>133</v>
      </c>
      <c r="Y3" s="232"/>
      <c r="Z3" s="232"/>
      <c r="AA3" s="232"/>
      <c r="AB3" s="232"/>
      <c r="AC3" s="232"/>
      <c r="AD3" s="232"/>
      <c r="AE3" s="232"/>
      <c r="AM3" s="228" t="s">
        <v>157</v>
      </c>
      <c r="AN3" s="228"/>
      <c r="AO3" s="228"/>
      <c r="AP3" s="228"/>
      <c r="AQ3" s="228"/>
      <c r="AR3" s="228"/>
      <c r="AS3" s="228"/>
      <c r="AT3" s="228"/>
    </row>
    <row r="4" spans="2:157" ht="81" customHeight="1" x14ac:dyDescent="0.25">
      <c r="B4" s="15"/>
      <c r="C4" s="30"/>
      <c r="D4" s="30"/>
      <c r="E4" s="30"/>
      <c r="F4" s="30"/>
      <c r="G4" s="70"/>
      <c r="H4" s="30"/>
      <c r="I4" s="30"/>
      <c r="J4" s="30"/>
      <c r="K4" s="29"/>
      <c r="L4" s="17"/>
      <c r="M4" s="30" t="s">
        <v>67</v>
      </c>
      <c r="N4" s="30" t="s">
        <v>60</v>
      </c>
      <c r="O4" s="30" t="s">
        <v>61</v>
      </c>
      <c r="P4" s="30" t="s">
        <v>62</v>
      </c>
      <c r="Q4" s="30" t="s">
        <v>63</v>
      </c>
      <c r="R4" s="30" t="s">
        <v>64</v>
      </c>
      <c r="S4" s="30" t="s">
        <v>65</v>
      </c>
      <c r="T4" s="71" t="s">
        <v>66</v>
      </c>
      <c r="U4" s="69" t="s">
        <v>134</v>
      </c>
      <c r="W4" s="30" t="s">
        <v>220</v>
      </c>
      <c r="X4" s="30" t="s">
        <v>67</v>
      </c>
      <c r="Y4" s="30" t="s">
        <v>60</v>
      </c>
      <c r="Z4" s="30" t="s">
        <v>61</v>
      </c>
      <c r="AA4" s="101" t="s">
        <v>62</v>
      </c>
      <c r="AB4" s="30" t="s">
        <v>63</v>
      </c>
      <c r="AC4" s="30" t="s">
        <v>64</v>
      </c>
      <c r="AD4" s="30" t="s">
        <v>65</v>
      </c>
      <c r="AE4" s="30" t="s">
        <v>66</v>
      </c>
      <c r="AF4" s="6"/>
      <c r="AG4" s="6"/>
      <c r="AH4" s="229" t="s">
        <v>158</v>
      </c>
      <c r="AI4" s="229" t="s">
        <v>159</v>
      </c>
      <c r="AJ4" s="229" t="s">
        <v>162</v>
      </c>
      <c r="AK4" s="201" t="s">
        <v>160</v>
      </c>
      <c r="AL4" s="90"/>
      <c r="AM4" s="84" t="s">
        <v>67</v>
      </c>
      <c r="AN4" s="84" t="s">
        <v>60</v>
      </c>
      <c r="AO4" s="84" t="s">
        <v>61</v>
      </c>
      <c r="AP4" s="84" t="s">
        <v>62</v>
      </c>
      <c r="AQ4" s="84" t="s">
        <v>63</v>
      </c>
      <c r="AR4" s="84" t="s">
        <v>64</v>
      </c>
      <c r="AS4" s="84" t="s">
        <v>65</v>
      </c>
      <c r="AT4" s="84" t="s">
        <v>66</v>
      </c>
    </row>
    <row r="5" spans="2:157" ht="44.25" customHeight="1" x14ac:dyDescent="0.25">
      <c r="B5" s="16"/>
      <c r="C5" s="225" t="s">
        <v>94</v>
      </c>
      <c r="D5" s="226"/>
      <c r="E5" s="226"/>
      <c r="F5" s="226"/>
      <c r="G5" s="226"/>
      <c r="H5" s="226"/>
      <c r="I5" s="226"/>
      <c r="J5" s="226"/>
      <c r="K5" s="227"/>
      <c r="L5" s="17"/>
      <c r="M5" s="51">
        <v>105000</v>
      </c>
      <c r="N5" s="51">
        <v>58000</v>
      </c>
      <c r="O5" s="51">
        <v>86017</v>
      </c>
      <c r="P5" s="51">
        <v>93000</v>
      </c>
      <c r="Q5" s="51">
        <v>18102</v>
      </c>
      <c r="R5" s="51">
        <v>13000</v>
      </c>
      <c r="S5" s="51">
        <v>2000</v>
      </c>
      <c r="T5" s="52">
        <v>0</v>
      </c>
      <c r="U5" s="53">
        <f>SUM(M5:T5)</f>
        <v>375119</v>
      </c>
      <c r="W5" s="51"/>
      <c r="X5" s="51">
        <v>22061</v>
      </c>
      <c r="Y5" s="86">
        <v>18890</v>
      </c>
      <c r="Z5" s="86">
        <f>21053-7000</f>
        <v>14053</v>
      </c>
      <c r="AA5" s="96">
        <f>15740-4000</f>
        <v>11740</v>
      </c>
      <c r="AB5" s="51">
        <v>0</v>
      </c>
      <c r="AC5" s="86">
        <f>9854-7500</f>
        <v>2354</v>
      </c>
      <c r="AD5" s="51">
        <v>0</v>
      </c>
      <c r="AE5" s="86">
        <f>390-390</f>
        <v>0</v>
      </c>
      <c r="AF5" s="97">
        <f>SUM(X5:AE5)</f>
        <v>69098</v>
      </c>
      <c r="AG5" s="6"/>
      <c r="AH5" s="230"/>
      <c r="AI5" s="230"/>
      <c r="AJ5" s="230"/>
      <c r="AK5" s="209"/>
      <c r="AL5" s="92"/>
      <c r="AM5" s="96"/>
      <c r="AN5" s="96"/>
      <c r="AO5" s="96"/>
      <c r="AP5" s="96"/>
      <c r="AQ5" s="96"/>
      <c r="AR5" s="96"/>
      <c r="AS5" s="96"/>
      <c r="AT5" s="96"/>
    </row>
    <row r="6" spans="2:157" ht="44.25" customHeight="1" x14ac:dyDescent="0.25">
      <c r="B6" s="16"/>
      <c r="C6" s="225" t="s">
        <v>58</v>
      </c>
      <c r="D6" s="226"/>
      <c r="E6" s="226"/>
      <c r="F6" s="226"/>
      <c r="G6" s="226"/>
      <c r="H6" s="226"/>
      <c r="I6" s="226"/>
      <c r="J6" s="226"/>
      <c r="K6" s="227"/>
      <c r="L6" s="17"/>
      <c r="M6" s="51">
        <f>M5-M7</f>
        <v>1087.9940000000206</v>
      </c>
      <c r="N6" s="51">
        <f t="shared" ref="N6:T6" si="0">N5-N7</f>
        <v>4248.0999999999985</v>
      </c>
      <c r="O6" s="51">
        <f t="shared" si="0"/>
        <v>4571.3819999999978</v>
      </c>
      <c r="P6" s="51">
        <f t="shared" si="0"/>
        <v>25478.371000000014</v>
      </c>
      <c r="Q6" s="51">
        <f t="shared" si="0"/>
        <v>6128.6000000000022</v>
      </c>
      <c r="R6" s="51">
        <f t="shared" si="0"/>
        <v>3.2710000000006403</v>
      </c>
      <c r="S6" s="51">
        <f t="shared" si="0"/>
        <v>1525.5</v>
      </c>
      <c r="T6" s="52">
        <f t="shared" si="0"/>
        <v>0</v>
      </c>
      <c r="U6" s="53">
        <f>SUM(M6:T6)</f>
        <v>43043.21800000003</v>
      </c>
      <c r="W6" s="51"/>
      <c r="X6" s="51">
        <f>X5-X7</f>
        <v>2.3699999999953434</v>
      </c>
      <c r="Y6" s="51">
        <f t="shared" ref="Y6:AE6" si="1">Y5-Y7</f>
        <v>56.419999999998254</v>
      </c>
      <c r="Z6" s="51">
        <f t="shared" si="1"/>
        <v>57.860000000000582</v>
      </c>
      <c r="AA6" s="96">
        <f t="shared" si="1"/>
        <v>1.6599999999998545</v>
      </c>
      <c r="AB6" s="51">
        <f t="shared" si="1"/>
        <v>0</v>
      </c>
      <c r="AC6" s="51">
        <f t="shared" si="1"/>
        <v>303.05000000000018</v>
      </c>
      <c r="AD6" s="51">
        <f t="shared" si="1"/>
        <v>0</v>
      </c>
      <c r="AE6" s="51">
        <f t="shared" si="1"/>
        <v>0</v>
      </c>
      <c r="AF6" s="97">
        <f>SUM(X6:AE6)</f>
        <v>421.35999999999422</v>
      </c>
      <c r="AG6" s="6"/>
      <c r="AH6" s="230"/>
      <c r="AI6" s="230"/>
      <c r="AJ6" s="230"/>
      <c r="AK6" s="209"/>
      <c r="AL6" s="92"/>
      <c r="AM6" s="96"/>
      <c r="AN6" s="96"/>
      <c r="AO6" s="96"/>
      <c r="AP6" s="96"/>
      <c r="AQ6" s="96"/>
      <c r="AR6" s="96"/>
      <c r="AS6" s="96"/>
      <c r="AT6" s="96"/>
    </row>
    <row r="7" spans="2:157" ht="44.25" customHeight="1" x14ac:dyDescent="0.25">
      <c r="B7" s="16"/>
      <c r="C7" s="225" t="s">
        <v>95</v>
      </c>
      <c r="D7" s="226"/>
      <c r="E7" s="226"/>
      <c r="F7" s="226"/>
      <c r="G7" s="226"/>
      <c r="H7" s="226"/>
      <c r="I7" s="226"/>
      <c r="J7" s="226"/>
      <c r="K7" s="227"/>
      <c r="L7" s="17"/>
      <c r="M7" s="51">
        <f t="shared" ref="M7:S7" si="2">SUM(M9:M31,M33:M76)</f>
        <v>103912.00599999998</v>
      </c>
      <c r="N7" s="51">
        <f t="shared" si="2"/>
        <v>53751.9</v>
      </c>
      <c r="O7" s="51">
        <f t="shared" si="2"/>
        <v>81445.618000000002</v>
      </c>
      <c r="P7" s="51">
        <f t="shared" si="2"/>
        <v>67521.628999999986</v>
      </c>
      <c r="Q7" s="51">
        <f t="shared" si="2"/>
        <v>11973.399999999998</v>
      </c>
      <c r="R7" s="51">
        <f t="shared" si="2"/>
        <v>12996.728999999999</v>
      </c>
      <c r="S7" s="51">
        <f t="shared" si="2"/>
        <v>474.5</v>
      </c>
      <c r="T7" s="51">
        <f>SUM(T9:T31,T33:T66)</f>
        <v>0</v>
      </c>
      <c r="U7" s="53">
        <f>SUM(M7:T7)</f>
        <v>332075.78199999995</v>
      </c>
      <c r="W7" s="51"/>
      <c r="X7" s="51">
        <f>SUM(X9:X31,X33:X91)</f>
        <v>22058.630000000005</v>
      </c>
      <c r="Y7" s="51">
        <f t="shared" ref="Y7:AE7" si="3">SUM(Y9:Y31,Y33:Y91)</f>
        <v>18833.580000000002</v>
      </c>
      <c r="Z7" s="51">
        <f t="shared" si="3"/>
        <v>13995.14</v>
      </c>
      <c r="AA7" s="96">
        <f t="shared" si="3"/>
        <v>11738.34</v>
      </c>
      <c r="AB7" s="51">
        <f t="shared" si="3"/>
        <v>0</v>
      </c>
      <c r="AC7" s="51">
        <f t="shared" si="3"/>
        <v>2050.9499999999998</v>
      </c>
      <c r="AD7" s="51">
        <f t="shared" si="3"/>
        <v>0</v>
      </c>
      <c r="AE7" s="51">
        <f t="shared" si="3"/>
        <v>0</v>
      </c>
      <c r="AF7" s="97">
        <f>SUM(X7:AE7)</f>
        <v>68676.639999999999</v>
      </c>
      <c r="AG7" s="6"/>
      <c r="AH7" s="230"/>
      <c r="AI7" s="230"/>
      <c r="AJ7" s="230"/>
      <c r="AK7" s="209"/>
      <c r="AL7" s="92"/>
      <c r="AM7" s="96">
        <f>SUM(AM9:AM84)</f>
        <v>9289.5432795103388</v>
      </c>
      <c r="AN7" s="96">
        <f t="shared" ref="AN7:AT7" si="4">SUM(AN9:AN84)</f>
        <v>4611.7489793100594</v>
      </c>
      <c r="AO7" s="96">
        <f t="shared" si="4"/>
        <v>5849.8213581176597</v>
      </c>
      <c r="AP7" s="96">
        <f t="shared" si="4"/>
        <v>3915.4980046463493</v>
      </c>
      <c r="AQ7" s="96">
        <f t="shared" si="4"/>
        <v>580.49228129588403</v>
      </c>
      <c r="AR7" s="96">
        <f t="shared" si="4"/>
        <v>760.09016231500527</v>
      </c>
      <c r="AS7" s="96">
        <f t="shared" si="4"/>
        <v>1.1276551436901294</v>
      </c>
      <c r="AT7" s="96">
        <f t="shared" si="4"/>
        <v>0</v>
      </c>
    </row>
    <row r="8" spans="2:157" ht="54.75" customHeight="1" x14ac:dyDescent="0.25">
      <c r="B8" s="16"/>
      <c r="C8" s="30" t="s">
        <v>31</v>
      </c>
      <c r="D8" s="30" t="s">
        <v>43</v>
      </c>
      <c r="E8" s="30" t="s">
        <v>99</v>
      </c>
      <c r="F8" s="30" t="s">
        <v>98</v>
      </c>
      <c r="G8" s="31" t="s">
        <v>27</v>
      </c>
      <c r="H8" s="43" t="s">
        <v>28</v>
      </c>
      <c r="I8" s="43" t="s">
        <v>108</v>
      </c>
      <c r="J8" s="43" t="s">
        <v>109</v>
      </c>
      <c r="K8" s="29"/>
      <c r="L8" s="29"/>
      <c r="M8" s="27">
        <v>776</v>
      </c>
      <c r="N8" s="9">
        <v>775</v>
      </c>
      <c r="O8" s="9">
        <v>778</v>
      </c>
      <c r="P8" s="9">
        <v>777</v>
      </c>
      <c r="Q8" s="9">
        <v>656</v>
      </c>
      <c r="R8" s="9">
        <v>683</v>
      </c>
      <c r="S8" s="39">
        <v>674</v>
      </c>
      <c r="T8" s="39">
        <v>680</v>
      </c>
      <c r="W8" s="27"/>
      <c r="X8" s="27" t="s">
        <v>137</v>
      </c>
      <c r="Y8" s="9" t="s">
        <v>140</v>
      </c>
      <c r="Z8" s="9" t="s">
        <v>144</v>
      </c>
      <c r="AA8" s="118" t="s">
        <v>141</v>
      </c>
      <c r="AB8" s="9" t="s">
        <v>138</v>
      </c>
      <c r="AC8" s="9" t="s">
        <v>143</v>
      </c>
      <c r="AD8" s="9" t="s">
        <v>139</v>
      </c>
      <c r="AE8" s="9" t="s">
        <v>142</v>
      </c>
      <c r="AH8" s="231"/>
      <c r="AI8" s="231"/>
      <c r="AJ8" s="231"/>
      <c r="AK8" s="202"/>
      <c r="AL8" s="91"/>
      <c r="AM8" s="84" t="s">
        <v>137</v>
      </c>
      <c r="AN8" s="83" t="s">
        <v>140</v>
      </c>
      <c r="AO8" s="83" t="s">
        <v>144</v>
      </c>
      <c r="AP8" s="83" t="s">
        <v>141</v>
      </c>
      <c r="AQ8" s="83" t="s">
        <v>138</v>
      </c>
      <c r="AR8" s="83" t="s">
        <v>143</v>
      </c>
      <c r="AS8" s="83" t="s">
        <v>139</v>
      </c>
      <c r="AT8" s="83" t="s">
        <v>142</v>
      </c>
    </row>
    <row r="9" spans="2:157" s="36" customFormat="1" ht="36" customHeight="1" outlineLevel="1" x14ac:dyDescent="0.25">
      <c r="B9" s="233" t="s">
        <v>57</v>
      </c>
      <c r="C9" s="32" t="s">
        <v>30</v>
      </c>
      <c r="D9" s="32" t="s">
        <v>68</v>
      </c>
      <c r="E9" s="56">
        <v>41212</v>
      </c>
      <c r="F9" s="56">
        <v>41212</v>
      </c>
      <c r="G9" s="33">
        <v>7683.2</v>
      </c>
      <c r="H9" s="32" t="s">
        <v>44</v>
      </c>
      <c r="I9" s="32"/>
      <c r="J9" s="32"/>
      <c r="K9" s="34"/>
      <c r="L9" s="34"/>
      <c r="M9" s="32">
        <v>6768.2</v>
      </c>
      <c r="N9" s="8">
        <v>268</v>
      </c>
      <c r="O9" s="8">
        <v>585</v>
      </c>
      <c r="P9" s="32"/>
      <c r="Q9" s="8">
        <v>42</v>
      </c>
      <c r="R9" s="8"/>
      <c r="S9" s="8">
        <v>20</v>
      </c>
      <c r="T9" s="35"/>
      <c r="W9" s="35"/>
      <c r="X9" s="35"/>
      <c r="Y9" s="35"/>
      <c r="Z9" s="35"/>
      <c r="AA9" s="35"/>
      <c r="AB9" s="35"/>
      <c r="AC9" s="35"/>
      <c r="AD9" s="35"/>
      <c r="AE9" s="35"/>
      <c r="AF9" s="64"/>
      <c r="AG9" s="64"/>
      <c r="AH9" s="82">
        <f>SUM(M9:T9)+SUM(X9:AE9)</f>
        <v>7683.2</v>
      </c>
      <c r="AI9" s="99">
        <v>7250</v>
      </c>
      <c r="AJ9" s="99">
        <f>AH9-AI9</f>
        <v>433.19999999999982</v>
      </c>
      <c r="AK9" s="82">
        <f>AI9/AH9</f>
        <v>0.94361724281549353</v>
      </c>
      <c r="AL9" s="94">
        <f>1-AK9</f>
        <v>5.6382757184506471E-2</v>
      </c>
      <c r="AM9" s="32">
        <f>AL9*6768.2</f>
        <v>381.60977717617669</v>
      </c>
      <c r="AN9" s="8">
        <f>AL9*268</f>
        <v>15.110578925447735</v>
      </c>
      <c r="AO9" s="8">
        <f>AL9*585</f>
        <v>32.983912952936286</v>
      </c>
      <c r="AP9" s="32"/>
      <c r="AQ9" s="8">
        <f>AL9*42</f>
        <v>2.3680758017492716</v>
      </c>
      <c r="AR9" s="8"/>
      <c r="AS9" s="8">
        <f>AL9*20</f>
        <v>1.1276551436901294</v>
      </c>
      <c r="AT9" s="35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</row>
    <row r="10" spans="2:157" s="36" customFormat="1" ht="36" customHeight="1" outlineLevel="1" x14ac:dyDescent="0.25">
      <c r="B10" s="234"/>
      <c r="C10" s="32" t="s">
        <v>32</v>
      </c>
      <c r="D10" s="32" t="s">
        <v>68</v>
      </c>
      <c r="E10" s="56">
        <v>41212</v>
      </c>
      <c r="F10" s="56">
        <v>41212</v>
      </c>
      <c r="G10" s="33">
        <v>9837.4</v>
      </c>
      <c r="H10" s="32" t="s">
        <v>45</v>
      </c>
      <c r="I10" s="32"/>
      <c r="J10" s="32"/>
      <c r="K10" s="34"/>
      <c r="L10" s="34"/>
      <c r="M10" s="32">
        <v>9337.4</v>
      </c>
      <c r="N10" s="32"/>
      <c r="O10" s="32"/>
      <c r="P10" s="32"/>
      <c r="Q10" s="8"/>
      <c r="R10" s="8">
        <v>500</v>
      </c>
      <c r="S10" s="8"/>
      <c r="T10" s="8"/>
      <c r="W10" s="35"/>
      <c r="X10" s="35"/>
      <c r="Y10" s="35"/>
      <c r="Z10" s="35"/>
      <c r="AA10" s="35"/>
      <c r="AB10" s="35"/>
      <c r="AC10" s="35"/>
      <c r="AD10" s="35"/>
      <c r="AE10" s="35"/>
      <c r="AF10" s="64"/>
      <c r="AG10" s="64"/>
      <c r="AH10" s="82">
        <f t="shared" ref="AH10:AH73" si="5">SUM(M10:T10)+SUM(X10:AE10)</f>
        <v>9837.4</v>
      </c>
      <c r="AI10" s="99">
        <v>8380</v>
      </c>
      <c r="AJ10" s="99">
        <f t="shared" ref="AJ10:AJ25" si="6">AH10-AI10</f>
        <v>1457.3999999999996</v>
      </c>
      <c r="AK10" s="82">
        <f t="shared" ref="AK10:AK25" si="7">AI10/AH10</f>
        <v>0.85185109886758703</v>
      </c>
      <c r="AL10" s="94">
        <f t="shared" ref="AL10:AL70" si="8">1-AK10</f>
        <v>0.14814890113241297</v>
      </c>
      <c r="AM10" s="32">
        <f>AL10*9337.4</f>
        <v>1383.3255494337927</v>
      </c>
      <c r="AN10" s="32"/>
      <c r="AO10" s="32"/>
      <c r="AP10" s="32"/>
      <c r="AQ10" s="8"/>
      <c r="AR10" s="8">
        <f>AL10*500</f>
        <v>74.07445056620648</v>
      </c>
      <c r="AS10" s="8"/>
      <c r="AT10" s="8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</row>
    <row r="11" spans="2:157" s="36" customFormat="1" ht="36" customHeight="1" outlineLevel="1" x14ac:dyDescent="0.25">
      <c r="B11" s="234"/>
      <c r="C11" s="32" t="s">
        <v>33</v>
      </c>
      <c r="D11" s="32" t="s">
        <v>68</v>
      </c>
      <c r="E11" s="56">
        <v>41207</v>
      </c>
      <c r="F11" s="56">
        <v>41208</v>
      </c>
      <c r="G11" s="33">
        <v>9389.9</v>
      </c>
      <c r="H11" s="32" t="s">
        <v>46</v>
      </c>
      <c r="I11" s="32"/>
      <c r="J11" s="32"/>
      <c r="K11" s="34"/>
      <c r="L11" s="34"/>
      <c r="M11" s="32">
        <v>8428.9</v>
      </c>
      <c r="N11" s="32">
        <v>616</v>
      </c>
      <c r="O11" s="32">
        <v>320</v>
      </c>
      <c r="P11" s="32"/>
      <c r="Q11" s="8">
        <v>10</v>
      </c>
      <c r="R11" s="8">
        <v>15</v>
      </c>
      <c r="S11" s="8"/>
      <c r="T11" s="8"/>
      <c r="W11" s="35"/>
      <c r="X11" s="35"/>
      <c r="Y11" s="35"/>
      <c r="Z11" s="35"/>
      <c r="AA11" s="35"/>
      <c r="AB11" s="35"/>
      <c r="AC11" s="35"/>
      <c r="AD11" s="35"/>
      <c r="AE11" s="35"/>
      <c r="AF11" s="64"/>
      <c r="AG11" s="64"/>
      <c r="AH11" s="82">
        <f t="shared" si="5"/>
        <v>9389.9</v>
      </c>
      <c r="AI11" s="99">
        <v>8100</v>
      </c>
      <c r="AJ11" s="99">
        <f t="shared" si="6"/>
        <v>1289.8999999999996</v>
      </c>
      <c r="AK11" s="82">
        <f t="shared" si="7"/>
        <v>0.86262899498397216</v>
      </c>
      <c r="AL11" s="94">
        <f t="shared" si="8"/>
        <v>0.13737100501602784</v>
      </c>
      <c r="AM11" s="32">
        <f>AL11*8428.9</f>
        <v>1157.8864641795969</v>
      </c>
      <c r="AN11" s="32">
        <f>AL11*616</f>
        <v>84.620539089873148</v>
      </c>
      <c r="AO11" s="32">
        <f>AL11*320</f>
        <v>43.958721605128908</v>
      </c>
      <c r="AP11" s="32"/>
      <c r="AQ11" s="8">
        <f>AL11*10</f>
        <v>1.3737100501602784</v>
      </c>
      <c r="AR11" s="8">
        <f>AL11*15</f>
        <v>2.0605650752404174</v>
      </c>
      <c r="AS11" s="8"/>
      <c r="AT11" s="8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</row>
    <row r="12" spans="2:157" s="36" customFormat="1" ht="36" customHeight="1" outlineLevel="1" x14ac:dyDescent="0.25">
      <c r="B12" s="234"/>
      <c r="C12" s="32" t="s">
        <v>34</v>
      </c>
      <c r="D12" s="32" t="s">
        <v>68</v>
      </c>
      <c r="E12" s="56">
        <v>41212</v>
      </c>
      <c r="F12" s="56">
        <v>41212</v>
      </c>
      <c r="G12" s="33">
        <v>8793.7000000000007</v>
      </c>
      <c r="H12" s="32" t="s">
        <v>47</v>
      </c>
      <c r="I12" s="32"/>
      <c r="J12" s="32"/>
      <c r="K12" s="34"/>
      <c r="L12" s="32"/>
      <c r="M12" s="32">
        <v>7519.7</v>
      </c>
      <c r="N12" s="32">
        <v>524</v>
      </c>
      <c r="O12" s="32">
        <v>700</v>
      </c>
      <c r="P12" s="32"/>
      <c r="Q12" s="8">
        <v>35</v>
      </c>
      <c r="R12" s="8">
        <v>15</v>
      </c>
      <c r="S12" s="8"/>
      <c r="T12" s="8"/>
      <c r="W12" s="35"/>
      <c r="X12" s="35"/>
      <c r="Y12" s="35"/>
      <c r="Z12" s="35"/>
      <c r="AA12" s="35"/>
      <c r="AB12" s="35"/>
      <c r="AC12" s="35"/>
      <c r="AD12" s="35"/>
      <c r="AE12" s="35"/>
      <c r="AF12" s="64"/>
      <c r="AG12" s="64"/>
      <c r="AH12" s="82">
        <f t="shared" si="5"/>
        <v>8793.7000000000007</v>
      </c>
      <c r="AI12" s="99">
        <v>8266.1</v>
      </c>
      <c r="AJ12" s="99">
        <f t="shared" si="6"/>
        <v>527.60000000000036</v>
      </c>
      <c r="AK12" s="82">
        <f t="shared" si="7"/>
        <v>0.94000250179105493</v>
      </c>
      <c r="AL12" s="94">
        <f t="shared" si="8"/>
        <v>5.9997498208945066E-2</v>
      </c>
      <c r="AM12" s="32">
        <f>AL12*7519.7</f>
        <v>451.1631872818042</v>
      </c>
      <c r="AN12" s="32">
        <f>AL12*524</f>
        <v>31.438689061487214</v>
      </c>
      <c r="AO12" s="32">
        <f>AL12*700</f>
        <v>41.998248746261545</v>
      </c>
      <c r="AP12" s="32"/>
      <c r="AQ12" s="8">
        <f>AL12*35</f>
        <v>2.0999124373130771</v>
      </c>
      <c r="AR12" s="8">
        <f>AL12*15</f>
        <v>0.89996247313417599</v>
      </c>
      <c r="AS12" s="8"/>
      <c r="AT12" s="8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</row>
    <row r="13" spans="2:157" s="36" customFormat="1" ht="36" customHeight="1" outlineLevel="1" x14ac:dyDescent="0.25">
      <c r="B13" s="234"/>
      <c r="C13" s="32" t="s">
        <v>35</v>
      </c>
      <c r="D13" s="32" t="s">
        <v>68</v>
      </c>
      <c r="E13" s="56">
        <v>41207</v>
      </c>
      <c r="F13" s="56">
        <v>41208</v>
      </c>
      <c r="G13" s="33">
        <v>8579.6</v>
      </c>
      <c r="H13" s="32" t="s">
        <v>48</v>
      </c>
      <c r="I13" s="32"/>
      <c r="J13" s="32"/>
      <c r="K13" s="34"/>
      <c r="L13" s="34"/>
      <c r="M13" s="32">
        <v>3635.6</v>
      </c>
      <c r="N13" s="37">
        <v>3919</v>
      </c>
      <c r="O13" s="32">
        <v>900</v>
      </c>
      <c r="P13" s="32"/>
      <c r="Q13" s="8">
        <v>20</v>
      </c>
      <c r="R13" s="8">
        <v>105</v>
      </c>
      <c r="S13" s="8"/>
      <c r="T13" s="8"/>
      <c r="W13" s="35"/>
      <c r="X13" s="35"/>
      <c r="Y13" s="35"/>
      <c r="Z13" s="35"/>
      <c r="AA13" s="35"/>
      <c r="AB13" s="35"/>
      <c r="AC13" s="35"/>
      <c r="AD13" s="35"/>
      <c r="AE13" s="35"/>
      <c r="AF13" s="64"/>
      <c r="AG13" s="64"/>
      <c r="AH13" s="82">
        <f t="shared" si="5"/>
        <v>8579.6</v>
      </c>
      <c r="AI13" s="99">
        <v>7100</v>
      </c>
      <c r="AJ13" s="99">
        <f t="shared" si="6"/>
        <v>1479.6000000000004</v>
      </c>
      <c r="AK13" s="82">
        <f t="shared" si="7"/>
        <v>0.82754440766469295</v>
      </c>
      <c r="AL13" s="94">
        <f t="shared" si="8"/>
        <v>0.17245559233530705</v>
      </c>
      <c r="AM13" s="32">
        <f>AL13*3635.6</f>
        <v>626.97955149424229</v>
      </c>
      <c r="AN13" s="37">
        <f>AL13*3919</f>
        <v>675.85346636206839</v>
      </c>
      <c r="AO13" s="32">
        <f>AL13*900</f>
        <v>155.21003310177633</v>
      </c>
      <c r="AP13" s="32"/>
      <c r="AQ13" s="8">
        <f>AL13*20</f>
        <v>3.449111846706141</v>
      </c>
      <c r="AR13" s="8">
        <f>AL13*105</f>
        <v>18.107837195207239</v>
      </c>
      <c r="AS13" s="8"/>
      <c r="AT13" s="8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</row>
    <row r="14" spans="2:157" s="36" customFormat="1" ht="36" customHeight="1" outlineLevel="1" x14ac:dyDescent="0.25">
      <c r="B14" s="234"/>
      <c r="C14" s="32" t="s">
        <v>36</v>
      </c>
      <c r="D14" s="32" t="s">
        <v>68</v>
      </c>
      <c r="E14" s="56">
        <v>41215</v>
      </c>
      <c r="F14" s="56">
        <v>41219</v>
      </c>
      <c r="G14" s="33">
        <v>8860</v>
      </c>
      <c r="H14" s="32" t="s">
        <v>49</v>
      </c>
      <c r="I14" s="32"/>
      <c r="J14" s="32"/>
      <c r="K14" s="34"/>
      <c r="L14" s="34"/>
      <c r="M14" s="32">
        <v>200</v>
      </c>
      <c r="N14" s="8"/>
      <c r="O14" s="32">
        <v>3800</v>
      </c>
      <c r="P14" s="32">
        <v>2860</v>
      </c>
      <c r="Q14" s="8"/>
      <c r="R14" s="8">
        <v>2000</v>
      </c>
      <c r="S14" s="8"/>
      <c r="T14" s="8"/>
      <c r="W14" s="35"/>
      <c r="X14" s="35"/>
      <c r="Y14" s="35"/>
      <c r="Z14" s="35"/>
      <c r="AA14" s="35"/>
      <c r="AB14" s="35"/>
      <c r="AC14" s="35"/>
      <c r="AD14" s="35"/>
      <c r="AE14" s="35"/>
      <c r="AF14" s="64"/>
      <c r="AG14" s="64"/>
      <c r="AH14" s="82">
        <f t="shared" si="5"/>
        <v>8860</v>
      </c>
      <c r="AI14" s="99">
        <v>8371.6163559322031</v>
      </c>
      <c r="AJ14" s="99">
        <f t="shared" si="6"/>
        <v>488.38364406779692</v>
      </c>
      <c r="AK14" s="82">
        <f t="shared" si="7"/>
        <v>0.94487769254313803</v>
      </c>
      <c r="AL14" s="94">
        <f t="shared" si="8"/>
        <v>5.5122307456861974E-2</v>
      </c>
      <c r="AM14" s="32">
        <f>AL14*200</f>
        <v>11.024461491372396</v>
      </c>
      <c r="AN14" s="8"/>
      <c r="AO14" s="32">
        <f>AL14*3800</f>
        <v>209.46476833607551</v>
      </c>
      <c r="AP14" s="32">
        <f>AL14*2860</f>
        <v>157.64979932662524</v>
      </c>
      <c r="AQ14" s="8"/>
      <c r="AR14" s="8">
        <f>AL14*2000</f>
        <v>110.24461491372395</v>
      </c>
      <c r="AS14" s="8"/>
      <c r="AT14" s="8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</row>
    <row r="15" spans="2:157" s="36" customFormat="1" ht="36" customHeight="1" outlineLevel="1" x14ac:dyDescent="0.25">
      <c r="B15" s="234"/>
      <c r="C15" s="32" t="s">
        <v>37</v>
      </c>
      <c r="D15" s="32" t="s">
        <v>68</v>
      </c>
      <c r="E15" s="56">
        <v>41215</v>
      </c>
      <c r="F15" s="56">
        <v>41219</v>
      </c>
      <c r="G15" s="33">
        <v>9580</v>
      </c>
      <c r="H15" s="32" t="s">
        <v>50</v>
      </c>
      <c r="I15" s="32"/>
      <c r="J15" s="32"/>
      <c r="K15" s="34"/>
      <c r="L15" s="34"/>
      <c r="M15" s="32">
        <v>400</v>
      </c>
      <c r="N15" s="8"/>
      <c r="O15" s="32">
        <v>4100</v>
      </c>
      <c r="P15" s="32">
        <v>3080</v>
      </c>
      <c r="Q15" s="8"/>
      <c r="R15" s="8">
        <v>2000</v>
      </c>
      <c r="S15" s="8"/>
      <c r="T15" s="8"/>
      <c r="W15" s="35"/>
      <c r="X15" s="35"/>
      <c r="Y15" s="35"/>
      <c r="Z15" s="35"/>
      <c r="AA15" s="35"/>
      <c r="AB15" s="35"/>
      <c r="AC15" s="35"/>
      <c r="AD15" s="35"/>
      <c r="AE15" s="35"/>
      <c r="AF15" s="64"/>
      <c r="AG15" s="64"/>
      <c r="AH15" s="82">
        <f t="shared" si="5"/>
        <v>9580</v>
      </c>
      <c r="AI15" s="99">
        <v>8880.1595762711859</v>
      </c>
      <c r="AJ15" s="99">
        <f t="shared" si="6"/>
        <v>699.84042372881413</v>
      </c>
      <c r="AK15" s="82">
        <f t="shared" si="7"/>
        <v>0.92694776370262899</v>
      </c>
      <c r="AL15" s="94">
        <f t="shared" si="8"/>
        <v>7.3052236297371009E-2</v>
      </c>
      <c r="AM15" s="32">
        <f>AL15*400</f>
        <v>29.220894518948406</v>
      </c>
      <c r="AN15" s="8"/>
      <c r="AO15" s="32">
        <f>AL15*4100</f>
        <v>299.51416881922114</v>
      </c>
      <c r="AP15" s="32">
        <f>AL15*3080</f>
        <v>225.00088779590271</v>
      </c>
      <c r="AQ15" s="8"/>
      <c r="AR15" s="8">
        <f>AL15*2000</f>
        <v>146.10447259474202</v>
      </c>
      <c r="AS15" s="8"/>
      <c r="AT15" s="8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</row>
    <row r="16" spans="2:157" s="36" customFormat="1" ht="36" customHeight="1" outlineLevel="1" x14ac:dyDescent="0.25">
      <c r="B16" s="234"/>
      <c r="C16" s="32" t="s">
        <v>38</v>
      </c>
      <c r="D16" s="32" t="s">
        <v>68</v>
      </c>
      <c r="E16" s="56">
        <v>41215</v>
      </c>
      <c r="F16" s="56">
        <v>41219</v>
      </c>
      <c r="G16" s="33">
        <v>7530</v>
      </c>
      <c r="H16" s="32" t="s">
        <v>51</v>
      </c>
      <c r="I16" s="32"/>
      <c r="J16" s="32"/>
      <c r="K16" s="34"/>
      <c r="L16" s="34"/>
      <c r="M16" s="32">
        <v>1000</v>
      </c>
      <c r="N16" s="8"/>
      <c r="O16" s="32">
        <v>3900</v>
      </c>
      <c r="P16" s="32">
        <v>2230</v>
      </c>
      <c r="Q16" s="8"/>
      <c r="R16" s="8">
        <v>400</v>
      </c>
      <c r="S16" s="8"/>
      <c r="T16" s="8"/>
      <c r="W16" s="35"/>
      <c r="X16" s="35"/>
      <c r="Y16" s="35"/>
      <c r="Z16" s="35"/>
      <c r="AA16" s="35"/>
      <c r="AB16" s="35"/>
      <c r="AC16" s="35"/>
      <c r="AD16" s="35"/>
      <c r="AE16" s="35"/>
      <c r="AF16" s="64"/>
      <c r="AG16" s="64"/>
      <c r="AH16" s="82">
        <f t="shared" si="5"/>
        <v>7530</v>
      </c>
      <c r="AI16" s="99">
        <v>7122.2544237288139</v>
      </c>
      <c r="AJ16" s="99">
        <f t="shared" si="6"/>
        <v>407.74557627118611</v>
      </c>
      <c r="AK16" s="82">
        <f t="shared" si="7"/>
        <v>0.94585052107952372</v>
      </c>
      <c r="AL16" s="94">
        <f t="shared" si="8"/>
        <v>5.4149478920476279E-2</v>
      </c>
      <c r="AM16" s="32">
        <f>AL16*1000</f>
        <v>54.149478920476277</v>
      </c>
      <c r="AN16" s="8"/>
      <c r="AO16" s="32">
        <f>AL16*3900</f>
        <v>211.18296778985749</v>
      </c>
      <c r="AP16" s="32">
        <f>AL16*2230</f>
        <v>120.7533379926621</v>
      </c>
      <c r="AQ16" s="8"/>
      <c r="AR16" s="8">
        <f>AL16*400</f>
        <v>21.659791568190514</v>
      </c>
      <c r="AS16" s="8"/>
      <c r="AT16" s="8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</row>
    <row r="17" spans="1:157" s="36" customFormat="1" ht="36" customHeight="1" outlineLevel="1" x14ac:dyDescent="0.25">
      <c r="B17" s="234"/>
      <c r="C17" s="32" t="s">
        <v>39</v>
      </c>
      <c r="D17" s="32" t="s">
        <v>68</v>
      </c>
      <c r="E17" s="56">
        <v>41211</v>
      </c>
      <c r="F17" s="56">
        <v>41211</v>
      </c>
      <c r="G17" s="33">
        <v>7026</v>
      </c>
      <c r="H17" s="32" t="s">
        <v>52</v>
      </c>
      <c r="I17" s="32"/>
      <c r="J17" s="32"/>
      <c r="K17" s="34"/>
      <c r="L17" s="34"/>
      <c r="M17" s="32"/>
      <c r="N17" s="8">
        <v>6826</v>
      </c>
      <c r="O17" s="32">
        <v>200</v>
      </c>
      <c r="P17" s="32"/>
      <c r="Q17" s="8"/>
      <c r="R17" s="8"/>
      <c r="S17" s="8"/>
      <c r="T17" s="8"/>
      <c r="W17" s="35"/>
      <c r="X17" s="35"/>
      <c r="Y17" s="35"/>
      <c r="Z17" s="35"/>
      <c r="AA17" s="35"/>
      <c r="AB17" s="35"/>
      <c r="AC17" s="35"/>
      <c r="AD17" s="35"/>
      <c r="AE17" s="35"/>
      <c r="AF17" s="64"/>
      <c r="AG17" s="64"/>
      <c r="AH17" s="82">
        <f t="shared" si="5"/>
        <v>7026</v>
      </c>
      <c r="AI17" s="99">
        <v>6523.4788728813564</v>
      </c>
      <c r="AJ17" s="99">
        <f t="shared" si="6"/>
        <v>502.52112711864356</v>
      </c>
      <c r="AK17" s="82">
        <f t="shared" si="7"/>
        <v>0.92847692469134024</v>
      </c>
      <c r="AL17" s="94">
        <f t="shared" si="8"/>
        <v>7.1523075308659756E-2</v>
      </c>
      <c r="AM17" s="32"/>
      <c r="AN17" s="8">
        <f>AL17*6826</f>
        <v>488.21651205691148</v>
      </c>
      <c r="AO17" s="32">
        <f>AL17*200</f>
        <v>14.304615061731951</v>
      </c>
      <c r="AP17" s="32"/>
      <c r="AQ17" s="8"/>
      <c r="AR17" s="8"/>
      <c r="AS17" s="8"/>
      <c r="AT17" s="8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</row>
    <row r="18" spans="1:157" s="36" customFormat="1" ht="36" customHeight="1" outlineLevel="1" x14ac:dyDescent="0.25">
      <c r="B18" s="234"/>
      <c r="C18" s="32" t="s">
        <v>40</v>
      </c>
      <c r="D18" s="32" t="s">
        <v>68</v>
      </c>
      <c r="E18" s="56">
        <v>41211</v>
      </c>
      <c r="F18" s="56">
        <v>41211</v>
      </c>
      <c r="G18" s="33">
        <v>9111</v>
      </c>
      <c r="H18" s="32" t="s">
        <v>53</v>
      </c>
      <c r="I18" s="32"/>
      <c r="J18" s="32"/>
      <c r="K18" s="34"/>
      <c r="L18" s="34"/>
      <c r="M18" s="32">
        <v>54</v>
      </c>
      <c r="N18" s="8">
        <v>8857</v>
      </c>
      <c r="O18" s="32">
        <v>200</v>
      </c>
      <c r="P18" s="32"/>
      <c r="Q18" s="8"/>
      <c r="R18" s="8"/>
      <c r="S18" s="8"/>
      <c r="T18" s="8"/>
      <c r="W18" s="35"/>
      <c r="X18" s="35"/>
      <c r="Y18" s="35"/>
      <c r="Z18" s="35"/>
      <c r="AA18" s="35"/>
      <c r="AB18" s="35"/>
      <c r="AC18" s="35"/>
      <c r="AD18" s="35"/>
      <c r="AE18" s="35"/>
      <c r="AF18" s="64"/>
      <c r="AG18" s="64"/>
      <c r="AH18" s="82">
        <f t="shared" si="5"/>
        <v>9111</v>
      </c>
      <c r="AI18" s="99">
        <v>8459.9496440677976</v>
      </c>
      <c r="AJ18" s="99">
        <f t="shared" si="6"/>
        <v>651.05035593220236</v>
      </c>
      <c r="AK18" s="82">
        <f t="shared" si="7"/>
        <v>0.92854238218283369</v>
      </c>
      <c r="AL18" s="94">
        <f t="shared" si="8"/>
        <v>7.1457617817166308E-2</v>
      </c>
      <c r="AM18" s="32">
        <f>AL18*54</f>
        <v>3.8587113621269804</v>
      </c>
      <c r="AN18" s="8">
        <f>AL18*8857</f>
        <v>632.90012100664194</v>
      </c>
      <c r="AO18" s="32">
        <f>AL18*200</f>
        <v>14.291523563433262</v>
      </c>
      <c r="AP18" s="32"/>
      <c r="AQ18" s="8"/>
      <c r="AR18" s="8"/>
      <c r="AS18" s="8"/>
      <c r="AT18" s="8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</row>
    <row r="19" spans="1:157" s="36" customFormat="1" ht="36" customHeight="1" outlineLevel="1" x14ac:dyDescent="0.25">
      <c r="B19" s="234"/>
      <c r="C19" s="32" t="s">
        <v>29</v>
      </c>
      <c r="D19" s="32" t="s">
        <v>68</v>
      </c>
      <c r="E19" s="56">
        <v>41211</v>
      </c>
      <c r="F19" s="56">
        <v>41211</v>
      </c>
      <c r="G19" s="33">
        <v>9356.2000000000007</v>
      </c>
      <c r="H19" s="32" t="s">
        <v>54</v>
      </c>
      <c r="I19" s="32"/>
      <c r="J19" s="32"/>
      <c r="K19" s="32"/>
      <c r="L19" s="32"/>
      <c r="M19" s="32">
        <v>285.2</v>
      </c>
      <c r="N19" s="38">
        <v>8851</v>
      </c>
      <c r="O19" s="32">
        <v>220</v>
      </c>
      <c r="P19" s="34"/>
      <c r="Q19" s="8"/>
      <c r="R19" s="8"/>
      <c r="S19" s="8"/>
      <c r="T19" s="8"/>
      <c r="W19" s="35"/>
      <c r="X19" s="35"/>
      <c r="Y19" s="35"/>
      <c r="Z19" s="35"/>
      <c r="AA19" s="35"/>
      <c r="AB19" s="35"/>
      <c r="AC19" s="35"/>
      <c r="AD19" s="35"/>
      <c r="AE19" s="35"/>
      <c r="AF19" s="64"/>
      <c r="AG19" s="64"/>
      <c r="AH19" s="82">
        <f t="shared" si="5"/>
        <v>9356.2000000000007</v>
      </c>
      <c r="AI19" s="99">
        <v>8472.0934067796607</v>
      </c>
      <c r="AJ19" s="99">
        <f t="shared" si="6"/>
        <v>884.10659322034007</v>
      </c>
      <c r="AK19" s="82">
        <f t="shared" si="7"/>
        <v>0.905505804362846</v>
      </c>
      <c r="AL19" s="94">
        <f t="shared" si="8"/>
        <v>9.4494195637153999E-2</v>
      </c>
      <c r="AM19" s="32">
        <f>AL19*285.2</f>
        <v>26.949744595716318</v>
      </c>
      <c r="AN19" s="38">
        <f>AL19*8851</f>
        <v>836.36812558445001</v>
      </c>
      <c r="AO19" s="32">
        <f>AL19*220</f>
        <v>20.788723040173881</v>
      </c>
      <c r="AP19" s="34"/>
      <c r="AQ19" s="8"/>
      <c r="AR19" s="8"/>
      <c r="AS19" s="8"/>
      <c r="AT19" s="8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</row>
    <row r="20" spans="1:157" s="36" customFormat="1" ht="36" customHeight="1" outlineLevel="1" x14ac:dyDescent="0.25">
      <c r="B20" s="234"/>
      <c r="C20" s="32" t="s">
        <v>41</v>
      </c>
      <c r="D20" s="32" t="s">
        <v>68</v>
      </c>
      <c r="E20" s="56">
        <v>41215</v>
      </c>
      <c r="F20" s="56">
        <v>41219</v>
      </c>
      <c r="G20" s="33">
        <v>8460</v>
      </c>
      <c r="H20" s="32" t="s">
        <v>55</v>
      </c>
      <c r="I20" s="32"/>
      <c r="J20" s="32"/>
      <c r="K20" s="32"/>
      <c r="L20" s="32"/>
      <c r="M20" s="32">
        <v>2770</v>
      </c>
      <c r="N20" s="38"/>
      <c r="O20" s="32">
        <v>3900</v>
      </c>
      <c r="P20" s="8">
        <v>1790</v>
      </c>
      <c r="Q20" s="8"/>
      <c r="R20" s="8"/>
      <c r="S20" s="8"/>
      <c r="T20" s="8"/>
      <c r="W20" s="35"/>
      <c r="X20" s="35"/>
      <c r="Y20" s="35"/>
      <c r="Z20" s="35"/>
      <c r="AA20" s="35"/>
      <c r="AB20" s="35"/>
      <c r="AC20" s="35"/>
      <c r="AD20" s="35"/>
      <c r="AE20" s="35"/>
      <c r="AF20" s="64"/>
      <c r="AG20" s="64"/>
      <c r="AH20" s="82">
        <f t="shared" si="5"/>
        <v>8460</v>
      </c>
      <c r="AI20" s="99">
        <v>7860</v>
      </c>
      <c r="AJ20" s="99">
        <f t="shared" si="6"/>
        <v>600</v>
      </c>
      <c r="AK20" s="82">
        <f t="shared" si="7"/>
        <v>0.92907801418439717</v>
      </c>
      <c r="AL20" s="94">
        <f t="shared" si="8"/>
        <v>7.0921985815602828E-2</v>
      </c>
      <c r="AM20" s="32">
        <f>AL20*2770</f>
        <v>196.45390070921982</v>
      </c>
      <c r="AN20" s="38"/>
      <c r="AO20" s="32">
        <f>AL20*3900</f>
        <v>276.59574468085106</v>
      </c>
      <c r="AP20" s="8">
        <f>AL20*1790</f>
        <v>126.95035460992906</v>
      </c>
      <c r="AQ20" s="8"/>
      <c r="AR20" s="8"/>
      <c r="AS20" s="8"/>
      <c r="AT20" s="8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</row>
    <row r="21" spans="1:157" s="36" customFormat="1" ht="36" customHeight="1" outlineLevel="1" x14ac:dyDescent="0.25">
      <c r="B21" s="234"/>
      <c r="C21" s="32" t="s">
        <v>42</v>
      </c>
      <c r="D21" s="32" t="s">
        <v>68</v>
      </c>
      <c r="E21" s="56">
        <v>41211</v>
      </c>
      <c r="F21" s="56">
        <v>41211</v>
      </c>
      <c r="G21" s="33">
        <v>3304.6</v>
      </c>
      <c r="H21" s="32" t="s">
        <v>56</v>
      </c>
      <c r="I21" s="32"/>
      <c r="J21" s="32"/>
      <c r="K21" s="32"/>
      <c r="L21" s="32"/>
      <c r="M21" s="32">
        <v>174.2</v>
      </c>
      <c r="N21" s="38"/>
      <c r="O21" s="32"/>
      <c r="P21" s="8"/>
      <c r="Q21" s="8">
        <v>2496.4</v>
      </c>
      <c r="R21" s="8">
        <v>634</v>
      </c>
      <c r="S21" s="8"/>
      <c r="T21" s="8"/>
      <c r="W21" s="35"/>
      <c r="X21" s="35"/>
      <c r="Y21" s="35"/>
      <c r="Z21" s="35"/>
      <c r="AA21" s="35"/>
      <c r="AB21" s="35"/>
      <c r="AC21" s="35"/>
      <c r="AD21" s="35"/>
      <c r="AE21" s="35"/>
      <c r="AF21" s="64"/>
      <c r="AG21" s="64"/>
      <c r="AH21" s="82">
        <f t="shared" si="5"/>
        <v>3304.6</v>
      </c>
      <c r="AI21" s="99">
        <v>3140.24</v>
      </c>
      <c r="AJ21" s="99">
        <f t="shared" si="6"/>
        <v>164.36000000000013</v>
      </c>
      <c r="AK21" s="82">
        <f t="shared" si="7"/>
        <v>0.95026326938207339</v>
      </c>
      <c r="AL21" s="94">
        <f t="shared" si="8"/>
        <v>4.9736730617926606E-2</v>
      </c>
      <c r="AM21" s="32">
        <f>AL21*174.2</f>
        <v>8.6641384736428133</v>
      </c>
      <c r="AN21" s="38"/>
      <c r="AO21" s="32"/>
      <c r="AP21" s="8"/>
      <c r="AQ21" s="8">
        <f>AL21*2496.4</f>
        <v>124.16277431459199</v>
      </c>
      <c r="AR21" s="8">
        <f>AL21*634</f>
        <v>31.533087211765469</v>
      </c>
      <c r="AS21" s="8"/>
      <c r="AT21" s="8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</row>
    <row r="22" spans="1:157" s="36" customFormat="1" ht="36" customHeight="1" outlineLevel="1" x14ac:dyDescent="0.25">
      <c r="B22" s="234"/>
      <c r="C22" s="32" t="s">
        <v>70</v>
      </c>
      <c r="D22" s="32" t="s">
        <v>68</v>
      </c>
      <c r="E22" s="56">
        <v>41219</v>
      </c>
      <c r="F22" s="56">
        <v>41220</v>
      </c>
      <c r="G22" s="33">
        <v>686.68299999999999</v>
      </c>
      <c r="H22" s="34"/>
      <c r="I22" s="34"/>
      <c r="J22" s="34"/>
      <c r="K22" s="32"/>
      <c r="L22" s="32"/>
      <c r="M22" s="34">
        <v>32.348999999999997</v>
      </c>
      <c r="N22" s="38"/>
      <c r="O22" s="32">
        <v>227.559</v>
      </c>
      <c r="P22" s="8">
        <v>279.00900000000001</v>
      </c>
      <c r="Q22" s="8"/>
      <c r="R22" s="8">
        <v>147.76599999999999</v>
      </c>
      <c r="S22" s="8"/>
      <c r="T22" s="8"/>
      <c r="W22" s="35"/>
      <c r="X22" s="35"/>
      <c r="Y22" s="35"/>
      <c r="Z22" s="35"/>
      <c r="AA22" s="35"/>
      <c r="AB22" s="35"/>
      <c r="AC22" s="35"/>
      <c r="AD22" s="35"/>
      <c r="AE22" s="35"/>
      <c r="AF22" s="64"/>
      <c r="AG22" s="64"/>
      <c r="AH22" s="82">
        <f t="shared" si="5"/>
        <v>686.68299999999999</v>
      </c>
      <c r="AI22" s="99">
        <v>615</v>
      </c>
      <c r="AJ22" s="99">
        <f t="shared" si="6"/>
        <v>71.682999999999993</v>
      </c>
      <c r="AK22" s="82">
        <f t="shared" si="7"/>
        <v>0.89560976462210362</v>
      </c>
      <c r="AL22" s="94">
        <f t="shared" si="8"/>
        <v>0.10439023537789638</v>
      </c>
      <c r="AM22" s="34">
        <f>AL22*32.349</f>
        <v>3.3769197242395697</v>
      </c>
      <c r="AN22" s="38"/>
      <c r="AO22" s="32">
        <f>AL22*227.559</f>
        <v>23.75493757235872</v>
      </c>
      <c r="AP22" s="8">
        <f>AL22*279.009</f>
        <v>29.125815182551491</v>
      </c>
      <c r="AQ22" s="8"/>
      <c r="AR22" s="8">
        <f>AL22*147.766</f>
        <v>15.425327520850235</v>
      </c>
      <c r="AS22" s="8"/>
      <c r="AT22" s="8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</row>
    <row r="23" spans="1:157" s="36" customFormat="1" ht="36" customHeight="1" outlineLevel="1" x14ac:dyDescent="0.25">
      <c r="B23" s="234"/>
      <c r="C23" s="32" t="s">
        <v>69</v>
      </c>
      <c r="D23" s="32" t="s">
        <v>68</v>
      </c>
      <c r="E23" s="56">
        <v>41215</v>
      </c>
      <c r="F23" s="56">
        <v>41219</v>
      </c>
      <c r="G23" s="33">
        <v>7437.0969999999998</v>
      </c>
      <c r="H23" s="34">
        <v>19</v>
      </c>
      <c r="I23" s="62"/>
      <c r="J23" s="62"/>
      <c r="K23" s="40"/>
      <c r="L23" s="40"/>
      <c r="M23" s="34">
        <v>100.02</v>
      </c>
      <c r="N23" s="38"/>
      <c r="O23" s="32">
        <v>3009.1039999999998</v>
      </c>
      <c r="P23" s="8">
        <v>3671.165</v>
      </c>
      <c r="Q23" s="8"/>
      <c r="R23" s="8">
        <v>656.80799999999999</v>
      </c>
      <c r="S23" s="8"/>
      <c r="T23" s="8"/>
      <c r="W23" s="35"/>
      <c r="X23" s="35"/>
      <c r="Y23" s="35"/>
      <c r="Z23" s="35"/>
      <c r="AA23" s="35"/>
      <c r="AB23" s="35"/>
      <c r="AC23" s="35"/>
      <c r="AD23" s="35"/>
      <c r="AE23" s="35"/>
      <c r="AF23" s="64"/>
      <c r="AG23" s="64"/>
      <c r="AH23" s="82">
        <f t="shared" si="5"/>
        <v>7437.0969999999998</v>
      </c>
      <c r="AI23" s="99">
        <v>7054.17</v>
      </c>
      <c r="AJ23" s="99">
        <f t="shared" si="6"/>
        <v>382.92699999999968</v>
      </c>
      <c r="AK23" s="82">
        <f t="shared" si="7"/>
        <v>0.94851122689404221</v>
      </c>
      <c r="AL23" s="94">
        <f t="shared" si="8"/>
        <v>5.1488773105957786E-2</v>
      </c>
      <c r="AM23" s="34">
        <f>AL23*100.02</f>
        <v>5.1499070860578975</v>
      </c>
      <c r="AN23" s="38"/>
      <c r="AO23" s="32">
        <f>AL23*3009.104</f>
        <v>154.93507310823</v>
      </c>
      <c r="AP23" s="8">
        <f>AL23*3671.165</f>
        <v>189.0237817195335</v>
      </c>
      <c r="AQ23" s="8"/>
      <c r="AR23" s="8">
        <f>AL23*656.808</f>
        <v>33.818238086177921</v>
      </c>
      <c r="AS23" s="8"/>
      <c r="AT23" s="8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</row>
    <row r="24" spans="1:157" s="36" customFormat="1" ht="36" customHeight="1" outlineLevel="1" x14ac:dyDescent="0.25">
      <c r="B24" s="234"/>
      <c r="C24" s="32" t="s">
        <v>71</v>
      </c>
      <c r="D24" s="32" t="s">
        <v>68</v>
      </c>
      <c r="E24" s="56">
        <v>41215</v>
      </c>
      <c r="F24" s="56">
        <v>41219</v>
      </c>
      <c r="G24" s="33">
        <v>8442.4449999999997</v>
      </c>
      <c r="H24" s="34">
        <v>20</v>
      </c>
      <c r="I24" s="34"/>
      <c r="J24" s="34"/>
      <c r="K24" s="34"/>
      <c r="L24" s="32"/>
      <c r="M24" s="34">
        <v>425.41399999999999</v>
      </c>
      <c r="N24" s="38"/>
      <c r="O24" s="32"/>
      <c r="P24" s="8">
        <v>5223.9369999999999</v>
      </c>
      <c r="Q24" s="8"/>
      <c r="R24" s="8">
        <v>2793.0940000000001</v>
      </c>
      <c r="S24" s="8"/>
      <c r="T24" s="8"/>
      <c r="W24" s="35"/>
      <c r="X24" s="35"/>
      <c r="Y24" s="35"/>
      <c r="Z24" s="35"/>
      <c r="AA24" s="35"/>
      <c r="AB24" s="35"/>
      <c r="AC24" s="35"/>
      <c r="AD24" s="35"/>
      <c r="AE24" s="35"/>
      <c r="AF24" s="64"/>
      <c r="AG24" s="64"/>
      <c r="AH24" s="82">
        <f t="shared" si="5"/>
        <v>8442.4449999999997</v>
      </c>
      <c r="AI24" s="99">
        <v>8037.12</v>
      </c>
      <c r="AJ24" s="99">
        <f t="shared" si="6"/>
        <v>405.32499999999982</v>
      </c>
      <c r="AK24" s="82">
        <f t="shared" si="7"/>
        <v>0.95198961912100111</v>
      </c>
      <c r="AL24" s="94">
        <f t="shared" si="8"/>
        <v>4.8010380878998893E-2</v>
      </c>
      <c r="AM24" s="34">
        <f>AL24*425.414</f>
        <v>20.424288171258436</v>
      </c>
      <c r="AN24" s="38"/>
      <c r="AO24" s="32"/>
      <c r="AP24" s="8">
        <f>AL24*5223.937</f>
        <v>250.80320505789484</v>
      </c>
      <c r="AQ24" s="8"/>
      <c r="AR24" s="8">
        <f>AL24*2793.094</f>
        <v>134.09750677084654</v>
      </c>
      <c r="AS24" s="8"/>
      <c r="AT24" s="8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</row>
    <row r="25" spans="1:157" s="36" customFormat="1" ht="36" customHeight="1" outlineLevel="1" x14ac:dyDescent="0.25">
      <c r="B25" s="234"/>
      <c r="C25" s="32" t="s">
        <v>72</v>
      </c>
      <c r="D25" s="32" t="s">
        <v>68</v>
      </c>
      <c r="E25" s="56">
        <v>41215</v>
      </c>
      <c r="F25" s="56">
        <v>41219</v>
      </c>
      <c r="G25" s="33">
        <v>20243.022000000001</v>
      </c>
      <c r="H25" s="8">
        <v>21</v>
      </c>
      <c r="I25" s="8"/>
      <c r="J25" s="8"/>
      <c r="K25" s="8"/>
      <c r="L25" s="8"/>
      <c r="M25" s="8">
        <v>2244.5230000000001</v>
      </c>
      <c r="N25" s="8"/>
      <c r="O25" s="8">
        <v>9320.52</v>
      </c>
      <c r="P25" s="8">
        <v>7099.9179999999997</v>
      </c>
      <c r="Q25" s="8"/>
      <c r="R25" s="8">
        <v>1578.0609999999999</v>
      </c>
      <c r="S25" s="8"/>
      <c r="T25" s="8"/>
      <c r="W25" s="35"/>
      <c r="X25" s="35"/>
      <c r="Y25" s="35"/>
      <c r="Z25" s="35"/>
      <c r="AA25" s="35"/>
      <c r="AB25" s="35"/>
      <c r="AC25" s="35"/>
      <c r="AD25" s="35"/>
      <c r="AE25" s="35"/>
      <c r="AF25" s="64"/>
      <c r="AG25" s="64"/>
      <c r="AH25" s="82">
        <f t="shared" si="5"/>
        <v>20243.022000000004</v>
      </c>
      <c r="AI25" s="99">
        <v>19260.7</v>
      </c>
      <c r="AJ25" s="99">
        <f t="shared" si="6"/>
        <v>982.32200000000375</v>
      </c>
      <c r="AK25" s="82">
        <f t="shared" si="7"/>
        <v>0.95147354974963705</v>
      </c>
      <c r="AL25" s="94">
        <f t="shared" si="8"/>
        <v>4.8526450250362951E-2</v>
      </c>
      <c r="AM25" s="8">
        <f>AL25*2244.523</f>
        <v>108.91873369529542</v>
      </c>
      <c r="AN25" s="8"/>
      <c r="AO25" s="8">
        <f>AL25*9320.52</f>
        <v>452.29175008751292</v>
      </c>
      <c r="AP25" s="8">
        <f>AL25*7099.918</f>
        <v>344.53381760865642</v>
      </c>
      <c r="AQ25" s="8"/>
      <c r="AR25" s="8">
        <f>AL25*1578.061</f>
        <v>76.577698608538</v>
      </c>
      <c r="AS25" s="8"/>
      <c r="AT25" s="8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</row>
    <row r="26" spans="1:157" ht="36" customHeight="1" outlineLevel="1" x14ac:dyDescent="0.25">
      <c r="B26" s="234"/>
      <c r="C26" s="42" t="s">
        <v>58</v>
      </c>
      <c r="D26" s="42"/>
      <c r="E26" s="55"/>
      <c r="F26" s="55"/>
      <c r="G26" s="41">
        <f>6000+5000+6932.2+1500+1000</f>
        <v>20432.2</v>
      </c>
      <c r="H26" s="46"/>
      <c r="I26" s="60"/>
      <c r="J26" s="60"/>
      <c r="K26" s="46"/>
      <c r="L26" s="46"/>
      <c r="M26" s="46"/>
      <c r="N26" s="46"/>
      <c r="O26" s="46"/>
      <c r="P26" s="46"/>
      <c r="Q26" s="46"/>
      <c r="R26" s="46"/>
      <c r="S26" s="46"/>
      <c r="T26" s="46"/>
      <c r="W26" s="14"/>
      <c r="X26" s="14"/>
      <c r="Y26" s="14"/>
      <c r="Z26" s="14"/>
      <c r="AA26" s="24"/>
      <c r="AB26" s="14"/>
      <c r="AC26" s="14"/>
      <c r="AD26" s="14"/>
      <c r="AE26" s="14"/>
      <c r="AH26" s="82"/>
      <c r="AK26" s="24"/>
      <c r="AL26" s="94"/>
      <c r="AM26" s="93"/>
      <c r="AN26" s="93"/>
      <c r="AO26" s="93"/>
      <c r="AP26" s="93"/>
      <c r="AQ26" s="93"/>
      <c r="AR26" s="93"/>
      <c r="AS26" s="93"/>
      <c r="AT26" s="93"/>
    </row>
    <row r="27" spans="1:157" s="36" customFormat="1" ht="36" customHeight="1" outlineLevel="1" x14ac:dyDescent="0.25">
      <c r="B27" s="234"/>
      <c r="C27" s="32" t="s">
        <v>76</v>
      </c>
      <c r="D27" s="32" t="s">
        <v>68</v>
      </c>
      <c r="E27" s="56">
        <v>41228</v>
      </c>
      <c r="F27" s="56">
        <v>41232</v>
      </c>
      <c r="G27" s="33">
        <v>6931.9</v>
      </c>
      <c r="H27" s="8">
        <v>34</v>
      </c>
      <c r="I27" s="8"/>
      <c r="J27" s="8"/>
      <c r="K27" s="44"/>
      <c r="L27" s="8"/>
      <c r="M27" s="8">
        <v>4876.8999999999996</v>
      </c>
      <c r="N27" s="8"/>
      <c r="O27" s="8"/>
      <c r="P27" s="8">
        <v>2045</v>
      </c>
      <c r="Q27" s="8"/>
      <c r="R27" s="8">
        <v>10</v>
      </c>
      <c r="S27" s="8"/>
      <c r="T27" s="8"/>
      <c r="W27" s="35"/>
      <c r="X27" s="35"/>
      <c r="Y27" s="35"/>
      <c r="Z27" s="35"/>
      <c r="AA27" s="35"/>
      <c r="AB27" s="35"/>
      <c r="AC27" s="35"/>
      <c r="AD27" s="35"/>
      <c r="AE27" s="35"/>
      <c r="AF27" s="64"/>
      <c r="AG27" s="64"/>
      <c r="AH27" s="82">
        <f t="shared" si="5"/>
        <v>6931.9</v>
      </c>
      <c r="AI27" s="82">
        <v>6600</v>
      </c>
      <c r="AJ27" s="99">
        <f>AH27-AI27</f>
        <v>331.89999999999964</v>
      </c>
      <c r="AK27" s="82">
        <f>AI27/AH27</f>
        <v>0.9521199094043481</v>
      </c>
      <c r="AL27" s="94">
        <f t="shared" si="8"/>
        <v>4.7880090595651903E-2</v>
      </c>
      <c r="AM27" s="8">
        <f>AL27*4876.9</f>
        <v>233.50641382593474</v>
      </c>
      <c r="AN27" s="8"/>
      <c r="AO27" s="8"/>
      <c r="AP27" s="8">
        <f>AL27*2045</f>
        <v>97.914785268108147</v>
      </c>
      <c r="AQ27" s="8"/>
      <c r="AR27" s="8">
        <f>AL27*10</f>
        <v>0.47880090595651903</v>
      </c>
      <c r="AS27" s="8"/>
      <c r="AT27" s="8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</row>
    <row r="28" spans="1:157" ht="36" customHeight="1" outlineLevel="1" x14ac:dyDescent="0.25">
      <c r="A28" s="36"/>
      <c r="B28" s="234"/>
      <c r="C28" s="32" t="s">
        <v>77</v>
      </c>
      <c r="D28" s="32" t="s">
        <v>68</v>
      </c>
      <c r="E28" s="56">
        <v>41226</v>
      </c>
      <c r="F28" s="56">
        <v>41227</v>
      </c>
      <c r="G28" s="33">
        <v>5998.75</v>
      </c>
      <c r="H28" s="8">
        <v>22</v>
      </c>
      <c r="I28" s="8"/>
      <c r="J28" s="8"/>
      <c r="K28" s="44"/>
      <c r="L28" s="8"/>
      <c r="M28" s="8">
        <v>5067.75</v>
      </c>
      <c r="N28" s="8">
        <v>548.5</v>
      </c>
      <c r="O28" s="8">
        <v>360</v>
      </c>
      <c r="P28" s="8"/>
      <c r="Q28" s="8">
        <v>17.5</v>
      </c>
      <c r="R28" s="8">
        <v>5</v>
      </c>
      <c r="S28" s="8"/>
      <c r="T28" s="8"/>
      <c r="U28" s="36"/>
      <c r="V28" s="36"/>
      <c r="W28" s="35"/>
      <c r="X28" s="35"/>
      <c r="Y28" s="35"/>
      <c r="Z28" s="35"/>
      <c r="AA28" s="35"/>
      <c r="AB28" s="35"/>
      <c r="AC28" s="35"/>
      <c r="AD28" s="35"/>
      <c r="AE28" s="35"/>
      <c r="AH28" s="82">
        <f t="shared" si="5"/>
        <v>5998.75</v>
      </c>
      <c r="AI28" s="85">
        <v>5705.9</v>
      </c>
      <c r="AJ28" s="99">
        <f>AH28-AI28</f>
        <v>292.85000000000036</v>
      </c>
      <c r="AK28" s="82">
        <f>AI28/AH28</f>
        <v>0.95118149614503011</v>
      </c>
      <c r="AL28" s="94">
        <f t="shared" si="8"/>
        <v>4.8818503854969886E-2</v>
      </c>
      <c r="AM28" s="8">
        <f>AL28*5067.75</f>
        <v>247.39997291102364</v>
      </c>
      <c r="AN28" s="8">
        <f>AL28*548.5</f>
        <v>26.776949364450982</v>
      </c>
      <c r="AO28" s="8">
        <f>AL28*360</f>
        <v>17.57466138778916</v>
      </c>
      <c r="AP28" s="8"/>
      <c r="AQ28" s="8">
        <f>AL28*17.5</f>
        <v>0.85432381746197295</v>
      </c>
      <c r="AR28" s="8">
        <f>AL28*5</f>
        <v>0.24409251927484943</v>
      </c>
      <c r="AS28" s="8"/>
      <c r="AT28" s="8"/>
    </row>
    <row r="29" spans="1:157" s="36" customFormat="1" ht="36" customHeight="1" outlineLevel="1" x14ac:dyDescent="0.25">
      <c r="B29" s="234"/>
      <c r="C29" s="32" t="s">
        <v>73</v>
      </c>
      <c r="D29" s="32" t="s">
        <v>68</v>
      </c>
      <c r="E29" s="56">
        <v>41222</v>
      </c>
      <c r="F29" s="56">
        <v>41225</v>
      </c>
      <c r="G29" s="33">
        <v>4999.3</v>
      </c>
      <c r="H29" s="8">
        <v>23</v>
      </c>
      <c r="I29" s="8"/>
      <c r="J29" s="8"/>
      <c r="K29" s="44"/>
      <c r="L29" s="8"/>
      <c r="M29" s="8">
        <v>3701.8</v>
      </c>
      <c r="N29" s="8">
        <v>816.5</v>
      </c>
      <c r="O29" s="8">
        <v>425</v>
      </c>
      <c r="P29" s="8"/>
      <c r="Q29" s="8">
        <v>56</v>
      </c>
      <c r="R29" s="8"/>
      <c r="S29" s="8"/>
      <c r="T29" s="8"/>
      <c r="W29" s="35"/>
      <c r="X29" s="35"/>
      <c r="Y29" s="35"/>
      <c r="Z29" s="35"/>
      <c r="AA29" s="35"/>
      <c r="AB29" s="35"/>
      <c r="AC29" s="35"/>
      <c r="AD29" s="35"/>
      <c r="AE29" s="35"/>
      <c r="AF29" s="64"/>
      <c r="AG29" s="64"/>
      <c r="AH29" s="82">
        <f t="shared" si="5"/>
        <v>4999.3</v>
      </c>
      <c r="AI29" s="99">
        <v>4760</v>
      </c>
      <c r="AJ29" s="99">
        <f>AH29-AI29</f>
        <v>239.30000000000018</v>
      </c>
      <c r="AK29" s="82">
        <f>AI29/AH29</f>
        <v>0.95213329866181262</v>
      </c>
      <c r="AL29" s="94">
        <f t="shared" si="8"/>
        <v>4.7866701338187378E-2</v>
      </c>
      <c r="AM29" s="8">
        <f>AL29*3701.8</f>
        <v>177.19295501370203</v>
      </c>
      <c r="AN29" s="8">
        <f>AL29*816.5</f>
        <v>39.083161642629996</v>
      </c>
      <c r="AO29" s="8">
        <f>AL29*425</f>
        <v>20.343348068729636</v>
      </c>
      <c r="AP29" s="8"/>
      <c r="AQ29" s="8">
        <f>AL29*56</f>
        <v>2.6805352749384932</v>
      </c>
      <c r="AR29" s="8"/>
      <c r="AS29" s="8"/>
      <c r="AT29" s="8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</row>
    <row r="30" spans="1:157" s="36" customFormat="1" ht="36" customHeight="1" outlineLevel="1" x14ac:dyDescent="0.25">
      <c r="B30" s="234"/>
      <c r="C30" s="32" t="s">
        <v>75</v>
      </c>
      <c r="D30" s="32" t="s">
        <v>68</v>
      </c>
      <c r="E30" s="56">
        <v>41222</v>
      </c>
      <c r="F30" s="56">
        <v>41225</v>
      </c>
      <c r="G30" s="33">
        <v>998.5</v>
      </c>
      <c r="H30" s="8" t="s">
        <v>84</v>
      </c>
      <c r="I30" s="8"/>
      <c r="J30" s="8"/>
      <c r="K30" s="44"/>
      <c r="L30" s="8"/>
      <c r="M30" s="8">
        <v>215.1</v>
      </c>
      <c r="N30" s="8"/>
      <c r="O30" s="8"/>
      <c r="P30" s="8"/>
      <c r="Q30" s="8">
        <v>503.4</v>
      </c>
      <c r="R30" s="8">
        <v>280</v>
      </c>
      <c r="S30" s="8"/>
      <c r="T30" s="8"/>
      <c r="W30" s="35"/>
      <c r="X30" s="35"/>
      <c r="Y30" s="35"/>
      <c r="Z30" s="35"/>
      <c r="AA30" s="35"/>
      <c r="AB30" s="35"/>
      <c r="AC30" s="35"/>
      <c r="AD30" s="35"/>
      <c r="AE30" s="35"/>
      <c r="AF30" s="64"/>
      <c r="AG30" s="64"/>
      <c r="AH30" s="82">
        <f t="shared" si="5"/>
        <v>998.5</v>
      </c>
      <c r="AI30" s="99">
        <v>950</v>
      </c>
      <c r="AJ30" s="99">
        <f>AH30-AI30</f>
        <v>48.5</v>
      </c>
      <c r="AK30" s="82">
        <f>AI30/AH30</f>
        <v>0.9514271407110666</v>
      </c>
      <c r="AL30" s="94">
        <f t="shared" si="8"/>
        <v>4.8572859288933401E-2</v>
      </c>
      <c r="AM30" s="8">
        <f>AL30*215.1</f>
        <v>10.448022033049574</v>
      </c>
      <c r="AN30" s="8"/>
      <c r="AO30" s="8"/>
      <c r="AP30" s="8"/>
      <c r="AQ30" s="8">
        <f>AL30*503.4</f>
        <v>24.451577366049072</v>
      </c>
      <c r="AR30" s="8">
        <f>AL30*280</f>
        <v>13.600400600901352</v>
      </c>
      <c r="AS30" s="8"/>
      <c r="AT30" s="8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</row>
    <row r="31" spans="1:157" s="36" customFormat="1" ht="36" customHeight="1" outlineLevel="1" x14ac:dyDescent="0.25">
      <c r="B31" s="235"/>
      <c r="C31" s="32" t="s">
        <v>74</v>
      </c>
      <c r="D31" s="32" t="s">
        <v>68</v>
      </c>
      <c r="E31" s="56">
        <v>41222</v>
      </c>
      <c r="F31" s="56">
        <v>41225</v>
      </c>
      <c r="G31" s="8">
        <v>1463.15</v>
      </c>
      <c r="H31" s="8" t="s">
        <v>85</v>
      </c>
      <c r="I31" s="8"/>
      <c r="J31" s="8"/>
      <c r="K31" s="44"/>
      <c r="L31" s="8"/>
      <c r="M31" s="8">
        <v>1463.15</v>
      </c>
      <c r="N31" s="8"/>
      <c r="O31" s="8"/>
      <c r="P31" s="8"/>
      <c r="Q31" s="8"/>
      <c r="R31" s="8"/>
      <c r="S31" s="8"/>
      <c r="T31" s="8"/>
      <c r="W31" s="35"/>
      <c r="X31" s="35"/>
      <c r="Y31" s="35"/>
      <c r="Z31" s="35"/>
      <c r="AA31" s="35"/>
      <c r="AB31" s="35"/>
      <c r="AC31" s="35"/>
      <c r="AD31" s="35"/>
      <c r="AE31" s="35"/>
      <c r="AF31" s="64"/>
      <c r="AG31" s="64"/>
      <c r="AH31" s="82">
        <f t="shared" si="5"/>
        <v>1463.15</v>
      </c>
      <c r="AI31" s="82">
        <v>1392.56</v>
      </c>
      <c r="AJ31" s="99">
        <f>AH31-AI31</f>
        <v>70.590000000000146</v>
      </c>
      <c r="AK31" s="82">
        <f>AI31/AH31</f>
        <v>0.95175477565526423</v>
      </c>
      <c r="AL31" s="94">
        <f t="shared" si="8"/>
        <v>4.8245224344735771E-2</v>
      </c>
      <c r="AM31" s="8">
        <f>AL31*1463.15</f>
        <v>70.590000000000146</v>
      </c>
      <c r="AN31" s="8"/>
      <c r="AO31" s="8"/>
      <c r="AP31" s="8"/>
      <c r="AQ31" s="8"/>
      <c r="AR31" s="8"/>
      <c r="AS31" s="8"/>
      <c r="AT31" s="8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</row>
    <row r="32" spans="1:157" s="49" customFormat="1" ht="23.25" customHeight="1" x14ac:dyDescent="0.25">
      <c r="B32" s="45"/>
      <c r="C32" s="27"/>
      <c r="D32" s="27"/>
      <c r="E32" s="27"/>
      <c r="F32" s="27"/>
      <c r="G32" s="47"/>
      <c r="H32" s="47"/>
      <c r="I32" s="61"/>
      <c r="J32" s="61"/>
      <c r="K32" s="50"/>
      <c r="L32" s="47"/>
      <c r="M32" s="47"/>
      <c r="N32" s="47"/>
      <c r="O32" s="47"/>
      <c r="P32" s="47"/>
      <c r="Q32" s="47"/>
      <c r="R32" s="47"/>
      <c r="S32" s="47"/>
      <c r="T32" s="47"/>
      <c r="W32" s="72"/>
      <c r="X32" s="72"/>
      <c r="Y32" s="72"/>
      <c r="Z32" s="72"/>
      <c r="AA32" s="24"/>
      <c r="AB32" s="72"/>
      <c r="AC32" s="72"/>
      <c r="AD32" s="72"/>
      <c r="AE32" s="72"/>
      <c r="AF32" s="64"/>
      <c r="AG32" s="64"/>
      <c r="AH32" s="82"/>
      <c r="AI32" s="24"/>
      <c r="AJ32" s="24"/>
      <c r="AK32" s="24"/>
      <c r="AL32" s="94"/>
      <c r="AM32" s="95"/>
      <c r="AN32" s="95"/>
      <c r="AO32" s="95"/>
      <c r="AP32" s="95"/>
      <c r="AQ32" s="95"/>
      <c r="AR32" s="95"/>
      <c r="AS32" s="95"/>
      <c r="AT32" s="95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</row>
    <row r="33" spans="2:157" s="36" customFormat="1" ht="36" customHeight="1" outlineLevel="1" x14ac:dyDescent="0.25">
      <c r="B33" s="236" t="s">
        <v>78</v>
      </c>
      <c r="C33" s="32" t="s">
        <v>79</v>
      </c>
      <c r="D33" s="32" t="s">
        <v>68</v>
      </c>
      <c r="E33" s="56">
        <v>41241</v>
      </c>
      <c r="F33" s="56">
        <v>41242</v>
      </c>
      <c r="G33" s="8">
        <v>3780</v>
      </c>
      <c r="H33" s="8">
        <v>13</v>
      </c>
      <c r="I33" s="8"/>
      <c r="J33" s="8"/>
      <c r="K33" s="48"/>
      <c r="L33" s="48"/>
      <c r="M33" s="8">
        <v>1100</v>
      </c>
      <c r="N33" s="8"/>
      <c r="O33" s="8">
        <v>1800</v>
      </c>
      <c r="P33" s="8">
        <v>880</v>
      </c>
      <c r="Q33" s="8"/>
      <c r="R33" s="8"/>
      <c r="S33" s="8"/>
      <c r="T33" s="8"/>
      <c r="W33" s="35"/>
      <c r="X33" s="35"/>
      <c r="Y33" s="35"/>
      <c r="Z33" s="35"/>
      <c r="AA33" s="35"/>
      <c r="AB33" s="35"/>
      <c r="AC33" s="35"/>
      <c r="AD33" s="35"/>
      <c r="AE33" s="35"/>
      <c r="AF33" s="64"/>
      <c r="AG33" s="64"/>
      <c r="AH33" s="82">
        <f t="shared" si="5"/>
        <v>3780</v>
      </c>
      <c r="AI33" s="94">
        <v>3200</v>
      </c>
      <c r="AJ33" s="99">
        <f t="shared" ref="AJ33:AJ45" si="9">AH33-AI33</f>
        <v>580</v>
      </c>
      <c r="AK33" s="82">
        <f t="shared" ref="AK33:AK46" si="10">AI33/AH33</f>
        <v>0.84656084656084651</v>
      </c>
      <c r="AL33" s="94">
        <f t="shared" si="8"/>
        <v>0.15343915343915349</v>
      </c>
      <c r="AM33" s="8">
        <f>AL33*1100</f>
        <v>168.78306878306884</v>
      </c>
      <c r="AN33" s="8"/>
      <c r="AO33" s="8">
        <f>AL33*1800</f>
        <v>276.19047619047626</v>
      </c>
      <c r="AP33" s="8">
        <f>AL33*880</f>
        <v>135.02645502645507</v>
      </c>
      <c r="AQ33" s="8"/>
      <c r="AR33" s="8"/>
      <c r="AS33" s="8"/>
      <c r="AT33" s="8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</row>
    <row r="34" spans="2:157" s="36" customFormat="1" ht="36" customHeight="1" outlineLevel="1" x14ac:dyDescent="0.25">
      <c r="B34" s="237"/>
      <c r="C34" s="32" t="s">
        <v>80</v>
      </c>
      <c r="D34" s="32" t="s">
        <v>68</v>
      </c>
      <c r="E34" s="56">
        <v>41241</v>
      </c>
      <c r="F34" s="56">
        <v>41242</v>
      </c>
      <c r="G34" s="8">
        <v>4993.1000000000004</v>
      </c>
      <c r="H34" s="8">
        <v>14</v>
      </c>
      <c r="I34" s="8"/>
      <c r="J34" s="8"/>
      <c r="K34" s="48"/>
      <c r="L34" s="48"/>
      <c r="M34" s="8">
        <v>2088.1</v>
      </c>
      <c r="N34" s="8">
        <v>1695</v>
      </c>
      <c r="O34" s="8">
        <v>1140</v>
      </c>
      <c r="P34" s="8"/>
      <c r="Q34" s="8"/>
      <c r="R34" s="8">
        <v>70</v>
      </c>
      <c r="S34" s="8"/>
      <c r="T34" s="8"/>
      <c r="W34" s="35"/>
      <c r="X34" s="35"/>
      <c r="Y34" s="35"/>
      <c r="Z34" s="35"/>
      <c r="AA34" s="35"/>
      <c r="AB34" s="35"/>
      <c r="AC34" s="35"/>
      <c r="AD34" s="35"/>
      <c r="AE34" s="35"/>
      <c r="AF34" s="64"/>
      <c r="AG34" s="64"/>
      <c r="AH34" s="82">
        <f t="shared" si="5"/>
        <v>4993.1000000000004</v>
      </c>
      <c r="AI34" s="94">
        <v>4830</v>
      </c>
      <c r="AJ34" s="99">
        <f t="shared" si="9"/>
        <v>163.10000000000036</v>
      </c>
      <c r="AK34" s="82">
        <f t="shared" si="10"/>
        <v>0.96733492219262573</v>
      </c>
      <c r="AL34" s="94">
        <f t="shared" si="8"/>
        <v>3.2665077807374265E-2</v>
      </c>
      <c r="AM34" s="8">
        <f>AL34*2088.1</f>
        <v>68.207948969578197</v>
      </c>
      <c r="AN34" s="8">
        <f>AL34*1695</f>
        <v>55.367306883499381</v>
      </c>
      <c r="AO34" s="8">
        <f>AL34*1140</f>
        <v>37.23818870040666</v>
      </c>
      <c r="AP34" s="8"/>
      <c r="AQ34" s="8"/>
      <c r="AR34" s="8">
        <f>AL34*70</f>
        <v>2.2865554465161986</v>
      </c>
      <c r="AS34" s="8"/>
      <c r="AT34" s="8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</row>
    <row r="35" spans="2:157" s="36" customFormat="1" ht="36" customHeight="1" outlineLevel="1" x14ac:dyDescent="0.25">
      <c r="B35" s="237"/>
      <c r="C35" s="32" t="s">
        <v>81</v>
      </c>
      <c r="D35" s="32" t="s">
        <v>68</v>
      </c>
      <c r="E35" s="56">
        <v>41234</v>
      </c>
      <c r="F35" s="56">
        <v>41234</v>
      </c>
      <c r="G35" s="8">
        <v>1260</v>
      </c>
      <c r="H35" s="8" t="s">
        <v>83</v>
      </c>
      <c r="I35" s="8"/>
      <c r="J35" s="8"/>
      <c r="K35" s="48"/>
      <c r="L35" s="48"/>
      <c r="M35" s="8"/>
      <c r="N35" s="8"/>
      <c r="O35" s="8"/>
      <c r="P35" s="8"/>
      <c r="Q35" s="8"/>
      <c r="R35" s="8">
        <v>1260</v>
      </c>
      <c r="S35" s="8"/>
      <c r="T35" s="8"/>
      <c r="W35" s="35"/>
      <c r="X35" s="35"/>
      <c r="Y35" s="35"/>
      <c r="Z35" s="35"/>
      <c r="AA35" s="35"/>
      <c r="AB35" s="35"/>
      <c r="AC35" s="35"/>
      <c r="AD35" s="35"/>
      <c r="AE35" s="35"/>
      <c r="AF35" s="64"/>
      <c r="AG35" s="64"/>
      <c r="AH35" s="82">
        <f t="shared" si="5"/>
        <v>1260</v>
      </c>
      <c r="AI35" s="94">
        <v>1210</v>
      </c>
      <c r="AJ35" s="99">
        <f t="shared" si="9"/>
        <v>50</v>
      </c>
      <c r="AK35" s="82">
        <f t="shared" si="10"/>
        <v>0.96031746031746035</v>
      </c>
      <c r="AL35" s="94">
        <f t="shared" si="8"/>
        <v>3.9682539682539653E-2</v>
      </c>
      <c r="AM35" s="8"/>
      <c r="AN35" s="8"/>
      <c r="AO35" s="8"/>
      <c r="AP35" s="8"/>
      <c r="AQ35" s="8"/>
      <c r="AR35" s="8">
        <f>AL35*1260</f>
        <v>49.999999999999964</v>
      </c>
      <c r="AS35" s="8"/>
      <c r="AT35" s="8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</row>
    <row r="36" spans="2:157" s="36" customFormat="1" ht="36" customHeight="1" outlineLevel="1" x14ac:dyDescent="0.25">
      <c r="B36" s="237"/>
      <c r="C36" s="32" t="s">
        <v>86</v>
      </c>
      <c r="D36" s="32" t="s">
        <v>68</v>
      </c>
      <c r="E36" s="56">
        <v>41239</v>
      </c>
      <c r="F36" s="56">
        <v>41240</v>
      </c>
      <c r="G36" s="8">
        <v>3299.7</v>
      </c>
      <c r="H36" s="8" t="s">
        <v>91</v>
      </c>
      <c r="I36" s="8"/>
      <c r="J36" s="8"/>
      <c r="K36" s="35"/>
      <c r="L36" s="35"/>
      <c r="M36" s="8">
        <v>1274.7</v>
      </c>
      <c r="N36" s="8"/>
      <c r="O36" s="8">
        <v>2015</v>
      </c>
      <c r="P36" s="8"/>
      <c r="Q36" s="8">
        <v>10</v>
      </c>
      <c r="R36" s="54"/>
      <c r="S36" s="8"/>
      <c r="T36" s="8"/>
      <c r="W36" s="35"/>
      <c r="X36" s="35"/>
      <c r="Y36" s="35"/>
      <c r="Z36" s="35"/>
      <c r="AA36" s="35"/>
      <c r="AB36" s="35"/>
      <c r="AC36" s="35"/>
      <c r="AD36" s="35"/>
      <c r="AE36" s="35"/>
      <c r="AF36" s="64"/>
      <c r="AG36" s="64"/>
      <c r="AH36" s="82">
        <f t="shared" si="5"/>
        <v>3299.7</v>
      </c>
      <c r="AI36" s="94">
        <v>2990</v>
      </c>
      <c r="AJ36" s="99">
        <f t="shared" si="9"/>
        <v>309.69999999999982</v>
      </c>
      <c r="AK36" s="82">
        <f t="shared" si="10"/>
        <v>0.90614298269539661</v>
      </c>
      <c r="AL36" s="94">
        <f t="shared" si="8"/>
        <v>9.3857017304603385E-2</v>
      </c>
      <c r="AM36" s="8">
        <f>AL36*1274.7</f>
        <v>119.63953995817793</v>
      </c>
      <c r="AN36" s="8"/>
      <c r="AO36" s="8">
        <f>AL36*2015</f>
        <v>189.12188986877581</v>
      </c>
      <c r="AP36" s="8"/>
      <c r="AQ36" s="8">
        <f>AL36*10</f>
        <v>0.93857017304603385</v>
      </c>
      <c r="AR36" s="54"/>
      <c r="AS36" s="8"/>
      <c r="AT36" s="8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</row>
    <row r="37" spans="2:157" s="36" customFormat="1" ht="36" customHeight="1" outlineLevel="1" x14ac:dyDescent="0.25">
      <c r="B37" s="237"/>
      <c r="C37" s="32" t="s">
        <v>87</v>
      </c>
      <c r="D37" s="32" t="s">
        <v>68</v>
      </c>
      <c r="E37" s="56">
        <v>41241</v>
      </c>
      <c r="F37" s="56">
        <v>41242</v>
      </c>
      <c r="G37" s="8">
        <v>9998.5499999999993</v>
      </c>
      <c r="H37" s="8">
        <v>24</v>
      </c>
      <c r="I37" s="8"/>
      <c r="J37" s="8"/>
      <c r="K37" s="35"/>
      <c r="L37" s="35"/>
      <c r="M37" s="8">
        <v>5049.05</v>
      </c>
      <c r="N37" s="8">
        <v>4065.5</v>
      </c>
      <c r="O37" s="8">
        <v>870</v>
      </c>
      <c r="P37" s="8"/>
      <c r="Q37" s="8">
        <v>14</v>
      </c>
      <c r="R37" s="8"/>
      <c r="S37" s="8"/>
      <c r="T37" s="8"/>
      <c r="W37" s="35"/>
      <c r="X37" s="35"/>
      <c r="Y37" s="35"/>
      <c r="Z37" s="35"/>
      <c r="AA37" s="35"/>
      <c r="AB37" s="35"/>
      <c r="AC37" s="35"/>
      <c r="AD37" s="35"/>
      <c r="AE37" s="35"/>
      <c r="AF37" s="64"/>
      <c r="AG37" s="64"/>
      <c r="AH37" s="82">
        <f t="shared" si="5"/>
        <v>9998.5499999999993</v>
      </c>
      <c r="AI37" s="94">
        <v>7800</v>
      </c>
      <c r="AJ37" s="99">
        <f t="shared" si="9"/>
        <v>2198.5499999999993</v>
      </c>
      <c r="AK37" s="82">
        <f t="shared" si="10"/>
        <v>0.7801131164018783</v>
      </c>
      <c r="AL37" s="94">
        <f t="shared" si="8"/>
        <v>0.2198868835981217</v>
      </c>
      <c r="AM37" s="8">
        <f>AL37*5049.05</f>
        <v>1110.2198696310963</v>
      </c>
      <c r="AN37" s="8">
        <f>AL37*4065.5</f>
        <v>893.95012526816379</v>
      </c>
      <c r="AO37" s="8">
        <f>AL37*870</f>
        <v>191.30158873036586</v>
      </c>
      <c r="AP37" s="8"/>
      <c r="AQ37" s="8">
        <f>AL37*14</f>
        <v>3.078416370373704</v>
      </c>
      <c r="AR37" s="8"/>
      <c r="AS37" s="8"/>
      <c r="AT37" s="8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</row>
    <row r="38" spans="2:157" s="36" customFormat="1" ht="36" customHeight="1" outlineLevel="1" x14ac:dyDescent="0.25">
      <c r="B38" s="237"/>
      <c r="C38" s="32" t="s">
        <v>88</v>
      </c>
      <c r="D38" s="32" t="s">
        <v>68</v>
      </c>
      <c r="E38" s="56">
        <v>41243</v>
      </c>
      <c r="F38" s="56">
        <v>41246</v>
      </c>
      <c r="G38" s="8">
        <v>9999.1</v>
      </c>
      <c r="H38" s="8">
        <v>25</v>
      </c>
      <c r="I38" s="8"/>
      <c r="J38" s="8"/>
      <c r="K38" s="35"/>
      <c r="L38" s="35"/>
      <c r="M38" s="8">
        <v>2151.1</v>
      </c>
      <c r="N38" s="8">
        <v>103</v>
      </c>
      <c r="O38" s="8">
        <v>6825</v>
      </c>
      <c r="P38" s="8">
        <v>920</v>
      </c>
      <c r="Q38" s="8"/>
      <c r="R38" s="8"/>
      <c r="S38" s="8"/>
      <c r="T38" s="8"/>
      <c r="W38" s="35"/>
      <c r="X38" s="35"/>
      <c r="Y38" s="35"/>
      <c r="Z38" s="35"/>
      <c r="AA38" s="35"/>
      <c r="AB38" s="35"/>
      <c r="AC38" s="35"/>
      <c r="AD38" s="35"/>
      <c r="AE38" s="35"/>
      <c r="AF38" s="64"/>
      <c r="AG38" s="64"/>
      <c r="AH38" s="82">
        <f t="shared" si="5"/>
        <v>9999.1</v>
      </c>
      <c r="AI38" s="94">
        <v>9326.8050000000003</v>
      </c>
      <c r="AJ38" s="99">
        <f t="shared" si="9"/>
        <v>672.29500000000007</v>
      </c>
      <c r="AK38" s="82">
        <f t="shared" si="10"/>
        <v>0.932764448800392</v>
      </c>
      <c r="AL38" s="94">
        <f t="shared" si="8"/>
        <v>6.7235551199608001E-2</v>
      </c>
      <c r="AM38" s="8">
        <f>AL38*2151.1</f>
        <v>144.63039418547677</v>
      </c>
      <c r="AN38" s="8">
        <f>AL38*103</f>
        <v>6.9252617735596242</v>
      </c>
      <c r="AO38" s="8">
        <f>AL38*6825</f>
        <v>458.88263693732461</v>
      </c>
      <c r="AP38" s="8">
        <f>AL38*920</f>
        <v>61.856707103639359</v>
      </c>
      <c r="AQ38" s="8"/>
      <c r="AR38" s="8"/>
      <c r="AS38" s="8"/>
      <c r="AT38" s="8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</row>
    <row r="39" spans="2:157" s="36" customFormat="1" ht="36" customHeight="1" outlineLevel="1" x14ac:dyDescent="0.25">
      <c r="B39" s="237"/>
      <c r="C39" s="32" t="s">
        <v>89</v>
      </c>
      <c r="D39" s="32" t="s">
        <v>68</v>
      </c>
      <c r="E39" s="56">
        <v>41243</v>
      </c>
      <c r="F39" s="56">
        <v>41246</v>
      </c>
      <c r="G39" s="8">
        <v>9998.1</v>
      </c>
      <c r="H39" s="8">
        <v>26</v>
      </c>
      <c r="I39" s="8"/>
      <c r="J39" s="8"/>
      <c r="K39" s="35"/>
      <c r="L39" s="35"/>
      <c r="M39" s="8">
        <v>2518.1</v>
      </c>
      <c r="N39" s="8"/>
      <c r="O39" s="8">
        <v>6100</v>
      </c>
      <c r="P39" s="8">
        <v>1380</v>
      </c>
      <c r="Q39" s="8"/>
      <c r="R39" s="8"/>
      <c r="S39" s="8"/>
      <c r="T39" s="8"/>
      <c r="W39" s="35"/>
      <c r="X39" s="35"/>
      <c r="Y39" s="35"/>
      <c r="Z39" s="35"/>
      <c r="AA39" s="35"/>
      <c r="AB39" s="35"/>
      <c r="AC39" s="35"/>
      <c r="AD39" s="35"/>
      <c r="AE39" s="35"/>
      <c r="AF39" s="64"/>
      <c r="AG39" s="64"/>
      <c r="AH39" s="82">
        <f t="shared" si="5"/>
        <v>9998.1</v>
      </c>
      <c r="AI39" s="94">
        <v>8200</v>
      </c>
      <c r="AJ39" s="99">
        <f t="shared" si="9"/>
        <v>1798.1000000000004</v>
      </c>
      <c r="AK39" s="82">
        <f t="shared" si="10"/>
        <v>0.82015582960762545</v>
      </c>
      <c r="AL39" s="94">
        <f t="shared" si="8"/>
        <v>0.17984417039237455</v>
      </c>
      <c r="AM39" s="8">
        <f>AL39*2518.1</f>
        <v>452.86560546503836</v>
      </c>
      <c r="AN39" s="8"/>
      <c r="AO39" s="8">
        <f>AL39*6100</f>
        <v>1097.0494393934848</v>
      </c>
      <c r="AP39" s="8">
        <f>AL39*1380</f>
        <v>248.18495514147688</v>
      </c>
      <c r="AQ39" s="8"/>
      <c r="AR39" s="8"/>
      <c r="AS39" s="8"/>
      <c r="AT39" s="8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</row>
    <row r="40" spans="2:157" s="36" customFormat="1" ht="36" customHeight="1" outlineLevel="1" x14ac:dyDescent="0.25">
      <c r="B40" s="237"/>
      <c r="C40" s="32" t="s">
        <v>90</v>
      </c>
      <c r="D40" s="32" t="s">
        <v>68</v>
      </c>
      <c r="E40" s="56">
        <v>41253</v>
      </c>
      <c r="F40" s="56">
        <v>41254</v>
      </c>
      <c r="G40" s="8">
        <v>6999.4</v>
      </c>
      <c r="H40" s="8">
        <v>35</v>
      </c>
      <c r="I40" s="8"/>
      <c r="J40" s="8"/>
      <c r="K40" s="35"/>
      <c r="L40" s="35"/>
      <c r="M40" s="8">
        <v>1870.4</v>
      </c>
      <c r="N40" s="8">
        <v>4316</v>
      </c>
      <c r="O40" s="8">
        <v>680</v>
      </c>
      <c r="P40" s="8"/>
      <c r="Q40" s="8">
        <v>133</v>
      </c>
      <c r="R40" s="8"/>
      <c r="S40" s="8"/>
      <c r="T40" s="8"/>
      <c r="W40" s="35"/>
      <c r="X40" s="35"/>
      <c r="Y40" s="35"/>
      <c r="Z40" s="35"/>
      <c r="AA40" s="35"/>
      <c r="AB40" s="35"/>
      <c r="AC40" s="35"/>
      <c r="AD40" s="35"/>
      <c r="AE40" s="35"/>
      <c r="AF40" s="64"/>
      <c r="AG40" s="64"/>
      <c r="AH40" s="82">
        <f t="shared" si="5"/>
        <v>6999.4</v>
      </c>
      <c r="AI40" s="94">
        <v>6654.24</v>
      </c>
      <c r="AJ40" s="99">
        <f t="shared" si="9"/>
        <v>345.15999999999985</v>
      </c>
      <c r="AK40" s="82">
        <f t="shared" si="10"/>
        <v>0.95068720176015087</v>
      </c>
      <c r="AL40" s="94">
        <f t="shared" si="8"/>
        <v>4.9312798239849132E-2</v>
      </c>
      <c r="AM40" s="8">
        <f>AL40*1870.4</f>
        <v>92.23465782781382</v>
      </c>
      <c r="AN40" s="8">
        <f>AL40*4316</f>
        <v>212.83403720318884</v>
      </c>
      <c r="AO40" s="8">
        <f>AL40*680</f>
        <v>33.532702803097408</v>
      </c>
      <c r="AP40" s="8"/>
      <c r="AQ40" s="8">
        <f>AL40*133</f>
        <v>6.5586021658999343</v>
      </c>
      <c r="AR40" s="8"/>
      <c r="AS40" s="8"/>
      <c r="AT40" s="8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</row>
    <row r="41" spans="2:157" s="36" customFormat="1" ht="36" customHeight="1" outlineLevel="1" x14ac:dyDescent="0.25">
      <c r="B41" s="237"/>
      <c r="C41" s="32" t="s">
        <v>101</v>
      </c>
      <c r="D41" s="32" t="s">
        <v>68</v>
      </c>
      <c r="E41" s="56">
        <v>41263</v>
      </c>
      <c r="F41" s="56">
        <v>41263</v>
      </c>
      <c r="G41" s="8">
        <v>9993.2000000000007</v>
      </c>
      <c r="H41" s="8">
        <v>27</v>
      </c>
      <c r="I41" s="8"/>
      <c r="J41" s="8"/>
      <c r="K41" s="35"/>
      <c r="L41" s="35"/>
      <c r="M41" s="8">
        <v>6963.9</v>
      </c>
      <c r="N41" s="8"/>
      <c r="O41" s="8"/>
      <c r="P41" s="8">
        <v>2504</v>
      </c>
      <c r="Q41" s="8">
        <v>270.3</v>
      </c>
      <c r="R41" s="8">
        <v>255</v>
      </c>
      <c r="S41" s="8"/>
      <c r="T41" s="8"/>
      <c r="W41" s="35"/>
      <c r="X41" s="35"/>
      <c r="Y41" s="35"/>
      <c r="Z41" s="35"/>
      <c r="AA41" s="35"/>
      <c r="AB41" s="35"/>
      <c r="AC41" s="35"/>
      <c r="AD41" s="35"/>
      <c r="AE41" s="35"/>
      <c r="AF41" s="64"/>
      <c r="AG41" s="64"/>
      <c r="AH41" s="82">
        <f t="shared" si="5"/>
        <v>9993.1999999999989</v>
      </c>
      <c r="AI41" s="94">
        <v>9511.11</v>
      </c>
      <c r="AJ41" s="99">
        <f t="shared" si="9"/>
        <v>482.08999999999833</v>
      </c>
      <c r="AK41" s="82">
        <f t="shared" si="10"/>
        <v>0.9517581955729898</v>
      </c>
      <c r="AL41" s="94">
        <f t="shared" si="8"/>
        <v>4.8241804427010204E-2</v>
      </c>
      <c r="AM41" s="8">
        <f>AL41*6963.9</f>
        <v>335.95110184925636</v>
      </c>
      <c r="AN41" s="8"/>
      <c r="AO41" s="8"/>
      <c r="AP41" s="8">
        <f>AL41*2504</f>
        <v>120.79747828523355</v>
      </c>
      <c r="AQ41" s="8">
        <f>AL41*270.3</f>
        <v>13.039759736620859</v>
      </c>
      <c r="AR41" s="8">
        <f>AL41*255</f>
        <v>12.301660128887603</v>
      </c>
      <c r="AS41" s="8"/>
      <c r="AT41" s="8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</row>
    <row r="42" spans="2:157" s="36" customFormat="1" ht="36" customHeight="1" outlineLevel="1" x14ac:dyDescent="0.25">
      <c r="B42" s="237"/>
      <c r="C42" s="32" t="s">
        <v>112</v>
      </c>
      <c r="D42" s="32" t="s">
        <v>68</v>
      </c>
      <c r="E42" s="56">
        <v>41330</v>
      </c>
      <c r="F42" s="32"/>
      <c r="G42" s="8">
        <v>9850.7999999999993</v>
      </c>
      <c r="H42" s="8">
        <v>28</v>
      </c>
      <c r="I42" s="8"/>
      <c r="J42" s="8"/>
      <c r="K42" s="35"/>
      <c r="L42" s="35"/>
      <c r="M42" s="8">
        <v>798.3</v>
      </c>
      <c r="N42" s="8"/>
      <c r="O42" s="8">
        <v>4000</v>
      </c>
      <c r="P42" s="8">
        <v>4850.8999999999996</v>
      </c>
      <c r="Q42" s="8">
        <v>201.6</v>
      </c>
      <c r="R42" s="8"/>
      <c r="S42" s="8"/>
      <c r="T42" s="8"/>
      <c r="W42" s="35"/>
      <c r="X42" s="35"/>
      <c r="Y42" s="35"/>
      <c r="Z42" s="35"/>
      <c r="AA42" s="35"/>
      <c r="AB42" s="35"/>
      <c r="AC42" s="35"/>
      <c r="AD42" s="35"/>
      <c r="AE42" s="35"/>
      <c r="AF42" s="64"/>
      <c r="AG42" s="64"/>
      <c r="AH42" s="94">
        <v>9850.7999999999993</v>
      </c>
      <c r="AI42" s="94">
        <v>9232.61</v>
      </c>
      <c r="AJ42" s="99">
        <f t="shared" si="9"/>
        <v>618.18999999999869</v>
      </c>
      <c r="AK42" s="82">
        <f>AI42/AH42</f>
        <v>0.93724469078653527</v>
      </c>
      <c r="AL42" s="94">
        <f t="shared" si="8"/>
        <v>6.2755309213464727E-2</v>
      </c>
      <c r="AM42" s="8">
        <f>AL42*798.3</f>
        <v>50.097563345108888</v>
      </c>
      <c r="AN42" s="8"/>
      <c r="AO42" s="8">
        <f>AL42*4000</f>
        <v>251.02123685385891</v>
      </c>
      <c r="AP42" s="8">
        <f>AL42*4850.9</f>
        <v>304.41972946359601</v>
      </c>
      <c r="AQ42" s="8">
        <f>AL42*201.6</f>
        <v>12.651470337434489</v>
      </c>
      <c r="AR42" s="8"/>
      <c r="AS42" s="8"/>
      <c r="AT42" s="8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</row>
    <row r="43" spans="2:157" s="36" customFormat="1" ht="36" customHeight="1" outlineLevel="1" x14ac:dyDescent="0.25">
      <c r="B43" s="238"/>
      <c r="C43" s="32" t="s">
        <v>100</v>
      </c>
      <c r="D43" s="32" t="s">
        <v>68</v>
      </c>
      <c r="E43" s="32"/>
      <c r="F43" s="56">
        <v>41304</v>
      </c>
      <c r="G43" s="8">
        <v>9995.6</v>
      </c>
      <c r="H43" s="8">
        <v>29</v>
      </c>
      <c r="I43" s="8"/>
      <c r="J43" s="8"/>
      <c r="K43" s="35"/>
      <c r="L43" s="35"/>
      <c r="M43" s="8">
        <v>2353</v>
      </c>
      <c r="N43" s="8">
        <v>2405</v>
      </c>
      <c r="O43" s="8">
        <v>1320</v>
      </c>
      <c r="P43" s="8">
        <v>3785</v>
      </c>
      <c r="Q43" s="8">
        <v>132.6</v>
      </c>
      <c r="R43" s="8"/>
      <c r="S43" s="8"/>
      <c r="T43" s="8"/>
      <c r="W43" s="35"/>
      <c r="X43" s="35"/>
      <c r="Y43" s="35"/>
      <c r="Z43" s="35"/>
      <c r="AA43" s="35"/>
      <c r="AB43" s="35"/>
      <c r="AC43" s="35"/>
      <c r="AD43" s="35"/>
      <c r="AE43" s="35"/>
      <c r="AF43" s="64"/>
      <c r="AG43" s="64"/>
      <c r="AH43" s="82">
        <f t="shared" si="5"/>
        <v>9995.6</v>
      </c>
      <c r="AI43" s="94">
        <v>9510.24</v>
      </c>
      <c r="AJ43" s="99">
        <f t="shared" si="9"/>
        <v>485.36000000000058</v>
      </c>
      <c r="AK43" s="82">
        <f t="shared" si="10"/>
        <v>0.95144263475929403</v>
      </c>
      <c r="AL43" s="94">
        <f t="shared" si="8"/>
        <v>4.8557365240705974E-2</v>
      </c>
      <c r="AM43" s="8">
        <f>AL43*2353</f>
        <v>114.25548041138116</v>
      </c>
      <c r="AN43" s="8">
        <f>AL43*2405</f>
        <v>116.78046340389787</v>
      </c>
      <c r="AO43" s="8">
        <f>AL43*1320</f>
        <v>64.095722117731881</v>
      </c>
      <c r="AP43" s="8">
        <f>AL43*3785</f>
        <v>183.78962743607212</v>
      </c>
      <c r="AQ43" s="8">
        <f>AL43*132.6</f>
        <v>6.4387066309176122</v>
      </c>
      <c r="AR43" s="8"/>
      <c r="AS43" s="8"/>
      <c r="AT43" s="8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</row>
    <row r="44" spans="2:157" s="36" customFormat="1" ht="36" customHeight="1" outlineLevel="1" x14ac:dyDescent="0.25">
      <c r="B44" s="237"/>
      <c r="C44" s="32" t="s">
        <v>103</v>
      </c>
      <c r="D44" s="32" t="s">
        <v>68</v>
      </c>
      <c r="E44" s="56">
        <v>41269</v>
      </c>
      <c r="F44" s="56">
        <v>41271</v>
      </c>
      <c r="G44" s="8">
        <v>5499.25</v>
      </c>
      <c r="H44" s="8">
        <v>36</v>
      </c>
      <c r="I44" s="8"/>
      <c r="J44" s="8"/>
      <c r="K44" s="35"/>
      <c r="L44" s="35"/>
      <c r="M44" s="8">
        <v>2341.5</v>
      </c>
      <c r="N44" s="8">
        <v>985</v>
      </c>
      <c r="O44" s="8">
        <v>960</v>
      </c>
      <c r="P44" s="8">
        <v>1042.75</v>
      </c>
      <c r="Q44" s="8">
        <v>170</v>
      </c>
      <c r="R44" s="8"/>
      <c r="S44" s="8"/>
      <c r="T44" s="8"/>
      <c r="W44" s="35"/>
      <c r="X44" s="35"/>
      <c r="Y44" s="35"/>
      <c r="Z44" s="35"/>
      <c r="AA44" s="35"/>
      <c r="AB44" s="35"/>
      <c r="AC44" s="35"/>
      <c r="AD44" s="35"/>
      <c r="AE44" s="35"/>
      <c r="AF44" s="64"/>
      <c r="AG44" s="64"/>
      <c r="AH44" s="82">
        <f t="shared" si="5"/>
        <v>5499.25</v>
      </c>
      <c r="AI44" s="94">
        <v>5224.9679999999998</v>
      </c>
      <c r="AJ44" s="99">
        <f t="shared" si="9"/>
        <v>274.28200000000015</v>
      </c>
      <c r="AK44" s="82">
        <f t="shared" si="10"/>
        <v>0.95012374414692913</v>
      </c>
      <c r="AL44" s="94">
        <f t="shared" si="8"/>
        <v>4.9876255853070872E-2</v>
      </c>
      <c r="AM44" s="8">
        <f>AL44*2341.5</f>
        <v>116.78525307996544</v>
      </c>
      <c r="AN44" s="8">
        <f>AL44*985</f>
        <v>49.128112015274809</v>
      </c>
      <c r="AO44" s="8">
        <f>AL44*960</f>
        <v>47.881205618948037</v>
      </c>
      <c r="AP44" s="8">
        <f>AL44*1042.75</f>
        <v>52.00846579078965</v>
      </c>
      <c r="AQ44" s="8">
        <f>AL44*170</f>
        <v>8.4789634950220485</v>
      </c>
      <c r="AR44" s="8"/>
      <c r="AS44" s="8"/>
      <c r="AT44" s="8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</row>
    <row r="45" spans="2:157" s="36" customFormat="1" ht="36" customHeight="1" outlineLevel="1" x14ac:dyDescent="0.25">
      <c r="B45" s="237"/>
      <c r="C45" s="32" t="s">
        <v>110</v>
      </c>
      <c r="D45" s="32" t="s">
        <v>68</v>
      </c>
      <c r="E45" s="56">
        <v>41290</v>
      </c>
      <c r="F45" s="56">
        <v>41290</v>
      </c>
      <c r="G45" s="8">
        <v>4965.6499999999996</v>
      </c>
      <c r="H45" s="8">
        <v>30</v>
      </c>
      <c r="I45" s="8">
        <v>5000</v>
      </c>
      <c r="J45" s="8">
        <f>I45-G45</f>
        <v>34.350000000000364</v>
      </c>
      <c r="K45" s="35"/>
      <c r="L45" s="35"/>
      <c r="M45" s="8">
        <v>4317.6499999999996</v>
      </c>
      <c r="N45" s="8">
        <v>118</v>
      </c>
      <c r="O45" s="8">
        <v>370</v>
      </c>
      <c r="P45" s="8">
        <v>80</v>
      </c>
      <c r="Q45" s="8">
        <v>80</v>
      </c>
      <c r="R45" s="8"/>
      <c r="S45" s="8"/>
      <c r="T45" s="8"/>
      <c r="W45" s="35"/>
      <c r="X45" s="35"/>
      <c r="Y45" s="35"/>
      <c r="Z45" s="35"/>
      <c r="AA45" s="35"/>
      <c r="AB45" s="35"/>
      <c r="AC45" s="35"/>
      <c r="AD45" s="35"/>
      <c r="AE45" s="35"/>
      <c r="AF45" s="64"/>
      <c r="AG45" s="64"/>
      <c r="AH45" s="82">
        <f t="shared" si="5"/>
        <v>4965.6499999999996</v>
      </c>
      <c r="AI45" s="94">
        <v>4190</v>
      </c>
      <c r="AJ45" s="99">
        <f t="shared" si="9"/>
        <v>775.64999999999964</v>
      </c>
      <c r="AK45" s="82">
        <f t="shared" si="10"/>
        <v>0.84379688459718272</v>
      </c>
      <c r="AL45" s="94">
        <f t="shared" si="8"/>
        <v>0.15620311540281728</v>
      </c>
      <c r="AM45" s="8">
        <f>AL45*4317.65</f>
        <v>674.43038121897393</v>
      </c>
      <c r="AN45" s="8">
        <f>AL45*118</f>
        <v>18.43196761753244</v>
      </c>
      <c r="AO45" s="8">
        <f>AL45*370</f>
        <v>57.795152699042397</v>
      </c>
      <c r="AP45" s="8">
        <f>AL45*80</f>
        <v>12.496249232225383</v>
      </c>
      <c r="AQ45" s="8">
        <f>AL45*80</f>
        <v>12.496249232225383</v>
      </c>
      <c r="AR45" s="8"/>
      <c r="AS45" s="8"/>
      <c r="AT45" s="8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4"/>
      <c r="CA45" s="64"/>
      <c r="CB45" s="64"/>
      <c r="CC45" s="64"/>
      <c r="CD45" s="64"/>
      <c r="CE45" s="64"/>
      <c r="CF45" s="64"/>
      <c r="CG45" s="64"/>
      <c r="CH45" s="64"/>
      <c r="CI45" s="64"/>
      <c r="CJ45" s="64"/>
      <c r="CK45" s="64"/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/>
      <c r="DQ45" s="64"/>
      <c r="DR45" s="64"/>
      <c r="DS45" s="64"/>
      <c r="DT45" s="64"/>
      <c r="DU45" s="64"/>
      <c r="DV45" s="64"/>
      <c r="DW45" s="64"/>
      <c r="DX45" s="64"/>
      <c r="DY45" s="64"/>
      <c r="DZ45" s="64"/>
      <c r="EA45" s="64"/>
      <c r="EB45" s="64"/>
      <c r="EC45" s="64"/>
      <c r="ED45" s="64"/>
      <c r="EE45" s="64"/>
      <c r="EF45" s="64"/>
      <c r="EG45" s="64"/>
      <c r="EH45" s="64"/>
      <c r="EI45" s="64"/>
      <c r="EJ45" s="64"/>
      <c r="EK45" s="64"/>
      <c r="EL45" s="64"/>
      <c r="EM45" s="64"/>
      <c r="EN45" s="64"/>
      <c r="EO45" s="64"/>
      <c r="EP45" s="64"/>
      <c r="EQ45" s="64"/>
      <c r="ER45" s="64"/>
      <c r="ES45" s="64"/>
      <c r="ET45" s="64"/>
      <c r="EU45" s="64"/>
      <c r="EV45" s="64"/>
      <c r="EW45" s="64"/>
      <c r="EX45" s="64"/>
      <c r="EY45" s="64"/>
      <c r="EZ45" s="64"/>
      <c r="FA45" s="64"/>
    </row>
    <row r="46" spans="2:157" s="36" customFormat="1" ht="36" customHeight="1" outlineLevel="1" x14ac:dyDescent="0.25">
      <c r="B46" s="237"/>
      <c r="C46" s="32" t="s">
        <v>113</v>
      </c>
      <c r="D46" s="32" t="s">
        <v>68</v>
      </c>
      <c r="E46" s="56">
        <v>41303</v>
      </c>
      <c r="F46" s="56">
        <v>41303</v>
      </c>
      <c r="G46" s="8">
        <v>2499.65</v>
      </c>
      <c r="H46" s="8" t="s">
        <v>114</v>
      </c>
      <c r="I46" s="8"/>
      <c r="J46" s="8"/>
      <c r="K46" s="35"/>
      <c r="L46" s="35"/>
      <c r="M46" s="8"/>
      <c r="N46" s="8">
        <v>916</v>
      </c>
      <c r="O46" s="8">
        <v>460</v>
      </c>
      <c r="P46" s="8">
        <v>191.25</v>
      </c>
      <c r="Q46" s="8">
        <v>932.4</v>
      </c>
      <c r="R46" s="8"/>
      <c r="S46" s="8"/>
      <c r="T46" s="8"/>
      <c r="W46" s="35"/>
      <c r="X46" s="35"/>
      <c r="Y46" s="35"/>
      <c r="Z46" s="35"/>
      <c r="AA46" s="35"/>
      <c r="AB46" s="35"/>
      <c r="AC46" s="35"/>
      <c r="AD46" s="35"/>
      <c r="AE46" s="35"/>
      <c r="AF46" s="64"/>
      <c r="AG46" s="64"/>
      <c r="AH46" s="82">
        <f>SUM(M46:T46)+SUM(X46:AE46)</f>
        <v>2499.65</v>
      </c>
      <c r="AI46" s="94">
        <v>2372.88</v>
      </c>
      <c r="AJ46" s="99">
        <f>AH46-AI46</f>
        <v>126.76999999999998</v>
      </c>
      <c r="AK46" s="82">
        <f t="shared" si="10"/>
        <v>0.94928489988598408</v>
      </c>
      <c r="AL46" s="94">
        <f t="shared" si="8"/>
        <v>5.0715100114015921E-2</v>
      </c>
      <c r="AM46" s="8"/>
      <c r="AN46" s="8">
        <f>AL46*916</f>
        <v>46.455031704438582</v>
      </c>
      <c r="AO46" s="8">
        <f>AL46*460</f>
        <v>23.328946052447325</v>
      </c>
      <c r="AP46" s="8">
        <f>AL46*191.25</f>
        <v>9.6992628968055445</v>
      </c>
      <c r="AQ46" s="8">
        <f>AL46*932.4</f>
        <v>47.286759346308443</v>
      </c>
      <c r="AR46" s="8"/>
      <c r="AS46" s="8"/>
      <c r="AT46" s="8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</row>
    <row r="47" spans="2:157" s="49" customFormat="1" ht="23.25" customHeight="1" x14ac:dyDescent="0.25">
      <c r="B47" s="58"/>
      <c r="C47" s="27"/>
      <c r="D47" s="27"/>
      <c r="E47" s="27"/>
      <c r="F47" s="27"/>
      <c r="G47" s="59"/>
      <c r="H47" s="59"/>
      <c r="I47" s="61"/>
      <c r="J47" s="61"/>
      <c r="K47" s="50"/>
      <c r="L47" s="59"/>
      <c r="M47" s="59"/>
      <c r="N47" s="59"/>
      <c r="O47" s="59"/>
      <c r="P47" s="59"/>
      <c r="Q47" s="59"/>
      <c r="R47" s="59"/>
      <c r="S47" s="59"/>
      <c r="T47" s="59"/>
      <c r="W47" s="72"/>
      <c r="X47" s="72"/>
      <c r="Y47" s="72"/>
      <c r="Z47" s="72"/>
      <c r="AA47" s="24"/>
      <c r="AB47" s="72"/>
      <c r="AC47" s="72"/>
      <c r="AD47" s="72"/>
      <c r="AE47" s="72"/>
      <c r="AF47" s="64"/>
      <c r="AG47" s="64"/>
      <c r="AH47" s="82"/>
      <c r="AI47" s="24"/>
      <c r="AJ47" s="24"/>
      <c r="AK47" s="5"/>
      <c r="AL47" s="94"/>
      <c r="AM47" s="95"/>
      <c r="AN47" s="95"/>
      <c r="AO47" s="95"/>
      <c r="AP47" s="95"/>
      <c r="AQ47" s="95"/>
      <c r="AR47" s="95"/>
      <c r="AS47" s="95"/>
      <c r="AT47" s="95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  <c r="BZ47" s="64"/>
      <c r="CA47" s="64"/>
      <c r="CB47" s="64"/>
      <c r="CC47" s="64"/>
      <c r="CD47" s="64"/>
      <c r="CE47" s="64"/>
      <c r="CF47" s="64"/>
      <c r="CG47" s="64"/>
      <c r="CH47" s="64"/>
      <c r="CI47" s="64"/>
      <c r="CJ47" s="64"/>
      <c r="CK47" s="64"/>
      <c r="CL47" s="64"/>
      <c r="CM47" s="64"/>
      <c r="CN47" s="64"/>
      <c r="CO47" s="64"/>
      <c r="CP47" s="64"/>
      <c r="CQ47" s="64"/>
      <c r="CR47" s="64"/>
      <c r="CS47" s="64"/>
      <c r="CT47" s="64"/>
      <c r="CU47" s="64"/>
      <c r="CV47" s="64"/>
      <c r="CW47" s="64"/>
      <c r="CX47" s="64"/>
      <c r="CY47" s="64"/>
      <c r="CZ47" s="64"/>
      <c r="DA47" s="64"/>
      <c r="DB47" s="64"/>
      <c r="DC47" s="64"/>
      <c r="DD47" s="64"/>
      <c r="DE47" s="64"/>
      <c r="DF47" s="64"/>
      <c r="DG47" s="64"/>
      <c r="DH47" s="64"/>
      <c r="DI47" s="64"/>
      <c r="DJ47" s="64"/>
      <c r="DK47" s="64"/>
      <c r="DL47" s="64"/>
      <c r="DM47" s="64"/>
      <c r="DN47" s="64"/>
      <c r="DO47" s="64"/>
      <c r="DP47" s="64"/>
      <c r="DQ47" s="64"/>
      <c r="DR47" s="64"/>
      <c r="DS47" s="64"/>
      <c r="DT47" s="64"/>
      <c r="DU47" s="64"/>
      <c r="DV47" s="64"/>
      <c r="DW47" s="64"/>
      <c r="DX47" s="64"/>
      <c r="DY47" s="64"/>
      <c r="DZ47" s="64"/>
      <c r="EA47" s="64"/>
      <c r="EB47" s="64"/>
      <c r="EC47" s="64"/>
      <c r="ED47" s="64"/>
      <c r="EE47" s="64"/>
      <c r="EF47" s="64"/>
      <c r="EG47" s="64"/>
      <c r="EH47" s="64"/>
      <c r="EI47" s="64"/>
      <c r="EJ47" s="64"/>
      <c r="EK47" s="64"/>
      <c r="EL47" s="64"/>
      <c r="EM47" s="64"/>
      <c r="EN47" s="64"/>
      <c r="EO47" s="64"/>
      <c r="EP47" s="64"/>
      <c r="EQ47" s="64"/>
      <c r="ER47" s="64"/>
      <c r="ES47" s="64"/>
      <c r="ET47" s="64"/>
      <c r="EU47" s="64"/>
      <c r="EV47" s="64"/>
      <c r="EW47" s="64"/>
      <c r="EX47" s="64"/>
      <c r="EY47" s="64"/>
      <c r="EZ47" s="64"/>
      <c r="FA47" s="64"/>
    </row>
    <row r="48" spans="2:157" s="36" customFormat="1" ht="36" customHeight="1" outlineLevel="1" x14ac:dyDescent="0.25">
      <c r="B48" s="236" t="s">
        <v>96</v>
      </c>
      <c r="C48" s="32" t="s">
        <v>82</v>
      </c>
      <c r="D48" s="32" t="s">
        <v>68</v>
      </c>
      <c r="E48" s="56">
        <v>41239</v>
      </c>
      <c r="F48" s="56">
        <v>41239</v>
      </c>
      <c r="G48" s="8">
        <v>8776.5</v>
      </c>
      <c r="H48" s="8">
        <v>15</v>
      </c>
      <c r="I48" s="8"/>
      <c r="J48" s="8"/>
      <c r="K48" s="35"/>
      <c r="L48" s="35"/>
      <c r="M48" s="8">
        <v>3030.5</v>
      </c>
      <c r="N48" s="8">
        <v>886</v>
      </c>
      <c r="O48" s="8">
        <v>4200</v>
      </c>
      <c r="P48" s="8">
        <v>575</v>
      </c>
      <c r="Q48" s="8"/>
      <c r="R48" s="8">
        <v>85</v>
      </c>
      <c r="S48" s="8"/>
      <c r="T48" s="8"/>
      <c r="W48" s="35"/>
      <c r="X48" s="35"/>
      <c r="Y48" s="35"/>
      <c r="Z48" s="35"/>
      <c r="AA48" s="35"/>
      <c r="AB48" s="35"/>
      <c r="AC48" s="35"/>
      <c r="AD48" s="35"/>
      <c r="AE48" s="35"/>
      <c r="AF48" s="64"/>
      <c r="AG48" s="64"/>
      <c r="AH48" s="82">
        <f t="shared" si="5"/>
        <v>8776.5</v>
      </c>
      <c r="AI48" s="82">
        <v>8333.9</v>
      </c>
      <c r="AJ48" s="99">
        <f>AH48-AI48</f>
        <v>442.60000000000036</v>
      </c>
      <c r="AK48" s="82">
        <f>AI48/AH48</f>
        <v>0.94956987409559612</v>
      </c>
      <c r="AL48" s="94">
        <f t="shared" si="8"/>
        <v>5.0430125904403877E-2</v>
      </c>
      <c r="AM48" s="8">
        <f>AL48*3030.5</f>
        <v>152.82849655329596</v>
      </c>
      <c r="AN48" s="8">
        <f>AL48*886</f>
        <v>44.681091551301833</v>
      </c>
      <c r="AO48" s="8">
        <f>AL48*4200</f>
        <v>211.80652879849629</v>
      </c>
      <c r="AP48" s="8">
        <f>AL48*575</f>
        <v>28.997322395032228</v>
      </c>
      <c r="AQ48" s="8"/>
      <c r="AR48" s="8">
        <f>AL48*85</f>
        <v>4.2865607018743299</v>
      </c>
      <c r="AS48" s="8"/>
      <c r="AT48" s="8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</row>
    <row r="49" spans="2:157" s="36" customFormat="1" ht="36" customHeight="1" outlineLevel="1" x14ac:dyDescent="0.25">
      <c r="B49" s="237"/>
      <c r="C49" s="32" t="s">
        <v>102</v>
      </c>
      <c r="D49" s="32" t="s">
        <v>68</v>
      </c>
      <c r="E49" s="56">
        <v>41263</v>
      </c>
      <c r="F49" s="56">
        <v>41263</v>
      </c>
      <c r="G49" s="8">
        <v>9997.2000000000007</v>
      </c>
      <c r="H49" s="8">
        <v>37</v>
      </c>
      <c r="I49" s="8"/>
      <c r="J49" s="8"/>
      <c r="K49" s="35"/>
      <c r="L49" s="35"/>
      <c r="M49" s="8">
        <v>960.2</v>
      </c>
      <c r="N49" s="8">
        <v>2846.5</v>
      </c>
      <c r="O49" s="8">
        <v>2490</v>
      </c>
      <c r="P49" s="8">
        <v>3700.5</v>
      </c>
      <c r="Q49" s="8"/>
      <c r="R49" s="8"/>
      <c r="S49" s="8"/>
      <c r="T49" s="8"/>
      <c r="W49" s="35"/>
      <c r="X49" s="35"/>
      <c r="Y49" s="35"/>
      <c r="Z49" s="35"/>
      <c r="AA49" s="35"/>
      <c r="AB49" s="35"/>
      <c r="AC49" s="35"/>
      <c r="AD49" s="35"/>
      <c r="AE49" s="35"/>
      <c r="AF49" s="64"/>
      <c r="AG49" s="64"/>
      <c r="AH49" s="82">
        <f t="shared" si="5"/>
        <v>9997.2000000000007</v>
      </c>
      <c r="AI49" s="82">
        <v>9491.5300000000007</v>
      </c>
      <c r="AJ49" s="99">
        <f>AH49-AI49</f>
        <v>505.67000000000007</v>
      </c>
      <c r="AK49" s="82">
        <f>AI49/AH49</f>
        <v>0.94941883727443688</v>
      </c>
      <c r="AL49" s="94">
        <f t="shared" si="8"/>
        <v>5.0581162725563122E-2</v>
      </c>
      <c r="AM49" s="8">
        <f>AL49*960.2</f>
        <v>48.568032449085713</v>
      </c>
      <c r="AN49" s="8">
        <f>AL49*2846.5</f>
        <v>143.97927969831542</v>
      </c>
      <c r="AO49" s="8">
        <f>AL49*2490</f>
        <v>125.94709518665218</v>
      </c>
      <c r="AP49" s="8">
        <f>AL49*3700.5</f>
        <v>187.17559266594634</v>
      </c>
      <c r="AQ49" s="8"/>
      <c r="AR49" s="8"/>
      <c r="AS49" s="8"/>
      <c r="AT49" s="8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  <c r="BZ49" s="64"/>
      <c r="CA49" s="64"/>
      <c r="CB49" s="64"/>
      <c r="CC49" s="64"/>
      <c r="CD49" s="64"/>
      <c r="CE49" s="64"/>
      <c r="CF49" s="64"/>
      <c r="CG49" s="64"/>
      <c r="CH49" s="64"/>
      <c r="CI49" s="64"/>
      <c r="CJ49" s="64"/>
      <c r="CK49" s="64"/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/>
      <c r="DQ49" s="64"/>
      <c r="DR49" s="64"/>
      <c r="DS49" s="64"/>
      <c r="DT49" s="64"/>
      <c r="DU49" s="64"/>
      <c r="DV49" s="64"/>
      <c r="DW49" s="64"/>
      <c r="DX49" s="64"/>
      <c r="DY49" s="64"/>
      <c r="DZ49" s="64"/>
      <c r="EA49" s="64"/>
      <c r="EB49" s="64"/>
      <c r="EC49" s="64"/>
      <c r="ED49" s="64"/>
      <c r="EE49" s="64"/>
      <c r="EF49" s="64"/>
      <c r="EG49" s="64"/>
      <c r="EH49" s="64"/>
      <c r="EI49" s="64"/>
      <c r="EJ49" s="64"/>
      <c r="EK49" s="64"/>
      <c r="EL49" s="6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</row>
    <row r="50" spans="2:157" s="36" customFormat="1" ht="36" customHeight="1" outlineLevel="1" x14ac:dyDescent="0.25">
      <c r="B50" s="237"/>
      <c r="C50" s="32" t="s">
        <v>104</v>
      </c>
      <c r="D50" s="32" t="s">
        <v>68</v>
      </c>
      <c r="E50" s="56">
        <v>41269</v>
      </c>
      <c r="F50" s="56">
        <v>41284</v>
      </c>
      <c r="G50" s="8">
        <v>376.435</v>
      </c>
      <c r="H50" s="8"/>
      <c r="I50" s="8"/>
      <c r="J50" s="8"/>
      <c r="K50" s="35"/>
      <c r="L50" s="35"/>
      <c r="M50" s="8"/>
      <c r="N50" s="8"/>
      <c r="O50" s="8">
        <v>376.435</v>
      </c>
      <c r="P50" s="8"/>
      <c r="Q50" s="8"/>
      <c r="R50" s="8"/>
      <c r="S50" s="8"/>
      <c r="T50" s="8"/>
      <c r="W50" s="35"/>
      <c r="X50" s="35"/>
      <c r="Y50" s="35"/>
      <c r="Z50" s="35"/>
      <c r="AA50" s="35"/>
      <c r="AB50" s="35"/>
      <c r="AC50" s="35"/>
      <c r="AD50" s="35"/>
      <c r="AE50" s="35"/>
      <c r="AF50" s="64"/>
      <c r="AG50" s="64"/>
      <c r="AH50" s="82"/>
      <c r="AI50" s="24"/>
      <c r="AJ50" s="24"/>
      <c r="AK50" s="5"/>
      <c r="AL50" s="94"/>
      <c r="AM50" s="8"/>
      <c r="AN50" s="8"/>
      <c r="AO50" s="8"/>
      <c r="AP50" s="8"/>
      <c r="AQ50" s="8"/>
      <c r="AR50" s="8"/>
      <c r="AS50" s="8"/>
      <c r="AT50" s="8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</row>
    <row r="51" spans="2:157" s="36" customFormat="1" ht="36" customHeight="1" outlineLevel="1" x14ac:dyDescent="0.25">
      <c r="B51" s="237"/>
      <c r="C51" s="32" t="s">
        <v>105</v>
      </c>
      <c r="D51" s="32" t="s">
        <v>68</v>
      </c>
      <c r="E51" s="8"/>
      <c r="F51" s="56">
        <v>41304</v>
      </c>
      <c r="G51" s="8">
        <v>4997.3</v>
      </c>
      <c r="H51" s="8">
        <v>38</v>
      </c>
      <c r="I51" s="8"/>
      <c r="J51" s="8"/>
      <c r="K51" s="35"/>
      <c r="L51" s="35"/>
      <c r="M51" s="8"/>
      <c r="N51" s="8"/>
      <c r="O51" s="8">
        <v>3167</v>
      </c>
      <c r="P51" s="8">
        <v>1830.2</v>
      </c>
      <c r="Q51" s="8"/>
      <c r="R51" s="8"/>
      <c r="S51" s="8"/>
      <c r="T51" s="8"/>
      <c r="W51" s="35"/>
      <c r="X51" s="35"/>
      <c r="Y51" s="35"/>
      <c r="Z51" s="35"/>
      <c r="AA51" s="35"/>
      <c r="AB51" s="35"/>
      <c r="AC51" s="35"/>
      <c r="AD51" s="35"/>
      <c r="AE51" s="35"/>
      <c r="AF51" s="64"/>
      <c r="AG51" s="64"/>
      <c r="AH51" s="82">
        <f t="shared" si="5"/>
        <v>4997.2</v>
      </c>
      <c r="AI51" s="201">
        <v>6624.6</v>
      </c>
      <c r="AJ51" s="201">
        <f>AH51+AH52-AI51</f>
        <v>375.09999999999945</v>
      </c>
      <c r="AK51" s="201">
        <f>AI51/SUM(AH51+AH52)</f>
        <v>0.9464119890852466</v>
      </c>
      <c r="AL51" s="94">
        <f t="shared" si="8"/>
        <v>5.3588010914753403E-2</v>
      </c>
      <c r="AM51" s="8"/>
      <c r="AN51" s="8"/>
      <c r="AO51" s="8">
        <f>AL51*3167</f>
        <v>169.71323056702403</v>
      </c>
      <c r="AP51" s="8">
        <f>AL51*1830.2</f>
        <v>98.076777576181684</v>
      </c>
      <c r="AQ51" s="8"/>
      <c r="AR51" s="8"/>
      <c r="AS51" s="8"/>
      <c r="AT51" s="8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</row>
    <row r="52" spans="2:157" s="36" customFormat="1" ht="36" customHeight="1" outlineLevel="1" x14ac:dyDescent="0.25">
      <c r="B52" s="237"/>
      <c r="C52" s="32" t="s">
        <v>118</v>
      </c>
      <c r="D52" s="32" t="s">
        <v>68</v>
      </c>
      <c r="E52" s="63">
        <v>41313</v>
      </c>
      <c r="F52" s="63">
        <v>41313</v>
      </c>
      <c r="G52" s="8">
        <v>2002.5</v>
      </c>
      <c r="H52" s="8">
        <v>38</v>
      </c>
      <c r="I52" s="8"/>
      <c r="J52" s="8"/>
      <c r="K52" s="35"/>
      <c r="L52" s="35"/>
      <c r="M52" s="8">
        <v>1707.4</v>
      </c>
      <c r="N52" s="8"/>
      <c r="O52" s="8"/>
      <c r="P52" s="8">
        <v>242.6</v>
      </c>
      <c r="Q52" s="8">
        <v>52.5</v>
      </c>
      <c r="R52" s="8"/>
      <c r="S52" s="8"/>
      <c r="T52" s="8"/>
      <c r="W52" s="35"/>
      <c r="X52" s="35"/>
      <c r="Y52" s="35"/>
      <c r="Z52" s="35"/>
      <c r="AA52" s="35"/>
      <c r="AB52" s="35"/>
      <c r="AC52" s="35"/>
      <c r="AD52" s="35"/>
      <c r="AE52" s="35"/>
      <c r="AF52" s="64"/>
      <c r="AG52" s="64"/>
      <c r="AH52" s="82">
        <f t="shared" si="5"/>
        <v>2002.5</v>
      </c>
      <c r="AI52" s="202"/>
      <c r="AJ52" s="202"/>
      <c r="AK52" s="202"/>
      <c r="AL52" s="94">
        <v>5.3588010914753403E-2</v>
      </c>
      <c r="AM52" s="8">
        <f>AL52*1707.4</f>
        <v>91.496169835849969</v>
      </c>
      <c r="AN52" s="8"/>
      <c r="AO52" s="8"/>
      <c r="AP52" s="8">
        <f>AL52*242.6</f>
        <v>13.000451447919176</v>
      </c>
      <c r="AQ52" s="8">
        <f>AL52*52.5</f>
        <v>2.8133705730245535</v>
      </c>
      <c r="AR52" s="8"/>
      <c r="AS52" s="8"/>
      <c r="AT52" s="8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</row>
    <row r="53" spans="2:157" s="36" customFormat="1" ht="36" customHeight="1" outlineLevel="1" x14ac:dyDescent="0.25">
      <c r="B53" s="237"/>
      <c r="C53" s="32" t="s">
        <v>115</v>
      </c>
      <c r="D53" s="32" t="s">
        <v>68</v>
      </c>
      <c r="E53" s="63">
        <v>41313</v>
      </c>
      <c r="F53" s="63">
        <v>41313</v>
      </c>
      <c r="G53" s="8">
        <v>4499.7</v>
      </c>
      <c r="H53" s="8">
        <v>31</v>
      </c>
      <c r="I53" s="8"/>
      <c r="J53" s="8"/>
      <c r="K53" s="35"/>
      <c r="L53" s="35"/>
      <c r="M53" s="8">
        <v>2823.4</v>
      </c>
      <c r="N53" s="8">
        <v>706</v>
      </c>
      <c r="O53" s="8">
        <v>360</v>
      </c>
      <c r="P53" s="8">
        <v>610.29999999999995</v>
      </c>
      <c r="Q53" s="8"/>
      <c r="R53" s="8"/>
      <c r="S53" s="8"/>
      <c r="T53" s="8"/>
      <c r="W53" s="35"/>
      <c r="X53" s="35"/>
      <c r="Y53" s="35"/>
      <c r="Z53" s="35"/>
      <c r="AA53" s="35"/>
      <c r="AB53" s="35"/>
      <c r="AC53" s="35"/>
      <c r="AD53" s="35"/>
      <c r="AE53" s="35"/>
      <c r="AF53" s="64"/>
      <c r="AG53" s="64"/>
      <c r="AH53" s="82">
        <f t="shared" si="5"/>
        <v>4499.7</v>
      </c>
      <c r="AI53" s="82">
        <v>4218.95</v>
      </c>
      <c r="AJ53" s="99">
        <f>AH53-AI53</f>
        <v>280.75</v>
      </c>
      <c r="AK53" s="82">
        <f>AI53/AH53</f>
        <v>0.93760695157454943</v>
      </c>
      <c r="AL53" s="94">
        <f t="shared" si="8"/>
        <v>6.239304842545057E-2</v>
      </c>
      <c r="AM53" s="8">
        <f>AL53*2823.4</f>
        <v>176.16053292441714</v>
      </c>
      <c r="AN53" s="8">
        <f>AL53*706</f>
        <v>44.049492188368106</v>
      </c>
      <c r="AO53" s="8">
        <f>AL53*360</f>
        <v>22.461497433162204</v>
      </c>
      <c r="AP53" s="8">
        <f>AL53*610.3</f>
        <v>38.078477454052482</v>
      </c>
      <c r="AQ53" s="8"/>
      <c r="AR53" s="8"/>
      <c r="AS53" s="8"/>
      <c r="AT53" s="8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</row>
    <row r="54" spans="2:157" s="36" customFormat="1" ht="36" customHeight="1" outlineLevel="1" x14ac:dyDescent="0.25">
      <c r="B54" s="237"/>
      <c r="C54" s="32" t="s">
        <v>116</v>
      </c>
      <c r="D54" s="32" t="s">
        <v>68</v>
      </c>
      <c r="E54" s="63">
        <v>41313</v>
      </c>
      <c r="F54" s="63">
        <v>41313</v>
      </c>
      <c r="G54" s="8">
        <v>800</v>
      </c>
      <c r="H54" s="8" t="s">
        <v>119</v>
      </c>
      <c r="I54" s="8"/>
      <c r="J54" s="8"/>
      <c r="K54" s="35"/>
      <c r="L54" s="35"/>
      <c r="M54" s="8"/>
      <c r="N54" s="8"/>
      <c r="O54" s="8"/>
      <c r="P54" s="8"/>
      <c r="Q54" s="8">
        <v>800</v>
      </c>
      <c r="R54" s="8"/>
      <c r="S54" s="8"/>
      <c r="T54" s="8"/>
      <c r="W54" s="35"/>
      <c r="X54" s="35"/>
      <c r="Y54" s="35"/>
      <c r="Z54" s="35"/>
      <c r="AA54" s="35"/>
      <c r="AB54" s="35"/>
      <c r="AC54" s="35"/>
      <c r="AD54" s="35"/>
      <c r="AE54" s="35"/>
      <c r="AF54" s="64"/>
      <c r="AG54" s="64"/>
      <c r="AH54" s="82">
        <f t="shared" si="5"/>
        <v>800</v>
      </c>
      <c r="AI54" s="82">
        <v>751.15</v>
      </c>
      <c r="AJ54" s="99">
        <f>AH54-AI54</f>
        <v>48.850000000000023</v>
      </c>
      <c r="AK54" s="82">
        <f>AI54/AH54</f>
        <v>0.93893749999999998</v>
      </c>
      <c r="AL54" s="94">
        <f t="shared" si="8"/>
        <v>6.106250000000002E-2</v>
      </c>
      <c r="AM54" s="8"/>
      <c r="AN54" s="8"/>
      <c r="AO54" s="8"/>
      <c r="AP54" s="8"/>
      <c r="AQ54" s="8">
        <f>AL54*800</f>
        <v>48.850000000000016</v>
      </c>
      <c r="AR54" s="8"/>
      <c r="AS54" s="8"/>
      <c r="AT54" s="8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  <c r="BZ54" s="64"/>
      <c r="CA54" s="64"/>
      <c r="CB54" s="64"/>
      <c r="CC54" s="64"/>
      <c r="CD54" s="64"/>
      <c r="CE54" s="64"/>
      <c r="CF54" s="64"/>
      <c r="CG54" s="64"/>
      <c r="CH54" s="64"/>
      <c r="CI54" s="64"/>
      <c r="CJ54" s="64"/>
      <c r="CK54" s="64"/>
      <c r="CL54" s="64"/>
      <c r="CM54" s="64"/>
      <c r="CN54" s="64"/>
      <c r="CO54" s="64"/>
      <c r="CP54" s="64"/>
      <c r="CQ54" s="64"/>
      <c r="CR54" s="64"/>
      <c r="CS54" s="64"/>
      <c r="CT54" s="64"/>
      <c r="CU54" s="64"/>
      <c r="CV54" s="64"/>
      <c r="CW54" s="64"/>
      <c r="CX54" s="64"/>
      <c r="CY54" s="64"/>
      <c r="CZ54" s="64"/>
      <c r="DA54" s="64"/>
      <c r="DB54" s="64"/>
      <c r="DC54" s="64"/>
      <c r="DD54" s="64"/>
      <c r="DE54" s="64"/>
      <c r="DF54" s="64"/>
      <c r="DG54" s="64"/>
      <c r="DH54" s="64"/>
      <c r="DI54" s="64"/>
      <c r="DJ54" s="64"/>
      <c r="DK54" s="64"/>
      <c r="DL54" s="64"/>
      <c r="DM54" s="64"/>
      <c r="DN54" s="64"/>
      <c r="DO54" s="64"/>
      <c r="DP54" s="64"/>
      <c r="DQ54" s="64"/>
      <c r="DR54" s="64"/>
      <c r="DS54" s="64"/>
      <c r="DT54" s="64"/>
      <c r="DU54" s="64"/>
      <c r="DV54" s="64"/>
      <c r="DW54" s="64"/>
      <c r="DX54" s="64"/>
      <c r="DY54" s="64"/>
      <c r="DZ54" s="64"/>
      <c r="EA54" s="64"/>
      <c r="EB54" s="64"/>
      <c r="EC54" s="64"/>
      <c r="ED54" s="64"/>
      <c r="EE54" s="64"/>
      <c r="EF54" s="64"/>
      <c r="EG54" s="64"/>
      <c r="EH54" s="64"/>
      <c r="EI54" s="64"/>
      <c r="EJ54" s="64"/>
      <c r="EK54" s="64"/>
      <c r="EL54" s="64"/>
      <c r="EM54" s="64"/>
      <c r="EN54" s="64"/>
      <c r="EO54" s="64"/>
      <c r="EP54" s="64"/>
      <c r="EQ54" s="64"/>
      <c r="ER54" s="64"/>
      <c r="ES54" s="64"/>
      <c r="ET54" s="64"/>
      <c r="EU54" s="64"/>
      <c r="EV54" s="64"/>
      <c r="EW54" s="64"/>
      <c r="EX54" s="64"/>
      <c r="EY54" s="64"/>
      <c r="EZ54" s="64"/>
      <c r="FA54" s="64"/>
    </row>
    <row r="55" spans="2:157" s="36" customFormat="1" ht="36" customHeight="1" outlineLevel="1" x14ac:dyDescent="0.25">
      <c r="B55" s="238"/>
      <c r="C55" s="32" t="s">
        <v>129</v>
      </c>
      <c r="D55" s="32" t="s">
        <v>68</v>
      </c>
      <c r="E55" s="63">
        <v>41334</v>
      </c>
      <c r="F55" s="63"/>
      <c r="G55" s="8">
        <v>2273.1</v>
      </c>
      <c r="H55" s="8" t="s">
        <v>120</v>
      </c>
      <c r="I55" s="241">
        <v>3991.65</v>
      </c>
      <c r="J55" s="68">
        <f>I55-G55-G56</f>
        <v>0.15000000000009095</v>
      </c>
      <c r="K55" s="35"/>
      <c r="L55" s="35"/>
      <c r="M55" s="8"/>
      <c r="N55" s="8"/>
      <c r="O55" s="8">
        <v>100</v>
      </c>
      <c r="P55" s="8"/>
      <c r="Q55" s="8">
        <v>2173.1</v>
      </c>
      <c r="R55" s="8"/>
      <c r="S55" s="8"/>
      <c r="T55" s="8"/>
      <c r="W55" s="35"/>
      <c r="X55" s="35"/>
      <c r="Y55" s="35"/>
      <c r="Z55" s="35"/>
      <c r="AA55" s="35"/>
      <c r="AB55" s="35"/>
      <c r="AC55" s="35"/>
      <c r="AD55" s="35"/>
      <c r="AE55" s="35"/>
      <c r="AF55" s="64"/>
      <c r="AG55" s="64"/>
      <c r="AH55" s="82">
        <f t="shared" si="5"/>
        <v>2273.1</v>
      </c>
      <c r="AI55" s="201">
        <v>3746.54</v>
      </c>
      <c r="AJ55" s="201">
        <f>AH55+AH56-AI55</f>
        <v>244.96000000000004</v>
      </c>
      <c r="AK55" s="201">
        <f>AI55/SUM(AH55+AH56)</f>
        <v>0.93862958787423278</v>
      </c>
      <c r="AL55" s="94">
        <f t="shared" si="8"/>
        <v>6.1370412125767215E-2</v>
      </c>
      <c r="AM55" s="8"/>
      <c r="AN55" s="8"/>
      <c r="AO55" s="8">
        <f>AL55*100</f>
        <v>6.1370412125767215</v>
      </c>
      <c r="AP55" s="8"/>
      <c r="AQ55" s="8">
        <f>AL55*2173.1</f>
        <v>133.36404259050474</v>
      </c>
      <c r="AR55" s="8"/>
      <c r="AS55" s="8"/>
      <c r="AT55" s="8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64"/>
      <c r="DB55" s="64"/>
      <c r="DC55" s="64"/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  <c r="EO55" s="64"/>
      <c r="EP55" s="64"/>
      <c r="EQ55" s="64"/>
      <c r="ER55" s="64"/>
      <c r="ES55" s="64"/>
      <c r="ET55" s="64"/>
      <c r="EU55" s="64"/>
      <c r="EV55" s="64"/>
      <c r="EW55" s="64"/>
      <c r="EX55" s="64"/>
      <c r="EY55" s="64"/>
      <c r="EZ55" s="64"/>
      <c r="FA55" s="64"/>
    </row>
    <row r="56" spans="2:157" s="36" customFormat="1" ht="36" customHeight="1" outlineLevel="1" x14ac:dyDescent="0.25">
      <c r="B56" s="238"/>
      <c r="C56" s="32" t="s">
        <v>130</v>
      </c>
      <c r="D56" s="32" t="s">
        <v>68</v>
      </c>
      <c r="E56" s="63">
        <v>41339</v>
      </c>
      <c r="F56" s="63"/>
      <c r="G56" s="8">
        <v>1718.4</v>
      </c>
      <c r="H56" s="8" t="s">
        <v>120</v>
      </c>
      <c r="I56" s="240"/>
      <c r="J56" s="8"/>
      <c r="K56" s="35"/>
      <c r="L56" s="35"/>
      <c r="M56" s="8"/>
      <c r="N56" s="8"/>
      <c r="O56" s="8"/>
      <c r="P56" s="8">
        <v>881.6</v>
      </c>
      <c r="Q56" s="8">
        <v>836.8</v>
      </c>
      <c r="R56" s="8"/>
      <c r="S56" s="8"/>
      <c r="T56" s="8"/>
      <c r="W56" s="35"/>
      <c r="X56" s="35"/>
      <c r="Y56" s="35"/>
      <c r="Z56" s="35"/>
      <c r="AA56" s="35"/>
      <c r="AB56" s="35"/>
      <c r="AC56" s="35"/>
      <c r="AD56" s="35"/>
      <c r="AE56" s="35"/>
      <c r="AF56" s="64"/>
      <c r="AG56" s="64"/>
      <c r="AH56" s="82">
        <f t="shared" si="5"/>
        <v>1718.4</v>
      </c>
      <c r="AI56" s="202"/>
      <c r="AJ56" s="202"/>
      <c r="AK56" s="202"/>
      <c r="AL56" s="94">
        <v>6.1370412125767215E-2</v>
      </c>
      <c r="AM56" s="8"/>
      <c r="AN56" s="8"/>
      <c r="AO56" s="8"/>
      <c r="AP56" s="8">
        <f>AL56*881.6</f>
        <v>54.104155330076381</v>
      </c>
      <c r="AQ56" s="8">
        <f>AL56*836.8</f>
        <v>51.354760866842</v>
      </c>
      <c r="AR56" s="8"/>
      <c r="AS56" s="8"/>
      <c r="AT56" s="8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64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64"/>
      <c r="CN56" s="64"/>
      <c r="CO56" s="64"/>
      <c r="CP56" s="64"/>
      <c r="CQ56" s="64"/>
      <c r="CR56" s="64"/>
      <c r="CS56" s="64"/>
      <c r="CT56" s="64"/>
      <c r="CU56" s="64"/>
      <c r="CV56" s="64"/>
      <c r="CW56" s="64"/>
      <c r="CX56" s="64"/>
      <c r="CY56" s="64"/>
      <c r="CZ56" s="64"/>
      <c r="DA56" s="64"/>
      <c r="DB56" s="64"/>
      <c r="DC56" s="64"/>
      <c r="DD56" s="64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64"/>
      <c r="DP56" s="64"/>
      <c r="DQ56" s="64"/>
      <c r="DR56" s="64"/>
      <c r="DS56" s="64"/>
      <c r="DT56" s="64"/>
      <c r="DU56" s="64"/>
      <c r="DV56" s="64"/>
      <c r="DW56" s="64"/>
      <c r="DX56" s="64"/>
      <c r="DY56" s="64"/>
      <c r="DZ56" s="64"/>
      <c r="EA56" s="64"/>
      <c r="EB56" s="64"/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4"/>
      <c r="EN56" s="64"/>
      <c r="EO56" s="64"/>
      <c r="EP56" s="64"/>
      <c r="EQ56" s="64"/>
      <c r="ER56" s="64"/>
      <c r="ES56" s="64"/>
      <c r="ET56" s="64"/>
      <c r="EU56" s="64"/>
      <c r="EV56" s="64"/>
      <c r="EW56" s="64"/>
      <c r="EX56" s="64"/>
      <c r="EY56" s="64"/>
      <c r="EZ56" s="64"/>
      <c r="FA56" s="64"/>
    </row>
    <row r="57" spans="2:157" s="36" customFormat="1" ht="36" customHeight="1" outlineLevel="1" x14ac:dyDescent="0.25">
      <c r="B57" s="237"/>
      <c r="C57" s="32" t="s">
        <v>122</v>
      </c>
      <c r="D57" s="32" t="s">
        <v>68</v>
      </c>
      <c r="E57" s="63">
        <v>41325</v>
      </c>
      <c r="F57" s="63"/>
      <c r="G57" s="8">
        <v>5958.4</v>
      </c>
      <c r="H57" s="8">
        <v>39</v>
      </c>
      <c r="I57" s="8"/>
      <c r="J57" s="8"/>
      <c r="K57" s="35"/>
      <c r="L57" s="35"/>
      <c r="M57" s="8">
        <v>2328.4</v>
      </c>
      <c r="N57" s="8"/>
      <c r="O57" s="8">
        <v>475</v>
      </c>
      <c r="P57" s="8">
        <v>2810.5</v>
      </c>
      <c r="Q57" s="8">
        <v>344.5</v>
      </c>
      <c r="R57" s="8"/>
      <c r="S57" s="8"/>
      <c r="T57" s="8"/>
      <c r="W57" s="35"/>
      <c r="X57" s="35"/>
      <c r="Y57" s="35"/>
      <c r="Z57" s="35"/>
      <c r="AA57" s="35"/>
      <c r="AB57" s="35"/>
      <c r="AC57" s="35"/>
      <c r="AD57" s="35"/>
      <c r="AE57" s="35"/>
      <c r="AF57" s="64"/>
      <c r="AG57" s="64"/>
      <c r="AH57" s="82">
        <f t="shared" si="5"/>
        <v>5958.4</v>
      </c>
      <c r="AI57" s="82">
        <v>5587.55</v>
      </c>
      <c r="AJ57" s="99">
        <f>AH57-AI57</f>
        <v>370.84999999999945</v>
      </c>
      <c r="AK57" s="82">
        <f>AI57/AH57</f>
        <v>0.93776013694951676</v>
      </c>
      <c r="AL57" s="94">
        <f t="shared" si="8"/>
        <v>6.2239863050483235E-2</v>
      </c>
      <c r="AM57" s="8">
        <f>AL57*2328.4</f>
        <v>144.91929712674516</v>
      </c>
      <c r="AN57" s="8"/>
      <c r="AO57" s="8">
        <f>AL57*475</f>
        <v>29.563934948979536</v>
      </c>
      <c r="AP57" s="8">
        <f>AL57*2810.5</f>
        <v>174.92513510338313</v>
      </c>
      <c r="AQ57" s="8">
        <f>AL57*344.5</f>
        <v>21.441632820891474</v>
      </c>
      <c r="AR57" s="8"/>
      <c r="AS57" s="8"/>
      <c r="AT57" s="8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64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64"/>
      <c r="CN57" s="64"/>
      <c r="CO57" s="64"/>
      <c r="CP57" s="64"/>
      <c r="CQ57" s="64"/>
      <c r="CR57" s="64"/>
      <c r="CS57" s="64"/>
      <c r="CT57" s="64"/>
      <c r="CU57" s="64"/>
      <c r="CV57" s="64"/>
      <c r="CW57" s="64"/>
      <c r="CX57" s="64"/>
      <c r="CY57" s="64"/>
      <c r="CZ57" s="64"/>
      <c r="DA57" s="64"/>
      <c r="DB57" s="64"/>
      <c r="DC57" s="64"/>
      <c r="DD57" s="64"/>
      <c r="DE57" s="64"/>
      <c r="DF57" s="64"/>
      <c r="DG57" s="64"/>
      <c r="DH57" s="64"/>
      <c r="DI57" s="64"/>
      <c r="DJ57" s="64"/>
      <c r="DK57" s="64"/>
      <c r="DL57" s="64"/>
      <c r="DM57" s="64"/>
      <c r="DN57" s="64"/>
      <c r="DO57" s="64"/>
      <c r="DP57" s="64"/>
      <c r="DQ57" s="64"/>
      <c r="DR57" s="64"/>
      <c r="DS57" s="64"/>
      <c r="DT57" s="64"/>
      <c r="DU57" s="64"/>
      <c r="DV57" s="64"/>
      <c r="DW57" s="64"/>
      <c r="DX57" s="64"/>
      <c r="DY57" s="64"/>
      <c r="DZ57" s="64"/>
      <c r="EA57" s="64"/>
      <c r="EB57" s="64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4"/>
      <c r="EN57" s="64"/>
      <c r="EO57" s="64"/>
      <c r="EP57" s="64"/>
      <c r="EQ57" s="64"/>
      <c r="ER57" s="64"/>
      <c r="ES57" s="64"/>
      <c r="ET57" s="64"/>
      <c r="EU57" s="64"/>
      <c r="EV57" s="64"/>
      <c r="EW57" s="64"/>
      <c r="EX57" s="64"/>
      <c r="EY57" s="64"/>
      <c r="EZ57" s="64"/>
      <c r="FA57" s="64"/>
    </row>
    <row r="58" spans="2:157" s="36" customFormat="1" ht="36" customHeight="1" outlineLevel="1" x14ac:dyDescent="0.25">
      <c r="B58" s="237"/>
      <c r="C58" s="32" t="s">
        <v>125</v>
      </c>
      <c r="D58" s="32" t="s">
        <v>68</v>
      </c>
      <c r="E58" s="56">
        <v>41333</v>
      </c>
      <c r="F58" s="32"/>
      <c r="G58" s="8">
        <v>4062.5</v>
      </c>
      <c r="H58" s="201">
        <v>42</v>
      </c>
      <c r="I58" s="222">
        <v>8224.0249999999996</v>
      </c>
      <c r="J58" s="74">
        <f>I58-G58-G59-G60</f>
        <v>1.1249999999995453</v>
      </c>
      <c r="K58" s="48"/>
      <c r="L58" s="48"/>
      <c r="M58" s="8">
        <v>1286.5</v>
      </c>
      <c r="N58" s="8"/>
      <c r="O58" s="8">
        <v>1870</v>
      </c>
      <c r="P58" s="8">
        <v>906</v>
      </c>
      <c r="Q58" s="8"/>
      <c r="R58" s="8"/>
      <c r="S58" s="8"/>
      <c r="T58" s="8"/>
      <c r="U58" s="76"/>
      <c r="V58" s="76"/>
      <c r="W58" s="48"/>
      <c r="X58" s="48"/>
      <c r="Y58" s="48"/>
      <c r="Z58" s="48"/>
      <c r="AA58" s="48"/>
      <c r="AB58" s="48"/>
      <c r="AC58" s="48"/>
      <c r="AD58" s="48"/>
      <c r="AE58" s="35"/>
      <c r="AF58" s="64"/>
      <c r="AG58" s="64"/>
      <c r="AH58" s="82">
        <f t="shared" si="5"/>
        <v>4062.5</v>
      </c>
      <c r="AI58" s="24"/>
      <c r="AJ58" s="24"/>
      <c r="AK58" s="5"/>
      <c r="AL58" s="94"/>
      <c r="AM58" s="8"/>
      <c r="AN58" s="8"/>
      <c r="AO58" s="8"/>
      <c r="AP58" s="8"/>
      <c r="AQ58" s="8"/>
      <c r="AR58" s="8"/>
      <c r="AS58" s="8"/>
      <c r="AT58" s="8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  <c r="EQ58" s="64"/>
      <c r="ER58" s="64"/>
      <c r="ES58" s="64"/>
      <c r="ET58" s="64"/>
      <c r="EU58" s="64"/>
      <c r="EV58" s="64"/>
      <c r="EW58" s="64"/>
      <c r="EX58" s="64"/>
      <c r="EY58" s="64"/>
      <c r="EZ58" s="64"/>
      <c r="FA58" s="64"/>
    </row>
    <row r="59" spans="2:157" s="36" customFormat="1" ht="36" customHeight="1" outlineLevel="1" x14ac:dyDescent="0.25">
      <c r="B59" s="237"/>
      <c r="C59" s="32" t="s">
        <v>132</v>
      </c>
      <c r="D59" s="32" t="s">
        <v>68</v>
      </c>
      <c r="E59" s="56">
        <v>41345</v>
      </c>
      <c r="F59" s="32"/>
      <c r="G59" s="8">
        <v>2005.8</v>
      </c>
      <c r="H59" s="209"/>
      <c r="I59" s="223"/>
      <c r="J59" s="8"/>
      <c r="K59" s="48"/>
      <c r="L59" s="48"/>
      <c r="M59" s="8"/>
      <c r="N59" s="8">
        <v>230</v>
      </c>
      <c r="O59" s="8">
        <v>230</v>
      </c>
      <c r="P59" s="8"/>
      <c r="Q59" s="8">
        <v>1545.8</v>
      </c>
      <c r="R59" s="8"/>
      <c r="S59" s="8"/>
      <c r="T59" s="8"/>
      <c r="U59" s="76"/>
      <c r="V59" s="76"/>
      <c r="W59" s="48"/>
      <c r="X59" s="48"/>
      <c r="Y59" s="48"/>
      <c r="Z59" s="48"/>
      <c r="AA59" s="48"/>
      <c r="AB59" s="48"/>
      <c r="AC59" s="48"/>
      <c r="AD59" s="48"/>
      <c r="AE59" s="35"/>
      <c r="AF59" s="64"/>
      <c r="AG59" s="64"/>
      <c r="AH59" s="82">
        <f t="shared" si="5"/>
        <v>2005.8</v>
      </c>
      <c r="AI59" s="24"/>
      <c r="AJ59" s="24"/>
      <c r="AK59" s="5"/>
      <c r="AL59" s="94"/>
      <c r="AM59" s="8"/>
      <c r="AN59" s="8"/>
      <c r="AO59" s="8"/>
      <c r="AP59" s="8"/>
      <c r="AQ59" s="8"/>
      <c r="AR59" s="8"/>
      <c r="AS59" s="8"/>
      <c r="AT59" s="8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64"/>
      <c r="ER59" s="64"/>
      <c r="ES59" s="64"/>
      <c r="ET59" s="64"/>
      <c r="EU59" s="64"/>
      <c r="EV59" s="64"/>
      <c r="EW59" s="64"/>
      <c r="EX59" s="64"/>
      <c r="EY59" s="64"/>
      <c r="EZ59" s="64"/>
      <c r="FA59" s="64"/>
    </row>
    <row r="60" spans="2:157" s="36" customFormat="1" ht="36" customHeight="1" outlineLevel="1" x14ac:dyDescent="0.25">
      <c r="B60" s="238"/>
      <c r="C60" s="77" t="s">
        <v>146</v>
      </c>
      <c r="D60" s="32" t="s">
        <v>68</v>
      </c>
      <c r="E60" s="79">
        <v>41358</v>
      </c>
      <c r="F60" s="79">
        <v>41358</v>
      </c>
      <c r="G60" s="78">
        <v>2154.6</v>
      </c>
      <c r="H60" s="240"/>
      <c r="I60" s="240"/>
      <c r="J60" s="8"/>
      <c r="K60" s="48"/>
      <c r="L60" s="48"/>
      <c r="M60" s="8"/>
      <c r="N60" s="8"/>
      <c r="O60" s="8"/>
      <c r="P60" s="8"/>
      <c r="Q60" s="8"/>
      <c r="R60" s="8"/>
      <c r="S60" s="8"/>
      <c r="T60" s="8"/>
      <c r="U60" s="76"/>
      <c r="V60" s="76"/>
      <c r="W60" s="8"/>
      <c r="X60" s="8">
        <v>431.64</v>
      </c>
      <c r="Y60" s="8"/>
      <c r="Z60" s="8">
        <v>1172.8399999999999</v>
      </c>
      <c r="AA60" s="8">
        <v>342</v>
      </c>
      <c r="AB60" s="48"/>
      <c r="AC60" s="48"/>
      <c r="AD60" s="48"/>
      <c r="AE60" s="35"/>
      <c r="AF60" s="64"/>
      <c r="AG60" s="64"/>
      <c r="AH60" s="82">
        <f t="shared" si="5"/>
        <v>1946.48</v>
      </c>
      <c r="AI60" s="24"/>
      <c r="AJ60" s="24"/>
      <c r="AK60" s="5"/>
      <c r="AL60" s="94"/>
      <c r="AM60" s="8"/>
      <c r="AN60" s="8"/>
      <c r="AO60" s="8"/>
      <c r="AP60" s="8"/>
      <c r="AQ60" s="8"/>
      <c r="AR60" s="8"/>
      <c r="AS60" s="8"/>
      <c r="AT60" s="8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64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64"/>
      <c r="DP60" s="64"/>
      <c r="DQ60" s="64"/>
      <c r="DR60" s="64"/>
      <c r="DS60" s="64"/>
      <c r="DT60" s="64"/>
      <c r="DU60" s="64"/>
      <c r="DV60" s="64"/>
      <c r="DW60" s="64"/>
      <c r="DX60" s="64"/>
      <c r="DY60" s="64"/>
      <c r="DZ60" s="64"/>
      <c r="EA60" s="64"/>
      <c r="EB60" s="64"/>
      <c r="EC60" s="64"/>
      <c r="ED60" s="64"/>
      <c r="EE60" s="64"/>
      <c r="EF60" s="64"/>
      <c r="EG60" s="64"/>
      <c r="EH60" s="64"/>
      <c r="EI60" s="64"/>
      <c r="EJ60" s="64"/>
      <c r="EK60" s="64"/>
      <c r="EL60" s="64"/>
      <c r="EM60" s="64"/>
      <c r="EN60" s="64"/>
      <c r="EO60" s="64"/>
      <c r="EP60" s="64"/>
      <c r="EQ60" s="64"/>
      <c r="ER60" s="64"/>
      <c r="ES60" s="64"/>
      <c r="ET60" s="64"/>
      <c r="EU60" s="64"/>
      <c r="EV60" s="64"/>
      <c r="EW60" s="64"/>
      <c r="EX60" s="64"/>
      <c r="EY60" s="64"/>
      <c r="EZ60" s="64"/>
      <c r="FA60" s="64"/>
    </row>
    <row r="61" spans="2:157" s="64" customFormat="1" ht="36" customHeight="1" x14ac:dyDescent="0.25">
      <c r="B61" s="239"/>
      <c r="C61" s="67"/>
      <c r="D61" s="67"/>
      <c r="E61" s="75"/>
      <c r="F61" s="75"/>
      <c r="G61" s="73"/>
      <c r="H61" s="73"/>
      <c r="I61" s="73"/>
      <c r="J61" s="73"/>
      <c r="K61" s="5"/>
      <c r="L61" s="5"/>
      <c r="M61" s="73"/>
      <c r="N61" s="73"/>
      <c r="O61" s="73"/>
      <c r="P61" s="73"/>
      <c r="Q61" s="73"/>
      <c r="R61" s="73"/>
      <c r="S61" s="73"/>
      <c r="T61" s="73"/>
      <c r="U61" s="6"/>
      <c r="V61" s="6"/>
      <c r="W61" s="5"/>
      <c r="X61" s="5"/>
      <c r="Y61" s="5"/>
      <c r="Z61" s="5"/>
      <c r="AA61" s="5"/>
      <c r="AB61" s="5"/>
      <c r="AC61" s="5"/>
      <c r="AD61" s="5"/>
      <c r="AE61" s="24"/>
      <c r="AH61" s="82">
        <f t="shared" si="5"/>
        <v>0</v>
      </c>
      <c r="AI61" s="24"/>
      <c r="AJ61" s="24"/>
      <c r="AK61" s="5"/>
      <c r="AL61" s="94"/>
      <c r="AM61" s="94"/>
      <c r="AN61" s="94"/>
      <c r="AO61" s="94"/>
      <c r="AP61" s="94"/>
      <c r="AQ61" s="94"/>
      <c r="AR61" s="94"/>
      <c r="AS61" s="94"/>
      <c r="AT61" s="94"/>
    </row>
    <row r="62" spans="2:157" s="49" customFormat="1" ht="23.25" customHeight="1" x14ac:dyDescent="0.25">
      <c r="B62" s="58"/>
      <c r="C62" s="27"/>
      <c r="D62" s="27"/>
      <c r="E62" s="27"/>
      <c r="F62" s="27"/>
      <c r="G62" s="74"/>
      <c r="H62" s="74"/>
      <c r="I62" s="74"/>
      <c r="J62" s="74"/>
      <c r="K62" s="50"/>
      <c r="L62" s="74"/>
      <c r="M62" s="74"/>
      <c r="N62" s="74"/>
      <c r="O62" s="74"/>
      <c r="P62" s="74"/>
      <c r="Q62" s="74"/>
      <c r="R62" s="74"/>
      <c r="S62" s="74"/>
      <c r="T62" s="74"/>
      <c r="U62" s="13"/>
      <c r="V62" s="13"/>
      <c r="W62" s="28"/>
      <c r="X62" s="28"/>
      <c r="Y62" s="28"/>
      <c r="Z62" s="28"/>
      <c r="AA62" s="5"/>
      <c r="AB62" s="28"/>
      <c r="AC62" s="28"/>
      <c r="AD62" s="28"/>
      <c r="AE62" s="28"/>
      <c r="AF62" s="64"/>
      <c r="AG62" s="64"/>
      <c r="AH62" s="82"/>
      <c r="AI62" s="24"/>
      <c r="AJ62" s="24"/>
      <c r="AK62" s="5"/>
      <c r="AL62" s="94"/>
      <c r="AM62" s="95"/>
      <c r="AN62" s="95"/>
      <c r="AO62" s="95"/>
      <c r="AP62" s="95"/>
      <c r="AQ62" s="95"/>
      <c r="AR62" s="95"/>
      <c r="AS62" s="95"/>
      <c r="AT62" s="95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64"/>
      <c r="ER62" s="64"/>
      <c r="ES62" s="64"/>
      <c r="ET62" s="64"/>
      <c r="EU62" s="64"/>
      <c r="EV62" s="64"/>
      <c r="EW62" s="64"/>
      <c r="EX62" s="64"/>
      <c r="EY62" s="64"/>
      <c r="EZ62" s="64"/>
      <c r="FA62" s="64"/>
    </row>
    <row r="63" spans="2:157" s="36" customFormat="1" ht="36" customHeight="1" outlineLevel="1" x14ac:dyDescent="0.25">
      <c r="B63" s="236" t="s">
        <v>97</v>
      </c>
      <c r="C63" s="32" t="s">
        <v>92</v>
      </c>
      <c r="D63" s="32" t="s">
        <v>68</v>
      </c>
      <c r="E63" s="56">
        <v>41241</v>
      </c>
      <c r="F63" s="56">
        <v>41242</v>
      </c>
      <c r="G63" s="8">
        <v>900</v>
      </c>
      <c r="H63" s="8" t="s">
        <v>93</v>
      </c>
      <c r="I63" s="8"/>
      <c r="J63" s="8"/>
      <c r="K63" s="48"/>
      <c r="L63" s="48"/>
      <c r="M63" s="8"/>
      <c r="N63" s="8"/>
      <c r="O63" s="8">
        <v>900</v>
      </c>
      <c r="P63" s="8"/>
      <c r="Q63" s="8"/>
      <c r="R63" s="8"/>
      <c r="S63" s="8"/>
      <c r="T63" s="8"/>
      <c r="U63" s="76"/>
      <c r="V63" s="76"/>
      <c r="W63" s="48"/>
      <c r="X63" s="48"/>
      <c r="Y63" s="48"/>
      <c r="Z63" s="48"/>
      <c r="AA63" s="48"/>
      <c r="AB63" s="48"/>
      <c r="AC63" s="48"/>
      <c r="AD63" s="48"/>
      <c r="AE63" s="48"/>
      <c r="AF63" s="64"/>
      <c r="AG63" s="64"/>
      <c r="AH63" s="82">
        <f t="shared" si="5"/>
        <v>900</v>
      </c>
      <c r="AI63" s="82">
        <v>828.01</v>
      </c>
      <c r="AJ63" s="99">
        <f>AH63-AI63</f>
        <v>71.990000000000009</v>
      </c>
      <c r="AK63" s="82">
        <f>AI63/AH63</f>
        <v>0.92001111111111111</v>
      </c>
      <c r="AL63" s="94">
        <f t="shared" si="8"/>
        <v>7.9988888888888887E-2</v>
      </c>
      <c r="AM63" s="8"/>
      <c r="AN63" s="8"/>
      <c r="AO63" s="8">
        <f>AL63*900</f>
        <v>71.989999999999995</v>
      </c>
      <c r="AP63" s="8"/>
      <c r="AQ63" s="8"/>
      <c r="AR63" s="8"/>
      <c r="AS63" s="8"/>
      <c r="AT63" s="8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  <c r="EO63" s="64"/>
      <c r="EP63" s="64"/>
      <c r="EQ63" s="64"/>
      <c r="ER63" s="64"/>
      <c r="ES63" s="64"/>
      <c r="ET63" s="64"/>
      <c r="EU63" s="64"/>
      <c r="EV63" s="64"/>
      <c r="EW63" s="64"/>
      <c r="EX63" s="64"/>
      <c r="EY63" s="64"/>
      <c r="EZ63" s="64"/>
      <c r="FA63" s="64"/>
    </row>
    <row r="64" spans="2:157" s="36" customFormat="1" ht="36" customHeight="1" outlineLevel="1" x14ac:dyDescent="0.25">
      <c r="B64" s="237"/>
      <c r="C64" s="32" t="s">
        <v>106</v>
      </c>
      <c r="D64" s="32" t="s">
        <v>68</v>
      </c>
      <c r="E64" s="56">
        <v>41285</v>
      </c>
      <c r="F64" s="56">
        <v>41287</v>
      </c>
      <c r="G64" s="8">
        <v>1242</v>
      </c>
      <c r="H64" s="8" t="s">
        <v>111</v>
      </c>
      <c r="I64" s="8"/>
      <c r="J64" s="8"/>
      <c r="K64" s="48"/>
      <c r="L64" s="48"/>
      <c r="M64" s="8"/>
      <c r="N64" s="8"/>
      <c r="O64" s="8">
        <v>760</v>
      </c>
      <c r="P64" s="8">
        <v>475</v>
      </c>
      <c r="Q64" s="8"/>
      <c r="R64" s="8">
        <v>7</v>
      </c>
      <c r="S64" s="8"/>
      <c r="T64" s="8"/>
      <c r="U64" s="76"/>
      <c r="V64" s="76"/>
      <c r="W64" s="48"/>
      <c r="X64" s="48"/>
      <c r="Y64" s="48"/>
      <c r="Z64" s="48"/>
      <c r="AA64" s="48"/>
      <c r="AB64" s="48"/>
      <c r="AC64" s="48"/>
      <c r="AD64" s="48"/>
      <c r="AE64" s="48"/>
      <c r="AF64" s="64"/>
      <c r="AG64" s="64"/>
      <c r="AH64" s="82">
        <f t="shared" si="5"/>
        <v>1242</v>
      </c>
      <c r="AI64" s="24"/>
      <c r="AJ64" s="24"/>
      <c r="AK64" s="5"/>
      <c r="AL64" s="94"/>
      <c r="AM64" s="8"/>
      <c r="AN64" s="8"/>
      <c r="AO64" s="8"/>
      <c r="AP64" s="8"/>
      <c r="AQ64" s="8"/>
      <c r="AR64" s="8"/>
      <c r="AS64" s="8"/>
      <c r="AT64" s="8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  <c r="EQ64" s="64"/>
      <c r="ER64" s="64"/>
      <c r="ES64" s="64"/>
      <c r="ET64" s="64"/>
      <c r="EU64" s="64"/>
      <c r="EV64" s="64"/>
      <c r="EW64" s="64"/>
      <c r="EX64" s="64"/>
      <c r="EY64" s="64"/>
      <c r="EZ64" s="64"/>
      <c r="FA64" s="64"/>
    </row>
    <row r="65" spans="2:157" s="36" customFormat="1" ht="36" customHeight="1" outlineLevel="1" x14ac:dyDescent="0.25">
      <c r="B65" s="237"/>
      <c r="C65" s="32" t="s">
        <v>107</v>
      </c>
      <c r="D65" s="32" t="s">
        <v>68</v>
      </c>
      <c r="E65" s="56">
        <v>41324</v>
      </c>
      <c r="F65" s="32"/>
      <c r="G65" s="8">
        <v>7999.6</v>
      </c>
      <c r="H65" s="8">
        <v>33</v>
      </c>
      <c r="I65" s="8"/>
      <c r="J65" s="8"/>
      <c r="K65" s="48"/>
      <c r="L65" s="48"/>
      <c r="M65" s="8">
        <v>88</v>
      </c>
      <c r="N65" s="8">
        <v>676.1</v>
      </c>
      <c r="O65" s="8">
        <v>2055</v>
      </c>
      <c r="P65" s="8">
        <v>5000.5</v>
      </c>
      <c r="Q65" s="8"/>
      <c r="R65" s="8">
        <v>180</v>
      </c>
      <c r="S65" s="8"/>
      <c r="T65" s="8"/>
      <c r="U65" s="76"/>
      <c r="V65" s="76"/>
      <c r="W65" s="48"/>
      <c r="X65" s="48"/>
      <c r="Y65" s="48"/>
      <c r="Z65" s="48"/>
      <c r="AA65" s="48"/>
      <c r="AB65" s="48"/>
      <c r="AC65" s="48"/>
      <c r="AD65" s="48"/>
      <c r="AE65" s="48"/>
      <c r="AF65" s="64"/>
      <c r="AG65" s="64"/>
      <c r="AH65" s="82">
        <f t="shared" si="5"/>
        <v>7999.6</v>
      </c>
      <c r="AI65" s="82">
        <v>7453.47</v>
      </c>
      <c r="AJ65" s="99">
        <f>AH65-AI65</f>
        <v>546.13000000000011</v>
      </c>
      <c r="AK65" s="82">
        <f>AI65/AH65</f>
        <v>0.9317303365168258</v>
      </c>
      <c r="AL65" s="94">
        <f t="shared" si="8"/>
        <v>6.8269663483174203E-2</v>
      </c>
      <c r="AM65" s="8">
        <f>AL65*88</f>
        <v>6.0077303865193299</v>
      </c>
      <c r="AN65" s="8">
        <f>AL65*676.1</f>
        <v>46.157119480974082</v>
      </c>
      <c r="AO65" s="8">
        <f>AL65*2055</f>
        <v>140.29415845792298</v>
      </c>
      <c r="AP65" s="8">
        <f>AL65*5000.5</f>
        <v>341.3824522476126</v>
      </c>
      <c r="AQ65" s="8"/>
      <c r="AR65" s="8">
        <f>AL65*180</f>
        <v>12.288539426971356</v>
      </c>
      <c r="AS65" s="8"/>
      <c r="AT65" s="8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  <c r="EQ65" s="64"/>
      <c r="ER65" s="64"/>
      <c r="ES65" s="64"/>
      <c r="ET65" s="64"/>
      <c r="EU65" s="64"/>
      <c r="EV65" s="64"/>
      <c r="EW65" s="64"/>
      <c r="EX65" s="64"/>
      <c r="EY65" s="64"/>
      <c r="EZ65" s="64"/>
      <c r="FA65" s="64"/>
    </row>
    <row r="66" spans="2:157" s="36" customFormat="1" ht="36" customHeight="1" outlineLevel="1" x14ac:dyDescent="0.25">
      <c r="B66" s="237"/>
      <c r="C66" s="32" t="s">
        <v>117</v>
      </c>
      <c r="D66" s="32" t="s">
        <v>68</v>
      </c>
      <c r="E66" s="63">
        <v>41313</v>
      </c>
      <c r="F66" s="63">
        <v>41313</v>
      </c>
      <c r="G66" s="8">
        <v>454.5</v>
      </c>
      <c r="H66" s="8" t="s">
        <v>111</v>
      </c>
      <c r="I66" s="8"/>
      <c r="J66" s="8"/>
      <c r="K66" s="48"/>
      <c r="L66" s="48"/>
      <c r="M66" s="8"/>
      <c r="N66" s="8"/>
      <c r="O66" s="8"/>
      <c r="P66" s="8"/>
      <c r="Q66" s="8"/>
      <c r="R66" s="8"/>
      <c r="S66" s="8">
        <v>454.5</v>
      </c>
      <c r="T66" s="8"/>
      <c r="U66" s="76"/>
      <c r="V66" s="76"/>
      <c r="W66" s="48"/>
      <c r="X66" s="48"/>
      <c r="Y66" s="48"/>
      <c r="Z66" s="48"/>
      <c r="AA66" s="48"/>
      <c r="AB66" s="48"/>
      <c r="AC66" s="48"/>
      <c r="AD66" s="48"/>
      <c r="AE66" s="48"/>
      <c r="AF66" s="64"/>
      <c r="AG66" s="64"/>
      <c r="AH66" s="82">
        <f t="shared" si="5"/>
        <v>454.5</v>
      </c>
      <c r="AI66" s="24"/>
      <c r="AJ66" s="24"/>
      <c r="AK66" s="5"/>
      <c r="AL66" s="94"/>
      <c r="AM66" s="8"/>
      <c r="AN66" s="8"/>
      <c r="AO66" s="8"/>
      <c r="AP66" s="8"/>
      <c r="AQ66" s="8"/>
      <c r="AR66" s="8"/>
      <c r="AS66" s="8"/>
      <c r="AT66" s="8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</row>
    <row r="67" spans="2:157" s="36" customFormat="1" ht="36" customHeight="1" outlineLevel="1" x14ac:dyDescent="0.25">
      <c r="B67" s="237"/>
      <c r="C67" s="32" t="s">
        <v>123</v>
      </c>
      <c r="D67" s="32" t="s">
        <v>68</v>
      </c>
      <c r="E67" s="56">
        <v>41326</v>
      </c>
      <c r="F67" s="32"/>
      <c r="G67" s="8">
        <v>3928.4</v>
      </c>
      <c r="H67" s="201">
        <v>32</v>
      </c>
      <c r="I67" s="219">
        <v>6000</v>
      </c>
      <c r="J67" s="81">
        <f>I67-G67-G68-G69</f>
        <v>0.6999999999998181</v>
      </c>
      <c r="K67" s="48"/>
      <c r="L67" s="48"/>
      <c r="M67" s="8">
        <v>161.6</v>
      </c>
      <c r="N67" s="8">
        <v>1676.8</v>
      </c>
      <c r="O67" s="8">
        <v>570</v>
      </c>
      <c r="P67" s="8">
        <v>1520</v>
      </c>
      <c r="Q67" s="8"/>
      <c r="R67" s="8"/>
      <c r="S67" s="8"/>
      <c r="T67" s="8"/>
      <c r="U67" s="76"/>
      <c r="V67" s="76"/>
      <c r="W67" s="48"/>
      <c r="X67" s="48"/>
      <c r="Y67" s="48"/>
      <c r="Z67" s="48"/>
      <c r="AA67" s="48"/>
      <c r="AB67" s="48"/>
      <c r="AC67" s="48"/>
      <c r="AD67" s="48"/>
      <c r="AE67" s="48"/>
      <c r="AF67" s="64"/>
      <c r="AG67" s="64"/>
      <c r="AH67" s="82">
        <f t="shared" si="5"/>
        <v>3928.3999999999996</v>
      </c>
      <c r="AI67" s="201">
        <v>5771.33</v>
      </c>
      <c r="AJ67" s="201">
        <f>AH67+AH68+AH69-AI67</f>
        <v>143.53999999999996</v>
      </c>
      <c r="AK67" s="201">
        <f>AI67/SUM(AH67:AH69)</f>
        <v>0.97573234914714946</v>
      </c>
      <c r="AL67" s="94">
        <f t="shared" si="8"/>
        <v>2.4267650852850542E-2</v>
      </c>
      <c r="AM67" s="8">
        <f>AL67*161.6</f>
        <v>3.9216523778206476</v>
      </c>
      <c r="AN67" s="8">
        <f>AL67*1676.8</f>
        <v>40.691996950059789</v>
      </c>
      <c r="AO67" s="8">
        <f>AL67*570</f>
        <v>13.832560986124809</v>
      </c>
      <c r="AP67" s="8">
        <f>AL67*1520</f>
        <v>36.88682929633282</v>
      </c>
      <c r="AQ67" s="8"/>
      <c r="AR67" s="8"/>
      <c r="AS67" s="8"/>
      <c r="AT67" s="8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</row>
    <row r="68" spans="2:157" s="36" customFormat="1" ht="36" customHeight="1" outlineLevel="1" x14ac:dyDescent="0.25">
      <c r="B68" s="237"/>
      <c r="C68" s="32" t="s">
        <v>126</v>
      </c>
      <c r="D68" s="32" t="s">
        <v>68</v>
      </c>
      <c r="E68" s="56">
        <v>41330</v>
      </c>
      <c r="F68" s="32"/>
      <c r="G68" s="8">
        <v>959</v>
      </c>
      <c r="H68" s="209"/>
      <c r="I68" s="220"/>
      <c r="J68" s="8"/>
      <c r="K68" s="48"/>
      <c r="L68" s="48"/>
      <c r="M68" s="8"/>
      <c r="N68" s="8"/>
      <c r="O68" s="8">
        <v>445</v>
      </c>
      <c r="P68" s="8">
        <v>514</v>
      </c>
      <c r="Q68" s="8"/>
      <c r="R68" s="8"/>
      <c r="S68" s="8"/>
      <c r="T68" s="8"/>
      <c r="U68" s="76"/>
      <c r="V68" s="76"/>
      <c r="W68" s="48"/>
      <c r="X68" s="48"/>
      <c r="Y68" s="48"/>
      <c r="Z68" s="48"/>
      <c r="AA68" s="48"/>
      <c r="AB68" s="48"/>
      <c r="AC68" s="48"/>
      <c r="AD68" s="48"/>
      <c r="AE68" s="48"/>
      <c r="AF68" s="64"/>
      <c r="AG68" s="64"/>
      <c r="AH68" s="82">
        <f t="shared" si="5"/>
        <v>959</v>
      </c>
      <c r="AI68" s="209"/>
      <c r="AJ68" s="209"/>
      <c r="AK68" s="209"/>
      <c r="AL68" s="94">
        <v>2.4267650852850542E-2</v>
      </c>
      <c r="AM68" s="8"/>
      <c r="AN68" s="8"/>
      <c r="AO68" s="8">
        <f>AL67*445</f>
        <v>10.79910462951849</v>
      </c>
      <c r="AP68" s="8">
        <f>AL67*514</f>
        <v>12.473572538365179</v>
      </c>
      <c r="AQ68" s="8"/>
      <c r="AR68" s="8"/>
      <c r="AS68" s="8"/>
      <c r="AT68" s="8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</row>
    <row r="69" spans="2:157" s="36" customFormat="1" ht="36" customHeight="1" outlineLevel="1" x14ac:dyDescent="0.25">
      <c r="B69" s="237"/>
      <c r="C69" s="32" t="s">
        <v>136</v>
      </c>
      <c r="D69" s="32" t="s">
        <v>68</v>
      </c>
      <c r="E69" s="56">
        <v>41353</v>
      </c>
      <c r="F69" s="56">
        <v>41353</v>
      </c>
      <c r="G69" s="8">
        <v>1111.9000000000001</v>
      </c>
      <c r="H69" s="202"/>
      <c r="I69" s="221"/>
      <c r="J69" s="8"/>
      <c r="K69" s="48"/>
      <c r="L69" s="48"/>
      <c r="M69" s="8"/>
      <c r="N69" s="8"/>
      <c r="O69" s="8"/>
      <c r="P69" s="8"/>
      <c r="Q69" s="8"/>
      <c r="R69" s="8"/>
      <c r="S69" s="8"/>
      <c r="T69" s="8"/>
      <c r="U69" s="76"/>
      <c r="V69" s="76"/>
      <c r="W69" s="8"/>
      <c r="X69" s="8">
        <v>381.06</v>
      </c>
      <c r="Y69" s="8"/>
      <c r="Z69" s="8">
        <v>506.91</v>
      </c>
      <c r="AA69" s="8">
        <v>139.5</v>
      </c>
      <c r="AB69" s="48"/>
      <c r="AC69" s="48"/>
      <c r="AD69" s="48"/>
      <c r="AE69" s="48"/>
      <c r="AF69" s="64"/>
      <c r="AG69" s="64"/>
      <c r="AH69" s="82">
        <v>1027.47</v>
      </c>
      <c r="AI69" s="202"/>
      <c r="AJ69" s="202"/>
      <c r="AK69" s="202"/>
      <c r="AL69" s="94">
        <v>2.4267650852850542E-2</v>
      </c>
      <c r="AM69" s="8">
        <f>AL67*381.06</f>
        <v>9.2474310339872279</v>
      </c>
      <c r="AN69" s="8"/>
      <c r="AO69" s="8">
        <f>AL67*506.91</f>
        <v>12.301514893818469</v>
      </c>
      <c r="AP69" s="8">
        <f>AL67*139.5</f>
        <v>3.3853372939726505</v>
      </c>
      <c r="AQ69" s="8"/>
      <c r="AR69" s="8"/>
      <c r="AS69" s="8"/>
      <c r="AT69" s="8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</row>
    <row r="70" spans="2:157" s="36" customFormat="1" ht="36" customHeight="1" outlineLevel="1" x14ac:dyDescent="0.25">
      <c r="B70" s="237"/>
      <c r="C70" s="32" t="s">
        <v>124</v>
      </c>
      <c r="D70" s="32" t="s">
        <v>68</v>
      </c>
      <c r="E70" s="56">
        <v>41337</v>
      </c>
      <c r="F70" s="32"/>
      <c r="G70" s="8">
        <v>6325</v>
      </c>
      <c r="H70" s="242">
        <v>40</v>
      </c>
      <c r="I70" s="242">
        <v>10000</v>
      </c>
      <c r="J70" s="81">
        <f>I70-G70-G71-G72</f>
        <v>0.5</v>
      </c>
      <c r="K70" s="48"/>
      <c r="L70" s="48"/>
      <c r="M70" s="48"/>
      <c r="N70" s="48"/>
      <c r="O70" s="8">
        <v>4400</v>
      </c>
      <c r="P70" s="8">
        <v>1925</v>
      </c>
      <c r="Q70" s="48"/>
      <c r="R70" s="48"/>
      <c r="S70" s="48"/>
      <c r="T70" s="48"/>
      <c r="U70" s="76"/>
      <c r="V70" s="76"/>
      <c r="W70" s="48"/>
      <c r="X70" s="48"/>
      <c r="Y70" s="48"/>
      <c r="Z70" s="48"/>
      <c r="AA70" s="48"/>
      <c r="AB70" s="48"/>
      <c r="AC70" s="48"/>
      <c r="AD70" s="48"/>
      <c r="AE70" s="48"/>
      <c r="AF70" s="64"/>
      <c r="AG70" s="64"/>
      <c r="AH70" s="82">
        <f t="shared" si="5"/>
        <v>6325</v>
      </c>
      <c r="AI70" s="201">
        <v>9311.9699999999993</v>
      </c>
      <c r="AJ70" s="201">
        <f>AH70+AH71+AH72-AI70</f>
        <v>687.53000000000065</v>
      </c>
      <c r="AK70" s="201">
        <f>AI70/SUM(AH70:AH72)</f>
        <v>0.93124356217810889</v>
      </c>
      <c r="AL70" s="94">
        <f t="shared" si="8"/>
        <v>6.8756437821891114E-2</v>
      </c>
      <c r="AM70" s="48"/>
      <c r="AN70" s="48"/>
      <c r="AO70" s="8">
        <f>AL70*4400</f>
        <v>302.52832641632091</v>
      </c>
      <c r="AP70" s="8">
        <f>AL70*1925</f>
        <v>132.3561428071404</v>
      </c>
      <c r="AQ70" s="48"/>
      <c r="AR70" s="48"/>
      <c r="AS70" s="48"/>
      <c r="AT70" s="48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64"/>
      <c r="ER70" s="64"/>
      <c r="ES70" s="64"/>
      <c r="ET70" s="64"/>
      <c r="EU70" s="64"/>
      <c r="EV70" s="64"/>
      <c r="EW70" s="64"/>
      <c r="EX70" s="64"/>
      <c r="EY70" s="64"/>
      <c r="EZ70" s="64"/>
      <c r="FA70" s="64"/>
    </row>
    <row r="71" spans="2:157" s="36" customFormat="1" ht="36" customHeight="1" outlineLevel="1" x14ac:dyDescent="0.25">
      <c r="B71" s="237"/>
      <c r="C71" s="32" t="s">
        <v>127</v>
      </c>
      <c r="D71" s="32" t="s">
        <v>68</v>
      </c>
      <c r="E71" s="56">
        <v>41333</v>
      </c>
      <c r="F71" s="32"/>
      <c r="G71" s="8">
        <v>1400</v>
      </c>
      <c r="H71" s="242"/>
      <c r="I71" s="242"/>
      <c r="J71" s="8"/>
      <c r="K71" s="48"/>
      <c r="L71" s="48"/>
      <c r="M71" s="48"/>
      <c r="N71" s="48"/>
      <c r="O71" s="48"/>
      <c r="P71" s="8">
        <v>1400</v>
      </c>
      <c r="Q71" s="48"/>
      <c r="R71" s="48"/>
      <c r="S71" s="48"/>
      <c r="T71" s="48"/>
      <c r="U71" s="76"/>
      <c r="V71" s="76"/>
      <c r="W71" s="48"/>
      <c r="X71" s="48"/>
      <c r="Y71" s="48"/>
      <c r="Z71" s="48"/>
      <c r="AA71" s="48"/>
      <c r="AB71" s="48"/>
      <c r="AC71" s="48"/>
      <c r="AD71" s="48"/>
      <c r="AE71" s="48"/>
      <c r="AF71" s="64"/>
      <c r="AG71" s="64"/>
      <c r="AH71" s="82">
        <f t="shared" si="5"/>
        <v>1400</v>
      </c>
      <c r="AI71" s="209"/>
      <c r="AJ71" s="209"/>
      <c r="AK71" s="209"/>
      <c r="AL71" s="94">
        <v>6.8756437821891114E-2</v>
      </c>
      <c r="AM71" s="48"/>
      <c r="AN71" s="48"/>
      <c r="AO71" s="48"/>
      <c r="AP71" s="8">
        <f>AL70*1400</f>
        <v>96.259012950647559</v>
      </c>
      <c r="AQ71" s="48"/>
      <c r="AR71" s="48"/>
      <c r="AS71" s="48"/>
      <c r="AT71" s="48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  <c r="EQ71" s="64"/>
      <c r="ER71" s="64"/>
      <c r="ES71" s="64"/>
      <c r="ET71" s="64"/>
      <c r="EU71" s="64"/>
      <c r="EV71" s="64"/>
      <c r="EW71" s="64"/>
      <c r="EX71" s="64"/>
      <c r="EY71" s="64"/>
      <c r="EZ71" s="64"/>
      <c r="FA71" s="64"/>
    </row>
    <row r="72" spans="2:157" s="36" customFormat="1" ht="36" customHeight="1" outlineLevel="1" x14ac:dyDescent="0.25">
      <c r="B72" s="237"/>
      <c r="C72" s="32" t="s">
        <v>131</v>
      </c>
      <c r="D72" s="32" t="s">
        <v>68</v>
      </c>
      <c r="E72" s="56">
        <v>41345</v>
      </c>
      <c r="F72" s="32"/>
      <c r="G72" s="8">
        <v>2274.5</v>
      </c>
      <c r="H72" s="242"/>
      <c r="I72" s="242"/>
      <c r="J72" s="8"/>
      <c r="K72" s="48"/>
      <c r="L72" s="48"/>
      <c r="M72" s="48"/>
      <c r="N72" s="8">
        <v>901</v>
      </c>
      <c r="O72" s="8">
        <v>230</v>
      </c>
      <c r="P72" s="8">
        <v>412.5</v>
      </c>
      <c r="Q72" s="8">
        <v>731</v>
      </c>
      <c r="R72" s="48"/>
      <c r="S72" s="48"/>
      <c r="T72" s="48"/>
      <c r="U72" s="76"/>
      <c r="V72" s="76"/>
      <c r="W72" s="8"/>
      <c r="X72" s="8"/>
      <c r="Y72" s="8"/>
      <c r="Z72" s="8"/>
      <c r="AA72" s="8"/>
      <c r="AB72" s="8"/>
      <c r="AC72" s="8"/>
      <c r="AD72" s="8"/>
      <c r="AE72" s="8"/>
      <c r="AF72" s="98"/>
      <c r="AG72" s="64"/>
      <c r="AH72" s="82">
        <f t="shared" si="5"/>
        <v>2274.5</v>
      </c>
      <c r="AI72" s="202"/>
      <c r="AJ72" s="202"/>
      <c r="AK72" s="202"/>
      <c r="AL72" s="94">
        <v>6.8756437821891114E-2</v>
      </c>
      <c r="AM72" s="48"/>
      <c r="AN72" s="8">
        <f>AL70*901</f>
        <v>61.949550477523893</v>
      </c>
      <c r="AO72" s="8">
        <f>AL70*230</f>
        <v>15.813980699034957</v>
      </c>
      <c r="AP72" s="8">
        <f>AL70*412.5</f>
        <v>28.362030601530083</v>
      </c>
      <c r="AQ72" s="8">
        <f>AL70*731</f>
        <v>50.260956047802402</v>
      </c>
      <c r="AR72" s="48"/>
      <c r="AS72" s="48"/>
      <c r="AT72" s="48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</row>
    <row r="73" spans="2:157" s="36" customFormat="1" ht="36" customHeight="1" outlineLevel="1" x14ac:dyDescent="0.25">
      <c r="B73" s="237"/>
      <c r="C73" s="32" t="s">
        <v>135</v>
      </c>
      <c r="D73" s="32" t="s">
        <v>68</v>
      </c>
      <c r="E73" s="56">
        <v>41352</v>
      </c>
      <c r="F73" s="32"/>
      <c r="G73" s="8">
        <v>5217.51</v>
      </c>
      <c r="H73" s="222">
        <v>41</v>
      </c>
      <c r="I73" s="201">
        <v>10000</v>
      </c>
      <c r="J73" s="81">
        <f>I73-G73-G74-G75</f>
        <v>0.88999999999987267</v>
      </c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76"/>
      <c r="V73" s="76"/>
      <c r="W73" s="8"/>
      <c r="X73" s="8">
        <v>5212.1099999999997</v>
      </c>
      <c r="Y73" s="8"/>
      <c r="Z73" s="8"/>
      <c r="AA73" s="8"/>
      <c r="AB73" s="8"/>
      <c r="AC73" s="8">
        <v>5.4</v>
      </c>
      <c r="AD73" s="8"/>
      <c r="AE73" s="8"/>
      <c r="AF73" s="98"/>
      <c r="AG73" s="64"/>
      <c r="AH73" s="82">
        <f t="shared" si="5"/>
        <v>5217.5099999999993</v>
      </c>
      <c r="AI73" s="24"/>
      <c r="AJ73" s="24"/>
      <c r="AK73" s="5"/>
      <c r="AL73" s="94"/>
      <c r="AM73" s="8"/>
      <c r="AN73" s="8"/>
      <c r="AO73" s="8"/>
      <c r="AP73" s="8"/>
      <c r="AQ73" s="8"/>
      <c r="AR73" s="8"/>
      <c r="AS73" s="48"/>
      <c r="AT73" s="48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4"/>
      <c r="EU73" s="64"/>
      <c r="EV73" s="64"/>
      <c r="EW73" s="64"/>
      <c r="EX73" s="64"/>
      <c r="EY73" s="64"/>
      <c r="EZ73" s="64"/>
      <c r="FA73" s="64"/>
    </row>
    <row r="74" spans="2:157" s="36" customFormat="1" ht="36" customHeight="1" outlineLevel="1" x14ac:dyDescent="0.25">
      <c r="B74" s="237"/>
      <c r="C74" s="32" t="s">
        <v>147</v>
      </c>
      <c r="D74" s="32" t="s">
        <v>68</v>
      </c>
      <c r="E74" s="56">
        <v>41362</v>
      </c>
      <c r="F74" s="56">
        <v>41365</v>
      </c>
      <c r="G74" s="8">
        <v>2481.6</v>
      </c>
      <c r="H74" s="223"/>
      <c r="I74" s="209"/>
      <c r="J74" s="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76"/>
      <c r="V74" s="76"/>
      <c r="W74" s="8"/>
      <c r="X74" s="8">
        <v>1310.94</v>
      </c>
      <c r="Y74" s="8"/>
      <c r="Z74" s="8"/>
      <c r="AA74" s="8">
        <v>774</v>
      </c>
      <c r="AB74" s="8"/>
      <c r="AC74" s="8">
        <v>164.43</v>
      </c>
      <c r="AD74" s="8"/>
      <c r="AE74" s="48"/>
      <c r="AF74" s="64"/>
      <c r="AG74" s="64"/>
      <c r="AH74" s="82">
        <f t="shared" ref="AH74:AH87" si="11">SUM(M74:T74)+SUM(X74:AE74)</f>
        <v>2249.37</v>
      </c>
      <c r="AI74" s="24"/>
      <c r="AJ74" s="24"/>
      <c r="AK74" s="5"/>
      <c r="AL74" s="94"/>
      <c r="AM74" s="8"/>
      <c r="AN74" s="8"/>
      <c r="AO74" s="8"/>
      <c r="AP74" s="8"/>
      <c r="AQ74" s="8"/>
      <c r="AR74" s="8"/>
      <c r="AS74" s="48"/>
      <c r="AT74" s="48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</row>
    <row r="75" spans="2:157" s="36" customFormat="1" ht="36" customHeight="1" outlineLevel="1" x14ac:dyDescent="0.25">
      <c r="B75" s="237"/>
      <c r="C75" s="32" t="s">
        <v>148</v>
      </c>
      <c r="D75" s="32" t="s">
        <v>68</v>
      </c>
      <c r="E75" s="56">
        <v>41367</v>
      </c>
      <c r="F75" s="56">
        <v>41367</v>
      </c>
      <c r="G75" s="8">
        <v>2300</v>
      </c>
      <c r="H75" s="224"/>
      <c r="I75" s="202"/>
      <c r="J75" s="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76"/>
      <c r="V75" s="76"/>
      <c r="W75" s="8"/>
      <c r="X75" s="8">
        <v>1506.6</v>
      </c>
      <c r="Y75" s="8"/>
      <c r="Z75" s="8"/>
      <c r="AA75" s="8">
        <v>270</v>
      </c>
      <c r="AB75" s="8"/>
      <c r="AC75" s="8">
        <v>293.39999999999998</v>
      </c>
      <c r="AD75" s="8"/>
      <c r="AE75" s="48"/>
      <c r="AF75" s="64"/>
      <c r="AG75" s="64"/>
      <c r="AH75" s="82">
        <f t="shared" si="11"/>
        <v>2070</v>
      </c>
      <c r="AI75" s="24"/>
      <c r="AJ75" s="24"/>
      <c r="AK75" s="24"/>
      <c r="AL75" s="94"/>
      <c r="AM75" s="8"/>
      <c r="AN75" s="8"/>
      <c r="AO75" s="8"/>
      <c r="AP75" s="8"/>
      <c r="AQ75" s="8"/>
      <c r="AR75" s="8"/>
      <c r="AS75" s="48"/>
      <c r="AT75" s="48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</row>
    <row r="76" spans="2:157" s="36" customFormat="1" ht="36" customHeight="1" outlineLevel="1" x14ac:dyDescent="0.25">
      <c r="B76" s="237"/>
      <c r="C76" s="32" t="s">
        <v>128</v>
      </c>
      <c r="D76" s="32" t="s">
        <v>68</v>
      </c>
      <c r="E76" s="63">
        <v>41334</v>
      </c>
      <c r="F76" s="32"/>
      <c r="G76" s="8">
        <v>1280.5</v>
      </c>
      <c r="H76" s="201" t="s">
        <v>121</v>
      </c>
      <c r="I76" s="201">
        <v>4837.3</v>
      </c>
      <c r="J76" s="81">
        <f>I76-G76-G77</f>
        <v>20.100000000000364</v>
      </c>
      <c r="K76" s="48"/>
      <c r="L76" s="48"/>
      <c r="M76" s="48"/>
      <c r="N76" s="8"/>
      <c r="O76" s="8">
        <v>110</v>
      </c>
      <c r="P76" s="8">
        <v>805</v>
      </c>
      <c r="Q76" s="8">
        <v>365.5</v>
      </c>
      <c r="R76" s="8"/>
      <c r="S76" s="48"/>
      <c r="T76" s="48"/>
      <c r="U76" s="76"/>
      <c r="V76" s="76"/>
      <c r="W76" s="8"/>
      <c r="X76" s="8"/>
      <c r="Y76" s="8"/>
      <c r="Z76" s="8"/>
      <c r="AA76" s="8"/>
      <c r="AB76" s="8"/>
      <c r="AC76" s="8"/>
      <c r="AD76" s="8"/>
      <c r="AE76" s="35"/>
      <c r="AF76" s="64"/>
      <c r="AG76" s="64"/>
      <c r="AH76" s="82">
        <f t="shared" si="11"/>
        <v>1280.5</v>
      </c>
      <c r="AI76" s="24"/>
      <c r="AJ76" s="24"/>
      <c r="AK76" s="24"/>
      <c r="AL76" s="94"/>
      <c r="AM76" s="48"/>
      <c r="AN76" s="8"/>
      <c r="AO76" s="8"/>
      <c r="AP76" s="8"/>
      <c r="AQ76" s="8"/>
      <c r="AR76" s="8"/>
      <c r="AS76" s="48"/>
      <c r="AT76" s="48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64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/>
      <c r="DQ76" s="64"/>
      <c r="DR76" s="64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  <c r="EQ76" s="64"/>
      <c r="ER76" s="64"/>
      <c r="ES76" s="64"/>
      <c r="ET76" s="64"/>
      <c r="EU76" s="64"/>
      <c r="EV76" s="64"/>
      <c r="EW76" s="64"/>
      <c r="EX76" s="64"/>
      <c r="EY76" s="64"/>
      <c r="EZ76" s="64"/>
      <c r="FA76" s="64"/>
    </row>
    <row r="77" spans="2:157" s="36" customFormat="1" ht="36" customHeight="1" outlineLevel="1" x14ac:dyDescent="0.25">
      <c r="B77" s="239"/>
      <c r="C77" s="32" t="s">
        <v>145</v>
      </c>
      <c r="D77" s="32" t="s">
        <v>68</v>
      </c>
      <c r="E77" s="79">
        <v>41358</v>
      </c>
      <c r="F77" s="79">
        <v>41358</v>
      </c>
      <c r="G77" s="8">
        <v>3536.7</v>
      </c>
      <c r="H77" s="202"/>
      <c r="I77" s="202"/>
      <c r="J77" s="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76"/>
      <c r="V77" s="76"/>
      <c r="W77" s="8"/>
      <c r="X77" s="8">
        <v>2350.5300000000002</v>
      </c>
      <c r="Y77" s="8"/>
      <c r="Z77" s="8"/>
      <c r="AA77" s="8">
        <v>522</v>
      </c>
      <c r="AB77" s="8"/>
      <c r="AC77" s="8">
        <v>337.85</v>
      </c>
      <c r="AD77" s="8"/>
      <c r="AE77" s="35"/>
      <c r="AF77" s="64"/>
      <c r="AG77" s="64"/>
      <c r="AH77" s="82">
        <f t="shared" si="11"/>
        <v>3210.38</v>
      </c>
      <c r="AI77" s="24"/>
      <c r="AJ77" s="24"/>
      <c r="AK77" s="24"/>
      <c r="AL77" s="94"/>
      <c r="AM77" s="8"/>
      <c r="AN77" s="8"/>
      <c r="AO77" s="8"/>
      <c r="AP77" s="8"/>
      <c r="AQ77" s="8"/>
      <c r="AR77" s="8"/>
      <c r="AS77" s="8"/>
      <c r="AT77" s="2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  <c r="BZ77" s="64"/>
      <c r="CA77" s="64"/>
      <c r="CB77" s="64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64"/>
      <c r="CN77" s="64"/>
      <c r="CO77" s="64"/>
      <c r="CP77" s="64"/>
      <c r="CQ77" s="64"/>
      <c r="CR77" s="64"/>
      <c r="CS77" s="64"/>
      <c r="CT77" s="64"/>
      <c r="CU77" s="64"/>
      <c r="CV77" s="64"/>
      <c r="CW77" s="64"/>
      <c r="CX77" s="64"/>
      <c r="CY77" s="64"/>
      <c r="CZ77" s="64"/>
      <c r="DA77" s="64"/>
      <c r="DB77" s="64"/>
      <c r="DC77" s="64"/>
      <c r="DD77" s="64"/>
      <c r="DE77" s="64"/>
      <c r="DF77" s="64"/>
      <c r="DG77" s="64"/>
      <c r="DH77" s="64"/>
      <c r="DI77" s="64"/>
      <c r="DJ77" s="64"/>
      <c r="DK77" s="64"/>
      <c r="DL77" s="64"/>
      <c r="DM77" s="64"/>
      <c r="DN77" s="64"/>
      <c r="DO77" s="64"/>
      <c r="DP77" s="64"/>
      <c r="DQ77" s="64"/>
      <c r="DR77" s="64"/>
      <c r="DS77" s="64"/>
      <c r="DT77" s="64"/>
      <c r="DU77" s="64"/>
      <c r="DV77" s="64"/>
      <c r="DW77" s="64"/>
      <c r="DX77" s="64"/>
      <c r="DY77" s="64"/>
      <c r="DZ77" s="64"/>
      <c r="EA77" s="64"/>
      <c r="EB77" s="64"/>
      <c r="EC77" s="64"/>
      <c r="ED77" s="64"/>
      <c r="EE77" s="64"/>
      <c r="EF77" s="64"/>
      <c r="EG77" s="64"/>
      <c r="EH77" s="64"/>
      <c r="EI77" s="64"/>
      <c r="EJ77" s="64"/>
      <c r="EK77" s="64"/>
      <c r="EL77" s="64"/>
      <c r="EM77" s="64"/>
      <c r="EN77" s="64"/>
      <c r="EO77" s="64"/>
      <c r="EP77" s="64"/>
      <c r="EQ77" s="64"/>
      <c r="ER77" s="64"/>
      <c r="ES77" s="64"/>
      <c r="ET77" s="64"/>
      <c r="EU77" s="64"/>
      <c r="EV77" s="64"/>
      <c r="EW77" s="64"/>
      <c r="EX77" s="64"/>
      <c r="EY77" s="64"/>
      <c r="EZ77" s="64"/>
      <c r="FA77" s="64"/>
    </row>
    <row r="78" spans="2:157" s="36" customFormat="1" ht="36" customHeight="1" x14ac:dyDescent="0.25">
      <c r="B78" s="35"/>
      <c r="C78" s="32" t="s">
        <v>149</v>
      </c>
      <c r="D78" s="32" t="s">
        <v>68</v>
      </c>
      <c r="E78" s="56">
        <v>41376</v>
      </c>
      <c r="F78" s="32" t="s">
        <v>151</v>
      </c>
      <c r="G78" s="8">
        <v>3433.1</v>
      </c>
      <c r="H78" s="8">
        <v>1712</v>
      </c>
      <c r="I78" s="8"/>
      <c r="J78" s="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76"/>
      <c r="V78" s="76"/>
      <c r="W78" s="8"/>
      <c r="X78" s="8">
        <v>2673.99</v>
      </c>
      <c r="Y78" s="8"/>
      <c r="Z78" s="8"/>
      <c r="AA78" s="8">
        <v>244.8</v>
      </c>
      <c r="AB78" s="8"/>
      <c r="AC78" s="8">
        <v>185.04</v>
      </c>
      <c r="AD78" s="8"/>
      <c r="AE78" s="35"/>
      <c r="AF78" s="64"/>
      <c r="AG78" s="64"/>
      <c r="AH78" s="82">
        <f t="shared" si="11"/>
        <v>3103.83</v>
      </c>
      <c r="AI78" s="24"/>
      <c r="AJ78" s="24"/>
      <c r="AK78" s="24"/>
      <c r="AL78" s="94"/>
      <c r="AM78" s="8"/>
      <c r="AN78" s="8"/>
      <c r="AO78" s="8"/>
      <c r="AP78" s="8"/>
      <c r="AQ78" s="8"/>
      <c r="AR78" s="8"/>
      <c r="AS78" s="8"/>
      <c r="AT78" s="2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64"/>
      <c r="BP78" s="64"/>
      <c r="BQ78" s="64"/>
      <c r="BR78" s="64"/>
      <c r="BS78" s="64"/>
      <c r="BT78" s="64"/>
      <c r="BU78" s="64"/>
      <c r="BV78" s="64"/>
      <c r="BW78" s="64"/>
      <c r="BX78" s="64"/>
      <c r="BY78" s="64"/>
      <c r="BZ78" s="64"/>
      <c r="CA78" s="64"/>
      <c r="CB78" s="64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64"/>
      <c r="CN78" s="64"/>
      <c r="CO78" s="64"/>
      <c r="CP78" s="64"/>
      <c r="CQ78" s="64"/>
      <c r="CR78" s="64"/>
      <c r="CS78" s="64"/>
      <c r="CT78" s="64"/>
      <c r="CU78" s="64"/>
      <c r="CV78" s="64"/>
      <c r="CW78" s="64"/>
      <c r="CX78" s="64"/>
      <c r="CY78" s="64"/>
      <c r="CZ78" s="64"/>
      <c r="DA78" s="64"/>
      <c r="DB78" s="64"/>
      <c r="DC78" s="64"/>
      <c r="DD78" s="64"/>
      <c r="DE78" s="64"/>
      <c r="DF78" s="64"/>
      <c r="DG78" s="64"/>
      <c r="DH78" s="64"/>
      <c r="DI78" s="64"/>
      <c r="DJ78" s="64"/>
      <c r="DK78" s="64"/>
      <c r="DL78" s="64"/>
      <c r="DM78" s="64"/>
      <c r="DN78" s="64"/>
      <c r="DO78" s="64"/>
      <c r="DP78" s="64"/>
      <c r="DQ78" s="64"/>
      <c r="DR78" s="64"/>
      <c r="DS78" s="64"/>
      <c r="DT78" s="64"/>
      <c r="DU78" s="64"/>
      <c r="DV78" s="64"/>
      <c r="DW78" s="64"/>
      <c r="DX78" s="64"/>
      <c r="DY78" s="64"/>
      <c r="DZ78" s="64"/>
      <c r="EA78" s="64"/>
      <c r="EB78" s="64"/>
      <c r="EC78" s="64"/>
      <c r="ED78" s="64"/>
      <c r="EE78" s="64"/>
      <c r="EF78" s="64"/>
      <c r="EG78" s="64"/>
      <c r="EH78" s="64"/>
      <c r="EI78" s="64"/>
      <c r="EJ78" s="64"/>
      <c r="EK78" s="64"/>
      <c r="EL78" s="64"/>
      <c r="EM78" s="64"/>
      <c r="EN78" s="64"/>
      <c r="EO78" s="64"/>
      <c r="EP78" s="64"/>
      <c r="EQ78" s="64"/>
      <c r="ER78" s="64"/>
      <c r="ES78" s="64"/>
      <c r="ET78" s="64"/>
      <c r="EU78" s="64"/>
      <c r="EV78" s="64"/>
      <c r="EW78" s="64"/>
      <c r="EX78" s="64"/>
      <c r="EY78" s="64"/>
      <c r="EZ78" s="64"/>
      <c r="FA78" s="64"/>
    </row>
    <row r="79" spans="2:157" s="36" customFormat="1" ht="36" customHeight="1" x14ac:dyDescent="0.25">
      <c r="B79" s="35"/>
      <c r="C79" s="32" t="s">
        <v>150</v>
      </c>
      <c r="D79" s="32" t="s">
        <v>68</v>
      </c>
      <c r="E79" s="56">
        <v>41379</v>
      </c>
      <c r="F79" s="56">
        <v>41380</v>
      </c>
      <c r="G79" s="8">
        <v>9724.5499999999993</v>
      </c>
      <c r="H79" s="8">
        <v>1715</v>
      </c>
      <c r="I79" s="8"/>
      <c r="J79" s="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76"/>
      <c r="V79" s="76"/>
      <c r="W79" s="8"/>
      <c r="X79" s="8">
        <v>863.6</v>
      </c>
      <c r="Y79" s="8"/>
      <c r="Z79" s="8">
        <v>1013.11</v>
      </c>
      <c r="AA79" s="8">
        <v>6696</v>
      </c>
      <c r="AB79" s="8"/>
      <c r="AC79" s="8">
        <v>247.58</v>
      </c>
      <c r="AD79" s="8"/>
      <c r="AE79" s="8"/>
      <c r="AF79" s="98"/>
      <c r="AG79" s="64"/>
      <c r="AH79" s="82">
        <f t="shared" si="11"/>
        <v>8820.2899999999991</v>
      </c>
      <c r="AI79" s="24"/>
      <c r="AJ79" s="24"/>
      <c r="AK79" s="24"/>
      <c r="AL79" s="94"/>
      <c r="AM79" s="8"/>
      <c r="AN79" s="8"/>
      <c r="AO79" s="8"/>
      <c r="AP79" s="8"/>
      <c r="AQ79" s="8"/>
      <c r="AR79" s="8"/>
      <c r="AS79" s="8"/>
      <c r="AT79" s="2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64"/>
      <c r="CQ79" s="64"/>
      <c r="CR79" s="64"/>
      <c r="CS79" s="64"/>
      <c r="CT79" s="64"/>
      <c r="CU79" s="64"/>
      <c r="CV79" s="64"/>
      <c r="CW79" s="64"/>
      <c r="CX79" s="64"/>
      <c r="CY79" s="64"/>
      <c r="CZ79" s="64"/>
      <c r="DA79" s="64"/>
      <c r="DB79" s="64"/>
      <c r="DC79" s="64"/>
      <c r="DD79" s="64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64"/>
      <c r="DP79" s="64"/>
      <c r="DQ79" s="64"/>
      <c r="DR79" s="64"/>
      <c r="DS79" s="64"/>
      <c r="DT79" s="64"/>
      <c r="DU79" s="64"/>
      <c r="DV79" s="64"/>
      <c r="DW79" s="64"/>
      <c r="DX79" s="64"/>
      <c r="DY79" s="64"/>
      <c r="DZ79" s="64"/>
      <c r="EA79" s="64"/>
      <c r="EB79" s="64"/>
      <c r="EC79" s="64"/>
      <c r="ED79" s="64"/>
      <c r="EE79" s="64"/>
      <c r="EF79" s="64"/>
      <c r="EG79" s="64"/>
      <c r="EH79" s="64"/>
      <c r="EI79" s="64"/>
      <c r="EJ79" s="64"/>
      <c r="EK79" s="64"/>
      <c r="EL79" s="64"/>
      <c r="EM79" s="64"/>
      <c r="EN79" s="64"/>
      <c r="EO79" s="64"/>
      <c r="EP79" s="64"/>
      <c r="EQ79" s="64"/>
      <c r="ER79" s="64"/>
      <c r="ES79" s="64"/>
      <c r="ET79" s="64"/>
      <c r="EU79" s="64"/>
      <c r="EV79" s="64"/>
      <c r="EW79" s="64"/>
      <c r="EX79" s="64"/>
      <c r="EY79" s="64"/>
      <c r="EZ79" s="64"/>
      <c r="FA79" s="64"/>
    </row>
    <row r="80" spans="2:157" s="36" customFormat="1" ht="36" customHeight="1" x14ac:dyDescent="0.25">
      <c r="B80" s="35"/>
      <c r="C80" s="32" t="s">
        <v>152</v>
      </c>
      <c r="D80" s="32" t="s">
        <v>68</v>
      </c>
      <c r="E80" s="56">
        <v>41388</v>
      </c>
      <c r="F80" s="56">
        <v>41388</v>
      </c>
      <c r="G80" s="8">
        <v>7797</v>
      </c>
      <c r="H80" s="8">
        <v>16</v>
      </c>
      <c r="I80" s="8"/>
      <c r="J80" s="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76"/>
      <c r="V80" s="76"/>
      <c r="W80" s="8"/>
      <c r="X80" s="8"/>
      <c r="Y80" s="8">
        <v>6810.3</v>
      </c>
      <c r="Z80" s="8">
        <v>207</v>
      </c>
      <c r="AA80" s="8"/>
      <c r="AB80" s="8"/>
      <c r="AC80" s="8"/>
      <c r="AD80" s="8"/>
      <c r="AE80" s="8"/>
      <c r="AF80" s="64"/>
      <c r="AG80" s="64"/>
      <c r="AH80" s="82">
        <f t="shared" si="11"/>
        <v>7017.3</v>
      </c>
      <c r="AI80" s="24"/>
      <c r="AJ80" s="24"/>
      <c r="AK80" s="24"/>
      <c r="AL80" s="94"/>
      <c r="AM80" s="8"/>
      <c r="AN80" s="8"/>
      <c r="AO80" s="8"/>
      <c r="AP80" s="8"/>
      <c r="AQ80" s="8"/>
      <c r="AR80" s="8"/>
      <c r="AS80" s="8"/>
      <c r="AT80" s="2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64"/>
      <c r="DB80" s="64"/>
      <c r="DC80" s="64"/>
      <c r="DD80" s="64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/>
      <c r="DQ80" s="64"/>
      <c r="DR80" s="64"/>
      <c r="DS80" s="64"/>
      <c r="DT80" s="64"/>
      <c r="DU80" s="64"/>
      <c r="DV80" s="64"/>
      <c r="DW80" s="64"/>
      <c r="DX80" s="64"/>
      <c r="DY80" s="64"/>
      <c r="DZ80" s="64"/>
      <c r="EA80" s="64"/>
      <c r="EB80" s="64"/>
      <c r="EC80" s="64"/>
      <c r="ED80" s="64"/>
      <c r="EE80" s="64"/>
      <c r="EF80" s="64"/>
      <c r="EG80" s="64"/>
      <c r="EH80" s="64"/>
      <c r="EI80" s="64"/>
      <c r="EJ80" s="64"/>
      <c r="EK80" s="64"/>
      <c r="EL80" s="64"/>
      <c r="EM80" s="64"/>
      <c r="EN80" s="64"/>
      <c r="EO80" s="64"/>
      <c r="EP80" s="64"/>
      <c r="EQ80" s="64"/>
      <c r="ER80" s="64"/>
      <c r="ES80" s="64"/>
      <c r="ET80" s="64"/>
      <c r="EU80" s="64"/>
      <c r="EV80" s="64"/>
      <c r="EW80" s="64"/>
      <c r="EX80" s="64"/>
      <c r="EY80" s="64"/>
      <c r="EZ80" s="64"/>
      <c r="FA80" s="64"/>
    </row>
    <row r="81" spans="1:157" s="36" customFormat="1" ht="36" customHeight="1" x14ac:dyDescent="0.25">
      <c r="B81" s="35"/>
      <c r="C81" s="32" t="s">
        <v>153</v>
      </c>
      <c r="D81" s="32" t="s">
        <v>68</v>
      </c>
      <c r="E81" s="56">
        <v>41386</v>
      </c>
      <c r="F81" s="56">
        <v>41386</v>
      </c>
      <c r="G81" s="8">
        <v>9641.5</v>
      </c>
      <c r="H81" s="8">
        <v>1716</v>
      </c>
      <c r="I81" s="8"/>
      <c r="J81" s="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76"/>
      <c r="V81" s="76"/>
      <c r="W81" s="8"/>
      <c r="X81" s="8">
        <v>1456.65</v>
      </c>
      <c r="Y81" s="8">
        <v>673.2</v>
      </c>
      <c r="Z81" s="8">
        <v>4030.18</v>
      </c>
      <c r="AA81" s="8">
        <v>2709</v>
      </c>
      <c r="AB81" s="8"/>
      <c r="AC81" s="8">
        <v>76.5</v>
      </c>
      <c r="AD81" s="8"/>
      <c r="AE81" s="8"/>
      <c r="AF81" s="64"/>
      <c r="AG81" s="64"/>
      <c r="AH81" s="102">
        <f t="shared" si="11"/>
        <v>8945.5300000000007</v>
      </c>
      <c r="AI81" s="24"/>
      <c r="AJ81" s="24"/>
      <c r="AK81" s="24"/>
      <c r="AL81" s="102"/>
      <c r="AM81" s="8"/>
      <c r="AN81" s="8"/>
      <c r="AO81" s="8"/>
      <c r="AP81" s="8"/>
      <c r="AQ81" s="8"/>
      <c r="AR81" s="8"/>
      <c r="AS81" s="8"/>
      <c r="AT81" s="2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  <c r="BZ81" s="64"/>
      <c r="CA81" s="64"/>
      <c r="CB81" s="64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64"/>
      <c r="CN81" s="64"/>
      <c r="CO81" s="64"/>
      <c r="CP81" s="64"/>
      <c r="CQ81" s="64"/>
      <c r="CR81" s="64"/>
      <c r="CS81" s="64"/>
      <c r="CT81" s="64"/>
      <c r="CU81" s="64"/>
      <c r="CV81" s="64"/>
      <c r="CW81" s="64"/>
      <c r="CX81" s="64"/>
      <c r="CY81" s="64"/>
      <c r="CZ81" s="64"/>
      <c r="DA81" s="64"/>
      <c r="DB81" s="64"/>
      <c r="DC81" s="64"/>
      <c r="DD81" s="64"/>
      <c r="DE81" s="64"/>
      <c r="DF81" s="64"/>
      <c r="DG81" s="64"/>
      <c r="DH81" s="64"/>
      <c r="DI81" s="64"/>
      <c r="DJ81" s="64"/>
      <c r="DK81" s="64"/>
      <c r="DL81" s="64"/>
      <c r="DM81" s="64"/>
      <c r="DN81" s="64"/>
      <c r="DO81" s="64"/>
      <c r="DP81" s="64"/>
      <c r="DQ81" s="64"/>
      <c r="DR81" s="64"/>
      <c r="DS81" s="64"/>
      <c r="DT81" s="64"/>
      <c r="DU81" s="64"/>
      <c r="DV81" s="64"/>
      <c r="DW81" s="64"/>
      <c r="DX81" s="64"/>
      <c r="DY81" s="64"/>
      <c r="DZ81" s="64"/>
      <c r="EA81" s="64"/>
      <c r="EB81" s="64"/>
      <c r="EC81" s="64"/>
      <c r="ED81" s="64"/>
      <c r="EE81" s="64"/>
      <c r="EF81" s="64"/>
      <c r="EG81" s="64"/>
      <c r="EH81" s="64"/>
      <c r="EI81" s="64"/>
      <c r="EJ81" s="64"/>
      <c r="EK81" s="64"/>
      <c r="EL81" s="64"/>
      <c r="EM81" s="64"/>
      <c r="EN81" s="64"/>
      <c r="EO81" s="64"/>
      <c r="EP81" s="64"/>
      <c r="EQ81" s="64"/>
      <c r="ER81" s="64"/>
      <c r="ES81" s="64"/>
      <c r="ET81" s="64"/>
      <c r="EU81" s="64"/>
      <c r="EV81" s="64"/>
      <c r="EW81" s="64"/>
      <c r="EX81" s="64"/>
      <c r="EY81" s="64"/>
      <c r="EZ81" s="64"/>
      <c r="FA81" s="64"/>
    </row>
    <row r="82" spans="1:157" s="36" customFormat="1" ht="36" customHeight="1" x14ac:dyDescent="0.25">
      <c r="B82" s="35"/>
      <c r="C82" s="32" t="s">
        <v>154</v>
      </c>
      <c r="D82" s="32" t="s">
        <v>68</v>
      </c>
      <c r="E82" s="56">
        <v>41394</v>
      </c>
      <c r="F82" s="56">
        <v>41400</v>
      </c>
      <c r="G82" s="8">
        <v>6052.1</v>
      </c>
      <c r="H82" s="8">
        <v>1717</v>
      </c>
      <c r="I82" s="8"/>
      <c r="J82" s="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76"/>
      <c r="V82" s="76"/>
      <c r="W82" s="8"/>
      <c r="X82" s="8">
        <v>1761.39</v>
      </c>
      <c r="Y82" s="8">
        <v>310.5</v>
      </c>
      <c r="Z82" s="8">
        <v>3507.3</v>
      </c>
      <c r="AA82" s="8"/>
      <c r="AB82" s="8"/>
      <c r="AC82" s="8">
        <v>90</v>
      </c>
      <c r="AD82" s="8"/>
      <c r="AE82" s="8"/>
      <c r="AF82" s="64"/>
      <c r="AG82" s="64"/>
      <c r="AH82" s="102">
        <f t="shared" si="11"/>
        <v>5669.1900000000005</v>
      </c>
      <c r="AI82" s="24"/>
      <c r="AJ82" s="24"/>
      <c r="AK82" s="24"/>
      <c r="AL82" s="102"/>
      <c r="AM82" s="8"/>
      <c r="AN82" s="8"/>
      <c r="AO82" s="8"/>
      <c r="AP82" s="8"/>
      <c r="AQ82" s="8"/>
      <c r="AR82" s="8"/>
      <c r="AS82" s="8"/>
      <c r="AT82" s="35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</row>
    <row r="83" spans="1:157" s="36" customFormat="1" ht="36" customHeight="1" x14ac:dyDescent="0.25">
      <c r="B83" s="87"/>
      <c r="C83" s="88" t="s">
        <v>155</v>
      </c>
      <c r="D83" s="32" t="s">
        <v>68</v>
      </c>
      <c r="E83" s="88"/>
      <c r="F83" s="88"/>
      <c r="G83" s="100">
        <v>9939.7999999999993</v>
      </c>
      <c r="H83" s="100">
        <v>1718</v>
      </c>
      <c r="I83" s="100"/>
      <c r="J83" s="100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76"/>
      <c r="V83" s="76"/>
      <c r="W83" s="138"/>
      <c r="X83" s="100">
        <v>733.32</v>
      </c>
      <c r="Y83" s="100">
        <v>7798.5</v>
      </c>
      <c r="Z83" s="100">
        <v>449.18</v>
      </c>
      <c r="AA83" s="138"/>
      <c r="AB83" s="100"/>
      <c r="AC83" s="100"/>
      <c r="AD83" s="100"/>
      <c r="AE83" s="100"/>
      <c r="AF83" s="64"/>
      <c r="AG83" s="64"/>
      <c r="AH83" s="102">
        <f t="shared" si="11"/>
        <v>8981</v>
      </c>
      <c r="AI83" s="24"/>
      <c r="AJ83" s="24"/>
      <c r="AK83" s="24"/>
      <c r="AL83" s="102"/>
      <c r="AM83" s="100"/>
      <c r="AN83" s="100"/>
      <c r="AO83" s="100"/>
      <c r="AP83" s="100"/>
      <c r="AQ83" s="100"/>
      <c r="AR83" s="100"/>
      <c r="AS83" s="100"/>
      <c r="AT83" s="35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</row>
    <row r="84" spans="1:157" s="36" customFormat="1" ht="36" customHeight="1" x14ac:dyDescent="0.25">
      <c r="B84" s="35"/>
      <c r="C84" s="32" t="s">
        <v>156</v>
      </c>
      <c r="D84" s="32" t="s">
        <v>68</v>
      </c>
      <c r="E84" s="56">
        <v>41394</v>
      </c>
      <c r="F84" s="56">
        <v>41400</v>
      </c>
      <c r="G84" s="8">
        <v>353.1</v>
      </c>
      <c r="H84" s="8">
        <v>1716</v>
      </c>
      <c r="I84" s="8"/>
      <c r="J84" s="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8"/>
      <c r="X84" s="8">
        <v>320.58</v>
      </c>
      <c r="Y84" s="8"/>
      <c r="Z84" s="8"/>
      <c r="AA84" s="8"/>
      <c r="AB84" s="8"/>
      <c r="AC84" s="8"/>
      <c r="AD84" s="8"/>
      <c r="AE84" s="8"/>
      <c r="AF84" s="64"/>
      <c r="AG84" s="64"/>
      <c r="AH84" s="102">
        <f t="shared" si="11"/>
        <v>320.58</v>
      </c>
      <c r="AI84" s="24"/>
      <c r="AJ84" s="24"/>
      <c r="AK84" s="24"/>
      <c r="AL84" s="24"/>
      <c r="AM84" s="35"/>
      <c r="AN84" s="35"/>
      <c r="AO84" s="35"/>
      <c r="AP84" s="35"/>
      <c r="AQ84" s="35"/>
      <c r="AR84" s="35"/>
      <c r="AS84" s="35"/>
      <c r="AT84" s="35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64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/>
      <c r="DQ84" s="64"/>
      <c r="DR84" s="64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64"/>
      <c r="ER84" s="64"/>
      <c r="ES84" s="64"/>
      <c r="ET84" s="64"/>
      <c r="EU84" s="64"/>
      <c r="EV84" s="64"/>
      <c r="EW84" s="64"/>
      <c r="EX84" s="64"/>
      <c r="EY84" s="64"/>
      <c r="EZ84" s="64"/>
      <c r="FA84" s="64"/>
    </row>
    <row r="85" spans="1:157" s="36" customFormat="1" ht="36" customHeight="1" x14ac:dyDescent="0.25">
      <c r="B85" s="35"/>
      <c r="C85" s="32" t="s">
        <v>161</v>
      </c>
      <c r="D85" s="32" t="s">
        <v>68</v>
      </c>
      <c r="E85" s="56">
        <v>41394</v>
      </c>
      <c r="F85" s="56">
        <v>41400</v>
      </c>
      <c r="G85" s="8">
        <v>271.8</v>
      </c>
      <c r="H85" s="8">
        <v>1715</v>
      </c>
      <c r="I85" s="8"/>
      <c r="J85" s="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8"/>
      <c r="X85" s="8">
        <v>244.62</v>
      </c>
      <c r="Y85" s="8"/>
      <c r="Z85" s="8"/>
      <c r="AA85" s="8"/>
      <c r="AB85" s="8"/>
      <c r="AC85" s="8"/>
      <c r="AD85" s="8"/>
      <c r="AE85" s="8"/>
      <c r="AF85" s="64"/>
      <c r="AG85" s="64"/>
      <c r="AH85" s="102">
        <f t="shared" si="11"/>
        <v>244.62</v>
      </c>
      <c r="AI85" s="64"/>
      <c r="AJ85" s="64"/>
      <c r="AK85" s="64"/>
      <c r="AL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</row>
    <row r="86" spans="1:157" s="36" customFormat="1" ht="36" customHeight="1" x14ac:dyDescent="0.25">
      <c r="B86" s="87"/>
      <c r="C86" s="88" t="s">
        <v>163</v>
      </c>
      <c r="D86" s="32" t="s">
        <v>68</v>
      </c>
      <c r="E86" s="104">
        <v>41402</v>
      </c>
      <c r="F86" s="104">
        <v>41402</v>
      </c>
      <c r="G86" s="103">
        <v>497.6</v>
      </c>
      <c r="H86" s="103">
        <v>1717</v>
      </c>
      <c r="I86" s="103"/>
      <c r="J86" s="103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76"/>
      <c r="V86" s="76"/>
      <c r="W86" s="138"/>
      <c r="X86" s="103">
        <v>375.84</v>
      </c>
      <c r="Y86" s="103"/>
      <c r="Z86" s="103"/>
      <c r="AA86" s="138"/>
      <c r="AB86" s="103"/>
      <c r="AC86" s="103">
        <v>72</v>
      </c>
      <c r="AD86" s="103"/>
      <c r="AE86" s="103"/>
      <c r="AF86" s="64"/>
      <c r="AG86" s="64"/>
      <c r="AH86" s="102">
        <f t="shared" si="11"/>
        <v>447.84</v>
      </c>
      <c r="AI86" s="24"/>
      <c r="AJ86" s="24"/>
      <c r="AK86" s="24"/>
      <c r="AL86" s="102"/>
      <c r="AM86" s="103"/>
      <c r="AN86" s="103"/>
      <c r="AO86" s="103"/>
      <c r="AP86" s="103"/>
      <c r="AQ86" s="103"/>
      <c r="AR86" s="103"/>
      <c r="AS86" s="103"/>
      <c r="AT86" s="35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64"/>
      <c r="ER86" s="64"/>
      <c r="ES86" s="64"/>
      <c r="ET86" s="64"/>
      <c r="EU86" s="64"/>
      <c r="EV86" s="64"/>
      <c r="EW86" s="64"/>
      <c r="EX86" s="64"/>
      <c r="EY86" s="64"/>
      <c r="EZ86" s="64"/>
      <c r="FA86" s="64"/>
    </row>
    <row r="87" spans="1:157" s="36" customFormat="1" ht="36" customHeight="1" x14ac:dyDescent="0.25">
      <c r="B87" s="35"/>
      <c r="C87" s="88" t="s">
        <v>165</v>
      </c>
      <c r="D87" s="32" t="s">
        <v>68</v>
      </c>
      <c r="E87" s="104">
        <v>41402</v>
      </c>
      <c r="F87" s="104">
        <v>41402</v>
      </c>
      <c r="G87" s="8">
        <v>1996.7</v>
      </c>
      <c r="H87" s="8">
        <v>1712</v>
      </c>
      <c r="I87" s="8"/>
      <c r="J87" s="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8"/>
      <c r="X87" s="8">
        <v>1207.08</v>
      </c>
      <c r="Y87" s="8">
        <v>108.45</v>
      </c>
      <c r="Z87" s="8">
        <v>385.35</v>
      </c>
      <c r="AA87" s="8"/>
      <c r="AB87" s="8"/>
      <c r="AC87" s="8">
        <v>121.5</v>
      </c>
      <c r="AD87" s="8"/>
      <c r="AE87" s="8"/>
      <c r="AF87" s="64"/>
      <c r="AG87" s="64"/>
      <c r="AH87" s="102">
        <f t="shared" si="11"/>
        <v>1822.38</v>
      </c>
      <c r="AI87" s="24"/>
      <c r="AJ87" s="24"/>
      <c r="AK87" s="24"/>
      <c r="AL87" s="24"/>
      <c r="AM87" s="35"/>
      <c r="AN87" s="35"/>
      <c r="AO87" s="35"/>
      <c r="AP87" s="35"/>
      <c r="AQ87" s="35"/>
      <c r="AR87" s="35"/>
      <c r="AS87" s="35"/>
      <c r="AT87" s="35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  <c r="BO87" s="64"/>
      <c r="BP87" s="64"/>
      <c r="BQ87" s="64"/>
      <c r="BR87" s="64"/>
      <c r="BS87" s="64"/>
      <c r="BT87" s="64"/>
      <c r="BU87" s="64"/>
      <c r="BV87" s="64"/>
      <c r="BW87" s="64"/>
      <c r="BX87" s="64"/>
      <c r="BY87" s="64"/>
      <c r="BZ87" s="64"/>
      <c r="CA87" s="64"/>
      <c r="CB87" s="64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64"/>
      <c r="CN87" s="64"/>
      <c r="CO87" s="64"/>
      <c r="CP87" s="64"/>
      <c r="CQ87" s="64"/>
      <c r="CR87" s="64"/>
      <c r="CS87" s="64"/>
      <c r="CT87" s="64"/>
      <c r="CU87" s="64"/>
      <c r="CV87" s="64"/>
      <c r="CW87" s="64"/>
      <c r="CX87" s="64"/>
      <c r="CY87" s="64"/>
      <c r="CZ87" s="64"/>
      <c r="DA87" s="64"/>
      <c r="DB87" s="64"/>
      <c r="DC87" s="64"/>
      <c r="DD87" s="64"/>
      <c r="DE87" s="64"/>
      <c r="DF87" s="64"/>
      <c r="DG87" s="64"/>
      <c r="DH87" s="64"/>
      <c r="DI87" s="64"/>
      <c r="DJ87" s="64"/>
      <c r="DK87" s="64"/>
      <c r="DL87" s="64"/>
      <c r="DM87" s="64"/>
      <c r="DN87" s="64"/>
      <c r="DO87" s="64"/>
      <c r="DP87" s="64"/>
      <c r="DQ87" s="64"/>
      <c r="DR87" s="64"/>
      <c r="DS87" s="64"/>
      <c r="DT87" s="64"/>
      <c r="DU87" s="64"/>
      <c r="DV87" s="64"/>
      <c r="DW87" s="64"/>
      <c r="DX87" s="64"/>
      <c r="DY87" s="64"/>
      <c r="DZ87" s="64"/>
      <c r="EA87" s="64"/>
      <c r="EB87" s="64"/>
      <c r="EC87" s="64"/>
      <c r="ED87" s="64"/>
      <c r="EE87" s="64"/>
      <c r="EF87" s="64"/>
      <c r="EG87" s="64"/>
      <c r="EH87" s="64"/>
      <c r="EI87" s="64"/>
      <c r="EJ87" s="64"/>
      <c r="EK87" s="64"/>
      <c r="EL87" s="64"/>
      <c r="EM87" s="64"/>
      <c r="EN87" s="64"/>
      <c r="EO87" s="64"/>
      <c r="EP87" s="64"/>
      <c r="EQ87" s="64"/>
      <c r="ER87" s="64"/>
      <c r="ES87" s="64"/>
      <c r="ET87" s="64"/>
      <c r="EU87" s="64"/>
      <c r="EV87" s="64"/>
      <c r="EW87" s="64"/>
      <c r="EX87" s="64"/>
      <c r="EY87" s="64"/>
      <c r="EZ87" s="64"/>
      <c r="FA87" s="64"/>
    </row>
    <row r="88" spans="1:157" s="36" customFormat="1" ht="36" customHeight="1" x14ac:dyDescent="0.25">
      <c r="B88" s="35"/>
      <c r="C88" s="88" t="s">
        <v>166</v>
      </c>
      <c r="D88" s="32" t="s">
        <v>68</v>
      </c>
      <c r="E88" s="104">
        <v>41414</v>
      </c>
      <c r="F88" s="104">
        <v>41414</v>
      </c>
      <c r="G88" s="8">
        <v>2003.4</v>
      </c>
      <c r="H88" s="8"/>
      <c r="I88" s="8"/>
      <c r="J88" s="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8"/>
      <c r="X88" s="8">
        <v>1098.72</v>
      </c>
      <c r="Y88" s="8">
        <v>379.8</v>
      </c>
      <c r="Z88" s="8">
        <v>208.31</v>
      </c>
      <c r="AA88" s="8">
        <v>41.04</v>
      </c>
      <c r="AB88" s="8"/>
      <c r="AC88" s="8">
        <v>90</v>
      </c>
      <c r="AD88" s="8"/>
      <c r="AE88" s="8"/>
      <c r="AF88" s="64"/>
      <c r="AG88" s="64"/>
      <c r="AH88" s="12"/>
      <c r="AI88" s="105"/>
      <c r="AJ88" s="105"/>
      <c r="AK88" s="105"/>
      <c r="AL88" s="105"/>
      <c r="AM88" s="106"/>
      <c r="AN88" s="106"/>
      <c r="AO88" s="106"/>
      <c r="AP88" s="106"/>
      <c r="AQ88" s="106"/>
      <c r="AR88" s="106"/>
      <c r="AS88" s="106"/>
      <c r="AT88" s="106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64"/>
      <c r="CN88" s="64"/>
      <c r="CO88" s="64"/>
      <c r="CP88" s="64"/>
      <c r="CQ88" s="64"/>
      <c r="CR88" s="64"/>
      <c r="CS88" s="64"/>
      <c r="CT88" s="64"/>
      <c r="CU88" s="64"/>
      <c r="CV88" s="64"/>
      <c r="CW88" s="64"/>
      <c r="CX88" s="64"/>
      <c r="CY88" s="64"/>
      <c r="CZ88" s="64"/>
      <c r="DA88" s="64"/>
      <c r="DB88" s="64"/>
      <c r="DC88" s="64"/>
      <c r="DD88" s="64"/>
      <c r="DE88" s="64"/>
      <c r="DF88" s="64"/>
      <c r="DG88" s="64"/>
      <c r="DH88" s="64"/>
      <c r="DI88" s="64"/>
      <c r="DJ88" s="64"/>
      <c r="DK88" s="64"/>
      <c r="DL88" s="64"/>
      <c r="DM88" s="64"/>
      <c r="DN88" s="64"/>
      <c r="DO88" s="64"/>
      <c r="DP88" s="64"/>
      <c r="DQ88" s="64"/>
      <c r="DR88" s="64"/>
      <c r="DS88" s="64"/>
      <c r="DT88" s="64"/>
      <c r="DU88" s="64"/>
      <c r="DV88" s="64"/>
      <c r="DW88" s="64"/>
      <c r="DX88" s="64"/>
      <c r="DY88" s="64"/>
      <c r="DZ88" s="64"/>
      <c r="EA88" s="64"/>
      <c r="EB88" s="64"/>
      <c r="EC88" s="64"/>
      <c r="ED88" s="64"/>
      <c r="EE88" s="64"/>
      <c r="EF88" s="64"/>
      <c r="EG88" s="64"/>
      <c r="EH88" s="64"/>
      <c r="EI88" s="64"/>
      <c r="EJ88" s="64"/>
      <c r="EK88" s="64"/>
      <c r="EL88" s="64"/>
      <c r="EM88" s="64"/>
      <c r="EN88" s="64"/>
      <c r="EO88" s="64"/>
      <c r="EP88" s="64"/>
      <c r="EQ88" s="64"/>
      <c r="ER88" s="64"/>
      <c r="ES88" s="64"/>
      <c r="ET88" s="64"/>
      <c r="EU88" s="64"/>
      <c r="EV88" s="64"/>
      <c r="EW88" s="64"/>
      <c r="EX88" s="64"/>
      <c r="EY88" s="64"/>
      <c r="EZ88" s="64"/>
      <c r="FA88" s="64"/>
    </row>
    <row r="89" spans="1:157" s="64" customFormat="1" ht="36" customHeight="1" x14ac:dyDescent="0.25">
      <c r="A89" s="36"/>
      <c r="B89" s="35"/>
      <c r="C89" s="88" t="s">
        <v>167</v>
      </c>
      <c r="D89" s="32" t="s">
        <v>68</v>
      </c>
      <c r="E89" s="104">
        <v>41418</v>
      </c>
      <c r="F89" s="104">
        <v>41418</v>
      </c>
      <c r="G89" s="8">
        <v>997.6</v>
      </c>
      <c r="H89" s="8"/>
      <c r="I89" s="8"/>
      <c r="J89" s="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8"/>
      <c r="X89" s="8">
        <v>20.52</v>
      </c>
      <c r="Y89" s="8">
        <v>376.02</v>
      </c>
      <c r="Z89" s="8">
        <v>529.63</v>
      </c>
      <c r="AA89" s="8"/>
      <c r="AB89" s="8"/>
      <c r="AC89" s="8"/>
      <c r="AD89" s="8"/>
      <c r="AE89" s="8"/>
      <c r="AH89" s="12"/>
      <c r="AI89" s="105"/>
      <c r="AJ89" s="105"/>
      <c r="AK89" s="105"/>
      <c r="AL89" s="105"/>
      <c r="AM89" s="105"/>
      <c r="AN89" s="105"/>
      <c r="AO89" s="105"/>
      <c r="AP89" s="105"/>
      <c r="AQ89" s="105"/>
      <c r="AR89" s="105"/>
      <c r="AS89" s="105"/>
      <c r="AT89" s="105"/>
    </row>
    <row r="90" spans="1:157" s="64" customFormat="1" ht="36" customHeight="1" x14ac:dyDescent="0.25">
      <c r="A90" s="36"/>
      <c r="B90" s="35"/>
      <c r="C90" s="88" t="s">
        <v>168</v>
      </c>
      <c r="D90" s="32" t="s">
        <v>68</v>
      </c>
      <c r="E90" s="104">
        <v>41418</v>
      </c>
      <c r="F90" s="104">
        <v>41418</v>
      </c>
      <c r="G90" s="8">
        <v>2243</v>
      </c>
      <c r="H90" s="8"/>
      <c r="I90" s="8"/>
      <c r="J90" s="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8"/>
      <c r="X90" s="8">
        <v>109.44</v>
      </c>
      <c r="Y90" s="8">
        <v>405</v>
      </c>
      <c r="Z90" s="8">
        <v>1432.26</v>
      </c>
      <c r="AA90" s="8"/>
      <c r="AB90" s="8"/>
      <c r="AC90" s="8">
        <v>72</v>
      </c>
      <c r="AD90" s="8"/>
      <c r="AE90" s="8"/>
      <c r="AH90" s="12"/>
      <c r="AI90" s="105"/>
      <c r="AJ90" s="105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</row>
    <row r="91" spans="1:157" s="64" customFormat="1" ht="36" customHeight="1" x14ac:dyDescent="0.25">
      <c r="A91" s="36"/>
      <c r="B91" s="35"/>
      <c r="C91" s="88" t="s">
        <v>172</v>
      </c>
      <c r="D91" s="32" t="s">
        <v>68</v>
      </c>
      <c r="E91" s="104">
        <v>41424</v>
      </c>
      <c r="F91" s="104">
        <v>41425</v>
      </c>
      <c r="G91" s="8">
        <v>3118.45</v>
      </c>
      <c r="H91" s="8"/>
      <c r="I91" s="8"/>
      <c r="J91" s="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8"/>
      <c r="X91" s="8"/>
      <c r="Y91" s="8">
        <v>1971.81</v>
      </c>
      <c r="Z91" s="8">
        <v>553.07000000000005</v>
      </c>
      <c r="AA91" s="8"/>
      <c r="AB91" s="8"/>
      <c r="AC91" s="8">
        <v>295.25</v>
      </c>
      <c r="AD91" s="8"/>
      <c r="AE91" s="8"/>
    </row>
    <row r="92" spans="1:157" s="36" customFormat="1" ht="36" customHeight="1" x14ac:dyDescent="0.25">
      <c r="B92" s="35"/>
      <c r="C92" s="88" t="s">
        <v>173</v>
      </c>
      <c r="D92" s="32"/>
      <c r="E92" s="104"/>
      <c r="F92" s="104"/>
      <c r="G92" s="8">
        <v>369.36</v>
      </c>
      <c r="H92" s="8"/>
      <c r="I92" s="8"/>
      <c r="J92" s="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8"/>
      <c r="X92" s="8">
        <v>353.16</v>
      </c>
      <c r="Y92" s="8"/>
      <c r="Z92" s="8"/>
      <c r="AA92" s="8"/>
      <c r="AB92" s="8">
        <v>16.2</v>
      </c>
      <c r="AC92" s="8"/>
      <c r="AD92" s="8"/>
      <c r="AE92" s="8"/>
    </row>
    <row r="93" spans="1:157" s="36" customFormat="1" ht="36" customHeight="1" x14ac:dyDescent="0.25">
      <c r="B93" s="35"/>
      <c r="C93" s="88" t="s">
        <v>174</v>
      </c>
      <c r="D93" s="32"/>
      <c r="E93" s="104"/>
      <c r="F93" s="104"/>
      <c r="G93" s="8">
        <v>2168.44</v>
      </c>
      <c r="H93" s="8"/>
      <c r="I93" s="8"/>
      <c r="J93" s="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8"/>
      <c r="X93" s="8">
        <v>431.64</v>
      </c>
      <c r="Y93" s="8">
        <v>1184.8499999999999</v>
      </c>
      <c r="Z93" s="8">
        <v>349</v>
      </c>
      <c r="AA93" s="8"/>
      <c r="AB93" s="8">
        <v>202.95</v>
      </c>
      <c r="AC93" s="8"/>
      <c r="AD93" s="8"/>
      <c r="AE93" s="8"/>
    </row>
    <row r="94" spans="1:157" s="36" customFormat="1" ht="36" customHeight="1" x14ac:dyDescent="0.25">
      <c r="B94" s="35"/>
      <c r="C94" s="88" t="s">
        <v>175</v>
      </c>
      <c r="D94" s="32"/>
      <c r="E94" s="104"/>
      <c r="F94" s="104"/>
      <c r="G94" s="8">
        <v>1709.55</v>
      </c>
      <c r="H94" s="8"/>
      <c r="I94" s="8"/>
      <c r="J94" s="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8"/>
      <c r="X94" s="8">
        <v>1030.05</v>
      </c>
      <c r="Y94" s="8"/>
      <c r="Z94" s="8"/>
      <c r="AA94" s="8">
        <v>607.5</v>
      </c>
      <c r="AB94" s="8"/>
      <c r="AC94" s="8">
        <v>72</v>
      </c>
      <c r="AD94" s="8"/>
      <c r="AE94" s="8"/>
    </row>
    <row r="95" spans="1:157" s="36" customFormat="1" ht="36" customHeight="1" x14ac:dyDescent="0.25">
      <c r="B95" s="35"/>
      <c r="C95" s="88" t="s">
        <v>176</v>
      </c>
      <c r="D95" s="32"/>
      <c r="E95" s="104"/>
      <c r="F95" s="104"/>
      <c r="G95" s="8">
        <v>2067.42</v>
      </c>
      <c r="H95" s="8"/>
      <c r="I95" s="8"/>
      <c r="J95" s="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8"/>
      <c r="X95" s="8">
        <v>1559.79</v>
      </c>
      <c r="Y95" s="8">
        <v>46.8</v>
      </c>
      <c r="Z95" s="8">
        <v>217.83</v>
      </c>
      <c r="AA95" s="8">
        <v>171</v>
      </c>
      <c r="AB95" s="8"/>
      <c r="AC95" s="8">
        <v>72</v>
      </c>
      <c r="AD95" s="8"/>
      <c r="AE95" s="8"/>
    </row>
    <row r="96" spans="1:157" s="36" customFormat="1" ht="36" customHeight="1" x14ac:dyDescent="0.25">
      <c r="B96" s="35"/>
      <c r="C96" s="88" t="s">
        <v>178</v>
      </c>
      <c r="D96" s="32"/>
      <c r="E96" s="104"/>
      <c r="F96" s="104"/>
      <c r="G96" s="8">
        <v>2278.71</v>
      </c>
      <c r="H96" s="8"/>
      <c r="I96" s="8"/>
      <c r="J96" s="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8"/>
      <c r="X96" s="8">
        <v>1726.56</v>
      </c>
      <c r="Y96" s="8"/>
      <c r="Z96" s="8"/>
      <c r="AA96" s="8">
        <v>270</v>
      </c>
      <c r="AB96" s="8">
        <v>223.65</v>
      </c>
      <c r="AC96" s="8">
        <v>58.5</v>
      </c>
      <c r="AD96" s="8"/>
      <c r="AE96" s="8"/>
    </row>
    <row r="97" spans="2:31" s="109" customFormat="1" ht="36" hidden="1" customHeight="1" x14ac:dyDescent="0.25">
      <c r="B97" s="110"/>
      <c r="C97" s="111" t="s">
        <v>164</v>
      </c>
      <c r="D97" s="112"/>
      <c r="E97" s="113"/>
      <c r="F97" s="112"/>
      <c r="G97" s="114">
        <v>7621.91</v>
      </c>
      <c r="H97" s="114"/>
      <c r="I97" s="114"/>
      <c r="J97" s="114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4">
        <v>1215</v>
      </c>
      <c r="X97" s="114"/>
      <c r="Y97" s="114"/>
      <c r="Z97" s="114">
        <v>3220.91</v>
      </c>
      <c r="AA97" s="114">
        <v>3141</v>
      </c>
      <c r="AB97" s="114"/>
      <c r="AC97" s="114">
        <v>45</v>
      </c>
      <c r="AD97" s="114"/>
      <c r="AE97" s="114"/>
    </row>
    <row r="98" spans="2:31" s="36" customFormat="1" ht="36" customHeight="1" x14ac:dyDescent="0.25">
      <c r="B98" s="35"/>
      <c r="C98" s="88" t="s">
        <v>183</v>
      </c>
      <c r="D98" s="32"/>
      <c r="E98" s="56"/>
      <c r="F98" s="32"/>
      <c r="G98" s="8">
        <v>6291.85</v>
      </c>
      <c r="H98" s="8"/>
      <c r="I98" s="8"/>
      <c r="J98" s="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8"/>
      <c r="X98" s="8"/>
      <c r="Y98" s="8"/>
      <c r="Z98" s="8">
        <v>3447.38</v>
      </c>
      <c r="AA98" s="8">
        <v>2673.96</v>
      </c>
      <c r="AB98" s="8"/>
      <c r="AC98" s="8">
        <v>170.52</v>
      </c>
      <c r="AD98" s="8"/>
      <c r="AE98" s="8"/>
    </row>
    <row r="99" spans="2:31" s="109" customFormat="1" ht="36" hidden="1" customHeight="1" x14ac:dyDescent="0.25">
      <c r="B99" s="110"/>
      <c r="C99" s="111" t="s">
        <v>179</v>
      </c>
      <c r="D99" s="112"/>
      <c r="E99" s="113"/>
      <c r="F99" s="112"/>
      <c r="G99" s="114">
        <v>5958.38</v>
      </c>
      <c r="H99" s="114"/>
      <c r="I99" s="114"/>
      <c r="J99" s="114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4">
        <v>3240</v>
      </c>
      <c r="X99" s="114"/>
      <c r="Y99" s="114"/>
      <c r="Z99" s="114">
        <v>1881.38</v>
      </c>
      <c r="AA99" s="114">
        <v>837</v>
      </c>
      <c r="AB99" s="114"/>
      <c r="AC99" s="114"/>
      <c r="AD99" s="114"/>
      <c r="AE99" s="114"/>
    </row>
    <row r="100" spans="2:31" s="36" customFormat="1" ht="36" customHeight="1" x14ac:dyDescent="0.25">
      <c r="B100" s="35"/>
      <c r="C100" s="88" t="s">
        <v>180</v>
      </c>
      <c r="D100" s="32"/>
      <c r="E100" s="56"/>
      <c r="F100" s="32"/>
      <c r="G100" s="8">
        <v>1615.25</v>
      </c>
      <c r="H100" s="8"/>
      <c r="I100" s="8"/>
      <c r="J100" s="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8">
        <v>513.9</v>
      </c>
      <c r="X100" s="8">
        <v>451.26</v>
      </c>
      <c r="Y100" s="8"/>
      <c r="Z100" s="8">
        <v>560.09</v>
      </c>
      <c r="AA100" s="8"/>
      <c r="AB100" s="8"/>
      <c r="AC100" s="8">
        <v>90</v>
      </c>
      <c r="AD100" s="8"/>
      <c r="AE100" s="8"/>
    </row>
    <row r="101" spans="2:31" s="36" customFormat="1" ht="36" customHeight="1" x14ac:dyDescent="0.25">
      <c r="B101" s="35"/>
      <c r="C101" s="88" t="s">
        <v>181</v>
      </c>
      <c r="D101" s="32"/>
      <c r="E101" s="56"/>
      <c r="F101" s="32"/>
      <c r="G101" s="8">
        <v>1136.3800000000001</v>
      </c>
      <c r="H101" s="8"/>
      <c r="I101" s="8"/>
      <c r="J101" s="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8"/>
      <c r="X101" s="8">
        <v>480.69</v>
      </c>
      <c r="Y101" s="8">
        <v>423</v>
      </c>
      <c r="Z101" s="8">
        <v>218.29</v>
      </c>
      <c r="AA101" s="8"/>
      <c r="AB101" s="8"/>
      <c r="AC101" s="8"/>
      <c r="AD101" s="8">
        <v>14.4</v>
      </c>
      <c r="AE101" s="8"/>
    </row>
    <row r="102" spans="2:31" s="36" customFormat="1" ht="36" customHeight="1" x14ac:dyDescent="0.25">
      <c r="B102" s="35"/>
      <c r="C102" s="88" t="s">
        <v>182</v>
      </c>
      <c r="D102" s="32"/>
      <c r="E102" s="56"/>
      <c r="F102" s="32"/>
      <c r="G102" s="8">
        <v>3065.22</v>
      </c>
      <c r="H102" s="8"/>
      <c r="I102" s="8"/>
      <c r="J102" s="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8"/>
      <c r="X102" s="8">
        <v>3060.72</v>
      </c>
      <c r="Y102" s="8"/>
      <c r="Z102" s="8"/>
      <c r="AA102" s="8"/>
      <c r="AB102" s="8"/>
      <c r="AC102" s="8">
        <v>4.5</v>
      </c>
      <c r="AD102" s="8"/>
      <c r="AE102" s="8"/>
    </row>
    <row r="103" spans="2:31" s="109" customFormat="1" ht="36" hidden="1" customHeight="1" x14ac:dyDescent="0.25">
      <c r="B103" s="110"/>
      <c r="C103" s="111" t="s">
        <v>184</v>
      </c>
      <c r="D103" s="112"/>
      <c r="E103" s="113"/>
      <c r="F103" s="112"/>
      <c r="G103" s="114">
        <v>3149.21</v>
      </c>
      <c r="H103" s="114"/>
      <c r="I103" s="114"/>
      <c r="J103" s="114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4">
        <v>945</v>
      </c>
      <c r="X103" s="114">
        <v>1412.64</v>
      </c>
      <c r="Y103" s="114">
        <v>103.5</v>
      </c>
      <c r="Z103" s="114">
        <v>430.76</v>
      </c>
      <c r="AA103" s="114"/>
      <c r="AB103" s="114">
        <v>20.34</v>
      </c>
      <c r="AC103" s="114">
        <v>236.97</v>
      </c>
      <c r="AD103" s="114"/>
      <c r="AE103" s="114"/>
    </row>
    <row r="104" spans="2:31" s="109" customFormat="1" ht="36" hidden="1" customHeight="1" x14ac:dyDescent="0.25">
      <c r="B104" s="110"/>
      <c r="C104" s="111" t="s">
        <v>185</v>
      </c>
      <c r="D104" s="112"/>
      <c r="E104" s="113"/>
      <c r="F104" s="112"/>
      <c r="G104" s="114">
        <v>691.61</v>
      </c>
      <c r="H104" s="114"/>
      <c r="I104" s="114"/>
      <c r="J104" s="114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4"/>
      <c r="X104" s="114">
        <v>691.61</v>
      </c>
      <c r="Y104" s="114"/>
      <c r="Z104" s="114"/>
      <c r="AA104" s="114"/>
      <c r="AB104" s="114"/>
      <c r="AC104" s="114"/>
      <c r="AD104" s="114"/>
      <c r="AE104" s="114"/>
    </row>
    <row r="105" spans="2:31" s="109" customFormat="1" ht="36" hidden="1" customHeight="1" x14ac:dyDescent="0.25">
      <c r="B105" s="110"/>
      <c r="C105" s="111" t="s">
        <v>186</v>
      </c>
      <c r="D105" s="112"/>
      <c r="E105" s="113"/>
      <c r="F105" s="112"/>
      <c r="G105" s="114">
        <v>2363.38</v>
      </c>
      <c r="H105" s="114"/>
      <c r="I105" s="114"/>
      <c r="J105" s="114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4">
        <v>405</v>
      </c>
      <c r="X105" s="114">
        <v>1520.55</v>
      </c>
      <c r="Y105" s="114">
        <v>43.92</v>
      </c>
      <c r="Z105" s="114">
        <v>357.91</v>
      </c>
      <c r="AA105" s="114"/>
      <c r="AB105" s="114">
        <v>36</v>
      </c>
      <c r="AC105" s="114"/>
      <c r="AD105" s="114"/>
      <c r="AE105" s="114"/>
    </row>
    <row r="106" spans="2:31" s="109" customFormat="1" ht="36" hidden="1" customHeight="1" x14ac:dyDescent="0.25">
      <c r="B106" s="110"/>
      <c r="C106" s="111" t="s">
        <v>190</v>
      </c>
      <c r="D106" s="112"/>
      <c r="E106" s="113"/>
      <c r="F106" s="112"/>
      <c r="G106" s="114">
        <v>885.29</v>
      </c>
      <c r="H106" s="114"/>
      <c r="I106" s="114"/>
      <c r="J106" s="114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4"/>
      <c r="X106" s="114">
        <v>868.19</v>
      </c>
      <c r="Y106" s="114"/>
      <c r="Z106" s="114"/>
      <c r="AA106" s="114"/>
      <c r="AB106" s="114">
        <v>12.6</v>
      </c>
      <c r="AC106" s="114">
        <v>4.5</v>
      </c>
      <c r="AD106" s="114"/>
      <c r="AE106" s="114"/>
    </row>
    <row r="107" spans="2:31" s="36" customFormat="1" ht="36" customHeight="1" x14ac:dyDescent="0.25">
      <c r="B107" s="35"/>
      <c r="C107" s="88" t="s">
        <v>193</v>
      </c>
      <c r="D107" s="32"/>
      <c r="E107" s="56"/>
      <c r="F107" s="32"/>
      <c r="G107" s="8">
        <v>272.3</v>
      </c>
      <c r="H107" s="8"/>
      <c r="I107" s="8"/>
      <c r="J107" s="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8"/>
      <c r="X107" s="8">
        <v>272.3</v>
      </c>
      <c r="Y107" s="8"/>
      <c r="Z107" s="8"/>
      <c r="AA107" s="8"/>
      <c r="AB107" s="8"/>
      <c r="AC107" s="8"/>
      <c r="AD107" s="8"/>
      <c r="AE107" s="8"/>
    </row>
    <row r="108" spans="2:31" s="109" customFormat="1" ht="36" hidden="1" customHeight="1" x14ac:dyDescent="0.25">
      <c r="B108" s="110"/>
      <c r="C108" s="111" t="s">
        <v>191</v>
      </c>
      <c r="D108" s="112"/>
      <c r="E108" s="113"/>
      <c r="F108" s="112"/>
      <c r="G108" s="114">
        <v>2600.5</v>
      </c>
      <c r="H108" s="114"/>
      <c r="I108" s="114"/>
      <c r="J108" s="114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4">
        <v>648</v>
      </c>
      <c r="X108" s="114">
        <v>1481.31</v>
      </c>
      <c r="Y108" s="114">
        <v>54.9</v>
      </c>
      <c r="Z108" s="114">
        <v>218.29</v>
      </c>
      <c r="AA108" s="114"/>
      <c r="AB108" s="114">
        <v>198</v>
      </c>
      <c r="AC108" s="114"/>
      <c r="AD108" s="114"/>
      <c r="AE108" s="114"/>
    </row>
    <row r="109" spans="2:31" s="109" customFormat="1" ht="36" hidden="1" customHeight="1" x14ac:dyDescent="0.25">
      <c r="B109" s="110"/>
      <c r="C109" s="111" t="s">
        <v>192</v>
      </c>
      <c r="D109" s="112"/>
      <c r="E109" s="113"/>
      <c r="F109" s="112"/>
      <c r="G109" s="114">
        <v>6703.51</v>
      </c>
      <c r="H109" s="114"/>
      <c r="I109" s="114"/>
      <c r="J109" s="114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4">
        <v>67.5</v>
      </c>
      <c r="X109" s="114">
        <v>2168.0100000000002</v>
      </c>
      <c r="Y109" s="114">
        <v>1317.6</v>
      </c>
      <c r="Z109" s="114">
        <v>780.27</v>
      </c>
      <c r="AA109" s="114">
        <v>900</v>
      </c>
      <c r="AB109" s="114">
        <v>178.2</v>
      </c>
      <c r="AC109" s="114">
        <v>1291.92</v>
      </c>
      <c r="AD109" s="114"/>
      <c r="AE109" s="114"/>
    </row>
    <row r="110" spans="2:31" s="109" customFormat="1" ht="36" hidden="1" customHeight="1" x14ac:dyDescent="0.25">
      <c r="B110" s="110"/>
      <c r="C110" s="112" t="s">
        <v>194</v>
      </c>
      <c r="D110" s="112"/>
      <c r="E110" s="113"/>
      <c r="F110" s="112"/>
      <c r="G110" s="114">
        <v>3940.16</v>
      </c>
      <c r="H110" s="114"/>
      <c r="I110" s="114"/>
      <c r="J110" s="114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4">
        <v>472.5</v>
      </c>
      <c r="X110" s="114">
        <v>2437.79</v>
      </c>
      <c r="Y110" s="114"/>
      <c r="Z110" s="114"/>
      <c r="AA110" s="114"/>
      <c r="AB110" s="114">
        <v>141.75</v>
      </c>
      <c r="AC110" s="114">
        <v>888.12</v>
      </c>
      <c r="AD110" s="114"/>
      <c r="AE110" s="114"/>
    </row>
    <row r="111" spans="2:31" s="109" customFormat="1" ht="36" hidden="1" customHeight="1" x14ac:dyDescent="0.25">
      <c r="B111" s="110"/>
      <c r="C111" s="112" t="s">
        <v>195</v>
      </c>
      <c r="D111" s="112"/>
      <c r="E111" s="113"/>
      <c r="F111" s="112"/>
      <c r="G111" s="114">
        <v>6036.31</v>
      </c>
      <c r="H111" s="114"/>
      <c r="I111" s="114"/>
      <c r="J111" s="114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4">
        <v>337.5</v>
      </c>
      <c r="X111" s="114">
        <v>2684.3</v>
      </c>
      <c r="Y111" s="114">
        <v>1317.6</v>
      </c>
      <c r="Z111" s="114">
        <v>218.29</v>
      </c>
      <c r="AA111" s="114"/>
      <c r="AB111" s="114">
        <v>63</v>
      </c>
      <c r="AC111" s="114">
        <v>1415.62</v>
      </c>
      <c r="AD111" s="114"/>
      <c r="AE111" s="114"/>
    </row>
    <row r="112" spans="2:31" s="109" customFormat="1" ht="36" hidden="1" customHeight="1" x14ac:dyDescent="0.25">
      <c r="B112" s="110"/>
      <c r="C112" s="112" t="s">
        <v>196</v>
      </c>
      <c r="D112" s="112"/>
      <c r="E112" s="113"/>
      <c r="F112" s="112"/>
      <c r="G112" s="114">
        <v>9997.26</v>
      </c>
      <c r="H112" s="114"/>
      <c r="I112" s="114"/>
      <c r="J112" s="114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4">
        <v>648</v>
      </c>
      <c r="X112" s="114">
        <v>2972.43</v>
      </c>
      <c r="Y112" s="114">
        <v>1197.9000000000001</v>
      </c>
      <c r="Z112" s="114">
        <v>1727.43</v>
      </c>
      <c r="AA112" s="114">
        <v>3249</v>
      </c>
      <c r="AB112" s="114">
        <v>108</v>
      </c>
      <c r="AC112" s="114">
        <v>94.5</v>
      </c>
      <c r="AD112" s="114"/>
      <c r="AE112" s="114"/>
    </row>
    <row r="113" spans="2:31" s="109" customFormat="1" ht="36" hidden="1" customHeight="1" x14ac:dyDescent="0.25">
      <c r="B113" s="110"/>
      <c r="C113" s="112" t="s">
        <v>197</v>
      </c>
      <c r="D113" s="112"/>
      <c r="E113" s="113"/>
      <c r="F113" s="112"/>
      <c r="G113" s="114">
        <v>4881.63</v>
      </c>
      <c r="H113" s="114"/>
      <c r="I113" s="114"/>
      <c r="J113" s="114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4"/>
      <c r="X113" s="114">
        <v>2933.19</v>
      </c>
      <c r="Y113" s="114">
        <v>1098</v>
      </c>
      <c r="Z113" s="114">
        <v>452.51</v>
      </c>
      <c r="AA113" s="114"/>
      <c r="AB113" s="114"/>
      <c r="AC113" s="114">
        <v>397.93</v>
      </c>
      <c r="AD113" s="114"/>
      <c r="AE113" s="114"/>
    </row>
    <row r="114" spans="2:31" s="109" customFormat="1" ht="36" hidden="1" customHeight="1" x14ac:dyDescent="0.25">
      <c r="B114" s="110"/>
      <c r="C114" s="112" t="s">
        <v>198</v>
      </c>
      <c r="D114" s="112"/>
      <c r="E114" s="113"/>
      <c r="F114" s="112"/>
      <c r="G114" s="114">
        <v>9979.3700000000008</v>
      </c>
      <c r="H114" s="114"/>
      <c r="I114" s="114"/>
      <c r="J114" s="114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4">
        <v>742.5</v>
      </c>
      <c r="X114" s="114">
        <v>1026.4100000000001</v>
      </c>
      <c r="Y114" s="114"/>
      <c r="Z114" s="114">
        <v>922.81</v>
      </c>
      <c r="AA114" s="114">
        <v>6300</v>
      </c>
      <c r="AB114" s="114"/>
      <c r="AC114" s="114">
        <v>987.65</v>
      </c>
      <c r="AD114" s="114"/>
      <c r="AE114" s="114"/>
    </row>
    <row r="115" spans="2:31" s="109" customFormat="1" ht="36" hidden="1" customHeight="1" x14ac:dyDescent="0.25">
      <c r="B115" s="110"/>
      <c r="C115" s="112" t="s">
        <v>199</v>
      </c>
      <c r="D115" s="112"/>
      <c r="E115" s="113"/>
      <c r="F115" s="112"/>
      <c r="G115" s="114">
        <v>4068.67</v>
      </c>
      <c r="H115" s="114"/>
      <c r="I115" s="114"/>
      <c r="J115" s="114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4"/>
      <c r="X115" s="114"/>
      <c r="Y115" s="114"/>
      <c r="Z115" s="114">
        <v>2160</v>
      </c>
      <c r="AA115" s="114"/>
      <c r="AB115" s="114"/>
      <c r="AC115" s="114">
        <v>1908.67</v>
      </c>
      <c r="AD115" s="114"/>
      <c r="AE115" s="114"/>
    </row>
    <row r="116" spans="2:31" s="109" customFormat="1" ht="36" hidden="1" customHeight="1" x14ac:dyDescent="0.25">
      <c r="B116" s="110"/>
      <c r="C116" s="112" t="s">
        <v>200</v>
      </c>
      <c r="D116" s="112"/>
      <c r="E116" s="113"/>
      <c r="F116" s="112"/>
      <c r="G116" s="114">
        <v>4997.2700000000004</v>
      </c>
      <c r="H116" s="114"/>
      <c r="I116" s="114"/>
      <c r="J116" s="114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4">
        <v>607.5</v>
      </c>
      <c r="X116" s="114">
        <v>3315.78</v>
      </c>
      <c r="Y116" s="114">
        <v>603.9</v>
      </c>
      <c r="Z116" s="114">
        <v>361.19</v>
      </c>
      <c r="AA116" s="114"/>
      <c r="AB116" s="114">
        <v>77.400000000000006</v>
      </c>
      <c r="AC116" s="114">
        <v>31.5</v>
      </c>
      <c r="AD116" s="114"/>
      <c r="AE116" s="114"/>
    </row>
    <row r="117" spans="2:31" s="109" customFormat="1" ht="36" hidden="1" customHeight="1" x14ac:dyDescent="0.25">
      <c r="B117" s="110"/>
      <c r="C117" s="112" t="s">
        <v>201</v>
      </c>
      <c r="D117" s="112"/>
      <c r="E117" s="113"/>
      <c r="F117" s="112"/>
      <c r="G117" s="114">
        <v>908.15</v>
      </c>
      <c r="H117" s="114"/>
      <c r="I117" s="114"/>
      <c r="J117" s="114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4">
        <v>702</v>
      </c>
      <c r="X117" s="114">
        <v>53.96</v>
      </c>
      <c r="Y117" s="114"/>
      <c r="Z117" s="114"/>
      <c r="AA117" s="114"/>
      <c r="AB117" s="114">
        <v>152.19</v>
      </c>
      <c r="AC117" s="114"/>
      <c r="AD117" s="114"/>
      <c r="AE117" s="114"/>
    </row>
    <row r="118" spans="2:31" s="109" customFormat="1" ht="36" hidden="1" customHeight="1" x14ac:dyDescent="0.25">
      <c r="B118" s="110"/>
      <c r="C118" s="112" t="s">
        <v>203</v>
      </c>
      <c r="D118" s="112"/>
      <c r="E118" s="113"/>
      <c r="F118" s="112"/>
      <c r="G118" s="114">
        <v>4965.82</v>
      </c>
      <c r="H118" s="114"/>
      <c r="I118" s="114"/>
      <c r="J118" s="114"/>
      <c r="K118" s="115"/>
      <c r="L118" s="115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4"/>
      <c r="X118" s="114">
        <v>560.46</v>
      </c>
      <c r="Y118" s="114">
        <v>219.01</v>
      </c>
      <c r="Z118" s="114">
        <v>571.32000000000005</v>
      </c>
      <c r="AA118" s="114">
        <v>3615.03</v>
      </c>
      <c r="AB118" s="114"/>
      <c r="AC118" s="114"/>
      <c r="AD118" s="114"/>
      <c r="AE118" s="114"/>
    </row>
    <row r="119" spans="2:31" s="49" customFormat="1" ht="12.75" hidden="1" customHeight="1" x14ac:dyDescent="0.25">
      <c r="B119" s="72"/>
      <c r="C119" s="27" t="s">
        <v>204</v>
      </c>
      <c r="D119" s="27"/>
      <c r="E119" s="124"/>
      <c r="F119" s="27"/>
      <c r="G119" s="95">
        <v>4994.95</v>
      </c>
      <c r="H119" s="95"/>
      <c r="I119" s="95"/>
      <c r="J119" s="9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95"/>
      <c r="X119" s="95"/>
      <c r="Y119" s="95"/>
      <c r="Z119" s="95"/>
      <c r="AA119" s="95"/>
      <c r="AB119" s="95"/>
      <c r="AC119" s="95"/>
      <c r="AD119" s="95"/>
      <c r="AE119" s="95"/>
    </row>
    <row r="120" spans="2:31" s="49" customFormat="1" ht="12.75" hidden="1" customHeight="1" x14ac:dyDescent="0.25">
      <c r="B120" s="72"/>
      <c r="C120" s="27" t="s">
        <v>205</v>
      </c>
      <c r="D120" s="27"/>
      <c r="E120" s="124"/>
      <c r="F120" s="27"/>
      <c r="G120" s="95">
        <v>4993.92</v>
      </c>
      <c r="H120" s="95"/>
      <c r="I120" s="95"/>
      <c r="J120" s="9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95"/>
      <c r="X120" s="95"/>
      <c r="Y120" s="95"/>
      <c r="Z120" s="95"/>
      <c r="AA120" s="95"/>
      <c r="AB120" s="95"/>
      <c r="AC120" s="95"/>
      <c r="AD120" s="95"/>
      <c r="AE120" s="95"/>
    </row>
    <row r="121" spans="2:31" s="109" customFormat="1" ht="36" hidden="1" customHeight="1" x14ac:dyDescent="0.25">
      <c r="B121" s="110"/>
      <c r="C121" s="112" t="s">
        <v>206</v>
      </c>
      <c r="D121" s="112"/>
      <c r="E121" s="113"/>
      <c r="F121" s="112"/>
      <c r="G121" s="114">
        <v>4998.6099999999997</v>
      </c>
      <c r="H121" s="114"/>
      <c r="I121" s="114"/>
      <c r="J121" s="114"/>
      <c r="K121" s="115"/>
      <c r="L121" s="115"/>
      <c r="M121" s="115"/>
      <c r="N121" s="115"/>
      <c r="O121" s="115"/>
      <c r="P121" s="115"/>
      <c r="Q121" s="115"/>
      <c r="R121" s="115"/>
      <c r="S121" s="115"/>
      <c r="T121" s="115"/>
      <c r="U121" s="115"/>
      <c r="V121" s="115"/>
      <c r="W121" s="114">
        <v>345.17</v>
      </c>
      <c r="X121" s="114">
        <v>2915.64</v>
      </c>
      <c r="Y121" s="114">
        <v>1040.28</v>
      </c>
      <c r="Z121" s="114">
        <v>500.42</v>
      </c>
      <c r="AA121" s="114"/>
      <c r="AB121" s="114">
        <v>197.11</v>
      </c>
      <c r="AC121" s="114"/>
      <c r="AD121" s="114"/>
      <c r="AE121" s="114"/>
    </row>
    <row r="122" spans="2:31" s="49" customFormat="1" ht="12.75" hidden="1" customHeight="1" x14ac:dyDescent="0.25">
      <c r="B122" s="72"/>
      <c r="C122" s="27" t="s">
        <v>207</v>
      </c>
      <c r="D122" s="27"/>
      <c r="E122" s="124"/>
      <c r="F122" s="27"/>
      <c r="G122" s="95">
        <v>4973.95</v>
      </c>
      <c r="H122" s="95"/>
      <c r="I122" s="95"/>
      <c r="J122" s="9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95"/>
      <c r="X122" s="95"/>
      <c r="Y122" s="95"/>
      <c r="Z122" s="95"/>
      <c r="AA122" s="95"/>
      <c r="AB122" s="95"/>
      <c r="AC122" s="95"/>
      <c r="AD122" s="95"/>
      <c r="AE122" s="95"/>
    </row>
    <row r="123" spans="2:31" s="131" customFormat="1" ht="36" hidden="1" customHeight="1" x14ac:dyDescent="0.25">
      <c r="B123" s="126"/>
      <c r="C123" s="127" t="s">
        <v>208</v>
      </c>
      <c r="D123" s="127"/>
      <c r="E123" s="128"/>
      <c r="F123" s="127"/>
      <c r="G123" s="81">
        <v>4972.8599999999997</v>
      </c>
      <c r="H123" s="81"/>
      <c r="I123" s="81"/>
      <c r="J123" s="81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81">
        <v>202.82</v>
      </c>
      <c r="X123" s="81">
        <v>3696.44</v>
      </c>
      <c r="Y123" s="81"/>
      <c r="Z123" s="130"/>
      <c r="AA123" s="130"/>
      <c r="AB123" s="130">
        <v>1064.08</v>
      </c>
      <c r="AC123" s="130">
        <v>9.52</v>
      </c>
      <c r="AD123" s="130"/>
      <c r="AE123" s="130"/>
    </row>
    <row r="124" spans="2:31" s="49" customFormat="1" ht="21" hidden="1" customHeight="1" x14ac:dyDescent="0.25">
      <c r="B124" s="72"/>
      <c r="C124" s="27" t="s">
        <v>209</v>
      </c>
      <c r="D124" s="27"/>
      <c r="E124" s="124"/>
      <c r="F124" s="27"/>
      <c r="G124" s="95">
        <v>4997.54</v>
      </c>
      <c r="H124" s="95"/>
      <c r="I124" s="95"/>
      <c r="J124" s="9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95"/>
      <c r="X124" s="95"/>
      <c r="Y124" s="95"/>
      <c r="Z124" s="125"/>
      <c r="AA124" s="125"/>
      <c r="AB124" s="125"/>
      <c r="AC124" s="125"/>
      <c r="AD124" s="125"/>
      <c r="AE124" s="125"/>
    </row>
    <row r="125" spans="2:31" s="49" customFormat="1" ht="21" hidden="1" customHeight="1" x14ac:dyDescent="0.25">
      <c r="B125" s="72"/>
      <c r="C125" s="27" t="s">
        <v>210</v>
      </c>
      <c r="D125" s="27"/>
      <c r="E125" s="124"/>
      <c r="F125" s="27"/>
      <c r="G125" s="95">
        <v>4991.46</v>
      </c>
      <c r="H125" s="95"/>
      <c r="I125" s="95"/>
      <c r="J125" s="9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95"/>
      <c r="X125" s="95"/>
      <c r="Y125" s="95"/>
      <c r="Z125" s="125"/>
      <c r="AA125" s="125"/>
      <c r="AB125" s="125"/>
      <c r="AC125" s="125"/>
      <c r="AD125" s="125"/>
      <c r="AE125" s="125"/>
    </row>
    <row r="126" spans="2:31" s="109" customFormat="1" ht="36" hidden="1" customHeight="1" x14ac:dyDescent="0.25">
      <c r="B126" s="110"/>
      <c r="C126" s="112" t="s">
        <v>211</v>
      </c>
      <c r="D126" s="112"/>
      <c r="E126" s="113"/>
      <c r="F126" s="112"/>
      <c r="G126" s="114">
        <v>3635.38</v>
      </c>
      <c r="H126" s="114"/>
      <c r="I126" s="114"/>
      <c r="J126" s="114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4"/>
      <c r="X126" s="114">
        <v>2161.85</v>
      </c>
      <c r="Y126" s="114">
        <v>930.78</v>
      </c>
      <c r="Z126" s="123">
        <v>542.75</v>
      </c>
      <c r="AA126" s="123"/>
      <c r="AB126" s="123"/>
      <c r="AC126" s="123"/>
      <c r="AD126" s="123"/>
      <c r="AE126" s="123"/>
    </row>
    <row r="127" spans="2:31" s="131" customFormat="1" ht="36" hidden="1" customHeight="1" x14ac:dyDescent="0.25">
      <c r="B127" s="126"/>
      <c r="C127" s="127" t="s">
        <v>214</v>
      </c>
      <c r="D127" s="127"/>
      <c r="E127" s="128"/>
      <c r="F127" s="127"/>
      <c r="G127" s="81">
        <v>4999.41</v>
      </c>
      <c r="H127" s="81"/>
      <c r="I127" s="81"/>
      <c r="J127" s="81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81"/>
      <c r="X127" s="81">
        <v>4748.26</v>
      </c>
      <c r="Y127" s="81"/>
      <c r="Z127" s="130"/>
      <c r="AA127" s="130"/>
      <c r="AB127" s="130">
        <v>251.14</v>
      </c>
      <c r="AC127" s="130"/>
      <c r="AD127" s="130"/>
      <c r="AE127" s="130"/>
    </row>
    <row r="128" spans="2:31" s="109" customFormat="1" ht="36" hidden="1" customHeight="1" x14ac:dyDescent="0.25">
      <c r="B128" s="132"/>
      <c r="C128" s="111" t="s">
        <v>212</v>
      </c>
      <c r="D128" s="111"/>
      <c r="E128" s="133"/>
      <c r="F128" s="111"/>
      <c r="G128" s="134">
        <v>4995.09</v>
      </c>
      <c r="H128" s="134"/>
      <c r="I128" s="134"/>
      <c r="J128" s="134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4">
        <v>630.36</v>
      </c>
      <c r="X128" s="134">
        <v>1717.77</v>
      </c>
      <c r="Y128" s="134"/>
      <c r="Z128" s="136">
        <v>1025.8399999999999</v>
      </c>
      <c r="AA128" s="136">
        <v>850.31</v>
      </c>
      <c r="AB128" s="136">
        <v>770.81</v>
      </c>
      <c r="AC128" s="136"/>
      <c r="AD128" s="136"/>
      <c r="AE128" s="136"/>
    </row>
    <row r="129" spans="1:31" s="110" customFormat="1" ht="36" hidden="1" customHeight="1" x14ac:dyDescent="0.25">
      <c r="C129" s="112" t="s">
        <v>215</v>
      </c>
      <c r="D129" s="112"/>
      <c r="E129" s="113"/>
      <c r="F129" s="112"/>
      <c r="G129" s="114">
        <v>4998.9799999999996</v>
      </c>
      <c r="H129" s="114"/>
      <c r="I129" s="114"/>
      <c r="J129" s="114"/>
      <c r="K129" s="115"/>
      <c r="L129" s="115"/>
      <c r="M129" s="115"/>
      <c r="N129" s="115"/>
      <c r="O129" s="115"/>
      <c r="P129" s="115"/>
      <c r="Q129" s="115"/>
      <c r="R129" s="115"/>
      <c r="S129" s="115"/>
      <c r="T129" s="115"/>
      <c r="U129" s="115"/>
      <c r="V129" s="115"/>
      <c r="W129" s="114">
        <v>838.32</v>
      </c>
      <c r="X129" s="114">
        <v>1981.29</v>
      </c>
      <c r="Y129" s="114">
        <v>585.84</v>
      </c>
      <c r="Z129" s="114">
        <v>1027.0999999999999</v>
      </c>
      <c r="AA129" s="114"/>
      <c r="AB129" s="114"/>
      <c r="AC129" s="114">
        <v>566.42999999999995</v>
      </c>
      <c r="AD129" s="114"/>
      <c r="AE129" s="114"/>
    </row>
    <row r="130" spans="1:31" s="110" customFormat="1" ht="36" hidden="1" customHeight="1" x14ac:dyDescent="0.25">
      <c r="C130" s="112" t="s">
        <v>216</v>
      </c>
      <c r="D130" s="112"/>
      <c r="E130" s="113"/>
      <c r="F130" s="112"/>
      <c r="G130" s="114">
        <v>1454.25</v>
      </c>
      <c r="H130" s="114"/>
      <c r="I130" s="114"/>
      <c r="J130" s="114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  <c r="W130" s="114"/>
      <c r="X130" s="114">
        <v>426.35</v>
      </c>
      <c r="Y130" s="114">
        <v>43.8</v>
      </c>
      <c r="Z130" s="114">
        <v>214.25</v>
      </c>
      <c r="AA130" s="114"/>
      <c r="AB130" s="114">
        <v>612.74</v>
      </c>
      <c r="AC130" s="114">
        <v>157.11000000000001</v>
      </c>
      <c r="AD130" s="114"/>
      <c r="AE130" s="114"/>
    </row>
    <row r="131" spans="1:31" s="110" customFormat="1" ht="36" hidden="1" customHeight="1" x14ac:dyDescent="0.25">
      <c r="C131" s="112" t="s">
        <v>217</v>
      </c>
      <c r="D131" s="112"/>
      <c r="E131" s="113"/>
      <c r="F131" s="112"/>
      <c r="G131" s="114">
        <v>1356.53</v>
      </c>
      <c r="H131" s="114"/>
      <c r="I131" s="114"/>
      <c r="J131" s="114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5"/>
      <c r="W131" s="114"/>
      <c r="X131" s="114">
        <v>1351.77</v>
      </c>
      <c r="Y131" s="114"/>
      <c r="Z131" s="114"/>
      <c r="AA131" s="114"/>
      <c r="AB131" s="114"/>
      <c r="AC131" s="114">
        <v>4.76</v>
      </c>
      <c r="AD131" s="114"/>
      <c r="AE131" s="114"/>
    </row>
    <row r="132" spans="1:31" s="110" customFormat="1" ht="36" hidden="1" customHeight="1" x14ac:dyDescent="0.25">
      <c r="C132" s="112" t="s">
        <v>218</v>
      </c>
      <c r="D132" s="112"/>
      <c r="E132" s="113"/>
      <c r="F132" s="112"/>
      <c r="G132" s="114">
        <v>3728.53</v>
      </c>
      <c r="H132" s="114"/>
      <c r="I132" s="114"/>
      <c r="J132" s="114"/>
      <c r="K132" s="115"/>
      <c r="L132" s="115"/>
      <c r="M132" s="115"/>
      <c r="N132" s="115"/>
      <c r="O132" s="115"/>
      <c r="P132" s="115"/>
      <c r="Q132" s="115"/>
      <c r="R132" s="115"/>
      <c r="S132" s="115"/>
      <c r="T132" s="115"/>
      <c r="U132" s="115"/>
      <c r="V132" s="115"/>
      <c r="W132" s="114"/>
      <c r="X132" s="114">
        <v>3352.58</v>
      </c>
      <c r="Y132" s="114"/>
      <c r="Z132" s="114"/>
      <c r="AA132" s="114"/>
      <c r="AB132" s="114">
        <v>79.98</v>
      </c>
      <c r="AC132" s="114">
        <v>295.95999999999998</v>
      </c>
      <c r="AD132" s="114"/>
      <c r="AE132" s="114"/>
    </row>
    <row r="133" spans="1:31" s="137" customFormat="1" ht="36" hidden="1" customHeight="1" x14ac:dyDescent="0.25">
      <c r="A133" s="110"/>
      <c r="B133" s="110"/>
      <c r="C133" s="112" t="s">
        <v>219</v>
      </c>
      <c r="D133" s="112"/>
      <c r="E133" s="113"/>
      <c r="F133" s="112"/>
      <c r="G133" s="114">
        <v>1225.5999999999999</v>
      </c>
      <c r="H133" s="114"/>
      <c r="I133" s="114"/>
      <c r="J133" s="114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15"/>
      <c r="V133" s="115"/>
      <c r="W133" s="114"/>
      <c r="X133" s="114">
        <v>1058.97</v>
      </c>
      <c r="Y133" s="114"/>
      <c r="Z133" s="114"/>
      <c r="AA133" s="114"/>
      <c r="AB133" s="114">
        <v>61.89</v>
      </c>
      <c r="AC133" s="114">
        <v>104.74</v>
      </c>
      <c r="AD133" s="114"/>
      <c r="AE133" s="114"/>
    </row>
    <row r="134" spans="1:31" s="137" customFormat="1" ht="36" hidden="1" customHeight="1" x14ac:dyDescent="0.25">
      <c r="A134" s="110"/>
      <c r="B134" s="110"/>
      <c r="C134" s="112" t="s">
        <v>221</v>
      </c>
      <c r="D134" s="112"/>
      <c r="E134" s="113"/>
      <c r="F134" s="112"/>
      <c r="G134" s="114">
        <v>4968.83</v>
      </c>
      <c r="H134" s="114"/>
      <c r="I134" s="114"/>
      <c r="J134" s="114"/>
      <c r="K134" s="115"/>
      <c r="L134" s="115"/>
      <c r="M134" s="115"/>
      <c r="N134" s="115"/>
      <c r="O134" s="115"/>
      <c r="P134" s="115"/>
      <c r="Q134" s="115"/>
      <c r="R134" s="115"/>
      <c r="S134" s="115"/>
      <c r="T134" s="115"/>
      <c r="U134" s="115"/>
      <c r="V134" s="115"/>
      <c r="W134" s="114">
        <v>459.72</v>
      </c>
      <c r="X134" s="114">
        <v>2435.13</v>
      </c>
      <c r="Y134" s="114"/>
      <c r="Z134" s="114">
        <v>593.78</v>
      </c>
      <c r="AA134" s="114">
        <v>1237.3800000000001</v>
      </c>
      <c r="AB134" s="114">
        <v>66.650000000000006</v>
      </c>
      <c r="AC134" s="114">
        <v>176.16</v>
      </c>
      <c r="AD134" s="114"/>
      <c r="AE134" s="114"/>
    </row>
    <row r="135" spans="1:31" s="137" customFormat="1" ht="36" hidden="1" customHeight="1" x14ac:dyDescent="0.25">
      <c r="A135" s="110"/>
      <c r="B135" s="110"/>
      <c r="C135" s="112" t="s">
        <v>222</v>
      </c>
      <c r="D135" s="112"/>
      <c r="E135" s="113"/>
      <c r="F135" s="112"/>
      <c r="G135" s="114">
        <v>2742.93</v>
      </c>
      <c r="H135" s="114"/>
      <c r="I135" s="114"/>
      <c r="J135" s="114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5"/>
      <c r="V135" s="115"/>
      <c r="W135" s="114">
        <v>621.98</v>
      </c>
      <c r="X135" s="114">
        <v>39.04</v>
      </c>
      <c r="Y135" s="114">
        <v>1052.18</v>
      </c>
      <c r="Z135" s="114">
        <v>214.25</v>
      </c>
      <c r="AA135" s="114">
        <v>90.46</v>
      </c>
      <c r="AB135" s="114"/>
      <c r="AC135" s="114">
        <v>725.03</v>
      </c>
      <c r="AD135" s="114"/>
      <c r="AE135" s="114"/>
    </row>
    <row r="136" spans="1:31" s="137" customFormat="1" ht="36" hidden="1" customHeight="1" x14ac:dyDescent="0.25">
      <c r="A136" s="110"/>
      <c r="B136" s="110"/>
      <c r="C136" s="112" t="s">
        <v>223</v>
      </c>
      <c r="D136" s="112"/>
      <c r="E136" s="113"/>
      <c r="F136" s="112"/>
      <c r="G136" s="114">
        <v>2990.5</v>
      </c>
      <c r="H136" s="114"/>
      <c r="I136" s="114"/>
      <c r="J136" s="114"/>
      <c r="K136" s="115"/>
      <c r="L136" s="115"/>
      <c r="M136" s="115"/>
      <c r="N136" s="115"/>
      <c r="O136" s="115"/>
      <c r="P136" s="115"/>
      <c r="Q136" s="115"/>
      <c r="R136" s="115"/>
      <c r="S136" s="115"/>
      <c r="T136" s="115"/>
      <c r="U136" s="115"/>
      <c r="V136" s="115"/>
      <c r="W136" s="114"/>
      <c r="X136" s="114">
        <v>2656.28</v>
      </c>
      <c r="Y136" s="114"/>
      <c r="Z136" s="114"/>
      <c r="AA136" s="114"/>
      <c r="AB136" s="114">
        <v>329.46</v>
      </c>
      <c r="AC136" s="114">
        <v>4.76</v>
      </c>
      <c r="AD136" s="114"/>
      <c r="AE136" s="114"/>
    </row>
    <row r="137" spans="1:31" s="137" customFormat="1" ht="36" hidden="1" customHeight="1" x14ac:dyDescent="0.25">
      <c r="A137" s="110"/>
      <c r="B137" s="110"/>
      <c r="C137" s="112" t="s">
        <v>227</v>
      </c>
      <c r="D137" s="112"/>
      <c r="E137" s="113"/>
      <c r="F137" s="112"/>
      <c r="G137" s="114">
        <v>1042.56</v>
      </c>
      <c r="H137" s="114"/>
      <c r="I137" s="114"/>
      <c r="J137" s="114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4">
        <v>44.41</v>
      </c>
      <c r="X137" s="114"/>
      <c r="Y137" s="114">
        <v>454.92</v>
      </c>
      <c r="Z137" s="114">
        <v>498.84</v>
      </c>
      <c r="AA137" s="114"/>
      <c r="AB137" s="114"/>
      <c r="AC137" s="114">
        <v>44.39</v>
      </c>
      <c r="AD137" s="114"/>
      <c r="AE137" s="114"/>
    </row>
    <row r="138" spans="1:31" s="137" customFormat="1" ht="36" hidden="1" customHeight="1" x14ac:dyDescent="0.25">
      <c r="A138" s="110"/>
      <c r="B138" s="110"/>
      <c r="C138" s="112" t="s">
        <v>225</v>
      </c>
      <c r="D138" s="112"/>
      <c r="E138" s="113"/>
      <c r="F138" s="112"/>
      <c r="G138" s="114">
        <v>2004.86</v>
      </c>
      <c r="H138" s="114"/>
      <c r="I138" s="114"/>
      <c r="J138" s="114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4">
        <v>405.64</v>
      </c>
      <c r="X138" s="114">
        <v>1036.47</v>
      </c>
      <c r="Y138" s="114"/>
      <c r="Z138" s="114"/>
      <c r="AA138" s="114"/>
      <c r="AB138" s="114">
        <v>496.1</v>
      </c>
      <c r="AC138" s="114">
        <v>66.650000000000006</v>
      </c>
      <c r="AD138" s="114"/>
      <c r="AE138" s="114"/>
    </row>
    <row r="139" spans="1:31" s="137" customFormat="1" ht="36" hidden="1" customHeight="1" x14ac:dyDescent="0.25">
      <c r="A139" s="110"/>
      <c r="B139" s="110"/>
      <c r="C139" s="112" t="s">
        <v>226</v>
      </c>
      <c r="D139" s="112"/>
      <c r="E139" s="113"/>
      <c r="F139" s="112"/>
      <c r="G139" s="114">
        <v>723.29</v>
      </c>
      <c r="H139" s="114"/>
      <c r="I139" s="114"/>
      <c r="J139" s="114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15"/>
      <c r="V139" s="115"/>
      <c r="W139" s="114"/>
      <c r="X139" s="114">
        <v>405.64</v>
      </c>
      <c r="Y139" s="114"/>
      <c r="Z139" s="114"/>
      <c r="AA139" s="114"/>
      <c r="AB139" s="114">
        <v>6.67</v>
      </c>
      <c r="AC139" s="114">
        <v>310.99</v>
      </c>
      <c r="AD139" s="114"/>
      <c r="AE139" s="114"/>
    </row>
    <row r="140" spans="1:31" s="137" customFormat="1" ht="36" hidden="1" customHeight="1" x14ac:dyDescent="0.25">
      <c r="A140" s="110"/>
      <c r="B140" s="110"/>
      <c r="C140" s="112" t="s">
        <v>229</v>
      </c>
      <c r="D140" s="112"/>
      <c r="E140" s="113"/>
      <c r="F140" s="112"/>
      <c r="G140" s="114">
        <v>1648.08</v>
      </c>
      <c r="H140" s="114"/>
      <c r="I140" s="114"/>
      <c r="J140" s="114"/>
      <c r="K140" s="115"/>
      <c r="L140" s="115"/>
      <c r="M140" s="115"/>
      <c r="N140" s="115"/>
      <c r="O140" s="115"/>
      <c r="P140" s="115"/>
      <c r="Q140" s="115"/>
      <c r="R140" s="115"/>
      <c r="S140" s="115"/>
      <c r="T140" s="115"/>
      <c r="U140" s="115"/>
      <c r="V140" s="115"/>
      <c r="W140" s="114">
        <v>1352.12</v>
      </c>
      <c r="X140" s="114"/>
      <c r="Y140" s="114"/>
      <c r="Z140" s="114"/>
      <c r="AA140" s="114"/>
      <c r="AB140" s="114"/>
      <c r="AC140" s="114">
        <v>295.95999999999998</v>
      </c>
      <c r="AD140" s="114"/>
      <c r="AE140" s="114"/>
    </row>
    <row r="141" spans="1:31" s="137" customFormat="1" ht="36" hidden="1" customHeight="1" x14ac:dyDescent="0.25">
      <c r="A141" s="110"/>
      <c r="B141" s="110"/>
      <c r="C141" s="112" t="s">
        <v>228</v>
      </c>
      <c r="D141" s="112"/>
      <c r="E141" s="113"/>
      <c r="F141" s="112"/>
      <c r="G141" s="114">
        <v>3697.22</v>
      </c>
      <c r="H141" s="114"/>
      <c r="I141" s="114"/>
      <c r="J141" s="114"/>
      <c r="K141" s="115"/>
      <c r="L141" s="115"/>
      <c r="M141" s="115"/>
      <c r="N141" s="115"/>
      <c r="O141" s="115"/>
      <c r="P141" s="115"/>
      <c r="Q141" s="115"/>
      <c r="R141" s="115"/>
      <c r="S141" s="115"/>
      <c r="T141" s="115"/>
      <c r="U141" s="115"/>
      <c r="V141" s="115"/>
      <c r="W141" s="114">
        <v>1216.9100000000001</v>
      </c>
      <c r="X141" s="114">
        <v>263.52</v>
      </c>
      <c r="Y141" s="114"/>
      <c r="Z141" s="114">
        <v>1296.97</v>
      </c>
      <c r="AA141" s="114">
        <v>723.67</v>
      </c>
      <c r="AB141" s="114">
        <v>196.15</v>
      </c>
      <c r="AC141" s="114"/>
      <c r="AD141" s="114"/>
      <c r="AE141" s="114"/>
    </row>
    <row r="142" spans="1:31" s="105" customFormat="1" ht="36" hidden="1" customHeight="1" x14ac:dyDescent="0.25">
      <c r="A142" s="24"/>
      <c r="B142" s="24"/>
      <c r="C142" s="101" t="s">
        <v>232</v>
      </c>
      <c r="D142" s="101"/>
      <c r="E142" s="141"/>
      <c r="F142" s="101"/>
      <c r="G142" s="147">
        <v>735.54</v>
      </c>
      <c r="H142" s="147"/>
      <c r="I142" s="147"/>
      <c r="J142" s="147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147"/>
      <c r="X142" s="147"/>
      <c r="Y142" s="140"/>
      <c r="Z142" s="140"/>
      <c r="AA142" s="140"/>
      <c r="AB142" s="140"/>
      <c r="AC142" s="140"/>
      <c r="AD142" s="140"/>
      <c r="AE142" s="140"/>
    </row>
    <row r="143" spans="1:31" s="137" customFormat="1" ht="36" hidden="1" customHeight="1" x14ac:dyDescent="0.25">
      <c r="A143" s="110"/>
      <c r="B143" s="110"/>
      <c r="C143" s="112" t="s">
        <v>230</v>
      </c>
      <c r="D143" s="112"/>
      <c r="E143" s="113"/>
      <c r="F143" s="112"/>
      <c r="G143" s="114">
        <v>4982.76</v>
      </c>
      <c r="H143" s="114"/>
      <c r="I143" s="114"/>
      <c r="J143" s="114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4"/>
      <c r="X143" s="114">
        <v>4484.74</v>
      </c>
      <c r="Y143" s="114"/>
      <c r="Z143" s="114"/>
      <c r="AA143" s="114"/>
      <c r="AB143" s="114">
        <v>492.76</v>
      </c>
      <c r="AC143" s="114">
        <v>4.76</v>
      </c>
      <c r="AD143" s="114"/>
      <c r="AE143" s="114"/>
    </row>
    <row r="144" spans="1:31" s="137" customFormat="1" ht="36" hidden="1" customHeight="1" x14ac:dyDescent="0.25">
      <c r="A144" s="110"/>
      <c r="B144" s="110"/>
      <c r="C144" s="112" t="s">
        <v>231</v>
      </c>
      <c r="D144" s="112"/>
      <c r="E144" s="113"/>
      <c r="F144" s="112"/>
      <c r="G144" s="114">
        <v>2456.44</v>
      </c>
      <c r="H144" s="114"/>
      <c r="I144" s="114"/>
      <c r="J144" s="114"/>
      <c r="K144" s="115"/>
      <c r="L144" s="115"/>
      <c r="M144" s="115"/>
      <c r="N144" s="115"/>
      <c r="O144" s="115"/>
      <c r="P144" s="115"/>
      <c r="Q144" s="115"/>
      <c r="R144" s="115"/>
      <c r="S144" s="115"/>
      <c r="T144" s="115"/>
      <c r="U144" s="115"/>
      <c r="V144" s="115"/>
      <c r="W144" s="114"/>
      <c r="X144" s="114">
        <v>439.2</v>
      </c>
      <c r="Y144" s="114">
        <v>963.63</v>
      </c>
      <c r="Z144" s="114">
        <v>971.24</v>
      </c>
      <c r="AA144" s="114"/>
      <c r="AB144" s="114">
        <v>77.599999999999994</v>
      </c>
      <c r="AC144" s="114">
        <v>4.76</v>
      </c>
      <c r="AD144" s="114"/>
      <c r="AE144" s="114"/>
    </row>
    <row r="145" spans="1:157" s="137" customFormat="1" ht="36" hidden="1" customHeight="1" x14ac:dyDescent="0.25">
      <c r="A145" s="110"/>
      <c r="B145" s="110"/>
      <c r="C145" s="112" t="s">
        <v>233</v>
      </c>
      <c r="D145" s="112"/>
      <c r="E145" s="113"/>
      <c r="F145" s="112"/>
      <c r="G145" s="114">
        <v>3850.46</v>
      </c>
      <c r="H145" s="114"/>
      <c r="I145" s="114"/>
      <c r="J145" s="114"/>
      <c r="K145" s="115"/>
      <c r="L145" s="115"/>
      <c r="M145" s="115"/>
      <c r="N145" s="115"/>
      <c r="O145" s="115"/>
      <c r="P145" s="115"/>
      <c r="Q145" s="115"/>
      <c r="R145" s="115"/>
      <c r="S145" s="115"/>
      <c r="T145" s="115"/>
      <c r="U145" s="115"/>
      <c r="V145" s="115"/>
      <c r="W145" s="114">
        <v>473.24</v>
      </c>
      <c r="X145" s="114">
        <v>2469.29</v>
      </c>
      <c r="Y145" s="114">
        <v>54.75</v>
      </c>
      <c r="Z145" s="114">
        <v>214.25</v>
      </c>
      <c r="AA145" s="114"/>
      <c r="AB145" s="114">
        <v>638.92999999999995</v>
      </c>
      <c r="AC145" s="114"/>
      <c r="AD145" s="114"/>
      <c r="AE145" s="114"/>
    </row>
    <row r="146" spans="1:157" s="137" customFormat="1" ht="36" hidden="1" customHeight="1" x14ac:dyDescent="0.25">
      <c r="A146" s="110"/>
      <c r="B146" s="110"/>
      <c r="C146" s="112" t="s">
        <v>234</v>
      </c>
      <c r="D146" s="112"/>
      <c r="E146" s="113"/>
      <c r="F146" s="112"/>
      <c r="G146" s="114">
        <v>1296.3</v>
      </c>
      <c r="H146" s="114"/>
      <c r="I146" s="114"/>
      <c r="J146" s="114"/>
      <c r="K146" s="115"/>
      <c r="L146" s="115"/>
      <c r="M146" s="115"/>
      <c r="N146" s="115"/>
      <c r="O146" s="115"/>
      <c r="P146" s="115"/>
      <c r="Q146" s="115"/>
      <c r="R146" s="115"/>
      <c r="S146" s="115"/>
      <c r="T146" s="115"/>
      <c r="U146" s="115"/>
      <c r="V146" s="115"/>
      <c r="W146" s="114"/>
      <c r="X146" s="114">
        <v>756.4</v>
      </c>
      <c r="Y146" s="114">
        <v>43.8</v>
      </c>
      <c r="Z146" s="114">
        <v>361.84</v>
      </c>
      <c r="AA146" s="114"/>
      <c r="AB146" s="114">
        <v>134.26</v>
      </c>
      <c r="AC146" s="114"/>
      <c r="AD146" s="114"/>
      <c r="AE146" s="114"/>
    </row>
    <row r="147" spans="1:157" s="137" customFormat="1" ht="36" hidden="1" customHeight="1" x14ac:dyDescent="0.25">
      <c r="A147" s="110"/>
      <c r="B147" s="110"/>
      <c r="C147" s="112" t="s">
        <v>235</v>
      </c>
      <c r="D147" s="112"/>
      <c r="E147" s="113"/>
      <c r="F147" s="112"/>
      <c r="G147" s="114">
        <v>747.95</v>
      </c>
      <c r="H147" s="114"/>
      <c r="I147" s="114"/>
      <c r="J147" s="114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4"/>
      <c r="X147" s="114">
        <v>605.12</v>
      </c>
      <c r="Y147" s="114"/>
      <c r="Z147" s="114"/>
      <c r="AA147" s="114"/>
      <c r="AB147" s="114"/>
      <c r="AC147" s="114">
        <v>142.83000000000001</v>
      </c>
      <c r="AD147" s="114"/>
      <c r="AE147" s="114"/>
    </row>
    <row r="148" spans="1:157" s="137" customFormat="1" ht="36" hidden="1" customHeight="1" x14ac:dyDescent="0.25">
      <c r="A148" s="110"/>
      <c r="B148" s="110"/>
      <c r="C148" s="112" t="s">
        <v>237</v>
      </c>
      <c r="D148" s="112"/>
      <c r="E148" s="113"/>
      <c r="F148" s="112"/>
      <c r="G148" s="114">
        <v>4999.53</v>
      </c>
      <c r="H148" s="114"/>
      <c r="I148" s="114"/>
      <c r="J148" s="114"/>
      <c r="K148" s="115"/>
      <c r="L148" s="115"/>
      <c r="M148" s="115"/>
      <c r="N148" s="115"/>
      <c r="O148" s="115"/>
      <c r="P148" s="115"/>
      <c r="Q148" s="115"/>
      <c r="R148" s="115"/>
      <c r="S148" s="115"/>
      <c r="T148" s="115"/>
      <c r="U148" s="115"/>
      <c r="V148" s="115"/>
      <c r="W148" s="114"/>
      <c r="X148" s="114">
        <v>3708.82</v>
      </c>
      <c r="Y148" s="114">
        <v>470.86</v>
      </c>
      <c r="Z148" s="114">
        <v>729.39</v>
      </c>
      <c r="AA148" s="114"/>
      <c r="AB148" s="114">
        <v>7.62</v>
      </c>
      <c r="AC148" s="114">
        <v>82.84</v>
      </c>
      <c r="AD148" s="114"/>
      <c r="AE148" s="114"/>
    </row>
    <row r="149" spans="1:157" s="137" customFormat="1" ht="36" hidden="1" customHeight="1" x14ac:dyDescent="0.25">
      <c r="A149" s="110"/>
      <c r="B149" s="110"/>
      <c r="C149" s="112" t="s">
        <v>238</v>
      </c>
      <c r="D149" s="112"/>
      <c r="E149" s="113"/>
      <c r="F149" s="112"/>
      <c r="G149" s="114">
        <v>1255.1300000000001</v>
      </c>
      <c r="H149" s="114"/>
      <c r="I149" s="114"/>
      <c r="J149" s="114"/>
      <c r="K149" s="115"/>
      <c r="L149" s="115"/>
      <c r="M149" s="115"/>
      <c r="N149" s="115"/>
      <c r="O149" s="115"/>
      <c r="P149" s="115"/>
      <c r="Q149" s="115"/>
      <c r="R149" s="115"/>
      <c r="S149" s="115"/>
      <c r="T149" s="115"/>
      <c r="U149" s="115"/>
      <c r="V149" s="115"/>
      <c r="W149" s="114">
        <v>567.89</v>
      </c>
      <c r="X149" s="114"/>
      <c r="Y149" s="114"/>
      <c r="Z149" s="114">
        <v>687.24</v>
      </c>
      <c r="AA149" s="114"/>
      <c r="AB149" s="114"/>
      <c r="AC149" s="114"/>
      <c r="AD149" s="114"/>
      <c r="AE149" s="114"/>
    </row>
    <row r="150" spans="1:157" s="137" customFormat="1" ht="36" hidden="1" customHeight="1" x14ac:dyDescent="0.25">
      <c r="A150" s="110"/>
      <c r="B150" s="110"/>
      <c r="C150" s="112" t="s">
        <v>239</v>
      </c>
      <c r="D150" s="112"/>
      <c r="E150" s="113"/>
      <c r="F150" s="112"/>
      <c r="G150" s="114"/>
      <c r="H150" s="114"/>
      <c r="I150" s="114"/>
      <c r="J150" s="114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4">
        <v>229.86</v>
      </c>
      <c r="X150" s="114">
        <v>3647.64</v>
      </c>
      <c r="Y150" s="114"/>
      <c r="Z150" s="114"/>
      <c r="AA150" s="114"/>
      <c r="AB150" s="114">
        <v>879.59</v>
      </c>
      <c r="AC150" s="114">
        <v>228.01</v>
      </c>
      <c r="AD150" s="114"/>
      <c r="AE150" s="114"/>
    </row>
    <row r="151" spans="1:157" s="105" customFormat="1" ht="36" hidden="1" customHeight="1" x14ac:dyDescent="0.25">
      <c r="A151" s="24"/>
      <c r="B151" s="24"/>
      <c r="C151" s="101"/>
      <c r="D151" s="101"/>
      <c r="E151" s="141"/>
      <c r="F151" s="101"/>
      <c r="G151" s="147"/>
      <c r="H151" s="147"/>
      <c r="I151" s="147"/>
      <c r="J151" s="147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147"/>
      <c r="X151" s="147"/>
      <c r="Y151" s="142"/>
      <c r="Z151" s="142"/>
      <c r="AA151" s="142"/>
      <c r="AB151" s="142"/>
      <c r="AC151" s="142"/>
      <c r="AD151" s="142"/>
      <c r="AE151" s="142"/>
    </row>
    <row r="152" spans="1:157" ht="51.75" customHeight="1" x14ac:dyDescent="0.25">
      <c r="A152" s="14"/>
      <c r="B152" s="14"/>
      <c r="C152" s="14"/>
      <c r="D152" s="14"/>
      <c r="E152" s="14"/>
      <c r="F152" s="14"/>
      <c r="G152" s="146"/>
      <c r="H152" s="107"/>
      <c r="I152" s="107"/>
      <c r="J152" s="107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5"/>
      <c r="W152" s="147">
        <f t="shared" ref="W152:AE152" si="12">W97+W99+W103+W104+W105+W106+W108+W109+W110+W111+W112+W113+W114+W115+W116+W117+W121+W118+W123+W126+W127+W128+W129+W130+W131+W132+W133+W134+W135+W136+W137+W138+W139+W140+W141+W142+W143+W144+W145</f>
        <v>16621.189999999999</v>
      </c>
      <c r="X152" s="147">
        <f t="shared" si="12"/>
        <v>61766.859999999979</v>
      </c>
      <c r="Y152" s="143">
        <f t="shared" si="12"/>
        <v>11082.509999999998</v>
      </c>
      <c r="Z152" s="143">
        <f t="shared" si="12"/>
        <v>20402.760000000002</v>
      </c>
      <c r="AA152" s="143">
        <f t="shared" si="12"/>
        <v>20943.849999999999</v>
      </c>
      <c r="AB152" s="143">
        <f t="shared" si="12"/>
        <v>6329.55</v>
      </c>
      <c r="AC152" s="143">
        <f t="shared" si="12"/>
        <v>10074.359999999999</v>
      </c>
      <c r="AD152" s="143">
        <f t="shared" si="12"/>
        <v>0</v>
      </c>
      <c r="AE152" s="143">
        <f t="shared" si="12"/>
        <v>0</v>
      </c>
    </row>
    <row r="153" spans="1:157" ht="36" x14ac:dyDescent="0.25">
      <c r="G153" s="3"/>
      <c r="H153" s="117"/>
      <c r="I153" s="117"/>
      <c r="J153" s="117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6"/>
      <c r="W153" s="144">
        <v>3981</v>
      </c>
      <c r="X153" s="144" t="s">
        <v>137</v>
      </c>
      <c r="Y153" s="145" t="s">
        <v>140</v>
      </c>
      <c r="Z153" s="145" t="s">
        <v>144</v>
      </c>
      <c r="AA153" s="145" t="s">
        <v>141</v>
      </c>
      <c r="AB153" s="145" t="s">
        <v>138</v>
      </c>
      <c r="AC153" s="145" t="s">
        <v>143</v>
      </c>
      <c r="AD153" s="145" t="s">
        <v>139</v>
      </c>
      <c r="AE153" s="145" t="s">
        <v>142</v>
      </c>
    </row>
    <row r="154" spans="1:157" ht="57.75" customHeight="1" x14ac:dyDescent="0.25">
      <c r="G154" s="3"/>
      <c r="H154" s="117"/>
      <c r="I154" s="117"/>
      <c r="J154" s="117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6"/>
      <c r="W154" s="30" t="s">
        <v>220</v>
      </c>
      <c r="X154" s="30" t="s">
        <v>67</v>
      </c>
      <c r="Y154" s="30" t="s">
        <v>60</v>
      </c>
      <c r="Z154" s="30" t="s">
        <v>61</v>
      </c>
      <c r="AA154" s="101" t="s">
        <v>62</v>
      </c>
      <c r="AB154" s="30" t="s">
        <v>63</v>
      </c>
      <c r="AC154" s="30" t="s">
        <v>64</v>
      </c>
      <c r="AD154" s="30" t="s">
        <v>65</v>
      </c>
      <c r="AE154" s="30" t="s">
        <v>66</v>
      </c>
    </row>
    <row r="155" spans="1:157" ht="31.5" customHeight="1" x14ac:dyDescent="0.25">
      <c r="G155" s="3"/>
      <c r="H155" s="117"/>
      <c r="I155" s="117"/>
      <c r="J155" s="117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6"/>
      <c r="W155" s="147">
        <f>SUM(W141:W151)</f>
        <v>2487.9</v>
      </c>
      <c r="X155" s="147">
        <f t="shared" ref="X155:AD155" si="13">SUM(X141:X151)</f>
        <v>16374.73</v>
      </c>
      <c r="Y155" s="147">
        <f t="shared" si="13"/>
        <v>1533.04</v>
      </c>
      <c r="Z155" s="147">
        <f t="shared" si="13"/>
        <v>4260.93</v>
      </c>
      <c r="AA155" s="147">
        <f t="shared" si="13"/>
        <v>723.67</v>
      </c>
      <c r="AB155" s="147">
        <f t="shared" si="13"/>
        <v>2426.91</v>
      </c>
      <c r="AC155" s="147">
        <f t="shared" si="13"/>
        <v>463.20000000000005</v>
      </c>
      <c r="AD155" s="147">
        <f t="shared" si="13"/>
        <v>0</v>
      </c>
      <c r="AE155" s="148"/>
    </row>
    <row r="156" spans="1:157" s="149" customFormat="1" ht="31.5" customHeight="1" x14ac:dyDescent="0.35">
      <c r="G156" s="216" t="s">
        <v>236</v>
      </c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150">
        <f>7757.97-W155</f>
        <v>5270.07</v>
      </c>
      <c r="X156" s="150">
        <f>15112.89-X155</f>
        <v>-1261.8400000000001</v>
      </c>
      <c r="Y156" s="150">
        <f>43698.49-Y155</f>
        <v>42165.45</v>
      </c>
      <c r="Z156" s="150">
        <f>76643.7-Z155</f>
        <v>72382.76999999999</v>
      </c>
      <c r="AA156" s="150">
        <f>12475.2-AA155</f>
        <v>11751.53</v>
      </c>
      <c r="AB156" s="150">
        <f>20811.89-AB155</f>
        <v>18384.98</v>
      </c>
      <c r="AC156" s="150">
        <f>246.15-AC155</f>
        <v>-217.05000000000004</v>
      </c>
      <c r="AD156" s="150">
        <f>2000-AD155</f>
        <v>2000</v>
      </c>
      <c r="AE156" s="150"/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  <c r="BI156" s="151"/>
      <c r="BJ156" s="151"/>
      <c r="BK156" s="151"/>
      <c r="BL156" s="151"/>
      <c r="BM156" s="151"/>
      <c r="BN156" s="151"/>
      <c r="BO156" s="151"/>
      <c r="BP156" s="151"/>
      <c r="BQ156" s="151"/>
      <c r="BR156" s="151"/>
      <c r="BS156" s="151"/>
      <c r="BT156" s="151"/>
      <c r="BU156" s="151"/>
      <c r="BV156" s="151"/>
      <c r="BW156" s="151"/>
      <c r="BX156" s="151"/>
      <c r="BY156" s="151"/>
      <c r="BZ156" s="151"/>
      <c r="CA156" s="151"/>
      <c r="CB156" s="151"/>
      <c r="CC156" s="151"/>
      <c r="CD156" s="151"/>
      <c r="CE156" s="151"/>
      <c r="CF156" s="151"/>
      <c r="CG156" s="151"/>
      <c r="CH156" s="151"/>
      <c r="CI156" s="151"/>
      <c r="CJ156" s="151"/>
      <c r="CK156" s="151"/>
      <c r="CL156" s="151"/>
      <c r="CM156" s="151"/>
      <c r="CN156" s="151"/>
      <c r="CO156" s="151"/>
      <c r="CP156" s="151"/>
      <c r="CQ156" s="151"/>
      <c r="CR156" s="151"/>
      <c r="CS156" s="151"/>
      <c r="CT156" s="151"/>
      <c r="CU156" s="151"/>
      <c r="CV156" s="151"/>
      <c r="CW156" s="151"/>
      <c r="CX156" s="151"/>
      <c r="CY156" s="151"/>
      <c r="CZ156" s="151"/>
      <c r="DA156" s="151"/>
      <c r="DB156" s="151"/>
      <c r="DC156" s="151"/>
      <c r="DD156" s="151"/>
      <c r="DE156" s="151"/>
      <c r="DF156" s="151"/>
      <c r="DG156" s="151"/>
      <c r="DH156" s="151"/>
      <c r="DI156" s="151"/>
      <c r="DJ156" s="151"/>
      <c r="DK156" s="151"/>
      <c r="DL156" s="151"/>
      <c r="DM156" s="151"/>
      <c r="DN156" s="151"/>
      <c r="DO156" s="151"/>
      <c r="DP156" s="151"/>
      <c r="DQ156" s="151"/>
      <c r="DR156" s="151"/>
      <c r="DS156" s="151"/>
      <c r="DT156" s="151"/>
      <c r="DU156" s="151"/>
      <c r="DV156" s="151"/>
      <c r="DW156" s="151"/>
      <c r="DX156" s="151"/>
      <c r="DY156" s="151"/>
      <c r="DZ156" s="151"/>
      <c r="EA156" s="151"/>
      <c r="EB156" s="151"/>
      <c r="EC156" s="151"/>
      <c r="ED156" s="151"/>
      <c r="EE156" s="151"/>
      <c r="EF156" s="151"/>
      <c r="EG156" s="151"/>
      <c r="EH156" s="151"/>
      <c r="EI156" s="151"/>
      <c r="EJ156" s="151"/>
      <c r="EK156" s="151"/>
      <c r="EL156" s="151"/>
      <c r="EM156" s="151"/>
      <c r="EN156" s="151"/>
      <c r="EO156" s="151"/>
      <c r="EP156" s="151"/>
      <c r="EQ156" s="151"/>
      <c r="ER156" s="151"/>
      <c r="ES156" s="151"/>
      <c r="ET156" s="151"/>
      <c r="EU156" s="151"/>
      <c r="EV156" s="151"/>
      <c r="EW156" s="151"/>
      <c r="EX156" s="151"/>
      <c r="EY156" s="151"/>
      <c r="EZ156" s="151"/>
      <c r="FA156" s="151"/>
    </row>
    <row r="157" spans="1:157" x14ac:dyDescent="0.25">
      <c r="G157" s="3"/>
      <c r="H157" s="117"/>
      <c r="I157" s="117"/>
      <c r="J157" s="117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6"/>
      <c r="W157" s="5"/>
      <c r="X157" s="5"/>
      <c r="Y157" s="24"/>
      <c r="Z157" s="24"/>
      <c r="AA157" s="24"/>
      <c r="AB157" s="24"/>
      <c r="AC157" s="24"/>
      <c r="AD157" s="24"/>
      <c r="AE157" s="24"/>
    </row>
    <row r="158" spans="1:157" x14ac:dyDescent="0.25">
      <c r="G158" s="3"/>
      <c r="H158" s="117"/>
      <c r="I158" s="117"/>
      <c r="J158" s="117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6"/>
      <c r="W158" s="5"/>
      <c r="X158" s="5"/>
      <c r="Y158" s="24"/>
      <c r="Z158" s="24"/>
      <c r="AA158" s="24"/>
      <c r="AB158" s="24"/>
      <c r="AC158" s="24"/>
      <c r="AD158" s="24"/>
      <c r="AE158" s="24"/>
    </row>
    <row r="159" spans="1:157" x14ac:dyDescent="0.25">
      <c r="G159" s="3"/>
      <c r="H159" s="117"/>
      <c r="I159" s="117"/>
      <c r="J159" s="117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6"/>
      <c r="W159" s="5"/>
      <c r="X159" s="5"/>
      <c r="Y159" s="24"/>
      <c r="Z159" s="24"/>
      <c r="AA159" s="24"/>
      <c r="AB159" s="24"/>
      <c r="AC159" s="24"/>
      <c r="AD159" s="24"/>
      <c r="AE159" s="24"/>
    </row>
    <row r="160" spans="1:157" x14ac:dyDescent="0.25">
      <c r="G160" s="3"/>
      <c r="H160" s="117"/>
      <c r="I160" s="117"/>
      <c r="J160" s="117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6"/>
      <c r="W160" s="6"/>
      <c r="X160" s="6"/>
      <c r="Y160" s="64"/>
      <c r="Z160" s="64"/>
      <c r="AB160" s="64"/>
      <c r="AC160" s="64"/>
      <c r="AD160" s="64"/>
      <c r="AE160" s="64"/>
    </row>
    <row r="161" spans="7:24" x14ac:dyDescent="0.25">
      <c r="G161" s="3"/>
      <c r="H161" s="117"/>
      <c r="I161" s="117"/>
      <c r="J161" s="117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</sheetData>
  <autoFilter ref="C8:H8"/>
  <dataConsolidate/>
  <customSheetViews>
    <customSheetView guid="{27408AF0-22BA-4514-9C63-AEEBDB4CAEAD}" scale="55" showAutoFilter="1" hiddenColumns="1" topLeftCell="A34">
      <selection activeCell="H42" sqref="H42"/>
      <pageMargins left="0.7" right="0.7" top="0.75" bottom="0.75" header="0.3" footer="0.3"/>
      <pageSetup paperSize="9" orientation="portrait" r:id="rId1"/>
      <autoFilter ref="B1:G1"/>
    </customSheetView>
  </customSheetViews>
  <mergeCells count="38">
    <mergeCell ref="B9:B31"/>
    <mergeCell ref="B33:B46"/>
    <mergeCell ref="B63:B77"/>
    <mergeCell ref="H76:H77"/>
    <mergeCell ref="I76:I77"/>
    <mergeCell ref="H58:H60"/>
    <mergeCell ref="B48:B61"/>
    <mergeCell ref="I55:I56"/>
    <mergeCell ref="H70:H72"/>
    <mergeCell ref="I70:I72"/>
    <mergeCell ref="I58:I60"/>
    <mergeCell ref="H67:H69"/>
    <mergeCell ref="AM3:AT3"/>
    <mergeCell ref="AH4:AH8"/>
    <mergeCell ref="AI4:AI8"/>
    <mergeCell ref="AK4:AK8"/>
    <mergeCell ref="X3:AE3"/>
    <mergeCell ref="AJ4:AJ8"/>
    <mergeCell ref="AK70:AK72"/>
    <mergeCell ref="AK55:AK56"/>
    <mergeCell ref="AJ67:AJ69"/>
    <mergeCell ref="AJ70:AJ72"/>
    <mergeCell ref="AJ51:AJ52"/>
    <mergeCell ref="AK67:AK69"/>
    <mergeCell ref="AK51:AK52"/>
    <mergeCell ref="G156:V156"/>
    <mergeCell ref="M3:T3"/>
    <mergeCell ref="AJ55:AJ56"/>
    <mergeCell ref="AI55:AI56"/>
    <mergeCell ref="AI67:AI69"/>
    <mergeCell ref="AI70:AI72"/>
    <mergeCell ref="I73:I75"/>
    <mergeCell ref="AI51:AI52"/>
    <mergeCell ref="I67:I69"/>
    <mergeCell ref="H73:H75"/>
    <mergeCell ref="C5:K5"/>
    <mergeCell ref="C6:K6"/>
    <mergeCell ref="C7:K7"/>
  </mergeCells>
  <pageMargins left="0.7" right="0.7" top="0.75" bottom="0.75" header="0.3" footer="0.3"/>
  <pageSetup paperSize="9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 мая 2013</vt:lpstr>
      <vt:lpstr>согласование 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soloviev.ma</dc:creator>
  <cp:lastModifiedBy>Голышев Михаил Николаевич</cp:lastModifiedBy>
  <cp:lastPrinted>2013-03-19T06:17:51Z</cp:lastPrinted>
  <dcterms:created xsi:type="dcterms:W3CDTF">2011-11-28T12:39:26Z</dcterms:created>
  <dcterms:modified xsi:type="dcterms:W3CDTF">2014-07-04T05:15:31Z</dcterms:modified>
</cp:coreProperties>
</file>