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65" windowWidth="15120" windowHeight="7350" tabRatio="197" firstSheet="1" activeTab="2"/>
  </bookViews>
  <sheets>
    <sheet name="26_лот_(льготники)" sheetId="2" r:id="rId1"/>
    <sheet name="Лист2" sheetId="4" r:id="rId2"/>
    <sheet name="26_лот_(льгот) 8500002907" sheetId="6" r:id="rId3"/>
  </sheets>
  <definedNames>
    <definedName name="_xlnm._FilterDatabase" localSheetId="2" hidden="1">'26_лот_(льгот) 8500002907'!$A$5:$S$29</definedName>
    <definedName name="_xlnm._FilterDatabase" localSheetId="0" hidden="1">'26_лот_(льготники)'!$A$2:$BN$117</definedName>
    <definedName name="_xlnm._FilterDatabase" localSheetId="1" hidden="1">Лист2!$A$5:$U$93</definedName>
    <definedName name="_xlnm.Print_Titles" localSheetId="0">'26_лот_(льготники)'!$2:$2</definedName>
    <definedName name="_xlnm.Print_Area" localSheetId="0">'26_лот_(льготники)'!$A$1:$BN$87</definedName>
  </definedNames>
  <calcPr calcId="145621"/>
</workbook>
</file>

<file path=xl/calcChain.xml><?xml version="1.0" encoding="utf-8"?>
<calcChain xmlns="http://schemas.openxmlformats.org/spreadsheetml/2006/main">
  <c r="R11" i="6" l="1"/>
  <c r="R12" i="6"/>
  <c r="R13" i="6"/>
  <c r="R10" i="6"/>
  <c r="R15" i="6" l="1"/>
  <c r="R16" i="6"/>
  <c r="R17" i="6"/>
  <c r="R18" i="6"/>
  <c r="R19" i="6"/>
  <c r="R20" i="6"/>
  <c r="R21" i="6"/>
  <c r="R22" i="6"/>
  <c r="R23" i="6"/>
  <c r="R24" i="6"/>
  <c r="R25" i="6"/>
  <c r="R26" i="6"/>
  <c r="R14" i="6"/>
  <c r="R7" i="6" l="1"/>
  <c r="R8" i="6"/>
  <c r="R9" i="6"/>
  <c r="R27" i="6"/>
  <c r="R28" i="6"/>
  <c r="R29" i="6"/>
  <c r="R6" i="6"/>
  <c r="M2" i="6"/>
  <c r="N2" i="6"/>
  <c r="O2" i="6"/>
  <c r="P2" i="6"/>
  <c r="Q2" i="6"/>
  <c r="L2" i="6"/>
  <c r="R2" i="6" l="1"/>
  <c r="U28" i="6"/>
  <c r="S2" i="6"/>
  <c r="T26" i="4" l="1"/>
  <c r="T20" i="4"/>
  <c r="T66" i="4"/>
  <c r="T67" i="4"/>
  <c r="T68" i="4"/>
  <c r="T69" i="4"/>
  <c r="T70" i="4"/>
  <c r="T71" i="4"/>
  <c r="W86" i="4" l="1"/>
  <c r="W72" i="4"/>
  <c r="W71" i="4"/>
  <c r="W70" i="4"/>
  <c r="W69" i="4"/>
  <c r="W68" i="4"/>
  <c r="W67" i="4"/>
  <c r="W66" i="4"/>
  <c r="W65" i="4"/>
  <c r="W64" i="4"/>
  <c r="W55" i="4"/>
  <c r="W54" i="4"/>
  <c r="W53" i="4"/>
  <c r="W52" i="4"/>
  <c r="W43" i="4"/>
  <c r="W33" i="4"/>
  <c r="W31" i="4"/>
  <c r="W26" i="4"/>
  <c r="W20" i="4"/>
  <c r="W14" i="4"/>
  <c r="W8" i="4"/>
  <c r="T40" i="4"/>
  <c r="W40" i="4" s="1"/>
  <c r="T41" i="4"/>
  <c r="W41" i="4" s="1"/>
  <c r="T42" i="4"/>
  <c r="W42" i="4" s="1"/>
  <c r="T44" i="4"/>
  <c r="W44" i="4" s="1"/>
  <c r="T45" i="4"/>
  <c r="W45" i="4" s="1"/>
  <c r="T46" i="4"/>
  <c r="W46" i="4" s="1"/>
  <c r="T47" i="4"/>
  <c r="W47" i="4" s="1"/>
  <c r="T48" i="4"/>
  <c r="W48" i="4" s="1"/>
  <c r="T49" i="4"/>
  <c r="W49" i="4" s="1"/>
  <c r="T50" i="4"/>
  <c r="W50" i="4" s="1"/>
  <c r="T51" i="4"/>
  <c r="W51" i="4" s="1"/>
  <c r="T56" i="4"/>
  <c r="W56" i="4" s="1"/>
  <c r="T57" i="4"/>
  <c r="W57" i="4" s="1"/>
  <c r="T58" i="4"/>
  <c r="W58" i="4" s="1"/>
  <c r="T59" i="4"/>
  <c r="W59" i="4" s="1"/>
  <c r="T60" i="4"/>
  <c r="W60" i="4" s="1"/>
  <c r="T61" i="4"/>
  <c r="W61" i="4" s="1"/>
  <c r="T62" i="4"/>
  <c r="W62" i="4" s="1"/>
  <c r="T63" i="4"/>
  <c r="W63" i="4" s="1"/>
  <c r="T73" i="4"/>
  <c r="W73" i="4" s="1"/>
  <c r="T74" i="4"/>
  <c r="W74" i="4" s="1"/>
  <c r="T75" i="4"/>
  <c r="W75" i="4" s="1"/>
  <c r="T76" i="4"/>
  <c r="W76" i="4" s="1"/>
  <c r="T77" i="4"/>
  <c r="W77" i="4" s="1"/>
  <c r="T78" i="4"/>
  <c r="W78" i="4" s="1"/>
  <c r="T79" i="4"/>
  <c r="W79" i="4" s="1"/>
  <c r="T80" i="4"/>
  <c r="W80" i="4" s="1"/>
  <c r="T81" i="4"/>
  <c r="W81" i="4" s="1"/>
  <c r="T82" i="4"/>
  <c r="W82" i="4" s="1"/>
  <c r="T83" i="4"/>
  <c r="W83" i="4" s="1"/>
  <c r="T84" i="4"/>
  <c r="W84" i="4" s="1"/>
  <c r="T85" i="4"/>
  <c r="W85" i="4" s="1"/>
  <c r="T87" i="4"/>
  <c r="W87" i="4" s="1"/>
  <c r="T88" i="4"/>
  <c r="W88" i="4" s="1"/>
  <c r="T89" i="4"/>
  <c r="W89" i="4" s="1"/>
  <c r="T90" i="4"/>
  <c r="W90" i="4" s="1"/>
  <c r="T91" i="4"/>
  <c r="W91" i="4" s="1"/>
  <c r="T37" i="4"/>
  <c r="W37" i="4" s="1"/>
  <c r="T12" i="4" l="1"/>
  <c r="W12" i="4" s="1"/>
  <c r="T92" i="4"/>
  <c r="W92" i="4" s="1"/>
  <c r="T93" i="4"/>
  <c r="W93" i="4" s="1"/>
  <c r="N2" i="4"/>
  <c r="O2" i="4"/>
  <c r="P2" i="4"/>
  <c r="R2" i="4"/>
  <c r="S2" i="4"/>
  <c r="T39" i="4"/>
  <c r="W39" i="4" s="1"/>
  <c r="T38" i="4"/>
  <c r="W38" i="4" s="1"/>
  <c r="T36" i="4"/>
  <c r="W36" i="4" s="1"/>
  <c r="T35" i="4"/>
  <c r="W35" i="4" s="1"/>
  <c r="T34" i="4"/>
  <c r="W34" i="4" s="1"/>
  <c r="T32" i="4"/>
  <c r="W32" i="4" s="1"/>
  <c r="T30" i="4"/>
  <c r="W30" i="4" s="1"/>
  <c r="T29" i="4"/>
  <c r="W29" i="4" s="1"/>
  <c r="T28" i="4"/>
  <c r="W28" i="4" s="1"/>
  <c r="T27" i="4"/>
  <c r="W27" i="4" s="1"/>
  <c r="T25" i="4"/>
  <c r="W25" i="4" s="1"/>
  <c r="T24" i="4"/>
  <c r="W24" i="4" s="1"/>
  <c r="T23" i="4"/>
  <c r="W23" i="4" s="1"/>
  <c r="T22" i="4"/>
  <c r="W22" i="4" s="1"/>
  <c r="T21" i="4"/>
  <c r="W21" i="4" s="1"/>
  <c r="T19" i="4"/>
  <c r="W19" i="4" s="1"/>
  <c r="T18" i="4"/>
  <c r="W18" i="4" s="1"/>
  <c r="T17" i="4"/>
  <c r="W17" i="4" s="1"/>
  <c r="T16" i="4"/>
  <c r="W16" i="4" s="1"/>
  <c r="T15" i="4"/>
  <c r="W15" i="4" s="1"/>
  <c r="T13" i="4"/>
  <c r="W13" i="4" s="1"/>
  <c r="T11" i="4"/>
  <c r="W11" i="4" s="1"/>
  <c r="T10" i="4"/>
  <c r="W10" i="4" s="1"/>
  <c r="T9" i="4"/>
  <c r="W9" i="4" s="1"/>
  <c r="T7" i="4"/>
  <c r="W7" i="4" s="1"/>
  <c r="U2" i="4"/>
  <c r="T2" i="4" l="1"/>
  <c r="O78" i="2" l="1"/>
  <c r="Q78" i="2" s="1"/>
  <c r="P87" i="2" l="1"/>
  <c r="O87" i="2"/>
  <c r="N87" i="2"/>
  <c r="M87" i="2"/>
  <c r="Q87" i="2" s="1"/>
  <c r="K87" i="2"/>
  <c r="K86" i="2"/>
  <c r="P86" i="2" s="1"/>
  <c r="N85" i="2"/>
  <c r="K85" i="2"/>
  <c r="P85" i="2" s="1"/>
  <c r="BA86" i="2"/>
  <c r="BA85" i="2"/>
  <c r="K84" i="2"/>
  <c r="P84" i="2" s="1"/>
  <c r="K83" i="2"/>
  <c r="N83" i="2" s="1"/>
  <c r="BA82" i="2"/>
  <c r="BL82" i="2" s="1"/>
  <c r="BA81" i="2"/>
  <c r="BA80" i="2"/>
  <c r="BA79" i="2"/>
  <c r="K81" i="2"/>
  <c r="P81" i="2" s="1"/>
  <c r="K80" i="2"/>
  <c r="P80" i="2" s="1"/>
  <c r="P79" i="2"/>
  <c r="K79" i="2"/>
  <c r="N79" i="2" s="1"/>
  <c r="BA73" i="2"/>
  <c r="BA74" i="2"/>
  <c r="BA75" i="2"/>
  <c r="K77" i="2"/>
  <c r="N77" i="2" s="1"/>
  <c r="K76" i="2"/>
  <c r="N76" i="2" s="1"/>
  <c r="K75" i="2"/>
  <c r="P75" i="2" s="1"/>
  <c r="N74" i="2"/>
  <c r="K74" i="2"/>
  <c r="P74" i="2" s="1"/>
  <c r="K73" i="2"/>
  <c r="M73" i="2" s="1"/>
  <c r="K72" i="2"/>
  <c r="P72" i="2" s="1"/>
  <c r="K71" i="2"/>
  <c r="N71" i="2" s="1"/>
  <c r="O68" i="2"/>
  <c r="P70" i="2"/>
  <c r="O70" i="2"/>
  <c r="N70" i="2"/>
  <c r="M70" i="2"/>
  <c r="Q70" i="2" s="1"/>
  <c r="K70" i="2"/>
  <c r="K69" i="2"/>
  <c r="P69" i="2" s="1"/>
  <c r="P68" i="2" s="1"/>
  <c r="O60" i="2"/>
  <c r="K66" i="2"/>
  <c r="P66" i="2" s="1"/>
  <c r="K67" i="2"/>
  <c r="N67" i="2" s="1"/>
  <c r="P65" i="2"/>
  <c r="O65" i="2"/>
  <c r="N65" i="2"/>
  <c r="M65" i="2"/>
  <c r="Q65" i="2" s="1"/>
  <c r="K65" i="2"/>
  <c r="K62" i="2"/>
  <c r="N62" i="2" s="1"/>
  <c r="N64" i="2"/>
  <c r="Q64" i="2" s="1"/>
  <c r="K64" i="2" s="1"/>
  <c r="Q63" i="2"/>
  <c r="P63" i="2"/>
  <c r="O63" i="2"/>
  <c r="N63" i="2"/>
  <c r="M63" i="2"/>
  <c r="K63" i="2"/>
  <c r="M62" i="2"/>
  <c r="O48" i="2"/>
  <c r="BL49" i="2"/>
  <c r="K30" i="2"/>
  <c r="N30" i="2" s="1"/>
  <c r="K52" i="2"/>
  <c r="P52" i="2" s="1"/>
  <c r="P53" i="2"/>
  <c r="O53" i="2"/>
  <c r="N53" i="2"/>
  <c r="M53" i="2"/>
  <c r="Q53" i="2" s="1"/>
  <c r="K53" i="2"/>
  <c r="N54" i="2"/>
  <c r="Q54" i="2" s="1"/>
  <c r="K54" i="2" s="1"/>
  <c r="P55" i="2"/>
  <c r="O55" i="2"/>
  <c r="N55" i="2"/>
  <c r="M55" i="2"/>
  <c r="Q55" i="2" s="1"/>
  <c r="K55" i="2"/>
  <c r="K59" i="2"/>
  <c r="N59" i="2" s="1"/>
  <c r="K58" i="2"/>
  <c r="P58" i="2" s="1"/>
  <c r="N57" i="2"/>
  <c r="K57" i="2"/>
  <c r="M57" i="2" s="1"/>
  <c r="P56" i="2"/>
  <c r="K56" i="2"/>
  <c r="M56" i="2" s="1"/>
  <c r="K47" i="2"/>
  <c r="M47" i="2" s="1"/>
  <c r="K46" i="2"/>
  <c r="P46" i="2" s="1"/>
  <c r="K45" i="2"/>
  <c r="M45" i="2" s="1"/>
  <c r="K44" i="2"/>
  <c r="M44" i="2" s="1"/>
  <c r="P43" i="2"/>
  <c r="K43" i="2"/>
  <c r="N43" i="2" s="1"/>
  <c r="O39" i="2"/>
  <c r="Q40" i="2"/>
  <c r="K42" i="2"/>
  <c r="N42" i="2" s="1"/>
  <c r="K41" i="2"/>
  <c r="P41" i="2" s="1"/>
  <c r="K38" i="2"/>
  <c r="N38" i="2" s="1"/>
  <c r="K37" i="2"/>
  <c r="N37" i="2" s="1"/>
  <c r="N36" i="2"/>
  <c r="M36" i="2" s="1"/>
  <c r="Q35" i="2"/>
  <c r="K35" i="2" s="1"/>
  <c r="K34" i="2"/>
  <c r="P34" i="2" s="1"/>
  <c r="P30" i="2"/>
  <c r="P33" i="2"/>
  <c r="O33" i="2"/>
  <c r="O29" i="2" s="1"/>
  <c r="N33" i="2"/>
  <c r="M33" i="2"/>
  <c r="K33" i="2"/>
  <c r="N32" i="2"/>
  <c r="Q32" i="2" s="1"/>
  <c r="K32" i="2" s="1"/>
  <c r="P31" i="2"/>
  <c r="O31" i="2"/>
  <c r="N31" i="2"/>
  <c r="M31" i="2"/>
  <c r="K31" i="2"/>
  <c r="K28" i="2"/>
  <c r="N28" i="2" s="1"/>
  <c r="K26" i="2"/>
  <c r="N26" i="2" s="1"/>
  <c r="K24" i="2"/>
  <c r="N24" i="2" s="1"/>
  <c r="K23" i="2"/>
  <c r="N23" i="2" s="1"/>
  <c r="K22" i="2"/>
  <c r="P22" i="2" s="1"/>
  <c r="K21" i="2"/>
  <c r="N21" i="2" s="1"/>
  <c r="K20" i="2"/>
  <c r="M20" i="2" s="1"/>
  <c r="K19" i="2"/>
  <c r="P19" i="2" s="1"/>
  <c r="K18" i="2"/>
  <c r="N18" i="2" s="1"/>
  <c r="K17" i="2"/>
  <c r="P17" i="2" s="1"/>
  <c r="K16" i="2"/>
  <c r="P16" i="2" s="1"/>
  <c r="K15" i="2"/>
  <c r="N15" i="2" s="1"/>
  <c r="K14" i="2"/>
  <c r="P14" i="2" s="1"/>
  <c r="O10" i="2"/>
  <c r="Q11" i="2"/>
  <c r="K11" i="2" s="1"/>
  <c r="N12" i="2"/>
  <c r="P12" i="2" s="1"/>
  <c r="M12" i="2"/>
  <c r="K13" i="2"/>
  <c r="N13" i="2" s="1"/>
  <c r="N8" i="2"/>
  <c r="Q8" i="2" s="1"/>
  <c r="K8" i="2" s="1"/>
  <c r="K68" i="2" l="1"/>
  <c r="M74" i="2"/>
  <c r="M85" i="2"/>
  <c r="Q85" i="2" s="1"/>
  <c r="N80" i="2"/>
  <c r="P29" i="2"/>
  <c r="P83" i="2"/>
  <c r="P73" i="2"/>
  <c r="Q73" i="2" s="1"/>
  <c r="K82" i="2"/>
  <c r="N82" i="2" s="1"/>
  <c r="Q74" i="2"/>
  <c r="K29" i="2"/>
  <c r="M72" i="2"/>
  <c r="Q72" i="2" s="1"/>
  <c r="M81" i="2"/>
  <c r="Q81" i="2" s="1"/>
  <c r="P38" i="2"/>
  <c r="N44" i="2"/>
  <c r="P67" i="2"/>
  <c r="N72" i="2"/>
  <c r="N81" i="2"/>
  <c r="P57" i="2"/>
  <c r="Q57" i="2" s="1"/>
  <c r="K60" i="2"/>
  <c r="P15" i="2"/>
  <c r="N73" i="2"/>
  <c r="P76" i="2"/>
  <c r="M80" i="2"/>
  <c r="M82" i="2"/>
  <c r="Q12" i="2"/>
  <c r="K12" i="2" s="1"/>
  <c r="K10" i="2" s="1"/>
  <c r="N56" i="2"/>
  <c r="Q56" i="2" s="1"/>
  <c r="P59" i="2"/>
  <c r="K48" i="2"/>
  <c r="P71" i="2"/>
  <c r="M86" i="2"/>
  <c r="N86" i="2"/>
  <c r="P82" i="2"/>
  <c r="Q82" i="2" s="1"/>
  <c r="N84" i="2"/>
  <c r="M84" i="2"/>
  <c r="M83" i="2"/>
  <c r="Q83" i="2" s="1"/>
  <c r="M79" i="2"/>
  <c r="Q79" i="2" s="1"/>
  <c r="P77" i="2"/>
  <c r="M77" i="2"/>
  <c r="Q77" i="2" s="1"/>
  <c r="M75" i="2"/>
  <c r="N75" i="2"/>
  <c r="M76" i="2"/>
  <c r="M71" i="2"/>
  <c r="M69" i="2"/>
  <c r="N69" i="2"/>
  <c r="N68" i="2" s="1"/>
  <c r="M66" i="2"/>
  <c r="M60" i="2" s="1"/>
  <c r="N66" i="2"/>
  <c r="N60" i="2" s="1"/>
  <c r="M67" i="2"/>
  <c r="Q67" i="2" s="1"/>
  <c r="P62" i="2"/>
  <c r="P60" i="2" s="1"/>
  <c r="M52" i="2"/>
  <c r="N52" i="2"/>
  <c r="M58" i="2"/>
  <c r="N58" i="2"/>
  <c r="M59" i="2"/>
  <c r="N45" i="2"/>
  <c r="Q45" i="2" s="1"/>
  <c r="Q33" i="2"/>
  <c r="P36" i="2"/>
  <c r="Q36" i="2" s="1"/>
  <c r="K36" i="2" s="1"/>
  <c r="M38" i="2"/>
  <c r="P42" i="2"/>
  <c r="P39" i="2" s="1"/>
  <c r="P44" i="2"/>
  <c r="P45" i="2"/>
  <c r="N10" i="2"/>
  <c r="Q31" i="2"/>
  <c r="P37" i="2"/>
  <c r="K39" i="2"/>
  <c r="Q44" i="2"/>
  <c r="P47" i="2"/>
  <c r="N47" i="2"/>
  <c r="Q47" i="2" s="1"/>
  <c r="M46" i="2"/>
  <c r="M43" i="2"/>
  <c r="Q43" i="2" s="1"/>
  <c r="N46" i="2"/>
  <c r="M42" i="2"/>
  <c r="N41" i="2"/>
  <c r="N39" i="2" s="1"/>
  <c r="M41" i="2"/>
  <c r="M37" i="2"/>
  <c r="P28" i="2"/>
  <c r="N19" i="2"/>
  <c r="M21" i="2"/>
  <c r="M19" i="2"/>
  <c r="M34" i="2"/>
  <c r="N34" i="2"/>
  <c r="N29" i="2" s="1"/>
  <c r="M30" i="2"/>
  <c r="P24" i="2"/>
  <c r="M24" i="2"/>
  <c r="P26" i="2"/>
  <c r="N20" i="2"/>
  <c r="P23" i="2"/>
  <c r="M28" i="2"/>
  <c r="P18" i="2"/>
  <c r="P20" i="2"/>
  <c r="M26" i="2"/>
  <c r="M23" i="2"/>
  <c r="M22" i="2"/>
  <c r="N22" i="2"/>
  <c r="P21" i="2"/>
  <c r="M17" i="2"/>
  <c r="N17" i="2"/>
  <c r="M18" i="2"/>
  <c r="Q18" i="2" s="1"/>
  <c r="M16" i="2"/>
  <c r="N16" i="2"/>
  <c r="M15" i="2"/>
  <c r="M14" i="2"/>
  <c r="N14" i="2"/>
  <c r="P13" i="2"/>
  <c r="P10" i="2" s="1"/>
  <c r="M13" i="2"/>
  <c r="M10" i="2" s="1"/>
  <c r="P9" i="2"/>
  <c r="O9" i="2"/>
  <c r="N9" i="2"/>
  <c r="M9" i="2"/>
  <c r="K9" i="2"/>
  <c r="K6" i="2"/>
  <c r="K4" i="2" s="1"/>
  <c r="P6" i="2"/>
  <c r="P4" i="2" s="1"/>
  <c r="P7" i="2"/>
  <c r="O7" i="2"/>
  <c r="O4" i="2" s="1"/>
  <c r="N7" i="2"/>
  <c r="K7" i="2"/>
  <c r="M7" i="2"/>
  <c r="Q7" i="2" s="1"/>
  <c r="P3" i="2"/>
  <c r="N3" i="2"/>
  <c r="K3" i="2"/>
  <c r="M3" i="2" s="1"/>
  <c r="Q38" i="2" l="1"/>
  <c r="Q15" i="2"/>
  <c r="Q19" i="2"/>
  <c r="Q46" i="2"/>
  <c r="Q80" i="2"/>
  <c r="P48" i="2"/>
  <c r="Q59" i="2"/>
  <c r="Q37" i="2"/>
  <c r="Q66" i="2"/>
  <c r="Q20" i="2"/>
  <c r="Q69" i="2"/>
  <c r="Q68" i="2" s="1"/>
  <c r="M68" i="2"/>
  <c r="Q71" i="2"/>
  <c r="N48" i="2"/>
  <c r="Q3" i="2"/>
  <c r="Q21" i="2"/>
  <c r="Q62" i="2"/>
  <c r="Q76" i="2"/>
  <c r="Q84" i="2"/>
  <c r="Q86" i="2"/>
  <c r="Q75" i="2"/>
  <c r="M48" i="2"/>
  <c r="Q52" i="2"/>
  <c r="Q58" i="2"/>
  <c r="Q48" i="2" s="1"/>
  <c r="Q34" i="2"/>
  <c r="Q42" i="2"/>
  <c r="Q16" i="2"/>
  <c r="Q13" i="2"/>
  <c r="Q10" i="2" s="1"/>
  <c r="Q30" i="2"/>
  <c r="M29" i="2"/>
  <c r="M39" i="2"/>
  <c r="Q41" i="2"/>
  <c r="Q23" i="2"/>
  <c r="Q28" i="2"/>
  <c r="Q24" i="2"/>
  <c r="Q26" i="2"/>
  <c r="Q22" i="2"/>
  <c r="Q17" i="2"/>
  <c r="Q14" i="2"/>
  <c r="Q9" i="2"/>
  <c r="M6" i="2"/>
  <c r="M4" i="2" s="1"/>
  <c r="N6" i="2"/>
  <c r="N4" i="2" s="1"/>
  <c r="Q39" i="2" l="1"/>
  <c r="Q60" i="2"/>
  <c r="Q29" i="2"/>
  <c r="Q6" i="2"/>
  <c r="Q4" i="2" s="1"/>
</calcChain>
</file>

<file path=xl/sharedStrings.xml><?xml version="1.0" encoding="utf-8"?>
<sst xmlns="http://schemas.openxmlformats.org/spreadsheetml/2006/main" count="1362" uniqueCount="398">
  <si>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</si>
  <si>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</si>
  <si>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</si>
  <si>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</si>
  <si>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</si>
  <si>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</si>
  <si>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</si>
  <si>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</si>
  <si>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</si>
  <si>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</si>
  <si>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</si>
  <si>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</si>
  <si>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</si>
  <si>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</si>
  <si>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</si>
  <si>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</si>
  <si>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</si>
  <si>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</si>
  <si>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</si>
  <si>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Реконструкция ВЛ-0,4 кВ с монтажем 2-х дополнительныхпроводов</t>
  </si>
  <si>
    <t>Примечание</t>
  </si>
  <si>
    <t>Адрес объекта</t>
  </si>
  <si>
    <t>Реконструкция ВЛ-0,4 кВ с монтажем 4-х дополнительныхпроводов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</si>
  <si>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</si>
  <si>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</si>
  <si>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</si>
  <si>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</si>
  <si>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</si>
  <si>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</si>
  <si>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>-</t>
  </si>
  <si>
    <t/>
  </si>
  <si>
    <t>Номер (а) договор(ов) ТП в SAPе</t>
  </si>
  <si>
    <t>КуРЭС</t>
  </si>
  <si>
    <t>БРЭС</t>
  </si>
  <si>
    <t>Сумма по договору ТП, руб. без НДС</t>
  </si>
  <si>
    <t>Монтаж учёта в ТП 10 (6)/0,4 кВ</t>
  </si>
  <si>
    <t>ГоРЭС</t>
  </si>
  <si>
    <t>ЛРЭС</t>
  </si>
  <si>
    <t>МаРЭС</t>
  </si>
  <si>
    <t>В-2392/0219-ОРЗТП/2014 от 14.02.14г.</t>
  </si>
  <si>
    <t>В-2398/0313-ОРЗТП/2014 от 25.02.14г.</t>
  </si>
  <si>
    <t>В-2399/0312-ОРЗТП/2014 от 24.02.14г.</t>
  </si>
  <si>
    <t>В-2402/0271-ОРЗТП/2014 от 14.02.14г.</t>
  </si>
  <si>
    <t>В-2406/0308-ОРЗТП/2014 от 25.02.14г.</t>
  </si>
  <si>
    <t>В-2410/0248-ОРЗТП/2014 от 17.02.14г.</t>
  </si>
  <si>
    <t>З-1994/0309-ОРЗТП/2014 от 24.02.14г.</t>
  </si>
  <si>
    <t>З-2006/342-ОРЗТП/2014 от 28.02.14г.</t>
  </si>
  <si>
    <t>С-1950/0253-ОРЗТП/2014 от 17.02.14г.</t>
  </si>
  <si>
    <t>С-1961/0212-ОРЗТП/2014 от 12.02.14г.</t>
  </si>
  <si>
    <t>С-1962/0265-ОРЗТП/2014 от 17.02.14г.</t>
  </si>
  <si>
    <t>С-1965/0223-ОРЗТП/2014 от 13.02.14г.</t>
  </si>
  <si>
    <t>С-1966/0252-ОРЗТП/2014 от 18.02.14г.</t>
  </si>
  <si>
    <t>С-1970/0306-ОРЗТП/2014 от 24.02.14г.</t>
  </si>
  <si>
    <t>С-1971/0311-ОРЗТП/2014 от 25.02.14г.</t>
  </si>
  <si>
    <t>Ц-7308/0221-ОРЗТП/2014 от 13.02.14г.</t>
  </si>
  <si>
    <t>Ц-7555/0273-ОРЗТП/2014 от 20.02.14г.</t>
  </si>
  <si>
    <t>Ц-7591/0258-ОРЗТП/2014 от 19.02.14г.</t>
  </si>
  <si>
    <t>Ц-7610/0200-ОРЗТП/2014 от 11.02.14г.</t>
  </si>
  <si>
    <t>Ц-7615/0263-ОРЗТП/2014 от 19.02.14г.</t>
  </si>
  <si>
    <t>Ц-7616/0205-ОРЗТП/2014 от 12.02.14г.</t>
  </si>
  <si>
    <t>Ц-7621/0201-ОРЗТП/2014 от 12.02.14г.</t>
  </si>
  <si>
    <t>Ц-7626/0269-ОРЗТП/2014 от 20.02.14г.</t>
  </si>
  <si>
    <t>Ц-7627/0208-ОРЗТП/2014 от 12.02.14г.</t>
  </si>
  <si>
    <t>Ц-7629/0215-ОРЗТП/2014 от 12.02.14г.</t>
  </si>
  <si>
    <t>Ц-7630/0207-ОРЗТП/2014 от 12.02.14г.</t>
  </si>
  <si>
    <t>Ц-7631/0319-ОРЗТП/2014 от 26.02.14г.</t>
  </si>
  <si>
    <t>Ц-7654/0231-ОРЗТП/2014 от 17.02.14г.</t>
  </si>
  <si>
    <t>Ц-7655/0240-ОРЗТП/2014 от 18.02.14г.</t>
  </si>
  <si>
    <t>Ц-7659/340-ОРЗТП/2014 от 28.02.14г.</t>
  </si>
  <si>
    <t>Ц-7664/0314-ОРЗТП/2014 от 26.02.14г.</t>
  </si>
  <si>
    <t>Ц-7673/0255-ОРЗТП/2014 от 18.02.14г.</t>
  </si>
  <si>
    <t>Ц-7680/0274-ОРЗТП/2014 от 20.02.14г.</t>
  </si>
  <si>
    <t>Ц-7681/0257-ОРЗТП/2014 от 19.02.14г.</t>
  </si>
  <si>
    <t>Ц-7683/0256-ОРЗТП/2014 от 19.02.14г.</t>
  </si>
  <si>
    <t>Ц-7684/0264-ОРЗТП/2014 от 20.02.14г.</t>
  </si>
  <si>
    <t>Ц-7685/0305-ОРЗТП/2014 от 25.02.14г.</t>
  </si>
  <si>
    <t>Ц-7690/0275-ОРЗТП/2014 от 21.02.14г.</t>
  </si>
  <si>
    <t>Ц-7698/0301-ОРЗТП/2014 от 25.02.14г.</t>
  </si>
  <si>
    <t>Ц-7699/0300-ОРЗТП/2014 от 25.02.14г.</t>
  </si>
  <si>
    <t>Ц-7701/0299-ОРЗТП/2014 от 25.02.14г.</t>
  </si>
  <si>
    <t>Ц-7712/321-ОРЗТП/2014 от 26.02.14г.</t>
  </si>
  <si>
    <t>40850633</t>
  </si>
  <si>
    <t>40855166</t>
  </si>
  <si>
    <t>40853329</t>
  </si>
  <si>
    <t>40855324</t>
  </si>
  <si>
    <t>40853802</t>
  </si>
  <si>
    <t>40855193</t>
  </si>
  <si>
    <t>40858445</t>
  </si>
  <si>
    <t>40860070</t>
  </si>
  <si>
    <t>40850895</t>
  </si>
  <si>
    <t>40853376</t>
  </si>
  <si>
    <t>40853781</t>
  </si>
  <si>
    <t>40854046</t>
  </si>
  <si>
    <t>40855219</t>
  </si>
  <si>
    <t>40855830</t>
  </si>
  <si>
    <t>40856509</t>
  </si>
  <si>
    <t>40833617</t>
  </si>
  <si>
    <t>40853967</t>
  </si>
  <si>
    <t>40855723</t>
  </si>
  <si>
    <t>40855695</t>
  </si>
  <si>
    <t>40855125</t>
  </si>
  <si>
    <t>40856510</t>
  </si>
  <si>
    <t>40856052</t>
  </si>
  <si>
    <t>40855138</t>
  </si>
  <si>
    <t>40856532</t>
  </si>
  <si>
    <t>40856723</t>
  </si>
  <si>
    <t>40856060</t>
  </si>
  <si>
    <t>40856075</t>
  </si>
  <si>
    <t>40858116</t>
  </si>
  <si>
    <t>40858320</t>
  </si>
  <si>
    <t>40861683</t>
  </si>
  <si>
    <t>40859177</t>
  </si>
  <si>
    <t>40858346</t>
  </si>
  <si>
    <t>40859833</t>
  </si>
  <si>
    <t>40858576</t>
  </si>
  <si>
    <t>40858839</t>
  </si>
  <si>
    <t>40858770</t>
  </si>
  <si>
    <t>40859844</t>
  </si>
  <si>
    <t>40859686</t>
  </si>
  <si>
    <t>40859885</t>
  </si>
  <si>
    <t>40859907</t>
  </si>
  <si>
    <t>40860194</t>
  </si>
  <si>
    <t>40860247</t>
  </si>
  <si>
    <t>Филиал РТРС "Курский ОРТПЦ"</t>
  </si>
  <si>
    <t>Полянский Алексей Николаевич</t>
  </si>
  <si>
    <t>Пахк Елена Альбертовна</t>
  </si>
  <si>
    <t>Хорошева Галина Ивановна</t>
  </si>
  <si>
    <t>Андреева Наталья Николаевна</t>
  </si>
  <si>
    <t>Свиридов Александр Иванович</t>
  </si>
  <si>
    <t>Тен Нина Федоровна</t>
  </si>
  <si>
    <t>Фенина Галина Михайловна</t>
  </si>
  <si>
    <t>Ханин Дмитрий Иванович</t>
  </si>
  <si>
    <t>Гришанов Андрей Валентинович</t>
  </si>
  <si>
    <t>Выводцев Алексей Васильевич</t>
  </si>
  <si>
    <t>Печенкин Николай Владимирович</t>
  </si>
  <si>
    <t>Васильева Наталья Семеновна</t>
  </si>
  <si>
    <t>Воронин Александр Леонидович</t>
  </si>
  <si>
    <t>Никулин Владимир Дмитриевич</t>
  </si>
  <si>
    <t>Чугунов Александр Николаевич</t>
  </si>
  <si>
    <t>Соснов Игорь Борисович</t>
  </si>
  <si>
    <t>Журбенко Алексей Александрович</t>
  </si>
  <si>
    <t>Кочеров Владимир Алексеевич</t>
  </si>
  <si>
    <t>Волобуев Юрий Валерьевич</t>
  </si>
  <si>
    <t>Наумов Дмитрий Владимирович</t>
  </si>
  <si>
    <t>Дунаева Люмидла Михайловна</t>
  </si>
  <si>
    <t>Ломакина Ольга Сергеевна</t>
  </si>
  <si>
    <t>Зубахин Виктор Иванович</t>
  </si>
  <si>
    <t>Гнида Игорь Андреевич</t>
  </si>
  <si>
    <t>Шатилова Наталья Анатольевна</t>
  </si>
  <si>
    <t>Милютин Евгений Николаевич</t>
  </si>
  <si>
    <t>Попов Александр Александрович</t>
  </si>
  <si>
    <t>Петин Иван Сергеевич</t>
  </si>
  <si>
    <t>Ткаченко Ирина Леонидовна</t>
  </si>
  <si>
    <t>Медведев Денис Сергеевич</t>
  </si>
  <si>
    <t>Тиликов Сергей Владимирович</t>
  </si>
  <si>
    <t>Бобрышева Ирина Сергеевна</t>
  </si>
  <si>
    <t>Москалев Вячеслав Григорьевич</t>
  </si>
  <si>
    <t>Давтян Марго Лусаковна</t>
  </si>
  <si>
    <t>Растопчинова Ирина Николаевна</t>
  </si>
  <si>
    <t>Лазарян Жора Сетракович</t>
  </si>
  <si>
    <t>Пахомов Алексей Геннадьевич</t>
  </si>
  <si>
    <t>Гришаев Николай Иванович</t>
  </si>
  <si>
    <t>Рыбалкин Олег Михайлович</t>
  </si>
  <si>
    <t>Сергеева Светлана Леонидовна</t>
  </si>
  <si>
    <t>Бартенева Татьяна Евгеньевна</t>
  </si>
  <si>
    <t>СоРЭС</t>
  </si>
  <si>
    <t>ТРЭС</t>
  </si>
  <si>
    <t>РРЭС</t>
  </si>
  <si>
    <t>ПРЭС</t>
  </si>
  <si>
    <t>ОРЭС</t>
  </si>
  <si>
    <t>Курская обл., Мантуровский район. с. Мантурово</t>
  </si>
  <si>
    <t>Курская обл.,  Горшеченский р-н, с. Бараново, ул. Полевая</t>
  </si>
  <si>
    <t>Курская обл.,  Горшеченский р-н, с.Кунье, ул. Советская,20</t>
  </si>
  <si>
    <t>Курская обл., Горшеченский р-он, п.Горшечное,ул. Октябрьская</t>
  </si>
  <si>
    <t>Курская обл.,  Советский р-н, п.Кшенский, ул.Ленина, 88</t>
  </si>
  <si>
    <t>Курская обл., Тимский р-он, с.3-е Выгорное</t>
  </si>
  <si>
    <t>Курская обл., Льговский р-н, Вышнедеревенский сельсовет, ст "Озерное"</t>
  </si>
  <si>
    <t>Курская обл., г. Рыльск, ул. Р. Люксембург, д. 40 -б</t>
  </si>
  <si>
    <t>Курская обл., Железногорский р-н, Разветьевский с/с, с.Разветье, к-л Заозерье</t>
  </si>
  <si>
    <t>Курская обл., Железногорский р-н ,с/с Разветьевский,с Разветье,квартал" Заозерье", уч.№ 32</t>
  </si>
  <si>
    <t>Курская обл., Железногорский р-н,с/с Разветьевский,с. Разветье,квартал "Заозерье"</t>
  </si>
  <si>
    <t>Курская обл.,  Железногорский р-н,Волковский с/с,снт "Горняк",зона "Ивановские",участок 406</t>
  </si>
  <si>
    <t>Курская обл., Железногорский р-н,Волковский с/с,с/о " горняк"," Ивановские",уч. 401</t>
  </si>
  <si>
    <t>Курская обл.,  Железногорский р-н, Железногорск,ст. Мичуринец, уч. 545</t>
  </si>
  <si>
    <t>Курская обл., г. Железногорск,с/т" Мичуринец",ул. 11,уч. 548</t>
  </si>
  <si>
    <t>Курская обл., Курский р-н, д.Кукуевка, уч.1105</t>
  </si>
  <si>
    <t>Курская область, Курский район, Моковский сельсовет, д. 2-я Моква, д.23, кад. номер: 46:11:090501:508</t>
  </si>
  <si>
    <t>Курская область, Курский район, Рышковский сельсовет, с. Рышково, кад. номер: 46:11:170301:1178</t>
  </si>
  <si>
    <t>Курская область, Курский район, Нижнемедведицкий сельсовет, д. Татаренкова, ул. Бабанина, д.2, кад. номер: 46:11:111802:348</t>
  </si>
  <si>
    <t>Курская обл., Курский р-он, Клюквинский с/с, с/т "Березка", уч.432</t>
  </si>
  <si>
    <t>Курская обл., Курский р-он, Бесединский с/с, с. Беседино, д.65, кв.2</t>
  </si>
  <si>
    <t>Курская область, Курский район, Новопоселеновский сельсовет, д. Кукуевка, кад. номер: 46:11:121202:478</t>
  </si>
  <si>
    <t>Курская обл., Поныровский р-он,  п. Поныри,ул. Горишного, д. 7</t>
  </si>
  <si>
    <t>Курская обл., Курский р-н, Щетинский с/с, д.Шуклинка, уч.46-46-12/005/2012-716</t>
  </si>
  <si>
    <t>Курская область, Курский р-н, д.Долгое. кад.№ 46:11:071004:75</t>
  </si>
  <si>
    <t>Курская обл., Курский р-н, д.1-я Моква, уч.46:11:091204:481</t>
  </si>
  <si>
    <t>Курская обл., Курский р-н, Щетинский с/с, с/т "Строитель", уч.790</t>
  </si>
  <si>
    <t>Курская обл., Курский р-н, Клюквинский с/с, д.Долгое, уч.46:11:071004:52</t>
  </si>
  <si>
    <t>Курская обл.,  Курский р-н, Клюквинский с/с, д.Долгое, уч.46:11:071004:64</t>
  </si>
  <si>
    <t>Курская область, Курский район, Щетинский сельсовет, СНТ "Химфарм", уч. Г-275</t>
  </si>
  <si>
    <t>Курская обл., Октябрьский р-н, Катыринский с/с, д.Нижняя Малыхина, уч.46:17:051206:174</t>
  </si>
  <si>
    <t>Курская обл., Курский р-н, Щетинский с/с, снт "Приморское", уч.419/74</t>
  </si>
  <si>
    <t>г.Курск, ул.1-я Строительная, д.1а</t>
  </si>
  <si>
    <t>Курский р-н, Щетинский с/с, снт "Приморское", уч.441</t>
  </si>
  <si>
    <t>Курская обл., Курский р-н, Щетинский с/с, с/т "Химфарм", уч.57 А</t>
  </si>
  <si>
    <t>Курская обл., Курский р-н, Щетинский с/с, снт "Приморское", уч.394</t>
  </si>
  <si>
    <t>Курская обл., Курский р-н, Щетинский с/с, с/т "Химфарм", уч.23-А</t>
  </si>
  <si>
    <t>Курская обл., Курский р-н, Новопоселеновский с/с, д.Кукуевка, уч. 46:11:120203:1110</t>
  </si>
  <si>
    <t>Курская обл., Курский р-н, Рышковский с/с, с/т "Взлет", уч.77</t>
  </si>
  <si>
    <t>Курская обл., Курский р-н, Щетинский с/с, снт "Приморское", уч.436/5</t>
  </si>
  <si>
    <t>Курская обл., Курский р-н, снт"Химфарм", уч.А23</t>
  </si>
  <si>
    <t>Курская обл., Курский р-н, Пашковский с/с, с/т "Верховье", уч.947</t>
  </si>
  <si>
    <t>строительство ответвления протяженностью 0,015 км от опоры существующей ВЛ-10 кВ № 132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
строительство ТП-10/0,4 кВ с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 Обязательные требования
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(10-100А) (прямого включения); 
- температурный рабочий диапазон от -40°С до +70°С.
Место установки: в РУ-0,4 кВ проектируемой ТП-10/0,4 кВ</t>
  </si>
  <si>
    <t>строительство ответвления протяженностью 0,15 км от опоры № 3-5 существующей ВЛ-0,4 кВ №3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</si>
  <si>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отпайки от опоры №35 ВЛ-0,4 кВ №2 (точку врезки уточнить при проектировании) до границ земельного участка заявителя протяженностью 0,04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</si>
  <si>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ответвления протяженностью 0,21 км от опоры № 8 существующей ВЛ-0,4 кВ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</si>
  <si>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отпайки от опоры №2 ВЛ-0,4 кВ №1 (инв.№12012892-00) до границы земельного участка заявителя  протяженностью 0,27 км (точку врезки, марку и сечение провода, протяженность уточнить при проектировании).</t>
  </si>
  <si>
    <t>строительство отпайки от опоры №11 ВЛ-0,4 кВ №1  до границы земельного участка заявителя  протяженностью 0,08 км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</si>
  <si>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ВЛ-0,4 кВ протяженностью  0,12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</si>
  <si>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отпайки от ВЛ-0,4 кВ №1 (инв.№ 303130750100) протяженностью 0,18 км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проектировании).</t>
  </si>
  <si>
    <t>строительство отпайки от ВЛ-0,4 кВ №1 (инв.№ 303130750100) протяженностью 0,18 км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 - /аналогично техническим условиям С-1970/.</t>
  </si>
  <si>
    <t>- строительство ВЛ-0,4 кВ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</si>
  <si>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0,07 км от опоры №22 существующей ВЛ-0,4 кВ №1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</si>
  <si>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0,035 км от ТП-10/0,4 кВ № 127/250 совместной подвеской по опорам существующей ВЛ-0,4 кВ № 1 до опоры № 2 и переключение участка ВЛ-0,4 кВ № 1 от опоры № 2 до опоры № 8 на питание от проектируемой ВЛ-0,4кВ (марку и сечение провода, протяженность уточнить при проектировании);                                                      переключение участка ВЛ-0,4 кВ № 1 от опоры № 2 до опоры № 8 на питание от проектируемой, согласно п. 10.1 ВЛ-0,4 кВ.</t>
  </si>
  <si>
    <t>строительство отпайки от опоры №1-4 ВЛ-0,4 кВ  №3 (точку врезки уточнить при проектировании) до границ земельного участка заявителя протяженностью 0,2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</si>
  <si>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ответвления протяженностью 0,09 км от опоры № 11-1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утончить при проектировании).</t>
  </si>
  <si>
    <t>строительство ответвления протяженностью 0,12 км от опоры существующей ВЛ-0,4 кВ № 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</si>
  <si>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 км от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</si>
  <si>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</si>
  <si>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0,5 км от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</si>
  <si>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0,56 км от проектируемой ТП-10/0,4 кВ до границы земельного участка заявителя в т.ч. 0,08 км совместным подвесом по ВЛ-10 кВ (марку и сечение провода, протяженность определить при проектировании) – в т.ч. 0,3 км по техническим условиям Ц-7623.</t>
  </si>
  <si>
    <t>строительство участка ВЛ-10 кВ от опоры №16-6 ВЛ-10 кВ №556.07 до проектируемой ТП-10/0,4 кВ протяженностью 0,03 км с установкой разъединителя 10 кВ (точку врезки, марку и сечение провода, протяженность, тип разъединителя уточнить при проектировании).</t>
  </si>
  <si>
    <t>строительство отпайки от проектируемой (по ТУ Ц-6659, Ц-7286) ВЛ-0,4 кВ до границы земельного участка заявителя протяженностью 0,1 км (марку и сечение провода, протяженность уточнить при проектировании).</t>
  </si>
  <si>
    <t>строительство участка КЛ-0,4 кВ от ВЛ-0,4 кВ №1 (точку врезки уточнить при проектировании) до границы земельного участка заявителя протяженностью 0,08 км с увеличением протяженности существующей ВЛ-0,4 кВ (марку и сечение провода(кабеля), протяженность уточнить при проектировании).</t>
  </si>
  <si>
    <t>строительство отпайки от проектируемой (по ТУ Ц-7587) ВЛ-0,4 кВ км до границы земельного участка заявителя протяженностью 0,05 км (точку врезки, марку и сечение провода, протяженность уточнить при проектировании).</t>
  </si>
  <si>
    <t>строительство отпайки от проектируемого участка (по ТУ Ц-6844) ВЛ-0,4 кВ до границы земельного участка заявителя протяженностью 0,12 км (точку врезки, марку и сечение провода, протяженность уточнить при проектировании).</t>
  </si>
  <si>
    <t>строительство ВЛ-0,4 кВ от ТП-10/0,4 кВ №660 до границы земельного участка заявителя протяженностью 0,18 км (марку и сечение провода, протяженность уточнить при проектировании).</t>
  </si>
  <si>
    <t>строительство отпайки от опоры №26 ВЛ-0,4 кВ №3 до границы земельного участка заявителя протяженностью 0,12 км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</si>
  <si>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ТП-10/0,4 кВ № 447/40 в части замены силового трансформатора на трансформатор большей мощности (тип и мощность силового трансформатора уточнить при проектировании) – за счет средств тарифа на передачу электроэнергии.</t>
  </si>
  <si>
    <t>реконструкция ВЛ-0,4 кВ № 3 в части монтажа двух дополнительных проводов на участке протяженностью 0,08 км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</si>
  <si>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0,42 км от опоры существующей ВЛ-10 кВ № 415.08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электроэнергии;   строительство ТП-10/0,4 кВ с силовым трансформатором мощностью не более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</si>
  <si>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замена ТП-10/0,4 кВ № 12/160 на ТП-10/0,4 кВ с силовым трансформатором большей мощности (тип ТП, тип и мощность силового трансформатора,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</si>
  <si>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монтаж дополнительного коммутационного аппарата в РУ-0,4 кВ (тип и технические характеристики определить проектом) – за счет средств тарифа на передачу электроэнергии;                             замена двух проводов в пролете опор №№ 7…8 ВЛ-0,4 кВ № 1 протяженностью 0,035 км по трассе на провода СИП 2 сечением 35 мм²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</si>
  <si>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</si>
  <si>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Ц-7629/ – за счет средств тарифа на передачу электроэнергии;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Ц-7629/ – за счет средств тарифа на передачу электроэнергии.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</si>
  <si>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Ц-7629, Ц-7654/ – за счет средств тарифа на передачу электроэнергии;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Ц-7629, Ц-7654/ – за счет средств тарифа на передачу электроэнергии.</t>
  </si>
  <si>
    <t>строительство ответвления протяженностью 0,03 км от опоры существующей ВЛ-10 кВ № 425.06 до проектируемой ТП-10/0,4 кВ с увеличением протяженности существующей ВЛ-10 кВ (марку и сечение провода, протяженность уточнить при проектировании) – /за счет средств тарифа на передачу электроэнергии/ - аналогично техническим условиям Ц-7623;           строительство ТП-10/0,4 кВ с силовым трансформатором мощностью 63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 – /за счет средств тарифа на передачу электроэнергии/- аналогично техническим условиям Ц-7623.</t>
  </si>
  <si>
    <t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</t>
  </si>
  <si>
    <r>
      <t xml:space="preserve"> - строительство ответвления протяженностью 0,69 км от опоры №8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0,2 км по техническим условиям</t>
    </r>
    <r>
      <rPr>
        <b/>
        <sz val="14"/>
        <rFont val="Arial Cyr"/>
        <charset val="204"/>
      </rPr>
      <t xml:space="preserve"> В-2275 (Лот 22 Льготники ВЭС).</t>
    </r>
  </si>
  <si>
    <r>
      <t xml:space="preserve">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С-1698 (Лот № 20 СЭС).</t>
    </r>
  </si>
  <si>
    <r>
      <t xml:space="preserve"> - строительство ВЛ-0,4 кВ протяженностью 0,16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0,12 км по техническим условиям </t>
    </r>
    <r>
      <rPr>
        <b/>
        <sz val="14"/>
        <rFont val="Arial Cyr"/>
        <charset val="204"/>
      </rPr>
      <t>С-1825 (Лот № 25 Льготники).</t>
    </r>
  </si>
  <si>
    <r>
      <t xml:space="preserve">строительство ответвления протяженностью 0,12 км от опоры существующей ВЛ-10 кВ № 2.6.19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С-1825 (Лот № 25 Льготники).</t>
    </r>
    <r>
      <rPr>
        <sz val="14"/>
        <rFont val="Arial Cyr"/>
        <charset val="204"/>
      </rPr>
      <t xml:space="preserve">
строительство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С-1825 (Лот № 25 Льготники).</t>
    </r>
  </si>
  <si>
    <r>
      <t xml:space="preserve">строительство ответвления протяженностью 0,01 км от ВЛ-10 кВ № 2.6.19 до проектируемой СТП-10/0,4 кВ с монтажом промежуточной опоры в пролете ВЛ-10 кВ № 2.6.19 и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С-1850 (Лот 23-24 Льготники СЭС).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С-1850 (Лот 23-24 Льготники СЭС).</t>
    </r>
  </si>
  <si>
    <r>
      <t xml:space="preserve">строительство ответвления протяженностью 0,43 км от опоры № 13 существующей ВЛ-0,4 кВ № 2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0,43 км по техническим условиям </t>
    </r>
    <r>
      <rPr>
        <b/>
        <sz val="14"/>
        <rFont val="Arial Cyr"/>
        <charset val="204"/>
      </rPr>
      <t>С-1632 (Лот № 17 СЭС), С-1965.</t>
    </r>
  </si>
  <si>
    <r>
      <t xml:space="preserve">строительство ответвления протяженностью 0,43 км от опоры № 13 существующей ВЛ-0,4 кВ № 2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0,08 км по техническим условиям </t>
    </r>
    <r>
      <rPr>
        <b/>
        <sz val="14"/>
        <rFont val="Arial Cyr"/>
        <charset val="204"/>
      </rPr>
      <t>С-1632 (Лот № 17 СЭС).</t>
    </r>
  </si>
  <si>
    <r>
      <t xml:space="preserve">строительство ВЛ-0,4 кВ протяженностью 0,51 км от ТП-10/0,4 кВ №673 до границ земельного участка заявителя (точку врезки, марку и сечение провода, протяженность определить при проектировании) - /в т.ч. 0,48 км по техническим условиям </t>
    </r>
    <r>
      <rPr>
        <b/>
        <sz val="14"/>
        <rFont val="Arial Cyr"/>
        <charset val="204"/>
      </rPr>
      <t>Ц-7233 (Лот № 23-24 Льготники ЦЭС), Ц-7236 (Лот № 23-24 Льготники ЦЭС), Ц-7307 (Лот № 23-24 Льготники ЦЭС-2)/.</t>
    </r>
  </si>
  <si>
    <r>
      <t xml:space="preserve"> - строительство ВЛ-0,4 кВ протяженностью 0,4 км от проектируемой ТП-10/0,4 кВ до границы земельного участка заявителя (марку и сечение провода, протяженность определить при проектировании) – в том числе 0,2 км по техническим условиям </t>
    </r>
    <r>
      <rPr>
        <b/>
        <sz val="14"/>
        <rFont val="Arial Cyr"/>
        <charset val="204"/>
      </rPr>
      <t>Ц-7079 (Лот № 22 Льготники ЦЭС).</t>
    </r>
  </si>
  <si>
    <r>
      <t xml:space="preserve">строительство ответвления протяженностью 0,01 км от опоры существующей ВЛ-10 кВ № 427.16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 xml:space="preserve">Ц-6459 (Лот № 20 ЦЭС-2), Ц-7079 (Лот № 22 Льготники ЦЭС), Ц-7081 (Лот № 23 Льготники ЦЭС-1), Ц-7269 (Лот № 23 Льготники ЦЭС-1).   </t>
    </r>
    <r>
      <rPr>
        <sz val="14"/>
        <rFont val="Arial Cyr"/>
        <charset val="204"/>
      </rPr>
      <t xml:space="preserve">      строительство ТП-10/0,4 кВ с силовым трансформатором мощностью 100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проектом. – за счет средств тарифа на передачу электроэнергии по техническим условиям</t>
    </r>
    <r>
      <rPr>
        <b/>
        <sz val="14"/>
        <rFont val="Arial Cyr"/>
        <charset val="204"/>
      </rPr>
      <t xml:space="preserve"> Ц-6459 (Лот № 20 ЦЭС-2), Ц-7079 (Лот № 22 Льготники ЦЭС),</t>
    </r>
    <r>
      <rPr>
        <sz val="14"/>
        <rFont val="Arial Cyr"/>
        <charset val="204"/>
      </rPr>
      <t xml:space="preserve"> </t>
    </r>
    <r>
      <rPr>
        <b/>
        <sz val="14"/>
        <rFont val="Arial Cyr"/>
        <charset val="204"/>
      </rPr>
      <t>Ц-7081 (Лот № 23 Льготники ЦЭС-1), Ц-7269 (Лот № 23 Льготники ЦЭС-1).</t>
    </r>
  </si>
  <si>
    <t>строительство ответвления протяженностью 0,56 км от опоры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</si>
  <si>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r>
      <t xml:space="preserve"> - строительство отпайки от проектируемой (по ТУ Ц-7527) ВЛ-0,4 кВ до границы земельного участка заявителя протяженностью 0,1 км (марку и сечение провода, протяженность уточнить при проектировании) - /в т.ч. 0,05 км по техническим условиям </t>
    </r>
    <r>
      <rPr>
        <b/>
        <sz val="14"/>
        <rFont val="Arial Cyr"/>
        <charset val="204"/>
      </rPr>
      <t>Ц-7601 (Лот № 25 Льготники)/.</t>
    </r>
  </si>
  <si>
    <r>
      <t xml:space="preserve">замена ТП-10/0,4 кВ №649 25 кВА на ТП-10/0,4 кВ с силовым трансформатором мощностью 63 кВА.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э/э/.  – /аналогично техническим условиям </t>
    </r>
    <r>
      <rPr>
        <b/>
        <sz val="14"/>
        <rFont val="Arial Cyr"/>
        <charset val="204"/>
      </rPr>
      <t>Ц-7527 (Лот № 25 Льготники), Ц-7601  (Лот № 25 Льготники)/.</t>
    </r>
  </si>
  <si>
    <t>Ц-7623/0352-ОРЗТП/2014 от 28.02.2014г.</t>
  </si>
  <si>
    <t>Полякова Оксана Сергеевна</t>
  </si>
  <si>
    <t>Курская обл., Курский р-н, Щетинский с/с, снт"Химфарм", уч. "В" 147</t>
  </si>
  <si>
    <t xml:space="preserve"> - строительство ВЛ-0,4 кВ протяженностью 0,3 км от проектируемой ТП-10/0,4 кВ до границы земельного участка заявителя в т.ч. 0,08 км совместным подвесом по ВЛ-10 кВ (марку и сечение провода, протяженность определить при проектировании).</t>
  </si>
  <si>
    <t>строительство ответвления протяженностью 0,03 км от опоры существующей ВЛ-10 кВ № 425.06 до проектируемой ТП-10/0,4 кВ с увеличением протяженности существующей ВЛ-10 кВ (марку и сечение провода, протяженность уточнить при проектировании) – /за счет средств тарифа на передачу электроэнергии/.                  строительство ТП-10/0,4 кВ с силовым трансформатором мощностью 63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 – /за счет средств тарифа на передачу электроэнергии/.</t>
  </si>
  <si>
    <r>
      <t xml:space="preserve">строительство ВЛ-0,4 кВ протяженностью 0,38 км от проектируемой (по ТУ Ц-5517) ТП-10/0,4 кВ до границы земельного участка заявителя (марку и сечение провода, протяженность уточнить при проектировании) – /в том числе 0,1 км по техническим условиям </t>
    </r>
    <r>
      <rPr>
        <b/>
        <sz val="14"/>
        <rFont val="Arial Cyr"/>
        <charset val="204"/>
      </rPr>
      <t>Ц-6468 (Лот № 20 ЦЭС-1)/.</t>
    </r>
  </si>
  <si>
    <r>
      <t xml:space="preserve">строительство отпайки от опоры №25 ВЛ-0,4 кВ №1 до границы земельного участка заявителя протяженностью 0,15 км (точку врезки, марку и сечение провода, протяженность уточнить при проектировании) - /в т.ч. 0,05 км по техническим условиям </t>
    </r>
    <r>
      <rPr>
        <b/>
        <sz val="14"/>
        <rFont val="Arial Cyr"/>
        <charset val="204"/>
      </rPr>
      <t>Ц-6844 (Лот № 21 ЦЭС-1)/.</t>
    </r>
  </si>
  <si>
    <r>
      <t xml:space="preserve">строительство отпайки от проектируемой (по ТУ Ц-5296) ВЛ-0,4 кВ до границы земельного участка заявителя протяженностью 0,08 км (марку и сечение провода, протяженность уточнить при проектировании) – /в т.ч. 0,05 км по техническим условиям </t>
    </r>
    <r>
      <rPr>
        <b/>
        <sz val="14"/>
        <rFont val="Arial Cyr"/>
        <charset val="204"/>
      </rPr>
      <t>Ц-7586 (Лот № 25 Не льготники)/.</t>
    </r>
  </si>
  <si>
    <r>
      <t xml:space="preserve">строительство отпайки от опоры №25 ВЛ-0,4 кВ №1 до границы земельного участка заявителя протяженностью 0,13 км (точку врезки, марку и сечение провода, протяженность уточнить при проектировании) - /в т.ч. 0,1 км по техническим условиям </t>
    </r>
    <r>
      <rPr>
        <b/>
        <sz val="14"/>
        <rFont val="Arial Cyr"/>
        <charset val="204"/>
      </rPr>
      <t>Ц-6844 (Лот № 21 ЦЭС-1), Ц-7685/.</t>
    </r>
  </si>
  <si>
    <t>Ц-7725/0330-ОРЗТП/2014 от 27.02.2014г.</t>
  </si>
  <si>
    <t>Переверзев Геннадий Анатольевич</t>
  </si>
  <si>
    <t>Курская обл., Курский р-н, Полянский с/с, с.Полянское, уч.46:11:160502:167</t>
  </si>
  <si>
    <t xml:space="preserve"> - строительство отпайки от опоры ВЛ-0,4 кВ №1 до границы земельного участка заявителя протяженностью 0,25 км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</si>
  <si>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участка ВЛ-0,4 кВ №1 с монтажом двух дополнительных проводов в пролетах опор №№27-33 протяженностью 0,3 км по трассе (объем реконструкции уточнить при проектировании) - /за счет средств тарифа на передачу э/э.</t>
  </si>
  <si>
    <t>Ю-2288/0349-ОРЗТП/2014 от 28.02.2014г.</t>
  </si>
  <si>
    <t>Б.С.РЭС</t>
  </si>
  <si>
    <t xml:space="preserve"> Администрация Любимовский сельсовет</t>
  </si>
  <si>
    <t>Курская область, Большесолдатский район, Любимовский сельсовет, с. Любимовка, ул. 1-я Рабочая</t>
  </si>
  <si>
    <t>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(10-100А) (прямого включения); 
- температурный рабочий диапазон от -40°С до +70°С.
Место установки: РУ-0,4 кВ ТП-10/0,4 кВ № 085.</t>
  </si>
  <si>
    <t>В-2411/336-ОРЗТП/2014 от 28.02.14г.</t>
  </si>
  <si>
    <t>40855790</t>
  </si>
  <si>
    <t>ОАО Мегафон</t>
  </si>
  <si>
    <t>Курская обл., Тимский р-он, п.Тим</t>
  </si>
  <si>
    <t>строительство ответвления протяженностью 0,04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проектировании, тип и технические характеристики разъединителя определить проектом).</t>
  </si>
  <si>
    <t>Ц-7707/339-ОРЗТП/2014 от 27.02.14г.</t>
  </si>
  <si>
    <t>Ц-7716/328-ОРЗТП/2014 от 27.02.14г.</t>
  </si>
  <si>
    <t>Кузьмин Владимир Анатольевич</t>
  </si>
  <si>
    <t>Рябых Андрей Владимирович</t>
  </si>
  <si>
    <t>Курская обл., Курский р-он, Клюквинский с/с, д. Долгое, кад. №46:11:071004:46</t>
  </si>
  <si>
    <t>Курская область, Курский район, Нижнемедведицкий сельсовет, д. Верхняя Медведица, кад. номер: 46:11:110502:32</t>
  </si>
  <si>
    <t xml:space="preserve"> - строительство ВЛ-0,4 кВ протяженностью 0,5 км от ТП-10/0,4 кВ до границы земельного участка заявителя (марку и сечение провода, протяженность уточнить при проектировании) - /в т.ч. 0,1 км по техническим условиям Ц-7629/.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</si>
  <si>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Ц-7629, Ц-7654, Ц-7655/ – за счет средств тарифа на передачу электроэнергии;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Ц-7629, Ц-7654, Ц-7655/ – за счет средств тарифа на передачу электроэнергии.</t>
  </si>
  <si>
    <r>
      <t xml:space="preserve">строительство ВЛ-0,4 кВ протяженностью 0,57 км от ТП-10/0,4 кВ № 2/63 до границы земельного участка заявителя (марку и сечение провода, протяженность уточнить при проектировании) - /в т.ч. 0,34 км по техническим условиям </t>
    </r>
    <r>
      <rPr>
        <b/>
        <sz val="14"/>
        <rFont val="Arial Cyr"/>
        <charset val="204"/>
      </rPr>
      <t>Ц-6926 (Лот № 23 Льготники ЦЭС-1)/.</t>
    </r>
  </si>
  <si>
    <t>СТП 63 кВА</t>
  </si>
  <si>
    <t>Монтаж КТП 100 кВА; демонтаж СТП 40 кВА</t>
  </si>
  <si>
    <t>Остальной объем строительства С-1698 (Лот № 20 СЭС)</t>
  </si>
  <si>
    <t>Остальной объем строительства включен в С-1825 (Лот № 25 Льготники)</t>
  </si>
  <si>
    <t>Остальной объем строительства включен в С-1850 (Лот 23-24 Льготники СЭС)</t>
  </si>
  <si>
    <t>Остальной объем строительства включен в С-1632 (Лот № 17 СЭС)</t>
  </si>
  <si>
    <t>Объем строительства включен в С-1632 (Лот № 17 СЭС), С-1965</t>
  </si>
  <si>
    <t>Остальной объем строительства включен в Ц-7233 (Лот № 23-24 Льготники ЦЭС), Ц-7236 (Лот № 23-24 Льготники ЦЭС), Ц-7307 (Лот № 23-24 Льготники ЦЭС-2)</t>
  </si>
  <si>
    <t>Монтаж ТП 250 кВА; демонтаж ТП 160 кВА</t>
  </si>
  <si>
    <t>Остальной объем строительства включен в Ц-6459 (Лот № 20 ЦЭС-2), Ц-7079 (Лот № 22 Льготники ЦЭС), Ц-7081 (Лот № 23 Льготники ЦЭС-1), Ц-7269 (Лот № 23 Льготники ЦЭС-1); Ц-7079 (Лот № 22 Льготники ЦЭС)</t>
  </si>
  <si>
    <t>Монтаж автоматического выключателя 0,4 кВ в РУ-0,4 кВ</t>
  </si>
  <si>
    <t>0,035 (совместной подвеской по опорам существующей ВЛ-0,4 кВ); переключение участка ВЛ-0,4 кВ</t>
  </si>
  <si>
    <t>0,04 (Замена провода 2А-16 на СИП2 сеч. 35 мм2); установка подкоса к опоре</t>
  </si>
  <si>
    <t>Остальной объем строительства включен в Ц-7345 (Лот 24_ЦЭС-2)</t>
  </si>
  <si>
    <t>Остальной объем строительства включен в Ц-7527 (Лот № 25 Льготники), Ц-7601  (Лот № 25 Льготники)</t>
  </si>
  <si>
    <t>Остальной объем строительства включен в Ц-7629</t>
  </si>
  <si>
    <t>0,3 (в т.ч. 0,08 км совместным подвесом по опорам ВЛ-10 кВ)</t>
  </si>
  <si>
    <t>Остальной объем строительства включен в Ц-7623</t>
  </si>
  <si>
    <t>Остальной объем строительства включен в Ц-6468 (Лот № 20 ЦЭС-1)</t>
  </si>
  <si>
    <t>Остальной объем строительства включен в Ц-6844 (Лот № 21 ЦЭС-1)</t>
  </si>
  <si>
    <t>Остальной объем строительства включен в Ц-6844 (Лот № 21 ЦЭС-1), Ц-7685</t>
  </si>
  <si>
    <t>Остальной объем строительства включен в Ц-7307 (Лот № 23-24 Льготники ЦЭС-2)</t>
  </si>
  <si>
    <t>Замена тр-ра 25 кВА на тр-ор 250 кВА (с заменой автоматических выключателей,предохранителей, щитовых приборов, ТТ, РЗА)</t>
  </si>
  <si>
    <t>Остальной объем строительства включен в Ц-7586 (Лот № 25 Не льготники)</t>
  </si>
  <si>
    <t>Остальной объем строительства включен в Ц-6926 (Лот № 23 Льготники ЦЭС-1)</t>
  </si>
  <si>
    <t>1 (без АСКУЭ) 
в РУ-0,4 кВ проектируемой ТП-10/0,4 кВ</t>
  </si>
  <si>
    <t>1 (без АСКУЭ) 
в РУ-0,4 кВ ТП-10/0,4 кВ № 085</t>
  </si>
  <si>
    <t>Остальной объем строительства включен в В-2275 (Лот 22 Льготники ВЭС)</t>
  </si>
  <si>
    <t>реконструкция ВЛ-0,4 кВ № 2 в части монтажа двух дополнительных проводов на участке протяженностью 0,16 км (в пролетах опор №№ 23…30) и замены провода А-16 в пролете опор №№ 30…31 на СИП (объем реконструкции уточнить при проектировании) – за счет средств тарифа на передачу электроэнергии.</t>
  </si>
  <si>
    <t xml:space="preserve"> - Выполнить монтаж ответвления от опоры №31 ВЛ-0,4 кВ №2 до вводного пункта учета Заявителя, находящегося на границе (тип и марку провода определить при проектировании).</t>
  </si>
  <si>
    <t>Самотылова Наталья Викторовна</t>
  </si>
  <si>
    <t>Курская обл., Курчатовский р-н,  с. Чапли, ул. 7</t>
  </si>
  <si>
    <t>Парахин Владимир Алексеевич</t>
  </si>
  <si>
    <t>Ц-7776/____-ОРЗТП/2014 от</t>
  </si>
  <si>
    <t xml:space="preserve"> г.Курск, с/т Курск, уч.1126</t>
  </si>
  <si>
    <t>строительство ответвления протяженностью 0,15 км от опоры существующей ВЛ-0,4 кВ № 4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</si>
  <si>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0,025 (ответвление от опоры до ВПУ Заявителя)</t>
  </si>
  <si>
    <t>З-1977/0387-ОРЗТП/2014 от 04.03.2014г.</t>
  </si>
  <si>
    <t>Лот № 26 ЛЬГОТНИКИ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</si>
  <si>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</si>
  <si>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</si>
  <si>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</si>
  <si>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</si>
  <si>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</si>
  <si>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</si>
  <si>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</si>
  <si>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 xml:space="preserve">Наименование работ </t>
  </si>
  <si>
    <t xml:space="preserve">Монтаж приборов учета (без АСКУЭ) </t>
  </si>
  <si>
    <t>Монтаж ТП 10 (6)/0,4 кВ- СТП-63 кВа</t>
  </si>
  <si>
    <t>Монтаж приборов учета (без АСКУЭ). Строительство ВЛ-10 (6) кВ.Монтаж разъединителя 10 (6) кВ. Монтаж ТП 10 (6)/0,4 кВ- СТП-63 кВа. Монтаж учёта в ТП 10 (6)/0,4 кВ</t>
  </si>
  <si>
    <t>Монтаж КТП 100 кВА; демонтаж СТП 40 кВА Строительство ВЛИ-0,4 кВ</t>
  </si>
  <si>
    <t xml:space="preserve">Монтаж КТП 100 кВА; демонтаж СТП 40 кВА </t>
  </si>
  <si>
    <t xml:space="preserve"> Строительство ВЛИ-0,4 кВ</t>
  </si>
  <si>
    <t xml:space="preserve">Монтаж КТП 100 кВА </t>
  </si>
  <si>
    <t xml:space="preserve">Демонтаж СТП 40 кВА </t>
  </si>
  <si>
    <t xml:space="preserve"> Реконструкция ВЛ-0,4 кВ с монтажем 2-х дополнительныхпроводов</t>
  </si>
  <si>
    <t>Строительство ВЛИ-0,4 кВ (ответвление от опоры до ВПУ Заявителя)</t>
  </si>
  <si>
    <t xml:space="preserve">Строительство ВЛ-10 (6) кВ </t>
  </si>
  <si>
    <t>Монтаж ТП 10 (6)/0,4 кВ-63 кВА</t>
  </si>
  <si>
    <t>Строительство ВЛ-10 (6) кВ Монтаж разъединителя 10 (6) кВ Монтаж ТП 10 (6)/0,4 кВ Монтаж учёта в ТП 10 (6)/0,4 кВ Строительство ВЛИ-0,4 кВ</t>
  </si>
  <si>
    <t xml:space="preserve"> </t>
  </si>
  <si>
    <t>Монтаж ТП 250 кВА</t>
  </si>
  <si>
    <t>демонтаж ТП 160 кВА</t>
  </si>
  <si>
    <t>Строительство ВЛИ-0,4 кВ(совместной подвеской по опорам существующей ВЛ-0,4 кВ); переключение участка ВЛ-0,4 кВ</t>
  </si>
  <si>
    <t>Реконструкция ВЛ-0,4 кВ (Замена провода 2А-16 на СИП2 сеч. 35 мм2); установка подкоса к опоре</t>
  </si>
  <si>
    <t>Монтаж автоматического выключателя 0,4 кВ в РУ-0,4 кВ Строительство ВЛИ-0,4 кВ Реконструкция ВЛ-0,4 кВ(Замена провода 2А-16 на СИП2 сеч. 35 мм2); установка подкоса к опоре</t>
  </si>
  <si>
    <t xml:space="preserve">Монтаж ТП 10 (6)/0,4 кВ-63 кВА </t>
  </si>
  <si>
    <t>Строительство ВЛИ-0,4 кВ (Ц-7629/0215-ОРЗТП/2014 от 12.02.14г.)</t>
  </si>
  <si>
    <t>Строительство ВЛИ-0,4 кВ (Ц-7654/0231-ОРЗТП/2014 от 17.02.14г.)</t>
  </si>
  <si>
    <t>Строительство ВЛИ-0,4 кВ (Ц-7655/0240-ОРЗТП/2014 от 18.02.14г.0</t>
  </si>
  <si>
    <t>Строительство ВЛИ-0,4 кВ (Ц-7707/339-ОРЗТП/2014 от 27.02.14г.)</t>
  </si>
  <si>
    <t>Строительство ВЛ-10 (6) кВмонтаж разъединителя 10 (6) кВ</t>
  </si>
  <si>
    <t>Монтаж ТП 10 (6)/0,4 кВ-63 кВа</t>
  </si>
  <si>
    <t>Строительство ВЛИ-0,4 кВ(в т.ч. 0,08 км совместным подвесом по опорам ВЛ-10 кВ)</t>
  </si>
  <si>
    <t>Реконструкция ТП 10 (6)/0,4 кВЗамена тр-ра 25 кВА на тр-ор 250 кВА (с заменой автоматических выключателей,предохранителей, щитовых приборов, ТТ, РЗА)</t>
  </si>
  <si>
    <r>
      <t xml:space="preserve"> - строительство ВЛ-0,4 кВ протяженностью 0,38 км от ТП-10/0,4 кВ  №673 до границ земельного участка заявителя (точку врезки, марку и сечение провода, протяженность определить при проектировании) - /в т.ч. 0,38 км по техническим условиям </t>
    </r>
    <r>
      <rPr>
        <b/>
        <sz val="14"/>
        <color rgb="FFFF0000"/>
        <rFont val="Arial Cyr"/>
        <charset val="204"/>
      </rPr>
      <t>Ц-7307 (Лот № 23-24 Льготники ЦЭС-2)/.</t>
    </r>
  </si>
  <si>
    <t>Строительство ВЛИ-0,4 кВ Реконструкция ВЛ-0,4 кВ с монтажем 2-х дополнительныхпроводов</t>
  </si>
  <si>
    <t>Строительство ВЛ-10 (6) кВ.Монтаж разъединителя 10 (6) кВ. Монтаж ТП 10 (6)/0,4 кВ.  Строительство ВЛИ-0,4 кВ</t>
  </si>
  <si>
    <t>Строительство ВЛЗ-10 (6) кВ.Монтаж разъединителя 10 (6) кВ. Монтаж ТП 10 (6)/0,4 кВ. Монтаж учёта в ТП 10 (6)/0,4 кВ.Строительство ВЛИ-0,4 кВ</t>
  </si>
  <si>
    <t>год ввода</t>
  </si>
  <si>
    <t>год освоения</t>
  </si>
  <si>
    <t>ИПР код</t>
  </si>
  <si>
    <t>ТПиР/НС</t>
  </si>
  <si>
    <t>Тип Объекта</t>
  </si>
  <si>
    <t>Наименование работ</t>
  </si>
  <si>
    <t>кол-во</t>
  </si>
  <si>
    <t>Обор</t>
  </si>
  <si>
    <t>Итого</t>
  </si>
  <si>
    <t>Примеч</t>
  </si>
  <si>
    <t>НСиР</t>
  </si>
  <si>
    <t>ВЛЭП</t>
  </si>
  <si>
    <t>ТПиР</t>
  </si>
  <si>
    <t>40855724</t>
  </si>
  <si>
    <t>Реконструкция ТП 10 (6)/0,4 кВ  Замена тр-ра 25 кВА на тр-ор 250 кВА (с заменой автоматических выключателей,предохранителей, щитовых приборов, ТТ, РЗА)</t>
  </si>
  <si>
    <t>Прочее</t>
  </si>
  <si>
    <t>Монтаж разъединителя 10 кВ</t>
  </si>
  <si>
    <t>Строительство ВЛ-10 кВ</t>
  </si>
  <si>
    <t>Монтаж СТП 10/0,4 кВ (63 кВА)</t>
  </si>
  <si>
    <t>Монтаж учёта в ТП 10/0,4 кВ</t>
  </si>
  <si>
    <t>Монтаж КТП 100 кВА</t>
  </si>
  <si>
    <t xml:space="preserve"> Реконструкция ВЛ-0,4 кВ с монтажем 2-х дополнительных проводов</t>
  </si>
  <si>
    <t>Монтаж приборов учета</t>
  </si>
  <si>
    <t>Реконструкция ВЛ-0,4 кВ с монтажем 4-х дополнительных проводов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</si>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</sst>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.000"/>
    <numFmt numFmtId="166" formatCode="0.0"/>
    <numFmt numFmtId="167" formatCode="_-* #,##0.000_р_._-;\-* #,##0.000_р_._-;_-* &quot;-&quot;??_р_._-;_-@_-"/>
    <numFmt numFmtId="168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6"/>
      <color rgb="FFFF0000"/>
      <name val="Arial Cyr"/>
      <charset val="204"/>
    </font>
    <font>
      <sz val="14"/>
      <color rgb="FFFF0000"/>
      <name val="Arial Cyr"/>
      <charset val="204"/>
    </font>
    <font>
      <b/>
      <sz val="14"/>
      <color rgb="FFFF0000"/>
      <name val="Arial Cyr"/>
      <charset val="204"/>
    </font>
    <font>
      <sz val="14"/>
      <color rgb="FFFF0000"/>
      <name val="Calibri"/>
      <family val="2"/>
      <charset val="204"/>
      <scheme val="minor"/>
    </font>
    <font>
      <sz val="18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0" fontId="26" fillId="0" borderId="0"/>
  </cellStyleXfs>
  <cellXfs count="15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 wrapText="1"/>
    </xf>
    <xf numFmtId="14" fontId="20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167" fontId="11" fillId="0" borderId="0" xfId="1" applyNumberFormat="1" applyFont="1" applyFill="1" applyAlignment="1">
      <alignment horizontal="center"/>
    </xf>
    <xf numFmtId="43" fontId="0" fillId="0" borderId="0" xfId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3" fontId="25" fillId="0" borderId="1" xfId="1" applyFont="1" applyFill="1" applyBorder="1" applyAlignment="1">
      <alignment horizontal="center" vertical="center" wrapTex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0" fontId="25" fillId="4" borderId="1" xfId="0" applyNumberFormat="1" applyFont="1" applyFill="1" applyBorder="1" applyAlignment="1">
      <alignment horizontal="center" vertical="center" wrapText="1"/>
    </xf>
    <xf numFmtId="14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 wrapText="1"/>
    </xf>
    <xf numFmtId="0" fontId="25" fillId="5" borderId="1" xfId="0" applyNumberFormat="1" applyFont="1" applyFill="1" applyBorder="1" applyAlignment="1">
      <alignment horizontal="center" vertical="center" wrapText="1"/>
    </xf>
    <xf numFmtId="43" fontId="25" fillId="5" borderId="1" xfId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 applyAlignment="1">
      <alignment horizontal="center"/>
    </xf>
    <xf numFmtId="167" fontId="24" fillId="0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27" fillId="0" borderId="1" xfId="1" applyNumberFormat="1" applyFont="1" applyFill="1" applyBorder="1" applyAlignment="1">
      <alignment horizontal="center" vertical="center" wrapText="1"/>
    </xf>
    <xf numFmtId="167" fontId="23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4" fontId="23" fillId="6" borderId="1" xfId="0" applyNumberFormat="1" applyFont="1" applyFill="1" applyBorder="1" applyAlignment="1">
      <alignment horizontal="center" vertical="center" wrapText="1"/>
    </xf>
    <xf numFmtId="0" fontId="23" fillId="6" borderId="1" xfId="0" applyNumberFormat="1" applyFont="1" applyFill="1" applyBorder="1" applyAlignment="1">
      <alignment horizontal="center" vertical="center" wrapText="1"/>
    </xf>
    <xf numFmtId="4" fontId="23" fillId="6" borderId="1" xfId="0" applyNumberFormat="1" applyFont="1" applyFill="1" applyBorder="1" applyAlignment="1">
      <alignment horizontal="center" vertical="center" wrapText="1"/>
    </xf>
    <xf numFmtId="0" fontId="25" fillId="6" borderId="1" xfId="0" applyNumberFormat="1" applyFont="1" applyFill="1" applyBorder="1" applyAlignment="1">
      <alignment horizontal="center" vertical="center" wrapText="1"/>
    </xf>
    <xf numFmtId="167" fontId="23" fillId="6" borderId="1" xfId="1" applyNumberFormat="1" applyFont="1" applyFill="1" applyBorder="1" applyAlignment="1">
      <alignment horizontal="center" vertical="center" wrapText="1"/>
    </xf>
    <xf numFmtId="167" fontId="5" fillId="6" borderId="3" xfId="1" applyNumberFormat="1" applyFont="1" applyFill="1" applyBorder="1" applyAlignment="1">
      <alignment horizontal="center" vertical="center" wrapText="1"/>
    </xf>
    <xf numFmtId="43" fontId="25" fillId="6" borderId="1" xfId="1" applyFont="1" applyFill="1" applyBorder="1" applyAlignment="1">
      <alignment horizontal="center" vertical="center" wrapText="1"/>
    </xf>
    <xf numFmtId="14" fontId="23" fillId="7" borderId="1" xfId="0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center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5" fillId="7" borderId="1" xfId="0" applyNumberFormat="1" applyFont="1" applyFill="1" applyBorder="1" applyAlignment="1">
      <alignment horizontal="center" vertical="center" wrapText="1"/>
    </xf>
    <xf numFmtId="167" fontId="23" fillId="7" borderId="1" xfId="1" applyNumberFormat="1" applyFont="1" applyFill="1" applyBorder="1" applyAlignment="1">
      <alignment horizontal="center" vertical="center" wrapText="1"/>
    </xf>
    <xf numFmtId="167" fontId="5" fillId="7" borderId="3" xfId="1" applyNumberFormat="1" applyFont="1" applyFill="1" applyBorder="1" applyAlignment="1">
      <alignment horizontal="center" vertical="center" wrapText="1"/>
    </xf>
    <xf numFmtId="43" fontId="25" fillId="7" borderId="1" xfId="1" applyFont="1" applyFill="1" applyBorder="1" applyAlignment="1">
      <alignment horizontal="center" vertical="center" wrapText="1"/>
    </xf>
    <xf numFmtId="167" fontId="23" fillId="5" borderId="1" xfId="1" applyNumberFormat="1" applyFont="1" applyFill="1" applyBorder="1" applyAlignment="1">
      <alignment horizontal="center" vertical="center" wrapText="1"/>
    </xf>
    <xf numFmtId="167" fontId="5" fillId="5" borderId="3" xfId="1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0" fontId="0" fillId="0" borderId="0" xfId="0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23" fillId="7" borderId="1" xfId="0" applyNumberFormat="1" applyFont="1" applyFill="1" applyBorder="1" applyAlignment="1">
      <alignment horizontal="center" vertical="top" wrapText="1"/>
    </xf>
    <xf numFmtId="0" fontId="23" fillId="5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3" borderId="1" xfId="0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23" fillId="6" borderId="1" xfId="0" applyNumberFormat="1" applyFont="1" applyFill="1" applyBorder="1" applyAlignment="1">
      <alignment horizontal="center" vertical="top" wrapText="1"/>
    </xf>
    <xf numFmtId="0" fontId="23" fillId="4" borderId="1" xfId="0" applyNumberFormat="1" applyFont="1" applyFill="1" applyBorder="1" applyAlignment="1">
      <alignment horizontal="center" vertical="top" wrapText="1"/>
    </xf>
    <xf numFmtId="167" fontId="23" fillId="4" borderId="1" xfId="1" applyNumberFormat="1" applyFont="1" applyFill="1" applyBorder="1" applyAlignment="1">
      <alignment horizontal="center" vertical="center" wrapText="1"/>
    </xf>
    <xf numFmtId="167" fontId="5" fillId="4" borderId="3" xfId="1" applyNumberFormat="1" applyFont="1" applyFill="1" applyBorder="1" applyAlignment="1">
      <alignment horizontal="center" vertical="center" wrapText="1"/>
    </xf>
    <xf numFmtId="14" fontId="23" fillId="8" borderId="1" xfId="0" applyNumberFormat="1" applyFont="1" applyFill="1" applyBorder="1" applyAlignment="1">
      <alignment horizontal="center" vertical="center" wrapText="1"/>
    </xf>
    <xf numFmtId="0" fontId="23" fillId="8" borderId="1" xfId="0" applyNumberFormat="1" applyFont="1" applyFill="1" applyBorder="1" applyAlignment="1">
      <alignment horizontal="center" vertical="center" wrapText="1"/>
    </xf>
    <xf numFmtId="4" fontId="23" fillId="8" borderId="1" xfId="0" applyNumberFormat="1" applyFont="1" applyFill="1" applyBorder="1" applyAlignment="1">
      <alignment horizontal="center" vertical="center" wrapText="1"/>
    </xf>
    <xf numFmtId="0" fontId="25" fillId="8" borderId="1" xfId="0" applyNumberFormat="1" applyFont="1" applyFill="1" applyBorder="1" applyAlignment="1">
      <alignment horizontal="center" vertical="center" wrapText="1"/>
    </xf>
    <xf numFmtId="0" fontId="23" fillId="8" borderId="1" xfId="0" applyNumberFormat="1" applyFont="1" applyFill="1" applyBorder="1" applyAlignment="1">
      <alignment horizontal="center" vertical="top" wrapText="1"/>
    </xf>
    <xf numFmtId="167" fontId="23" fillId="8" borderId="1" xfId="1" applyNumberFormat="1" applyFont="1" applyFill="1" applyBorder="1" applyAlignment="1">
      <alignment horizontal="center" vertical="center" wrapText="1"/>
    </xf>
    <xf numFmtId="167" fontId="5" fillId="8" borderId="3" xfId="1" applyNumberFormat="1" applyFont="1" applyFill="1" applyBorder="1" applyAlignment="1">
      <alignment horizontal="center" vertical="center" wrapText="1"/>
    </xf>
    <xf numFmtId="43" fontId="25" fillId="8" borderId="1" xfId="1" applyFont="1" applyFill="1" applyBorder="1" applyAlignment="1">
      <alignment horizontal="center" vertical="center" wrapText="1"/>
    </xf>
    <xf numFmtId="0" fontId="0" fillId="8" borderId="0" xfId="0" applyFill="1"/>
    <xf numFmtId="168" fontId="0" fillId="8" borderId="0" xfId="1" applyNumberFormat="1" applyFont="1" applyFill="1"/>
    <xf numFmtId="167" fontId="0" fillId="8" borderId="0" xfId="1" applyNumberFormat="1" applyFont="1" applyFill="1"/>
    <xf numFmtId="43" fontId="24" fillId="0" borderId="1" xfId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167" fontId="25" fillId="5" borderId="3" xfId="1" applyNumberFormat="1" applyFont="1" applyFill="1" applyBorder="1" applyAlignment="1">
      <alignment horizontal="center" vertical="center" wrapText="1"/>
    </xf>
    <xf numFmtId="167" fontId="28" fillId="0" borderId="0" xfId="1" applyNumberFormat="1" applyFont="1" applyFill="1"/>
    <xf numFmtId="168" fontId="28" fillId="0" borderId="0" xfId="1" applyNumberFormat="1" applyFont="1" applyFill="1"/>
    <xf numFmtId="0" fontId="28" fillId="0" borderId="0" xfId="0" applyFont="1" applyFill="1"/>
    <xf numFmtId="43" fontId="25" fillId="4" borderId="1" xfId="1" applyFont="1" applyFill="1" applyBorder="1" applyAlignment="1">
      <alignment horizontal="center" vertical="center" wrapText="1"/>
    </xf>
    <xf numFmtId="14" fontId="23" fillId="10" borderId="1" xfId="0" applyNumberFormat="1" applyFont="1" applyFill="1" applyBorder="1" applyAlignment="1">
      <alignment horizontal="center" vertical="center" wrapText="1"/>
    </xf>
    <xf numFmtId="0" fontId="23" fillId="10" borderId="1" xfId="0" applyNumberFormat="1" applyFont="1" applyFill="1" applyBorder="1" applyAlignment="1">
      <alignment horizontal="center" vertical="center" wrapText="1"/>
    </xf>
    <xf numFmtId="4" fontId="23" fillId="10" borderId="1" xfId="0" applyNumberFormat="1" applyFont="1" applyFill="1" applyBorder="1" applyAlignment="1">
      <alignment horizontal="center" vertical="center" wrapText="1"/>
    </xf>
    <xf numFmtId="0" fontId="25" fillId="10" borderId="1" xfId="0" applyNumberFormat="1" applyFont="1" applyFill="1" applyBorder="1" applyAlignment="1">
      <alignment horizontal="center" vertical="center" wrapText="1"/>
    </xf>
    <xf numFmtId="0" fontId="23" fillId="10" borderId="1" xfId="0" applyNumberFormat="1" applyFont="1" applyFill="1" applyBorder="1" applyAlignment="1">
      <alignment horizontal="center" vertical="top" wrapText="1"/>
    </xf>
    <xf numFmtId="167" fontId="23" fillId="10" borderId="1" xfId="1" applyNumberFormat="1" applyFont="1" applyFill="1" applyBorder="1" applyAlignment="1">
      <alignment horizontal="center" vertical="center" wrapText="1"/>
    </xf>
    <xf numFmtId="43" fontId="25" fillId="1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27"/>
  <sheetViews>
    <sheetView view="pageBreakPreview" topLeftCell="L1" zoomScale="50" zoomScaleNormal="70" zoomScaleSheetLayoutView="50" workbookViewId="0">
      <pane ySplit="2" topLeftCell="A13" activePane="bottomLeft" state="frozen"/>
      <selection pane="bottomLeft" activeCell="BI19" sqref="BI19"/>
    </sheetView>
  </sheetViews>
  <sheetFormatPr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33.28515625" style="18" customWidth="1"/>
    <col min="5" max="5" width="10.5703125" style="18" customWidth="1"/>
    <col min="6" max="6" width="36.42578125" style="18" customWidth="1"/>
    <col min="7" max="7" width="62.140625" style="12" customWidth="1"/>
    <col min="8" max="8" width="59.42578125" style="12" customWidth="1"/>
    <col min="9" max="9" width="54.85546875" style="12" customWidth="1"/>
    <col min="10" max="11" width="17.85546875" style="12" customWidth="1"/>
    <col min="12" max="12" width="15.28515625" style="12" customWidth="1"/>
    <col min="13" max="13" width="14.42578125" style="12" customWidth="1"/>
    <col min="14" max="14" width="14.28515625" style="12" customWidth="1"/>
    <col min="15" max="15" width="15.42578125" style="12" customWidth="1"/>
    <col min="16" max="16" width="13.7109375" style="12" customWidth="1"/>
    <col min="17" max="17" width="13" style="12" customWidth="1"/>
    <col min="18" max="18" width="13.85546875" style="5" customWidth="1"/>
    <col min="19" max="19" width="0" style="5" hidden="1" customWidth="1"/>
    <col min="20" max="20" width="14.140625" style="5" customWidth="1"/>
    <col min="21" max="21" width="17" style="5" customWidth="1"/>
    <col min="22" max="22" width="0" style="5" hidden="1" customWidth="1"/>
    <col min="23" max="23" width="10.85546875" style="5" bestFit="1" customWidth="1"/>
    <col min="24" max="24" width="10" style="5" bestFit="1" customWidth="1"/>
    <col min="25" max="25" width="0" style="5" hidden="1" customWidth="1"/>
    <col min="26" max="26" width="12.5703125" style="5" bestFit="1" customWidth="1"/>
    <col min="27" max="27" width="12.5703125" style="3" customWidth="1"/>
    <col min="28" max="28" width="0" style="3" hidden="1" customWidth="1"/>
    <col min="29" max="29" width="10.85546875" style="3" bestFit="1" customWidth="1"/>
    <col min="30" max="30" width="0" style="3" hidden="1" customWidth="1"/>
    <col min="31" max="31" width="13.42578125" style="3" customWidth="1"/>
    <col min="32" max="32" width="0" style="3" hidden="1" customWidth="1"/>
    <col min="33" max="33" width="10.85546875" style="3" bestFit="1" customWidth="1"/>
    <col min="34" max="34" width="10.7109375" style="3" customWidth="1"/>
    <col min="35" max="35" width="10.7109375" style="3" hidden="1" customWidth="1"/>
    <col min="36" max="36" width="9.140625" style="3"/>
    <col min="37" max="37" width="0" style="3" hidden="1" customWidth="1"/>
    <col min="38" max="38" width="12.5703125" style="3" bestFit="1" customWidth="1"/>
    <col min="39" max="39" width="0" style="3" hidden="1" customWidth="1"/>
    <col min="40" max="43" width="12.42578125" style="3" customWidth="1"/>
    <col min="44" max="44" width="9.140625" style="3" customWidth="1"/>
    <col min="45" max="45" width="9.140625" style="3" hidden="1" customWidth="1"/>
    <col min="46" max="46" width="9.140625" style="3" customWidth="1"/>
    <col min="47" max="47" width="9.140625" style="3" hidden="1" customWidth="1"/>
    <col min="48" max="48" width="25" style="3" customWidth="1"/>
    <col min="49" max="49" width="11.42578125" style="3" hidden="1" customWidth="1"/>
    <col min="50" max="50" width="14.5703125" style="3" customWidth="1"/>
    <col min="51" max="51" width="19.28515625" style="3" customWidth="1"/>
    <col min="52" max="52" width="13.28515625" style="3" hidden="1" customWidth="1"/>
    <col min="53" max="53" width="13.28515625" style="3" customWidth="1"/>
    <col min="54" max="54" width="16.42578125" style="3" customWidth="1"/>
    <col min="55" max="55" width="13.42578125" style="3" hidden="1" customWidth="1"/>
    <col min="56" max="56" width="15.42578125" style="3" customWidth="1"/>
    <col min="57" max="57" width="11.28515625" style="3" hidden="1" customWidth="1"/>
    <col min="58" max="58" width="11.42578125" style="3" customWidth="1"/>
    <col min="59" max="59" width="11.42578125" style="3" hidden="1" customWidth="1"/>
    <col min="60" max="60" width="11.42578125" style="3" customWidth="1"/>
    <col min="61" max="61" width="19" style="3" customWidth="1"/>
    <col min="62" max="62" width="9.140625" style="3" hidden="1" customWidth="1"/>
    <col min="63" max="63" width="11" style="3" customWidth="1"/>
    <col min="64" max="64" width="12.5703125" style="3" customWidth="1"/>
    <col min="65" max="65" width="18" style="15" customWidth="1"/>
    <col min="66" max="66" width="26.42578125" style="3" customWidth="1"/>
    <col min="67" max="67" width="17.7109375" style="5" customWidth="1"/>
    <col min="68" max="16384" width="9.140625" style="5"/>
  </cols>
  <sheetData>
    <row r="1" spans="1:67" ht="23.25" x14ac:dyDescent="0.35">
      <c r="C1" s="20" t="s">
        <v>332</v>
      </c>
    </row>
    <row r="2" spans="1:67" s="4" customFormat="1" ht="183.75" customHeight="1" x14ac:dyDescent="0.25">
      <c r="A2" s="1" t="s">
        <v>0</v>
      </c>
      <c r="B2" s="1" t="s">
        <v>31</v>
      </c>
      <c r="C2" s="1" t="s">
        <v>34</v>
      </c>
      <c r="D2" s="1" t="s">
        <v>1</v>
      </c>
      <c r="E2" s="1" t="s">
        <v>2</v>
      </c>
      <c r="F2" s="1" t="s">
        <v>21</v>
      </c>
      <c r="G2" s="1" t="s">
        <v>26</v>
      </c>
      <c r="H2" s="1" t="s">
        <v>3</v>
      </c>
      <c r="I2" s="1" t="s">
        <v>340</v>
      </c>
      <c r="J2" s="1" t="s">
        <v>333</v>
      </c>
      <c r="K2" s="1" t="s">
        <v>334</v>
      </c>
      <c r="L2" s="1"/>
      <c r="M2" s="1" t="s">
        <v>335</v>
      </c>
      <c r="N2" s="1" t="s">
        <v>336</v>
      </c>
      <c r="O2" s="1" t="s">
        <v>337</v>
      </c>
      <c r="P2" s="1" t="s">
        <v>338</v>
      </c>
      <c r="Q2" s="1" t="s">
        <v>339</v>
      </c>
      <c r="R2" s="1" t="s">
        <v>4</v>
      </c>
      <c r="S2" s="1"/>
      <c r="T2" s="1" t="s">
        <v>25</v>
      </c>
      <c r="U2" s="8" t="s">
        <v>5</v>
      </c>
      <c r="V2" s="8"/>
      <c r="W2" s="8"/>
      <c r="X2" s="1" t="s">
        <v>6</v>
      </c>
      <c r="Y2" s="1"/>
      <c r="Z2" s="1"/>
      <c r="AA2" s="2" t="s">
        <v>7</v>
      </c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35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16</v>
      </c>
      <c r="AZ2" s="2"/>
      <c r="BA2" s="2"/>
      <c r="BB2" s="2" t="s">
        <v>17</v>
      </c>
      <c r="BC2" s="2"/>
      <c r="BD2" s="2" t="s">
        <v>18</v>
      </c>
      <c r="BE2" s="2"/>
      <c r="BF2" s="10" t="s">
        <v>19</v>
      </c>
      <c r="BG2" s="10"/>
      <c r="BH2" s="10"/>
      <c r="BI2" s="9" t="s">
        <v>22</v>
      </c>
      <c r="BJ2" s="9"/>
      <c r="BK2" s="9"/>
      <c r="BL2" s="2" t="s">
        <v>24</v>
      </c>
      <c r="BM2" s="13" t="s">
        <v>23</v>
      </c>
      <c r="BN2" s="2" t="s">
        <v>20</v>
      </c>
    </row>
    <row r="3" spans="1:67" s="33" customFormat="1" ht="97.5" customHeight="1" x14ac:dyDescent="0.25">
      <c r="A3" s="27" t="s">
        <v>280</v>
      </c>
      <c r="B3" s="27" t="s">
        <v>281</v>
      </c>
      <c r="C3" s="28">
        <v>124902.88</v>
      </c>
      <c r="D3" s="29" t="s">
        <v>282</v>
      </c>
      <c r="E3" s="29" t="s">
        <v>166</v>
      </c>
      <c r="F3" s="29" t="s">
        <v>283</v>
      </c>
      <c r="G3" s="24" t="s">
        <v>284</v>
      </c>
      <c r="H3" s="24" t="s">
        <v>30</v>
      </c>
      <c r="I3" s="24" t="s">
        <v>16</v>
      </c>
      <c r="J3" s="24">
        <v>0.04</v>
      </c>
      <c r="K3" s="24">
        <f>0.035*930</f>
        <v>32.550000000000004</v>
      </c>
      <c r="L3" s="24"/>
      <c r="M3" s="24">
        <f>K3*0.08</f>
        <v>2.6040000000000005</v>
      </c>
      <c r="N3" s="24">
        <f>K3*0.86</f>
        <v>27.993000000000002</v>
      </c>
      <c r="O3" s="24"/>
      <c r="P3" s="24">
        <f>K3*0.06</f>
        <v>1.9530000000000003</v>
      </c>
      <c r="Q3" s="24">
        <f>M3+N3+O3+P3</f>
        <v>32.550000000000004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>
        <v>0.04</v>
      </c>
      <c r="AZ3" s="30"/>
      <c r="BA3" s="30">
        <v>32.549999999999997</v>
      </c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>
        <v>32.549999999999997</v>
      </c>
      <c r="BM3" s="31">
        <v>41818</v>
      </c>
      <c r="BN3" s="30"/>
      <c r="BO3" s="32"/>
    </row>
    <row r="4" spans="1:67" s="33" customFormat="1" ht="372.75" customHeight="1" x14ac:dyDescent="0.25">
      <c r="A4" s="27" t="s">
        <v>39</v>
      </c>
      <c r="B4" s="29" t="s">
        <v>81</v>
      </c>
      <c r="C4" s="28">
        <v>466.1</v>
      </c>
      <c r="D4" s="29" t="s">
        <v>123</v>
      </c>
      <c r="E4" s="29" t="s">
        <v>38</v>
      </c>
      <c r="F4" s="29" t="s">
        <v>170</v>
      </c>
      <c r="G4" s="24" t="s">
        <v>212</v>
      </c>
      <c r="H4" s="24" t="s">
        <v>30</v>
      </c>
      <c r="I4" s="24" t="s">
        <v>343</v>
      </c>
      <c r="J4" s="24"/>
      <c r="K4" s="43">
        <f>K5+K6+K7+K8+K9</f>
        <v>401.09</v>
      </c>
      <c r="L4" s="24"/>
      <c r="M4" s="43">
        <f t="shared" ref="M4:Q4" si="0">M5+M6+M7+M8+M9</f>
        <v>23.182000000000002</v>
      </c>
      <c r="N4" s="43">
        <f t="shared" si="0"/>
        <v>169.63</v>
      </c>
      <c r="O4" s="43">
        <f t="shared" si="0"/>
        <v>200.97</v>
      </c>
      <c r="P4" s="43">
        <f t="shared" si="0"/>
        <v>7.31</v>
      </c>
      <c r="Q4" s="43">
        <f t="shared" si="0"/>
        <v>401.09199999999998</v>
      </c>
      <c r="R4" s="30"/>
      <c r="S4" s="30"/>
      <c r="T4" s="30"/>
      <c r="U4" s="30" t="s">
        <v>319</v>
      </c>
      <c r="V4" s="30"/>
      <c r="W4" s="30">
        <v>12.5</v>
      </c>
      <c r="X4" s="30">
        <v>1.4999999999999999E-2</v>
      </c>
      <c r="Y4" s="30"/>
      <c r="Z4" s="30">
        <v>129</v>
      </c>
      <c r="AA4" s="30"/>
      <c r="AB4" s="30"/>
      <c r="AC4" s="30"/>
      <c r="AD4" s="30"/>
      <c r="AE4" s="30">
        <v>1</v>
      </c>
      <c r="AF4" s="30"/>
      <c r="AG4" s="30">
        <v>53.34</v>
      </c>
      <c r="AH4" s="30"/>
      <c r="AI4" s="30"/>
      <c r="AJ4" s="30"/>
      <c r="AK4" s="30"/>
      <c r="AL4" s="30"/>
      <c r="AM4" s="30"/>
      <c r="AN4" s="30" t="s">
        <v>294</v>
      </c>
      <c r="AO4" s="30">
        <v>183.66</v>
      </c>
      <c r="AP4" s="30">
        <v>1</v>
      </c>
      <c r="AQ4" s="30">
        <v>22.59</v>
      </c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>
        <v>401.09</v>
      </c>
      <c r="BM4" s="31">
        <v>42049</v>
      </c>
      <c r="BN4" s="30"/>
      <c r="BO4" s="32"/>
    </row>
    <row r="5" spans="1:67" s="42" customFormat="1" ht="68.25" customHeight="1" x14ac:dyDescent="0.25">
      <c r="A5" s="37"/>
      <c r="B5" s="38"/>
      <c r="C5" s="39"/>
      <c r="D5" s="38"/>
      <c r="E5" s="38"/>
      <c r="F5" s="38"/>
      <c r="G5" s="25"/>
      <c r="H5" s="25"/>
      <c r="I5" s="25" t="s">
        <v>341</v>
      </c>
      <c r="J5" s="25">
        <v>1</v>
      </c>
      <c r="K5" s="25">
        <v>12.5</v>
      </c>
      <c r="L5" s="25"/>
      <c r="M5" s="25">
        <v>0.75</v>
      </c>
      <c r="N5" s="25">
        <v>1.63</v>
      </c>
      <c r="O5" s="25">
        <v>10.119999999999999</v>
      </c>
      <c r="P5" s="25"/>
      <c r="Q5" s="25">
        <v>12.5</v>
      </c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13"/>
      <c r="BN5" s="40"/>
      <c r="BO5" s="41"/>
    </row>
    <row r="6" spans="1:67" s="4" customFormat="1" ht="63" customHeight="1" x14ac:dyDescent="0.25">
      <c r="A6" s="16"/>
      <c r="B6" s="17"/>
      <c r="C6" s="19"/>
      <c r="D6" s="17"/>
      <c r="E6" s="17"/>
      <c r="F6" s="17"/>
      <c r="G6" s="11"/>
      <c r="H6" s="11"/>
      <c r="I6" s="11" t="s">
        <v>6</v>
      </c>
      <c r="J6" s="25">
        <v>0.15</v>
      </c>
      <c r="K6" s="11">
        <f>0.15*860</f>
        <v>129</v>
      </c>
      <c r="L6" s="11"/>
      <c r="M6" s="11">
        <f>K6*0.08</f>
        <v>10.32</v>
      </c>
      <c r="N6" s="11">
        <f>K6*0.89</f>
        <v>114.81</v>
      </c>
      <c r="O6" s="11"/>
      <c r="P6" s="11">
        <f>K6*0.03</f>
        <v>3.8699999999999997</v>
      </c>
      <c r="Q6" s="11">
        <f>M6+N6+O6+P6</f>
        <v>129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14"/>
      <c r="BN6" s="6"/>
      <c r="BO6" s="7"/>
    </row>
    <row r="7" spans="1:67" s="4" customFormat="1" ht="67.5" customHeight="1" x14ac:dyDescent="0.25">
      <c r="A7" s="16"/>
      <c r="B7" s="17"/>
      <c r="C7" s="19"/>
      <c r="D7" s="17"/>
      <c r="E7" s="17"/>
      <c r="F7" s="17"/>
      <c r="G7" s="11"/>
      <c r="H7" s="11"/>
      <c r="I7" s="11" t="s">
        <v>9</v>
      </c>
      <c r="J7" s="25">
        <v>1</v>
      </c>
      <c r="K7" s="25">
        <f>53.34</f>
        <v>53.34</v>
      </c>
      <c r="L7" s="25"/>
      <c r="M7" s="25">
        <f>3.912</f>
        <v>3.9119999999999999</v>
      </c>
      <c r="N7" s="25">
        <f>10.51</f>
        <v>10.51</v>
      </c>
      <c r="O7" s="25">
        <f>38.39</f>
        <v>38.39</v>
      </c>
      <c r="P7" s="25">
        <f>0.53</f>
        <v>0.53</v>
      </c>
      <c r="Q7" s="34">
        <f>M7+N7+O7+P7</f>
        <v>53.341999999999999</v>
      </c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14"/>
      <c r="BN7" s="6"/>
      <c r="BO7" s="7"/>
    </row>
    <row r="8" spans="1:67" s="4" customFormat="1" ht="67.5" customHeight="1" x14ac:dyDescent="0.25">
      <c r="A8" s="16"/>
      <c r="B8" s="17"/>
      <c r="C8" s="19"/>
      <c r="D8" s="17"/>
      <c r="E8" s="17"/>
      <c r="F8" s="17"/>
      <c r="G8" s="11"/>
      <c r="H8" s="11"/>
      <c r="I8" s="11" t="s">
        <v>342</v>
      </c>
      <c r="J8" s="25">
        <v>1</v>
      </c>
      <c r="K8" s="35">
        <f>Q8</f>
        <v>183.66000000000003</v>
      </c>
      <c r="L8" s="35"/>
      <c r="M8" s="35">
        <v>6.53</v>
      </c>
      <c r="N8" s="35">
        <f>41.42</f>
        <v>41.42</v>
      </c>
      <c r="O8" s="35">
        <v>133.96</v>
      </c>
      <c r="P8" s="35">
        <v>1.75</v>
      </c>
      <c r="Q8" s="36">
        <f t="shared" ref="Q8" si="1">M8+N8+O8+P8</f>
        <v>183.66000000000003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14"/>
      <c r="BN8" s="6"/>
      <c r="BO8" s="7"/>
    </row>
    <row r="9" spans="1:67" s="4" customFormat="1" ht="67.5" customHeight="1" x14ac:dyDescent="0.25">
      <c r="A9" s="16"/>
      <c r="B9" s="17"/>
      <c r="C9" s="19"/>
      <c r="D9" s="17"/>
      <c r="E9" s="17"/>
      <c r="F9" s="17"/>
      <c r="G9" s="11"/>
      <c r="H9" s="11"/>
      <c r="I9" s="11" t="s">
        <v>35</v>
      </c>
      <c r="J9" s="25">
        <v>1</v>
      </c>
      <c r="K9" s="25">
        <f>22.59</f>
        <v>22.59</v>
      </c>
      <c r="L9" s="25"/>
      <c r="M9" s="25">
        <f>1.67</f>
        <v>1.67</v>
      </c>
      <c r="N9" s="25">
        <f>1.26</f>
        <v>1.26</v>
      </c>
      <c r="O9" s="25">
        <f>18.5</f>
        <v>18.5</v>
      </c>
      <c r="P9" s="25">
        <f>0.36+0.8</f>
        <v>1.1600000000000001</v>
      </c>
      <c r="Q9" s="25">
        <f>M9+N9+O9+P9</f>
        <v>22.59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14"/>
      <c r="BN9" s="6"/>
      <c r="BO9" s="7"/>
    </row>
    <row r="10" spans="1:67" s="33" customFormat="1" ht="186" x14ac:dyDescent="0.25">
      <c r="A10" s="27" t="s">
        <v>40</v>
      </c>
      <c r="B10" s="29" t="s">
        <v>82</v>
      </c>
      <c r="C10" s="28">
        <v>466.1</v>
      </c>
      <c r="D10" s="29" t="s">
        <v>124</v>
      </c>
      <c r="E10" s="29" t="s">
        <v>36</v>
      </c>
      <c r="F10" s="29" t="s">
        <v>171</v>
      </c>
      <c r="G10" s="24" t="s">
        <v>248</v>
      </c>
      <c r="H10" s="24" t="s">
        <v>238</v>
      </c>
      <c r="I10" s="24" t="s">
        <v>344</v>
      </c>
      <c r="J10" s="24"/>
      <c r="K10" s="43">
        <f>K11+K12+K13</f>
        <v>786.12346000000002</v>
      </c>
      <c r="L10" s="24"/>
      <c r="M10" s="43">
        <f t="shared" ref="M10:Q10" si="2">M11+M12+M13</f>
        <v>50.855520000000006</v>
      </c>
      <c r="N10" s="43">
        <f t="shared" si="2"/>
        <v>462.58600000000001</v>
      </c>
      <c r="O10" s="43">
        <f t="shared" si="2"/>
        <v>239.44</v>
      </c>
      <c r="P10" s="43">
        <f t="shared" si="2"/>
        <v>33.24194</v>
      </c>
      <c r="Q10" s="43">
        <f t="shared" si="2"/>
        <v>786.12346000000002</v>
      </c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 t="s">
        <v>295</v>
      </c>
      <c r="AO10" s="30">
        <v>330.42</v>
      </c>
      <c r="AP10" s="30"/>
      <c r="AQ10" s="30"/>
      <c r="AR10" s="30"/>
      <c r="AS10" s="30"/>
      <c r="AT10" s="30"/>
      <c r="AU10" s="30"/>
      <c r="AV10" s="30"/>
      <c r="AW10" s="30"/>
      <c r="AX10" s="30"/>
      <c r="AY10" s="30">
        <v>0.49</v>
      </c>
      <c r="AZ10" s="30"/>
      <c r="BA10" s="30">
        <v>455.7</v>
      </c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>
        <v>786.12</v>
      </c>
      <c r="BM10" s="31">
        <v>41876</v>
      </c>
      <c r="BN10" s="30" t="s">
        <v>321</v>
      </c>
      <c r="BO10" s="32"/>
    </row>
    <row r="11" spans="1:67" s="42" customFormat="1" ht="36" customHeight="1" x14ac:dyDescent="0.25">
      <c r="A11" s="37"/>
      <c r="B11" s="38"/>
      <c r="C11" s="39"/>
      <c r="D11" s="38"/>
      <c r="E11" s="38"/>
      <c r="F11" s="38"/>
      <c r="G11" s="25"/>
      <c r="H11" s="25"/>
      <c r="I11" s="25" t="s">
        <v>345</v>
      </c>
      <c r="J11" s="25" t="s">
        <v>347</v>
      </c>
      <c r="K11" s="35">
        <f>Q11</f>
        <v>298.82</v>
      </c>
      <c r="L11" s="35"/>
      <c r="M11" s="35">
        <v>12.08</v>
      </c>
      <c r="N11" s="35">
        <v>41.69</v>
      </c>
      <c r="O11" s="35">
        <v>239.44</v>
      </c>
      <c r="P11" s="35">
        <v>5.61</v>
      </c>
      <c r="Q11" s="36">
        <f t="shared" ref="Q11" si="3">M11+N11+O11+P11</f>
        <v>298.82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13"/>
      <c r="BN11" s="40"/>
      <c r="BO11" s="41"/>
    </row>
    <row r="12" spans="1:67" s="42" customFormat="1" ht="36" x14ac:dyDescent="0.25">
      <c r="A12" s="37"/>
      <c r="B12" s="38"/>
      <c r="C12" s="39"/>
      <c r="D12" s="38"/>
      <c r="E12" s="38"/>
      <c r="F12" s="38"/>
      <c r="G12" s="25"/>
      <c r="H12" s="25"/>
      <c r="I12" s="25"/>
      <c r="J12" s="25" t="s">
        <v>348</v>
      </c>
      <c r="K12" s="35">
        <f>Q12</f>
        <v>31.603460000000002</v>
      </c>
      <c r="L12" s="35"/>
      <c r="M12" s="35">
        <f>(N12+O12*0.3)*0.08</f>
        <v>2.3195200000000002</v>
      </c>
      <c r="N12" s="35">
        <f>41.42*0.7</f>
        <v>28.994</v>
      </c>
      <c r="O12" s="35">
        <v>0</v>
      </c>
      <c r="P12" s="35">
        <f>(N12+O12)*0.01</f>
        <v>0.28994000000000003</v>
      </c>
      <c r="Q12" s="36">
        <f t="shared" ref="Q12" si="4">M12+N12+O12+P12</f>
        <v>31.603460000000002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13"/>
      <c r="BN12" s="40"/>
      <c r="BO12" s="41"/>
    </row>
    <row r="13" spans="1:67" s="42" customFormat="1" ht="23.25" x14ac:dyDescent="0.25">
      <c r="A13" s="37"/>
      <c r="B13" s="38"/>
      <c r="C13" s="39"/>
      <c r="D13" s="38"/>
      <c r="E13" s="38"/>
      <c r="F13" s="38"/>
      <c r="G13" s="25"/>
      <c r="H13" s="25"/>
      <c r="I13" s="25" t="s">
        <v>346</v>
      </c>
      <c r="J13" s="25">
        <v>0.49</v>
      </c>
      <c r="K13" s="25">
        <f>J13*930</f>
        <v>455.7</v>
      </c>
      <c r="L13" s="25"/>
      <c r="M13" s="25">
        <f>K13*0.08</f>
        <v>36.456000000000003</v>
      </c>
      <c r="N13" s="25">
        <f>K13*0.86</f>
        <v>391.90199999999999</v>
      </c>
      <c r="O13" s="25"/>
      <c r="P13" s="25">
        <f>K13*0.06</f>
        <v>27.341999999999999</v>
      </c>
      <c r="Q13" s="25">
        <f>M13+N13+O13+P13</f>
        <v>455.7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13"/>
      <c r="BN13" s="40"/>
      <c r="BO13" s="41"/>
    </row>
    <row r="14" spans="1:67" s="33" customFormat="1" ht="89.25" customHeight="1" x14ac:dyDescent="0.25">
      <c r="A14" s="27" t="s">
        <v>41</v>
      </c>
      <c r="B14" s="29" t="s">
        <v>83</v>
      </c>
      <c r="C14" s="28">
        <v>466.1</v>
      </c>
      <c r="D14" s="29" t="s">
        <v>125</v>
      </c>
      <c r="E14" s="29" t="s">
        <v>36</v>
      </c>
      <c r="F14" s="29" t="s">
        <v>172</v>
      </c>
      <c r="G14" s="24" t="s">
        <v>29</v>
      </c>
      <c r="H14" s="24" t="s">
        <v>239</v>
      </c>
      <c r="I14" s="24" t="s">
        <v>349</v>
      </c>
      <c r="J14" s="24">
        <v>0.08</v>
      </c>
      <c r="K14" s="45">
        <f>J14*135.6*2</f>
        <v>21.695999999999998</v>
      </c>
      <c r="L14" s="45"/>
      <c r="M14" s="45">
        <f t="shared" ref="M14" si="5">K14*0.08</f>
        <v>1.7356799999999999</v>
      </c>
      <c r="N14" s="45">
        <f>K14*0.91</f>
        <v>19.743359999999999</v>
      </c>
      <c r="O14" s="45"/>
      <c r="P14" s="45">
        <f>K14*0.01</f>
        <v>0.21695999999999999</v>
      </c>
      <c r="Q14" s="43">
        <f t="shared" ref="Q14" si="6">M14+N14+O14+P14</f>
        <v>21.695999999999998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>
        <v>0.08</v>
      </c>
      <c r="BG14" s="30"/>
      <c r="BH14" s="30">
        <v>21.7</v>
      </c>
      <c r="BI14" s="30"/>
      <c r="BJ14" s="30"/>
      <c r="BK14" s="30"/>
      <c r="BL14" s="30">
        <v>21.7</v>
      </c>
      <c r="BM14" s="31">
        <v>41875</v>
      </c>
      <c r="BN14" s="30"/>
      <c r="BO14" s="32"/>
    </row>
    <row r="15" spans="1:67" s="33" customFormat="1" ht="81.75" customHeight="1" x14ac:dyDescent="0.25">
      <c r="A15" s="27" t="s">
        <v>42</v>
      </c>
      <c r="B15" s="29" t="s">
        <v>84</v>
      </c>
      <c r="C15" s="28">
        <v>466.1</v>
      </c>
      <c r="D15" s="29" t="s">
        <v>126</v>
      </c>
      <c r="E15" s="29" t="s">
        <v>36</v>
      </c>
      <c r="F15" s="29" t="s">
        <v>173</v>
      </c>
      <c r="G15" s="24" t="s">
        <v>213</v>
      </c>
      <c r="H15" s="24" t="s">
        <v>30</v>
      </c>
      <c r="I15" s="24" t="s">
        <v>16</v>
      </c>
      <c r="J15" s="24">
        <v>0.15</v>
      </c>
      <c r="K15" s="24">
        <f>J15*930</f>
        <v>139.5</v>
      </c>
      <c r="L15" s="24"/>
      <c r="M15" s="24">
        <f>K15*0.08</f>
        <v>11.16</v>
      </c>
      <c r="N15" s="24">
        <f>K15*0.86</f>
        <v>119.97</v>
      </c>
      <c r="O15" s="24"/>
      <c r="P15" s="24">
        <f>K15*0.06</f>
        <v>8.3699999999999992</v>
      </c>
      <c r="Q15" s="24">
        <f>M15+N15+O15+P15</f>
        <v>139.5</v>
      </c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>
        <v>0.15</v>
      </c>
      <c r="AZ15" s="30"/>
      <c r="BA15" s="30">
        <v>139.5</v>
      </c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>
        <v>139.5</v>
      </c>
      <c r="BM15" s="31">
        <v>41804</v>
      </c>
      <c r="BN15" s="30"/>
      <c r="BO15" s="32"/>
    </row>
    <row r="16" spans="1:67" s="33" customFormat="1" ht="75" customHeight="1" x14ac:dyDescent="0.25">
      <c r="A16" s="27" t="s">
        <v>43</v>
      </c>
      <c r="B16" s="29" t="s">
        <v>85</v>
      </c>
      <c r="C16" s="28">
        <v>466.1</v>
      </c>
      <c r="D16" s="29" t="s">
        <v>127</v>
      </c>
      <c r="E16" s="29" t="s">
        <v>165</v>
      </c>
      <c r="F16" s="29" t="s">
        <v>174</v>
      </c>
      <c r="G16" s="24" t="s">
        <v>214</v>
      </c>
      <c r="H16" s="24" t="s">
        <v>30</v>
      </c>
      <c r="I16" s="24" t="s">
        <v>16</v>
      </c>
      <c r="J16" s="24">
        <v>0.04</v>
      </c>
      <c r="K16" s="24">
        <f>J16*930</f>
        <v>37.200000000000003</v>
      </c>
      <c r="L16" s="24"/>
      <c r="M16" s="24">
        <f>K16*0.08</f>
        <v>2.9760000000000004</v>
      </c>
      <c r="N16" s="24">
        <f>K16*0.86</f>
        <v>31.992000000000001</v>
      </c>
      <c r="O16" s="24"/>
      <c r="P16" s="24">
        <f>K16*0.06</f>
        <v>2.2320000000000002</v>
      </c>
      <c r="Q16" s="24">
        <f>M16+N16+O16+P16</f>
        <v>37.200000000000003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>
        <v>0.04</v>
      </c>
      <c r="AZ16" s="30"/>
      <c r="BA16" s="30">
        <v>37.200000000000003</v>
      </c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>
        <v>37.200000000000003</v>
      </c>
      <c r="BM16" s="31">
        <v>41815</v>
      </c>
      <c r="BN16" s="30"/>
      <c r="BO16" s="32"/>
    </row>
    <row r="17" spans="1:67" s="33" customFormat="1" ht="92.25" customHeight="1" x14ac:dyDescent="0.25">
      <c r="A17" s="27" t="s">
        <v>44</v>
      </c>
      <c r="B17" s="29" t="s">
        <v>86</v>
      </c>
      <c r="C17" s="28">
        <v>466.1</v>
      </c>
      <c r="D17" s="29" t="s">
        <v>128</v>
      </c>
      <c r="E17" s="29" t="s">
        <v>166</v>
      </c>
      <c r="F17" s="29" t="s">
        <v>175</v>
      </c>
      <c r="G17" s="24" t="s">
        <v>215</v>
      </c>
      <c r="H17" s="24" t="s">
        <v>30</v>
      </c>
      <c r="I17" s="24" t="s">
        <v>16</v>
      </c>
      <c r="J17" s="24">
        <v>0.21</v>
      </c>
      <c r="K17" s="24">
        <f t="shared" ref="K17:K28" si="7">J17*930</f>
        <v>195.29999999999998</v>
      </c>
      <c r="L17" s="24"/>
      <c r="M17" s="24">
        <f t="shared" ref="M17:M21" si="8">K17*0.08</f>
        <v>15.623999999999999</v>
      </c>
      <c r="N17" s="24">
        <f t="shared" ref="N17:N21" si="9">K17*0.86</f>
        <v>167.95799999999997</v>
      </c>
      <c r="O17" s="24"/>
      <c r="P17" s="24">
        <f t="shared" ref="P17:P21" si="10">K17*0.06</f>
        <v>11.717999999999998</v>
      </c>
      <c r="Q17" s="24">
        <f t="shared" ref="Q17:Q21" si="11">M17+N17+O17+P17</f>
        <v>195.29999999999995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>
        <v>0.21</v>
      </c>
      <c r="AZ17" s="30"/>
      <c r="BA17" s="30">
        <v>195.3</v>
      </c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>
        <v>195.3</v>
      </c>
      <c r="BM17" s="31">
        <v>41807</v>
      </c>
      <c r="BN17" s="30"/>
      <c r="BO17" s="32"/>
    </row>
    <row r="18" spans="1:67" s="33" customFormat="1" ht="93.75" customHeight="1" x14ac:dyDescent="0.25">
      <c r="A18" s="27" t="s">
        <v>45</v>
      </c>
      <c r="B18" s="29" t="s">
        <v>87</v>
      </c>
      <c r="C18" s="28">
        <v>466.1</v>
      </c>
      <c r="D18" s="29" t="s">
        <v>129</v>
      </c>
      <c r="E18" s="29" t="s">
        <v>37</v>
      </c>
      <c r="F18" s="29" t="s">
        <v>176</v>
      </c>
      <c r="G18" s="24" t="s">
        <v>216</v>
      </c>
      <c r="H18" s="24" t="s">
        <v>30</v>
      </c>
      <c r="I18" s="24" t="s">
        <v>16</v>
      </c>
      <c r="J18" s="24">
        <v>0.27</v>
      </c>
      <c r="K18" s="24">
        <f t="shared" si="7"/>
        <v>251.10000000000002</v>
      </c>
      <c r="L18" s="24"/>
      <c r="M18" s="24">
        <f t="shared" si="8"/>
        <v>20.088000000000001</v>
      </c>
      <c r="N18" s="24">
        <f t="shared" si="9"/>
        <v>215.94600000000003</v>
      </c>
      <c r="O18" s="24"/>
      <c r="P18" s="24">
        <f t="shared" si="10"/>
        <v>15.066000000000001</v>
      </c>
      <c r="Q18" s="24">
        <f t="shared" si="11"/>
        <v>251.10000000000002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>
        <v>0.27</v>
      </c>
      <c r="AZ18" s="30"/>
      <c r="BA18" s="30">
        <v>251.1</v>
      </c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>
        <v>251.1</v>
      </c>
      <c r="BM18" s="31">
        <v>41814</v>
      </c>
      <c r="BN18" s="30"/>
      <c r="BO18" s="32"/>
    </row>
    <row r="19" spans="1:67" s="33" customFormat="1" ht="144" x14ac:dyDescent="0.25">
      <c r="A19" s="27" t="s">
        <v>331</v>
      </c>
      <c r="B19" s="29">
        <v>40850947</v>
      </c>
      <c r="C19" s="28">
        <v>466.1</v>
      </c>
      <c r="D19" s="29" t="s">
        <v>324</v>
      </c>
      <c r="E19" s="29" t="s">
        <v>32</v>
      </c>
      <c r="F19" s="29" t="s">
        <v>325</v>
      </c>
      <c r="G19" s="24" t="s">
        <v>323</v>
      </c>
      <c r="H19" s="24" t="s">
        <v>322</v>
      </c>
      <c r="I19" s="24" t="s">
        <v>350</v>
      </c>
      <c r="J19" s="24">
        <v>2.5000000000000001E-2</v>
      </c>
      <c r="K19" s="24">
        <f t="shared" si="7"/>
        <v>23.25</v>
      </c>
      <c r="L19" s="24"/>
      <c r="M19" s="24">
        <f t="shared" si="8"/>
        <v>1.86</v>
      </c>
      <c r="N19" s="24">
        <f t="shared" si="9"/>
        <v>19.995000000000001</v>
      </c>
      <c r="O19" s="24"/>
      <c r="P19" s="24">
        <f t="shared" si="10"/>
        <v>1.395</v>
      </c>
      <c r="Q19" s="24">
        <f t="shared" si="11"/>
        <v>23.25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 t="s">
        <v>330</v>
      </c>
      <c r="AZ19" s="30"/>
      <c r="BA19" s="30">
        <v>23.25</v>
      </c>
      <c r="BB19" s="30"/>
      <c r="BC19" s="30"/>
      <c r="BD19" s="30"/>
      <c r="BE19" s="30"/>
      <c r="BF19" s="30">
        <v>0.16</v>
      </c>
      <c r="BG19" s="30"/>
      <c r="BH19" s="30"/>
      <c r="BI19" s="30">
        <v>0.04</v>
      </c>
      <c r="BJ19" s="30"/>
      <c r="BK19" s="30"/>
      <c r="BL19" s="30">
        <v>23.25</v>
      </c>
      <c r="BM19" s="31">
        <v>41886</v>
      </c>
      <c r="BN19" s="30"/>
      <c r="BO19" s="32"/>
    </row>
    <row r="20" spans="1:67" s="33" customFormat="1" ht="97.5" customHeight="1" x14ac:dyDescent="0.25">
      <c r="A20" s="27" t="s">
        <v>46</v>
      </c>
      <c r="B20" s="29" t="s">
        <v>88</v>
      </c>
      <c r="C20" s="28">
        <v>466.1</v>
      </c>
      <c r="D20" s="29" t="s">
        <v>130</v>
      </c>
      <c r="E20" s="29" t="s">
        <v>167</v>
      </c>
      <c r="F20" s="29" t="s">
        <v>177</v>
      </c>
      <c r="G20" s="24" t="s">
        <v>217</v>
      </c>
      <c r="H20" s="24" t="s">
        <v>30</v>
      </c>
      <c r="I20" s="24" t="s">
        <v>16</v>
      </c>
      <c r="J20" s="24">
        <v>0.08</v>
      </c>
      <c r="K20" s="24">
        <f t="shared" si="7"/>
        <v>74.400000000000006</v>
      </c>
      <c r="L20" s="24"/>
      <c r="M20" s="24">
        <f t="shared" si="8"/>
        <v>5.9520000000000008</v>
      </c>
      <c r="N20" s="24">
        <f t="shared" si="9"/>
        <v>63.984000000000002</v>
      </c>
      <c r="O20" s="24"/>
      <c r="P20" s="24">
        <f t="shared" si="10"/>
        <v>4.4640000000000004</v>
      </c>
      <c r="Q20" s="24">
        <f t="shared" si="11"/>
        <v>74.400000000000006</v>
      </c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>
        <v>0.08</v>
      </c>
      <c r="AZ20" s="30"/>
      <c r="BA20" s="30">
        <v>74.400000000000006</v>
      </c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>
        <v>74.400000000000006</v>
      </c>
      <c r="BM20" s="31">
        <v>41818</v>
      </c>
      <c r="BN20" s="30"/>
      <c r="BO20" s="32"/>
    </row>
    <row r="21" spans="1:67" s="33" customFormat="1" ht="180" x14ac:dyDescent="0.25">
      <c r="A21" s="27" t="s">
        <v>47</v>
      </c>
      <c r="B21" s="29" t="s">
        <v>89</v>
      </c>
      <c r="C21" s="28">
        <v>466.1</v>
      </c>
      <c r="D21" s="29" t="s">
        <v>131</v>
      </c>
      <c r="E21" s="29" t="s">
        <v>27</v>
      </c>
      <c r="F21" s="29" t="s">
        <v>178</v>
      </c>
      <c r="G21" s="24" t="s">
        <v>218</v>
      </c>
      <c r="H21" s="24" t="s">
        <v>249</v>
      </c>
      <c r="I21" s="24" t="s">
        <v>16</v>
      </c>
      <c r="J21" s="24">
        <v>0.12</v>
      </c>
      <c r="K21" s="24">
        <f t="shared" si="7"/>
        <v>111.6</v>
      </c>
      <c r="L21" s="24"/>
      <c r="M21" s="24">
        <f t="shared" si="8"/>
        <v>8.927999999999999</v>
      </c>
      <c r="N21" s="24">
        <f t="shared" si="9"/>
        <v>95.975999999999999</v>
      </c>
      <c r="O21" s="24"/>
      <c r="P21" s="24">
        <f t="shared" si="10"/>
        <v>6.6959999999999997</v>
      </c>
      <c r="Q21" s="24">
        <f t="shared" si="11"/>
        <v>111.6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>
        <v>0.12</v>
      </c>
      <c r="AZ21" s="30"/>
      <c r="BA21" s="30">
        <v>111.6</v>
      </c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>
        <v>111.6</v>
      </c>
      <c r="BM21" s="31">
        <v>41868</v>
      </c>
      <c r="BN21" s="30" t="s">
        <v>296</v>
      </c>
      <c r="BO21" s="32"/>
    </row>
    <row r="22" spans="1:67" s="33" customFormat="1" ht="183.75" customHeight="1" x14ac:dyDescent="0.25">
      <c r="A22" s="27" t="s">
        <v>48</v>
      </c>
      <c r="B22" s="29" t="s">
        <v>90</v>
      </c>
      <c r="C22" s="28">
        <v>466.1</v>
      </c>
      <c r="D22" s="29" t="s">
        <v>132</v>
      </c>
      <c r="E22" s="29" t="s">
        <v>27</v>
      </c>
      <c r="F22" s="29" t="s">
        <v>179</v>
      </c>
      <c r="G22" s="24" t="s">
        <v>250</v>
      </c>
      <c r="H22" s="24" t="s">
        <v>251</v>
      </c>
      <c r="I22" s="24" t="s">
        <v>16</v>
      </c>
      <c r="J22" s="24">
        <v>0.04</v>
      </c>
      <c r="K22" s="24">
        <f t="shared" si="7"/>
        <v>37.200000000000003</v>
      </c>
      <c r="L22" s="24"/>
      <c r="M22" s="24">
        <f t="shared" ref="M22:M23" si="12">K22*0.08</f>
        <v>2.9760000000000004</v>
      </c>
      <c r="N22" s="24">
        <f t="shared" ref="N22:N23" si="13">K22*0.86</f>
        <v>31.992000000000001</v>
      </c>
      <c r="O22" s="24"/>
      <c r="P22" s="24">
        <f t="shared" ref="P22:P23" si="14">K22*0.06</f>
        <v>2.2320000000000002</v>
      </c>
      <c r="Q22" s="24">
        <f t="shared" ref="Q22:Q23" si="15">M22+N22+O22+P22</f>
        <v>37.200000000000003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>
        <v>0.04</v>
      </c>
      <c r="AZ22" s="30"/>
      <c r="BA22" s="30">
        <v>37.200000000000003</v>
      </c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>
        <v>37.200000000000003</v>
      </c>
      <c r="BM22" s="31">
        <v>41802</v>
      </c>
      <c r="BN22" s="30" t="s">
        <v>297</v>
      </c>
      <c r="BO22" s="32"/>
    </row>
    <row r="23" spans="1:67" s="33" customFormat="1" ht="192" customHeight="1" x14ac:dyDescent="0.25">
      <c r="A23" s="27" t="s">
        <v>49</v>
      </c>
      <c r="B23" s="29" t="s">
        <v>91</v>
      </c>
      <c r="C23" s="28">
        <v>466.1</v>
      </c>
      <c r="D23" s="29" t="s">
        <v>133</v>
      </c>
      <c r="E23" s="29" t="s">
        <v>27</v>
      </c>
      <c r="F23" s="29" t="s">
        <v>180</v>
      </c>
      <c r="G23" s="24" t="s">
        <v>218</v>
      </c>
      <c r="H23" s="24" t="s">
        <v>252</v>
      </c>
      <c r="I23" s="24" t="s">
        <v>16</v>
      </c>
      <c r="J23" s="24">
        <v>0.12</v>
      </c>
      <c r="K23" s="24">
        <f t="shared" si="7"/>
        <v>111.6</v>
      </c>
      <c r="L23" s="24"/>
      <c r="M23" s="24">
        <f t="shared" si="12"/>
        <v>8.927999999999999</v>
      </c>
      <c r="N23" s="24">
        <f t="shared" si="13"/>
        <v>95.975999999999999</v>
      </c>
      <c r="O23" s="24"/>
      <c r="P23" s="24">
        <f t="shared" si="14"/>
        <v>6.6959999999999997</v>
      </c>
      <c r="Q23" s="24">
        <f t="shared" si="15"/>
        <v>111.6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>
        <v>0.12</v>
      </c>
      <c r="AZ23" s="30"/>
      <c r="BA23" s="30">
        <v>111.6</v>
      </c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>
        <v>111.6</v>
      </c>
      <c r="BM23" s="31">
        <v>41868</v>
      </c>
      <c r="BN23" s="30" t="s">
        <v>298</v>
      </c>
      <c r="BO23" s="32"/>
    </row>
    <row r="24" spans="1:67" s="33" customFormat="1" ht="162" x14ac:dyDescent="0.25">
      <c r="A24" s="27" t="s">
        <v>50</v>
      </c>
      <c r="B24" s="29" t="s">
        <v>92</v>
      </c>
      <c r="C24" s="28">
        <v>466.1</v>
      </c>
      <c r="D24" s="29" t="s">
        <v>134</v>
      </c>
      <c r="E24" s="29" t="s">
        <v>27</v>
      </c>
      <c r="F24" s="29" t="s">
        <v>181</v>
      </c>
      <c r="G24" s="24" t="s">
        <v>254</v>
      </c>
      <c r="H24" s="24" t="s">
        <v>30</v>
      </c>
      <c r="I24" s="24" t="s">
        <v>16</v>
      </c>
      <c r="J24" s="24">
        <v>0.35</v>
      </c>
      <c r="K24" s="24">
        <f t="shared" si="7"/>
        <v>325.5</v>
      </c>
      <c r="L24" s="24"/>
      <c r="M24" s="24">
        <f t="shared" ref="M24" si="16">K24*0.08</f>
        <v>26.04</v>
      </c>
      <c r="N24" s="24">
        <f t="shared" ref="N24" si="17">K24*0.86</f>
        <v>279.93</v>
      </c>
      <c r="O24" s="24"/>
      <c r="P24" s="24">
        <f t="shared" ref="P24" si="18">K24*0.06</f>
        <v>19.529999999999998</v>
      </c>
      <c r="Q24" s="24">
        <f t="shared" ref="Q24" si="19">M24+N24+O24+P24</f>
        <v>325.5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63"/>
      <c r="AY24" s="63">
        <v>0.35</v>
      </c>
      <c r="AZ24" s="30"/>
      <c r="BA24" s="63">
        <v>325.5</v>
      </c>
      <c r="BB24" s="30"/>
      <c r="BC24" s="30"/>
      <c r="BD24" s="30"/>
      <c r="BE24" s="30"/>
      <c r="BF24" s="30"/>
      <c r="BG24" s="30"/>
      <c r="BH24" s="30"/>
      <c r="BI24" s="30"/>
      <c r="BJ24" s="30"/>
      <c r="BK24" s="63"/>
      <c r="BL24" s="63">
        <v>325.5</v>
      </c>
      <c r="BM24" s="31">
        <v>41803</v>
      </c>
      <c r="BN24" s="30" t="s">
        <v>299</v>
      </c>
      <c r="BO24" s="32"/>
    </row>
    <row r="25" spans="1:67" s="33" customFormat="1" ht="162" x14ac:dyDescent="0.25">
      <c r="A25" s="27" t="s">
        <v>51</v>
      </c>
      <c r="B25" s="29" t="s">
        <v>93</v>
      </c>
      <c r="C25" s="28">
        <v>466.1</v>
      </c>
      <c r="D25" s="29" t="s">
        <v>135</v>
      </c>
      <c r="E25" s="29" t="s">
        <v>27</v>
      </c>
      <c r="F25" s="29" t="s">
        <v>182</v>
      </c>
      <c r="G25" s="24" t="s">
        <v>253</v>
      </c>
      <c r="H25" s="24" t="s">
        <v>30</v>
      </c>
      <c r="I25" s="24"/>
      <c r="J25" s="24"/>
      <c r="K25" s="24"/>
      <c r="L25" s="24"/>
      <c r="M25" s="24"/>
      <c r="N25" s="24"/>
      <c r="O25" s="24"/>
      <c r="P25" s="24"/>
      <c r="Q25" s="24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64"/>
      <c r="AY25" s="64"/>
      <c r="AZ25" s="30"/>
      <c r="BA25" s="64"/>
      <c r="BB25" s="30"/>
      <c r="BC25" s="30"/>
      <c r="BD25" s="30"/>
      <c r="BE25" s="30"/>
      <c r="BF25" s="30"/>
      <c r="BG25" s="30"/>
      <c r="BH25" s="30"/>
      <c r="BI25" s="30"/>
      <c r="BJ25" s="30"/>
      <c r="BK25" s="64"/>
      <c r="BL25" s="64"/>
      <c r="BM25" s="31">
        <v>41808</v>
      </c>
      <c r="BN25" s="30" t="s">
        <v>300</v>
      </c>
      <c r="BO25" s="32"/>
    </row>
    <row r="26" spans="1:67" s="33" customFormat="1" ht="99.75" customHeight="1" x14ac:dyDescent="0.25">
      <c r="A26" s="27" t="s">
        <v>52</v>
      </c>
      <c r="B26" s="29" t="s">
        <v>94</v>
      </c>
      <c r="C26" s="28">
        <v>466.1</v>
      </c>
      <c r="D26" s="29" t="s">
        <v>136</v>
      </c>
      <c r="E26" s="29" t="s">
        <v>27</v>
      </c>
      <c r="F26" s="29" t="s">
        <v>183</v>
      </c>
      <c r="G26" s="24" t="s">
        <v>219</v>
      </c>
      <c r="H26" s="24"/>
      <c r="I26" s="24" t="s">
        <v>16</v>
      </c>
      <c r="J26" s="24">
        <v>0.18</v>
      </c>
      <c r="K26" s="24">
        <f t="shared" si="7"/>
        <v>167.4</v>
      </c>
      <c r="L26" s="24"/>
      <c r="M26" s="24">
        <f t="shared" ref="M26" si="20">K26*0.08</f>
        <v>13.392000000000001</v>
      </c>
      <c r="N26" s="24">
        <f t="shared" ref="N26" si="21">K26*0.86</f>
        <v>143.964</v>
      </c>
      <c r="O26" s="24"/>
      <c r="P26" s="24">
        <f t="shared" ref="P26" si="22">K26*0.06</f>
        <v>10.044</v>
      </c>
      <c r="Q26" s="24">
        <f t="shared" ref="Q26" si="23">M26+N26+O26+P26</f>
        <v>167.4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63"/>
      <c r="AY26" s="63">
        <v>0.18</v>
      </c>
      <c r="AZ26" s="30"/>
      <c r="BA26" s="63">
        <v>167.4</v>
      </c>
      <c r="BB26" s="30"/>
      <c r="BC26" s="30"/>
      <c r="BD26" s="30"/>
      <c r="BE26" s="30"/>
      <c r="BF26" s="30"/>
      <c r="BG26" s="30"/>
      <c r="BH26" s="30"/>
      <c r="BI26" s="30"/>
      <c r="BJ26" s="30"/>
      <c r="BK26" s="63"/>
      <c r="BL26" s="63">
        <v>167.4</v>
      </c>
      <c r="BM26" s="31">
        <v>41814</v>
      </c>
      <c r="BN26" s="30"/>
      <c r="BO26" s="32"/>
    </row>
    <row r="27" spans="1:67" s="33" customFormat="1" ht="96" customHeight="1" x14ac:dyDescent="0.25">
      <c r="A27" s="27" t="s">
        <v>53</v>
      </c>
      <c r="B27" s="29" t="s">
        <v>95</v>
      </c>
      <c r="C27" s="28">
        <v>466.1</v>
      </c>
      <c r="D27" s="29" t="s">
        <v>137</v>
      </c>
      <c r="E27" s="29" t="s">
        <v>27</v>
      </c>
      <c r="F27" s="29" t="s">
        <v>184</v>
      </c>
      <c r="G27" s="24" t="s">
        <v>220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64"/>
      <c r="AY27" s="64"/>
      <c r="AZ27" s="30"/>
      <c r="BA27" s="64"/>
      <c r="BB27" s="30"/>
      <c r="BC27" s="30"/>
      <c r="BD27" s="30"/>
      <c r="BE27" s="30"/>
      <c r="BF27" s="30"/>
      <c r="BG27" s="30"/>
      <c r="BH27" s="30"/>
      <c r="BI27" s="30"/>
      <c r="BJ27" s="30"/>
      <c r="BK27" s="64"/>
      <c r="BL27" s="64"/>
      <c r="BM27" s="31">
        <v>41815</v>
      </c>
      <c r="BN27" s="30"/>
      <c r="BO27" s="32"/>
    </row>
    <row r="28" spans="1:67" s="33" customFormat="1" ht="269.25" customHeight="1" x14ac:dyDescent="0.25">
      <c r="A28" s="27" t="s">
        <v>54</v>
      </c>
      <c r="B28" s="29" t="s">
        <v>96</v>
      </c>
      <c r="C28" s="28">
        <v>466.1</v>
      </c>
      <c r="D28" s="29" t="s">
        <v>138</v>
      </c>
      <c r="E28" s="29" t="s">
        <v>28</v>
      </c>
      <c r="F28" s="29" t="s">
        <v>185</v>
      </c>
      <c r="G28" s="24" t="s">
        <v>255</v>
      </c>
      <c r="H28" s="24" t="s">
        <v>30</v>
      </c>
      <c r="I28" s="24" t="s">
        <v>16</v>
      </c>
      <c r="J28" s="24">
        <v>0.03</v>
      </c>
      <c r="K28" s="24">
        <f t="shared" si="7"/>
        <v>27.9</v>
      </c>
      <c r="L28" s="24"/>
      <c r="M28" s="24">
        <f t="shared" ref="M28" si="24">K28*0.08</f>
        <v>2.2319999999999998</v>
      </c>
      <c r="N28" s="24">
        <f t="shared" ref="N28" si="25">K28*0.86</f>
        <v>23.994</v>
      </c>
      <c r="O28" s="24"/>
      <c r="P28" s="24">
        <f t="shared" ref="P28" si="26">K28*0.06</f>
        <v>1.6739999999999999</v>
      </c>
      <c r="Q28" s="24">
        <f t="shared" ref="Q28" si="27">M28+N28+O28+P28</f>
        <v>27.9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>
        <v>0.03</v>
      </c>
      <c r="AZ28" s="30"/>
      <c r="BA28" s="30">
        <v>27.9</v>
      </c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>
        <v>27.9</v>
      </c>
      <c r="BM28" s="31">
        <v>41803</v>
      </c>
      <c r="BN28" s="30" t="s">
        <v>301</v>
      </c>
      <c r="BO28" s="32"/>
    </row>
    <row r="29" spans="1:67" s="33" customFormat="1" ht="167.25" customHeight="1" x14ac:dyDescent="0.25">
      <c r="A29" s="27" t="s">
        <v>55</v>
      </c>
      <c r="B29" s="29" t="s">
        <v>97</v>
      </c>
      <c r="C29" s="28">
        <v>466.1</v>
      </c>
      <c r="D29" s="29" t="s">
        <v>139</v>
      </c>
      <c r="E29" s="29" t="s">
        <v>28</v>
      </c>
      <c r="F29" s="29" t="s">
        <v>186</v>
      </c>
      <c r="G29" s="24" t="s">
        <v>221</v>
      </c>
      <c r="H29" s="24" t="s">
        <v>240</v>
      </c>
      <c r="I29" s="24" t="s">
        <v>353</v>
      </c>
      <c r="J29" s="24"/>
      <c r="K29" s="43">
        <f>K30+K31+K32+K33+K34</f>
        <v>806.79000000000008</v>
      </c>
      <c r="L29" s="24"/>
      <c r="M29" s="43">
        <f t="shared" ref="M29:Q29" si="28">M30+M31+M32+M33+M34</f>
        <v>55.888000000000005</v>
      </c>
      <c r="N29" s="43">
        <f t="shared" si="28"/>
        <v>534.61800000000005</v>
      </c>
      <c r="O29" s="43">
        <f t="shared" si="28"/>
        <v>190.85000000000002</v>
      </c>
      <c r="P29" s="43">
        <f t="shared" si="28"/>
        <v>25.436</v>
      </c>
      <c r="Q29" s="43">
        <f t="shared" si="28"/>
        <v>806.79200000000003</v>
      </c>
      <c r="R29" s="30"/>
      <c r="S29" s="30"/>
      <c r="T29" s="30"/>
      <c r="U29" s="30"/>
      <c r="V29" s="30"/>
      <c r="W29" s="30"/>
      <c r="X29" s="30">
        <v>0.42</v>
      </c>
      <c r="Y29" s="30"/>
      <c r="Z29" s="30">
        <v>361.2</v>
      </c>
      <c r="AA29" s="30"/>
      <c r="AB29" s="30"/>
      <c r="AC29" s="30"/>
      <c r="AD29" s="30"/>
      <c r="AE29" s="30">
        <v>1</v>
      </c>
      <c r="AF29" s="30"/>
      <c r="AG29" s="30">
        <v>53.34</v>
      </c>
      <c r="AH29" s="30"/>
      <c r="AI29" s="30"/>
      <c r="AJ29" s="30"/>
      <c r="AK29" s="30"/>
      <c r="AL29" s="30"/>
      <c r="AM29" s="30"/>
      <c r="AN29" s="30" t="s">
        <v>294</v>
      </c>
      <c r="AO29" s="30">
        <v>183.66</v>
      </c>
      <c r="AP29" s="30">
        <v>1</v>
      </c>
      <c r="AQ29" s="30">
        <v>22.59</v>
      </c>
      <c r="AR29" s="30"/>
      <c r="AS29" s="30"/>
      <c r="AT29" s="30"/>
      <c r="AU29" s="30"/>
      <c r="AV29" s="30"/>
      <c r="AW29" s="30"/>
      <c r="AX29" s="30"/>
      <c r="AY29" s="30">
        <v>0.2</v>
      </c>
      <c r="AZ29" s="30"/>
      <c r="BA29" s="30">
        <v>186</v>
      </c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>
        <v>806.79</v>
      </c>
      <c r="BM29" s="31">
        <v>41871</v>
      </c>
      <c r="BN29" s="30"/>
      <c r="BO29" s="32"/>
    </row>
    <row r="30" spans="1:67" s="4" customFormat="1" ht="48.75" customHeight="1" x14ac:dyDescent="0.25">
      <c r="A30" s="16"/>
      <c r="B30" s="17"/>
      <c r="C30" s="19"/>
      <c r="D30" s="17"/>
      <c r="E30" s="17"/>
      <c r="F30" s="17"/>
      <c r="G30" s="11"/>
      <c r="H30" s="11"/>
      <c r="I30" s="11" t="s">
        <v>351</v>
      </c>
      <c r="J30" s="25">
        <v>0.42</v>
      </c>
      <c r="K30" s="11">
        <f>J30*860</f>
        <v>361.2</v>
      </c>
      <c r="L30" s="11"/>
      <c r="M30" s="11">
        <f>K30*0.08</f>
        <v>28.896000000000001</v>
      </c>
      <c r="N30" s="11">
        <f>K30*0.89</f>
        <v>321.46800000000002</v>
      </c>
      <c r="O30" s="11"/>
      <c r="P30" s="11">
        <f>K30*0.03</f>
        <v>10.835999999999999</v>
      </c>
      <c r="Q30" s="11">
        <f>M30+N30+O30+P30</f>
        <v>361.20000000000005</v>
      </c>
      <c r="R30" s="6" t="s">
        <v>354</v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14"/>
      <c r="BN30" s="6"/>
      <c r="BO30" s="7"/>
    </row>
    <row r="31" spans="1:67" s="4" customFormat="1" ht="48.75" customHeight="1" x14ac:dyDescent="0.25">
      <c r="A31" s="16"/>
      <c r="B31" s="17"/>
      <c r="C31" s="19"/>
      <c r="D31" s="17"/>
      <c r="E31" s="17"/>
      <c r="F31" s="17"/>
      <c r="G31" s="11"/>
      <c r="H31" s="11"/>
      <c r="I31" s="11" t="s">
        <v>9</v>
      </c>
      <c r="J31" s="25">
        <v>1</v>
      </c>
      <c r="K31" s="25">
        <f>53.34</f>
        <v>53.34</v>
      </c>
      <c r="L31" s="25"/>
      <c r="M31" s="25">
        <f>3.912</f>
        <v>3.9119999999999999</v>
      </c>
      <c r="N31" s="25">
        <f>10.51</f>
        <v>10.51</v>
      </c>
      <c r="O31" s="25">
        <f>38.39</f>
        <v>38.39</v>
      </c>
      <c r="P31" s="25">
        <f>0.53</f>
        <v>0.53</v>
      </c>
      <c r="Q31" s="34">
        <f>M31+N31+O31+P31</f>
        <v>53.341999999999999</v>
      </c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14"/>
      <c r="BN31" s="6"/>
      <c r="BO31" s="7"/>
    </row>
    <row r="32" spans="1:67" s="4" customFormat="1" ht="48.75" customHeight="1" x14ac:dyDescent="0.25">
      <c r="A32" s="16"/>
      <c r="B32" s="17"/>
      <c r="C32" s="19"/>
      <c r="D32" s="17"/>
      <c r="E32" s="17"/>
      <c r="F32" s="17"/>
      <c r="G32" s="11"/>
      <c r="H32" s="11"/>
      <c r="I32" s="11" t="s">
        <v>352</v>
      </c>
      <c r="J32" s="25">
        <v>1</v>
      </c>
      <c r="K32" s="35">
        <f>Q32</f>
        <v>183.66000000000003</v>
      </c>
      <c r="L32" s="35"/>
      <c r="M32" s="35">
        <v>6.53</v>
      </c>
      <c r="N32" s="35">
        <f>41.42</f>
        <v>41.42</v>
      </c>
      <c r="O32" s="35">
        <v>133.96</v>
      </c>
      <c r="P32" s="35">
        <v>1.75</v>
      </c>
      <c r="Q32" s="36">
        <f t="shared" ref="Q32" si="29">M32+N32+O32+P32</f>
        <v>183.66000000000003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14"/>
      <c r="BN32" s="6"/>
      <c r="BO32" s="7"/>
    </row>
    <row r="33" spans="1:67" s="4" customFormat="1" ht="48.75" customHeight="1" x14ac:dyDescent="0.25">
      <c r="A33" s="16"/>
      <c r="B33" s="17"/>
      <c r="C33" s="19"/>
      <c r="D33" s="17"/>
      <c r="E33" s="17"/>
      <c r="F33" s="17"/>
      <c r="G33" s="11"/>
      <c r="H33" s="11"/>
      <c r="I33" s="11" t="s">
        <v>35</v>
      </c>
      <c r="J33" s="25">
        <v>1</v>
      </c>
      <c r="K33" s="25">
        <f>22.59</f>
        <v>22.59</v>
      </c>
      <c r="L33" s="25"/>
      <c r="M33" s="25">
        <f>1.67</f>
        <v>1.67</v>
      </c>
      <c r="N33" s="25">
        <f>1.26</f>
        <v>1.26</v>
      </c>
      <c r="O33" s="25">
        <f>18.5</f>
        <v>18.5</v>
      </c>
      <c r="P33" s="25">
        <f>0.36+0.8</f>
        <v>1.1600000000000001</v>
      </c>
      <c r="Q33" s="25">
        <f>M33+N33+O33+P33</f>
        <v>22.59</v>
      </c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14"/>
      <c r="BN33" s="6"/>
      <c r="BO33" s="7"/>
    </row>
    <row r="34" spans="1:67" s="42" customFormat="1" ht="52.5" customHeight="1" x14ac:dyDescent="0.25">
      <c r="A34" s="37"/>
      <c r="B34" s="38"/>
      <c r="C34" s="39"/>
      <c r="D34" s="38"/>
      <c r="E34" s="38"/>
      <c r="F34" s="38"/>
      <c r="G34" s="25"/>
      <c r="H34" s="25"/>
      <c r="I34" s="25" t="s">
        <v>16</v>
      </c>
      <c r="J34" s="25">
        <v>0.2</v>
      </c>
      <c r="K34" s="25">
        <f t="shared" ref="K34" si="30">J34*930</f>
        <v>186</v>
      </c>
      <c r="L34" s="25"/>
      <c r="M34" s="25">
        <f t="shared" ref="M34" si="31">K34*0.08</f>
        <v>14.88</v>
      </c>
      <c r="N34" s="25">
        <f t="shared" ref="N34" si="32">K34*0.86</f>
        <v>159.96</v>
      </c>
      <c r="O34" s="25"/>
      <c r="P34" s="25">
        <f t="shared" ref="P34" si="33">K34*0.06</f>
        <v>11.16</v>
      </c>
      <c r="Q34" s="25">
        <f t="shared" ref="Q34:Q36" si="34">M34+N34+O34+P34</f>
        <v>186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13"/>
      <c r="BN34" s="40"/>
      <c r="BO34" s="41"/>
    </row>
    <row r="35" spans="1:67" s="33" customFormat="1" ht="142.5" customHeight="1" x14ac:dyDescent="0.25">
      <c r="A35" s="27" t="s">
        <v>56</v>
      </c>
      <c r="B35" s="29" t="s">
        <v>98</v>
      </c>
      <c r="C35" s="28">
        <v>466.1</v>
      </c>
      <c r="D35" s="29" t="s">
        <v>140</v>
      </c>
      <c r="E35" s="29" t="s">
        <v>28</v>
      </c>
      <c r="F35" s="29" t="s">
        <v>187</v>
      </c>
      <c r="G35" s="24" t="s">
        <v>29</v>
      </c>
      <c r="H35" s="24" t="s">
        <v>241</v>
      </c>
      <c r="I35" s="24" t="s">
        <v>302</v>
      </c>
      <c r="J35" s="24" t="s">
        <v>355</v>
      </c>
      <c r="K35" s="46">
        <f>Q35</f>
        <v>439.28</v>
      </c>
      <c r="L35" s="46"/>
      <c r="M35" s="46">
        <v>12.08</v>
      </c>
      <c r="N35" s="46">
        <v>41.69</v>
      </c>
      <c r="O35" s="46">
        <v>379.9</v>
      </c>
      <c r="P35" s="46">
        <v>5.61</v>
      </c>
      <c r="Q35" s="43">
        <f t="shared" si="34"/>
        <v>439.28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63" t="s">
        <v>302</v>
      </c>
      <c r="AO35" s="63">
        <v>470.88</v>
      </c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63"/>
      <c r="BL35" s="63">
        <v>470.88</v>
      </c>
      <c r="BM35" s="31">
        <v>41870</v>
      </c>
      <c r="BN35" s="30"/>
      <c r="BO35" s="32"/>
    </row>
    <row r="36" spans="1:67" s="33" customFormat="1" ht="42" customHeight="1" x14ac:dyDescent="0.25">
      <c r="A36" s="27"/>
      <c r="B36" s="29"/>
      <c r="C36" s="28"/>
      <c r="D36" s="29"/>
      <c r="E36" s="29"/>
      <c r="F36" s="29"/>
      <c r="G36" s="24"/>
      <c r="H36" s="24"/>
      <c r="I36" s="24"/>
      <c r="J36" s="24" t="s">
        <v>356</v>
      </c>
      <c r="K36" s="46">
        <f>Q36</f>
        <v>31.603460000000002</v>
      </c>
      <c r="L36" s="46"/>
      <c r="M36" s="46">
        <f>(N36+O36*0.3)*0.08</f>
        <v>2.3195200000000002</v>
      </c>
      <c r="N36" s="46">
        <f>41.42*0.7</f>
        <v>28.994</v>
      </c>
      <c r="O36" s="46">
        <v>0</v>
      </c>
      <c r="P36" s="46">
        <f>(N36+O36)*0.01</f>
        <v>0.28994000000000003</v>
      </c>
      <c r="Q36" s="43">
        <f t="shared" si="34"/>
        <v>31.603460000000002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64"/>
      <c r="AO36" s="64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64"/>
      <c r="BL36" s="64"/>
      <c r="BM36" s="31"/>
      <c r="BN36" s="30"/>
      <c r="BO36" s="32"/>
    </row>
    <row r="37" spans="1:67" s="33" customFormat="1" ht="365.25" customHeight="1" x14ac:dyDescent="0.25">
      <c r="A37" s="27" t="s">
        <v>57</v>
      </c>
      <c r="B37" s="29" t="s">
        <v>99</v>
      </c>
      <c r="C37" s="28">
        <v>466.1</v>
      </c>
      <c r="D37" s="29" t="s">
        <v>141</v>
      </c>
      <c r="E37" s="29" t="s">
        <v>28</v>
      </c>
      <c r="F37" s="29" t="s">
        <v>188</v>
      </c>
      <c r="G37" s="24" t="s">
        <v>256</v>
      </c>
      <c r="H37" s="24" t="s">
        <v>257</v>
      </c>
      <c r="I37" s="24" t="s">
        <v>16</v>
      </c>
      <c r="J37" s="24">
        <v>0.2</v>
      </c>
      <c r="K37" s="24">
        <f t="shared" ref="K37:K38" si="35">J37*930</f>
        <v>186</v>
      </c>
      <c r="L37" s="24"/>
      <c r="M37" s="24">
        <f t="shared" ref="M37" si="36">K37*0.08</f>
        <v>14.88</v>
      </c>
      <c r="N37" s="24">
        <f t="shared" ref="N37" si="37">K37*0.86</f>
        <v>159.96</v>
      </c>
      <c r="O37" s="24"/>
      <c r="P37" s="24">
        <f t="shared" ref="P37" si="38">K37*0.06</f>
        <v>11.16</v>
      </c>
      <c r="Q37" s="24">
        <f t="shared" ref="Q37" si="39">M37+N37+O37+P37</f>
        <v>186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>
        <v>0.2</v>
      </c>
      <c r="AZ37" s="30"/>
      <c r="BA37" s="30">
        <v>186</v>
      </c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>
        <v>186</v>
      </c>
      <c r="BM37" s="31">
        <v>41862</v>
      </c>
      <c r="BN37" s="30" t="s">
        <v>303</v>
      </c>
      <c r="BO37" s="32"/>
    </row>
    <row r="38" spans="1:67" s="33" customFormat="1" ht="96" customHeight="1" x14ac:dyDescent="0.25">
      <c r="A38" s="27" t="s">
        <v>58</v>
      </c>
      <c r="B38" s="29" t="s">
        <v>100</v>
      </c>
      <c r="C38" s="28">
        <v>466.1</v>
      </c>
      <c r="D38" s="29" t="s">
        <v>142</v>
      </c>
      <c r="E38" s="29" t="s">
        <v>33</v>
      </c>
      <c r="F38" s="29" t="s">
        <v>189</v>
      </c>
      <c r="G38" s="24" t="s">
        <v>222</v>
      </c>
      <c r="H38" s="24" t="s">
        <v>30</v>
      </c>
      <c r="I38" s="24" t="s">
        <v>16</v>
      </c>
      <c r="J38" s="24">
        <v>7.0000000000000007E-2</v>
      </c>
      <c r="K38" s="24">
        <f t="shared" si="35"/>
        <v>65.100000000000009</v>
      </c>
      <c r="L38" s="24"/>
      <c r="M38" s="24">
        <f t="shared" ref="M38" si="40">K38*0.08</f>
        <v>5.2080000000000011</v>
      </c>
      <c r="N38" s="24">
        <f t="shared" ref="N38" si="41">K38*0.86</f>
        <v>55.986000000000004</v>
      </c>
      <c r="O38" s="24"/>
      <c r="P38" s="24">
        <f t="shared" ref="P38" si="42">K38*0.06</f>
        <v>3.9060000000000006</v>
      </c>
      <c r="Q38" s="24">
        <f t="shared" ref="Q38" si="43">M38+N38+O38+P38</f>
        <v>65.100000000000009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>
        <v>7.0000000000000007E-2</v>
      </c>
      <c r="AZ38" s="30"/>
      <c r="BA38" s="30">
        <v>65.099999999999994</v>
      </c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>
        <v>65.099999999999994</v>
      </c>
      <c r="BM38" s="31">
        <v>41809</v>
      </c>
      <c r="BN38" s="30"/>
      <c r="BO38" s="32"/>
    </row>
    <row r="39" spans="1:67" s="33" customFormat="1" ht="228" customHeight="1" x14ac:dyDescent="0.25">
      <c r="A39" s="27" t="s">
        <v>59</v>
      </c>
      <c r="B39" s="29" t="s">
        <v>101</v>
      </c>
      <c r="C39" s="28">
        <v>466.1</v>
      </c>
      <c r="D39" s="29" t="s">
        <v>143</v>
      </c>
      <c r="E39" s="29" t="s">
        <v>33</v>
      </c>
      <c r="F39" s="29" t="s">
        <v>190</v>
      </c>
      <c r="G39" s="24" t="s">
        <v>223</v>
      </c>
      <c r="H39" s="24" t="s">
        <v>242</v>
      </c>
      <c r="I39" s="24" t="s">
        <v>359</v>
      </c>
      <c r="J39" s="24"/>
      <c r="K39" s="43">
        <f>K40+K41+K42</f>
        <v>50.146000000000001</v>
      </c>
      <c r="L39" s="24"/>
      <c r="M39" s="43">
        <f t="shared" ref="M39:Q39" si="44">M40+M41+M42</f>
        <v>3.6156800000000002</v>
      </c>
      <c r="N39" s="43">
        <f t="shared" si="44"/>
        <v>37.470860000000002</v>
      </c>
      <c r="O39" s="43">
        <f t="shared" si="44"/>
        <v>6.7</v>
      </c>
      <c r="P39" s="43">
        <f t="shared" si="44"/>
        <v>2.3594600000000003</v>
      </c>
      <c r="Q39" s="43">
        <f t="shared" si="44"/>
        <v>50.146000000000001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 t="s">
        <v>304</v>
      </c>
      <c r="AW39" s="30"/>
      <c r="AX39" s="30">
        <v>8.1999999999999993</v>
      </c>
      <c r="AY39" s="30" t="s">
        <v>305</v>
      </c>
      <c r="AZ39" s="30"/>
      <c r="BA39" s="30">
        <v>4.75</v>
      </c>
      <c r="BB39" s="30"/>
      <c r="BC39" s="30"/>
      <c r="BD39" s="30"/>
      <c r="BE39" s="30"/>
      <c r="BF39" s="30"/>
      <c r="BG39" s="30"/>
      <c r="BH39" s="30"/>
      <c r="BI39" s="30" t="s">
        <v>306</v>
      </c>
      <c r="BJ39" s="30"/>
      <c r="BK39" s="30">
        <v>37.200000000000003</v>
      </c>
      <c r="BL39" s="30">
        <v>50.14</v>
      </c>
      <c r="BM39" s="31">
        <v>41991</v>
      </c>
      <c r="BN39" s="30"/>
      <c r="BO39" s="32"/>
    </row>
    <row r="40" spans="1:67" s="4" customFormat="1" ht="72" customHeight="1" x14ac:dyDescent="0.25">
      <c r="A40" s="16"/>
      <c r="B40" s="17"/>
      <c r="C40" s="19"/>
      <c r="D40" s="17"/>
      <c r="E40" s="17"/>
      <c r="F40" s="17"/>
      <c r="G40" s="11"/>
      <c r="H40" s="11"/>
      <c r="I40" s="11" t="s">
        <v>304</v>
      </c>
      <c r="J40" s="25">
        <v>1</v>
      </c>
      <c r="K40" s="25">
        <v>8.1999999999999993</v>
      </c>
      <c r="L40" s="25"/>
      <c r="M40" s="25">
        <v>0.26</v>
      </c>
      <c r="N40" s="25">
        <v>1.1599999999999999</v>
      </c>
      <c r="O40" s="25">
        <v>6.7</v>
      </c>
      <c r="P40" s="25">
        <v>0.08</v>
      </c>
      <c r="Q40" s="25">
        <f>M40+N40+O40+P40</f>
        <v>8.2000000000000011</v>
      </c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14"/>
      <c r="BN40" s="6"/>
      <c r="BO40" s="7"/>
    </row>
    <row r="41" spans="1:67" s="42" customFormat="1" ht="76.5" customHeight="1" x14ac:dyDescent="0.25">
      <c r="A41" s="37"/>
      <c r="B41" s="38"/>
      <c r="C41" s="39"/>
      <c r="D41" s="38"/>
      <c r="E41" s="38"/>
      <c r="F41" s="38"/>
      <c r="G41" s="25"/>
      <c r="H41" s="25"/>
      <c r="I41" s="25" t="s">
        <v>357</v>
      </c>
      <c r="J41" s="25">
        <v>3.5000000000000003E-2</v>
      </c>
      <c r="K41" s="44">
        <f>J41*135.6*1</f>
        <v>4.7460000000000004</v>
      </c>
      <c r="L41" s="44"/>
      <c r="M41" s="44">
        <f t="shared" ref="M41:M47" si="45">K41*0.08</f>
        <v>0.37968000000000002</v>
      </c>
      <c r="N41" s="44">
        <f>K41*0.91</f>
        <v>4.3188600000000008</v>
      </c>
      <c r="O41" s="44"/>
      <c r="P41" s="44">
        <f>K41*0.01</f>
        <v>4.7460000000000002E-2</v>
      </c>
      <c r="Q41" s="36">
        <f t="shared" ref="Q41:Q47" si="46">M41+N41+O41+P41</f>
        <v>4.7460000000000013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13"/>
      <c r="BN41" s="40"/>
      <c r="BO41" s="41"/>
    </row>
    <row r="42" spans="1:67" s="42" customFormat="1" ht="77.25" customHeight="1" x14ac:dyDescent="0.25">
      <c r="A42" s="37"/>
      <c r="B42" s="38"/>
      <c r="C42" s="39"/>
      <c r="D42" s="38"/>
      <c r="E42" s="38"/>
      <c r="F42" s="38"/>
      <c r="G42" s="25"/>
      <c r="H42" s="25"/>
      <c r="I42" s="25" t="s">
        <v>358</v>
      </c>
      <c r="J42" s="25">
        <v>0.04</v>
      </c>
      <c r="K42" s="25">
        <f t="shared" ref="K42:K47" si="47">J42*930</f>
        <v>37.200000000000003</v>
      </c>
      <c r="L42" s="25"/>
      <c r="M42" s="25">
        <f t="shared" si="45"/>
        <v>2.9760000000000004</v>
      </c>
      <c r="N42" s="25">
        <f t="shared" ref="N42:N47" si="48">K42*0.86</f>
        <v>31.992000000000001</v>
      </c>
      <c r="O42" s="25"/>
      <c r="P42" s="25">
        <f t="shared" ref="P42:P47" si="49">K42*0.06</f>
        <v>2.2320000000000002</v>
      </c>
      <c r="Q42" s="25">
        <f t="shared" si="46"/>
        <v>37.200000000000003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13"/>
      <c r="BN42" s="40"/>
      <c r="BO42" s="41"/>
    </row>
    <row r="43" spans="1:67" s="33" customFormat="1" ht="132" customHeight="1" x14ac:dyDescent="0.25">
      <c r="A43" s="27" t="s">
        <v>60</v>
      </c>
      <c r="B43" s="29" t="s">
        <v>102</v>
      </c>
      <c r="C43" s="28">
        <v>466.1</v>
      </c>
      <c r="D43" s="29" t="s">
        <v>144</v>
      </c>
      <c r="E43" s="29" t="s">
        <v>28</v>
      </c>
      <c r="F43" s="29" t="s">
        <v>191</v>
      </c>
      <c r="G43" s="24" t="s">
        <v>224</v>
      </c>
      <c r="H43" s="24" t="s">
        <v>30</v>
      </c>
      <c r="I43" s="24" t="s">
        <v>16</v>
      </c>
      <c r="J43" s="30">
        <v>0.2</v>
      </c>
      <c r="K43" s="24">
        <f t="shared" si="47"/>
        <v>186</v>
      </c>
      <c r="L43" s="24"/>
      <c r="M43" s="24">
        <f t="shared" si="45"/>
        <v>14.88</v>
      </c>
      <c r="N43" s="24">
        <f t="shared" si="48"/>
        <v>159.96</v>
      </c>
      <c r="O43" s="24"/>
      <c r="P43" s="24">
        <f t="shared" si="49"/>
        <v>11.16</v>
      </c>
      <c r="Q43" s="24">
        <f t="shared" si="46"/>
        <v>186</v>
      </c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>
        <v>0.2</v>
      </c>
      <c r="AZ43" s="30"/>
      <c r="BA43" s="30">
        <v>186</v>
      </c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>
        <v>186</v>
      </c>
      <c r="BM43" s="31">
        <v>41802</v>
      </c>
      <c r="BN43" s="30"/>
      <c r="BO43" s="32"/>
    </row>
    <row r="44" spans="1:67" s="33" customFormat="1" ht="87" customHeight="1" x14ac:dyDescent="0.25">
      <c r="A44" s="27" t="s">
        <v>61</v>
      </c>
      <c r="B44" s="29" t="s">
        <v>103</v>
      </c>
      <c r="C44" s="28">
        <v>466.1</v>
      </c>
      <c r="D44" s="29" t="s">
        <v>145</v>
      </c>
      <c r="E44" s="29" t="s">
        <v>168</v>
      </c>
      <c r="F44" s="29" t="s">
        <v>192</v>
      </c>
      <c r="G44" s="24" t="s">
        <v>225</v>
      </c>
      <c r="H44" s="24" t="s">
        <v>30</v>
      </c>
      <c r="I44" s="24" t="s">
        <v>16</v>
      </c>
      <c r="J44" s="30">
        <v>0.09</v>
      </c>
      <c r="K44" s="24">
        <f t="shared" si="47"/>
        <v>83.7</v>
      </c>
      <c r="L44" s="24"/>
      <c r="M44" s="24">
        <f t="shared" si="45"/>
        <v>6.6960000000000006</v>
      </c>
      <c r="N44" s="24">
        <f t="shared" si="48"/>
        <v>71.981999999999999</v>
      </c>
      <c r="O44" s="24"/>
      <c r="P44" s="24">
        <f t="shared" si="49"/>
        <v>5.0220000000000002</v>
      </c>
      <c r="Q44" s="24">
        <f t="shared" si="46"/>
        <v>83.7</v>
      </c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>
        <v>0.09</v>
      </c>
      <c r="AZ44" s="30"/>
      <c r="BA44" s="30">
        <v>83.7</v>
      </c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>
        <v>83.7</v>
      </c>
      <c r="BM44" s="31">
        <v>41810</v>
      </c>
      <c r="BN44" s="30"/>
      <c r="BO44" s="32"/>
    </row>
    <row r="45" spans="1:67" s="33" customFormat="1" ht="87" customHeight="1" x14ac:dyDescent="0.25">
      <c r="A45" s="27" t="s">
        <v>62</v>
      </c>
      <c r="B45" s="29" t="s">
        <v>104</v>
      </c>
      <c r="C45" s="28">
        <v>466.1</v>
      </c>
      <c r="D45" s="29" t="s">
        <v>146</v>
      </c>
      <c r="E45" s="29" t="s">
        <v>28</v>
      </c>
      <c r="F45" s="29" t="s">
        <v>193</v>
      </c>
      <c r="G45" s="24" t="s">
        <v>226</v>
      </c>
      <c r="H45" s="24" t="s">
        <v>30</v>
      </c>
      <c r="I45" s="24" t="s">
        <v>16</v>
      </c>
      <c r="J45" s="30">
        <v>0.12</v>
      </c>
      <c r="K45" s="24">
        <f t="shared" si="47"/>
        <v>111.6</v>
      </c>
      <c r="L45" s="24"/>
      <c r="M45" s="24">
        <f t="shared" si="45"/>
        <v>8.927999999999999</v>
      </c>
      <c r="N45" s="24">
        <f t="shared" si="48"/>
        <v>95.975999999999999</v>
      </c>
      <c r="O45" s="24"/>
      <c r="P45" s="24">
        <f t="shared" si="49"/>
        <v>6.6959999999999997</v>
      </c>
      <c r="Q45" s="24">
        <f t="shared" si="46"/>
        <v>111.6</v>
      </c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>
        <v>0.12</v>
      </c>
      <c r="AZ45" s="30"/>
      <c r="BA45" s="30">
        <v>111.6</v>
      </c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>
        <v>111.6</v>
      </c>
      <c r="BM45" s="31">
        <v>41802</v>
      </c>
      <c r="BN45" s="30"/>
      <c r="BO45" s="32"/>
    </row>
    <row r="46" spans="1:67" s="33" customFormat="1" ht="139.5" x14ac:dyDescent="0.25">
      <c r="A46" s="27" t="s">
        <v>64</v>
      </c>
      <c r="B46" s="29" t="s">
        <v>106</v>
      </c>
      <c r="C46" s="28">
        <v>466.1</v>
      </c>
      <c r="D46" s="29" t="s">
        <v>148</v>
      </c>
      <c r="E46" s="29" t="s">
        <v>28</v>
      </c>
      <c r="F46" s="29" t="s">
        <v>195</v>
      </c>
      <c r="G46" s="24" t="s">
        <v>258</v>
      </c>
      <c r="H46" s="24"/>
      <c r="I46" s="24" t="s">
        <v>16</v>
      </c>
      <c r="J46" s="30">
        <v>0.04</v>
      </c>
      <c r="K46" s="24">
        <f t="shared" si="47"/>
        <v>37.200000000000003</v>
      </c>
      <c r="L46" s="24"/>
      <c r="M46" s="24">
        <f t="shared" si="45"/>
        <v>2.9760000000000004</v>
      </c>
      <c r="N46" s="24">
        <f t="shared" si="48"/>
        <v>31.992000000000001</v>
      </c>
      <c r="O46" s="24"/>
      <c r="P46" s="24">
        <f t="shared" si="49"/>
        <v>2.2320000000000002</v>
      </c>
      <c r="Q46" s="24">
        <f t="shared" si="46"/>
        <v>37.200000000000003</v>
      </c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>
        <v>0.04</v>
      </c>
      <c r="AZ46" s="30"/>
      <c r="BA46" s="30">
        <v>37.200000000000003</v>
      </c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>
        <v>37.200000000000003</v>
      </c>
      <c r="BM46" s="31">
        <v>41802</v>
      </c>
      <c r="BN46" s="30" t="s">
        <v>307</v>
      </c>
      <c r="BO46" s="32"/>
    </row>
    <row r="47" spans="1:67" s="33" customFormat="1" ht="198" x14ac:dyDescent="0.25">
      <c r="A47" s="27" t="s">
        <v>65</v>
      </c>
      <c r="B47" s="29" t="s">
        <v>107</v>
      </c>
      <c r="C47" s="28">
        <v>466.1</v>
      </c>
      <c r="D47" s="29" t="s">
        <v>149</v>
      </c>
      <c r="E47" s="29" t="s">
        <v>28</v>
      </c>
      <c r="F47" s="29" t="s">
        <v>196</v>
      </c>
      <c r="G47" s="24" t="s">
        <v>259</v>
      </c>
      <c r="H47" s="24" t="s">
        <v>260</v>
      </c>
      <c r="I47" s="24" t="s">
        <v>16</v>
      </c>
      <c r="J47" s="118">
        <v>0.05</v>
      </c>
      <c r="K47" s="118">
        <f t="shared" si="47"/>
        <v>46.5</v>
      </c>
      <c r="L47" s="118"/>
      <c r="M47" s="118">
        <f t="shared" si="45"/>
        <v>3.72</v>
      </c>
      <c r="N47" s="118">
        <f t="shared" si="48"/>
        <v>39.99</v>
      </c>
      <c r="O47" s="118"/>
      <c r="P47" s="118">
        <f t="shared" si="49"/>
        <v>2.79</v>
      </c>
      <c r="Q47" s="118">
        <f t="shared" si="46"/>
        <v>46.5</v>
      </c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>
        <v>0.05</v>
      </c>
      <c r="AZ47" s="30"/>
      <c r="BA47" s="30">
        <v>46.5</v>
      </c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>
        <v>46.5</v>
      </c>
      <c r="BM47" s="31">
        <v>41877</v>
      </c>
      <c r="BN47" s="30" t="s">
        <v>308</v>
      </c>
      <c r="BO47" s="32"/>
    </row>
    <row r="48" spans="1:67" s="33" customFormat="1" ht="93.75" customHeight="1" x14ac:dyDescent="0.3">
      <c r="A48" s="27" t="s">
        <v>63</v>
      </c>
      <c r="B48" s="29" t="s">
        <v>105</v>
      </c>
      <c r="C48" s="28">
        <v>466.1</v>
      </c>
      <c r="D48" s="29" t="s">
        <v>147</v>
      </c>
      <c r="E48" s="29" t="s">
        <v>33</v>
      </c>
      <c r="F48" s="29" t="s">
        <v>194</v>
      </c>
      <c r="G48" s="24" t="s">
        <v>227</v>
      </c>
      <c r="H48" s="24" t="s">
        <v>243</v>
      </c>
      <c r="I48" s="24" t="s">
        <v>372</v>
      </c>
      <c r="J48" s="127"/>
      <c r="K48" s="128">
        <f>K52+K53+K54+K55+K56+K57+K58+K59</f>
        <v>1408.59</v>
      </c>
      <c r="L48" s="121"/>
      <c r="M48" s="128">
        <f t="shared" ref="M48:Q48" si="50">M52+M53+M54+M55+M56+M57+M58+M59</f>
        <v>104.03200000000001</v>
      </c>
      <c r="N48" s="128">
        <f t="shared" si="50"/>
        <v>1042.32</v>
      </c>
      <c r="O48" s="128">
        <f t="shared" si="50"/>
        <v>190.85000000000002</v>
      </c>
      <c r="P48" s="128">
        <f t="shared" si="50"/>
        <v>71.39</v>
      </c>
      <c r="Q48" s="128">
        <f t="shared" si="50"/>
        <v>1408.5919999999999</v>
      </c>
      <c r="R48" s="30"/>
      <c r="S48" s="30"/>
      <c r="T48" s="30"/>
      <c r="U48" s="30"/>
      <c r="V48" s="30"/>
      <c r="W48" s="30"/>
      <c r="X48" s="30"/>
      <c r="Y48" s="30"/>
      <c r="Z48" s="63"/>
      <c r="AA48" s="63">
        <v>0.03</v>
      </c>
      <c r="AB48" s="30"/>
      <c r="AC48" s="30"/>
      <c r="AD48" s="30"/>
      <c r="AE48" s="63">
        <v>1</v>
      </c>
      <c r="AF48" s="30"/>
      <c r="AG48" s="30"/>
      <c r="AH48" s="30"/>
      <c r="AI48" s="30"/>
      <c r="AJ48" s="30"/>
      <c r="AK48" s="30"/>
      <c r="AL48" s="30"/>
      <c r="AM48" s="30"/>
      <c r="AN48" s="63" t="s">
        <v>294</v>
      </c>
      <c r="AO48" s="63"/>
      <c r="AP48" s="63">
        <v>1</v>
      </c>
      <c r="AQ48" s="63"/>
      <c r="AR48" s="30"/>
      <c r="AS48" s="30"/>
      <c r="AT48" s="30"/>
      <c r="AU48" s="30"/>
      <c r="AV48" s="30"/>
      <c r="AW48" s="30"/>
      <c r="AX48" s="30"/>
      <c r="AY48" s="30">
        <v>0.1</v>
      </c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>
        <v>93</v>
      </c>
      <c r="BM48" s="31">
        <v>41863</v>
      </c>
      <c r="BN48" s="30"/>
      <c r="BO48" s="32"/>
    </row>
    <row r="49" spans="1:67" s="33" customFormat="1" ht="95.25" customHeight="1" x14ac:dyDescent="0.3">
      <c r="A49" s="27" t="s">
        <v>66</v>
      </c>
      <c r="B49" s="29" t="s">
        <v>108</v>
      </c>
      <c r="C49" s="28">
        <v>466.1</v>
      </c>
      <c r="D49" s="29" t="s">
        <v>150</v>
      </c>
      <c r="E49" s="29" t="s">
        <v>33</v>
      </c>
      <c r="F49" s="29" t="s">
        <v>197</v>
      </c>
      <c r="G49" s="24" t="s">
        <v>228</v>
      </c>
      <c r="H49" s="24" t="s">
        <v>244</v>
      </c>
      <c r="I49" s="24"/>
      <c r="J49" s="127"/>
      <c r="K49" s="121"/>
      <c r="L49" s="121"/>
      <c r="M49" s="121"/>
      <c r="N49" s="121"/>
      <c r="O49" s="121"/>
      <c r="P49" s="121"/>
      <c r="Q49" s="121"/>
      <c r="R49" s="30"/>
      <c r="S49" s="30"/>
      <c r="T49" s="30"/>
      <c r="U49" s="30"/>
      <c r="V49" s="30"/>
      <c r="W49" s="30"/>
      <c r="X49" s="30"/>
      <c r="Y49" s="30"/>
      <c r="Z49" s="65"/>
      <c r="AA49" s="65"/>
      <c r="AB49" s="30"/>
      <c r="AC49" s="30">
        <v>33</v>
      </c>
      <c r="AD49" s="30"/>
      <c r="AE49" s="65"/>
      <c r="AF49" s="30"/>
      <c r="AG49" s="30">
        <v>53.34</v>
      </c>
      <c r="AH49" s="30"/>
      <c r="AI49" s="30"/>
      <c r="AJ49" s="30"/>
      <c r="AK49" s="30"/>
      <c r="AL49" s="30"/>
      <c r="AM49" s="30"/>
      <c r="AN49" s="65"/>
      <c r="AO49" s="65">
        <v>183.66</v>
      </c>
      <c r="AP49" s="65"/>
      <c r="AQ49" s="65">
        <v>22.59</v>
      </c>
      <c r="AR49" s="30"/>
      <c r="AS49" s="30"/>
      <c r="AT49" s="30"/>
      <c r="AU49" s="30"/>
      <c r="AV49" s="30"/>
      <c r="AW49" s="30"/>
      <c r="AX49" s="30"/>
      <c r="AY49" s="30">
        <v>0.2</v>
      </c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>
        <f>186+AQ49+AO49+AG49+AC49</f>
        <v>478.59000000000003</v>
      </c>
      <c r="BM49" s="31">
        <v>41868</v>
      </c>
      <c r="BN49" s="30"/>
      <c r="BO49" s="32"/>
    </row>
    <row r="50" spans="1:67" s="33" customFormat="1" ht="78" customHeight="1" x14ac:dyDescent="0.3">
      <c r="A50" s="27" t="s">
        <v>67</v>
      </c>
      <c r="B50" s="29" t="s">
        <v>109</v>
      </c>
      <c r="C50" s="28">
        <v>466.1</v>
      </c>
      <c r="D50" s="29" t="s">
        <v>151</v>
      </c>
      <c r="E50" s="29" t="s">
        <v>33</v>
      </c>
      <c r="F50" s="29" t="s">
        <v>198</v>
      </c>
      <c r="G50" s="24" t="s">
        <v>229</v>
      </c>
      <c r="H50" s="24" t="s">
        <v>245</v>
      </c>
      <c r="I50" s="24"/>
      <c r="J50" s="127"/>
      <c r="K50" s="121"/>
      <c r="L50" s="121"/>
      <c r="M50" s="121"/>
      <c r="N50" s="121"/>
      <c r="O50" s="121"/>
      <c r="P50" s="121"/>
      <c r="Q50" s="121"/>
      <c r="R50" s="30"/>
      <c r="S50" s="30"/>
      <c r="T50" s="30"/>
      <c r="U50" s="30"/>
      <c r="V50" s="30"/>
      <c r="W50" s="30"/>
      <c r="X50" s="30"/>
      <c r="Y50" s="30"/>
      <c r="Z50" s="65"/>
      <c r="AA50" s="65"/>
      <c r="AB50" s="30"/>
      <c r="AC50" s="30"/>
      <c r="AD50" s="30"/>
      <c r="AE50" s="65"/>
      <c r="AF50" s="30"/>
      <c r="AG50" s="30"/>
      <c r="AH50" s="30"/>
      <c r="AI50" s="30"/>
      <c r="AJ50" s="30"/>
      <c r="AK50" s="30"/>
      <c r="AL50" s="30"/>
      <c r="AM50" s="30"/>
      <c r="AN50" s="65"/>
      <c r="AO50" s="65"/>
      <c r="AP50" s="65"/>
      <c r="AQ50" s="65"/>
      <c r="AR50" s="30"/>
      <c r="AS50" s="30"/>
      <c r="AT50" s="30"/>
      <c r="AU50" s="30"/>
      <c r="AV50" s="30"/>
      <c r="AW50" s="30"/>
      <c r="AX50" s="30"/>
      <c r="AY50" s="30">
        <v>0.5</v>
      </c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>
        <v>465</v>
      </c>
      <c r="BM50" s="31">
        <v>41869</v>
      </c>
      <c r="BN50" s="30"/>
      <c r="BO50" s="32"/>
    </row>
    <row r="51" spans="1:67" s="33" customFormat="1" ht="63.75" customHeight="1" x14ac:dyDescent="0.3">
      <c r="A51" s="27" t="s">
        <v>285</v>
      </c>
      <c r="B51" s="29">
        <v>40859856</v>
      </c>
      <c r="C51" s="28">
        <v>466.1</v>
      </c>
      <c r="D51" s="29" t="s">
        <v>287</v>
      </c>
      <c r="E51" s="29" t="s">
        <v>33</v>
      </c>
      <c r="F51" s="29" t="s">
        <v>289</v>
      </c>
      <c r="G51" s="24" t="s">
        <v>291</v>
      </c>
      <c r="H51" s="24" t="s">
        <v>292</v>
      </c>
      <c r="I51" s="24"/>
      <c r="J51" s="127"/>
      <c r="K51" s="121"/>
      <c r="L51" s="121"/>
      <c r="M51" s="121"/>
      <c r="N51" s="121"/>
      <c r="O51" s="121"/>
      <c r="P51" s="121"/>
      <c r="Q51" s="121"/>
      <c r="R51" s="30"/>
      <c r="S51" s="30"/>
      <c r="T51" s="30"/>
      <c r="U51" s="30"/>
      <c r="V51" s="30"/>
      <c r="W51" s="30"/>
      <c r="X51" s="30"/>
      <c r="Y51" s="30"/>
      <c r="Z51" s="64"/>
      <c r="AA51" s="64"/>
      <c r="AB51" s="30"/>
      <c r="AC51" s="30"/>
      <c r="AD51" s="30"/>
      <c r="AE51" s="64"/>
      <c r="AF51" s="30"/>
      <c r="AG51" s="30"/>
      <c r="AH51" s="30"/>
      <c r="AI51" s="30"/>
      <c r="AJ51" s="30"/>
      <c r="AK51" s="30"/>
      <c r="AL51" s="30"/>
      <c r="AM51" s="30"/>
      <c r="AN51" s="64"/>
      <c r="AO51" s="64"/>
      <c r="AP51" s="64"/>
      <c r="AQ51" s="64"/>
      <c r="AR51" s="30"/>
      <c r="AS51" s="30"/>
      <c r="AT51" s="30"/>
      <c r="AU51" s="30"/>
      <c r="AV51" s="30"/>
      <c r="AW51" s="30"/>
      <c r="AX51" s="30"/>
      <c r="AY51" s="30">
        <v>0.4</v>
      </c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>
        <v>372</v>
      </c>
      <c r="BM51" s="31">
        <v>41878</v>
      </c>
      <c r="BN51" s="30" t="s">
        <v>309</v>
      </c>
      <c r="BO51" s="32"/>
    </row>
    <row r="52" spans="1:67" s="4" customFormat="1" ht="63.75" customHeight="1" x14ac:dyDescent="0.25">
      <c r="A52" s="16"/>
      <c r="B52" s="17"/>
      <c r="C52" s="19"/>
      <c r="D52" s="17"/>
      <c r="E52" s="17"/>
      <c r="F52" s="17"/>
      <c r="G52" s="11"/>
      <c r="H52" s="11"/>
      <c r="I52" s="11" t="s">
        <v>7</v>
      </c>
      <c r="J52" s="125">
        <v>0.03</v>
      </c>
      <c r="K52" s="11">
        <f>0.03*1100</f>
        <v>33</v>
      </c>
      <c r="L52" s="11"/>
      <c r="M52" s="11">
        <f>K52*0.08</f>
        <v>2.64</v>
      </c>
      <c r="N52" s="11">
        <f>K52*0.89</f>
        <v>29.37</v>
      </c>
      <c r="O52" s="11"/>
      <c r="P52" s="11">
        <f>K52*0.03</f>
        <v>0.99</v>
      </c>
      <c r="Q52" s="11">
        <f>M52+N52+O52+P52</f>
        <v>33</v>
      </c>
      <c r="R52" s="6"/>
      <c r="S52" s="6"/>
      <c r="T52" s="6"/>
      <c r="U52" s="6"/>
      <c r="V52" s="6"/>
      <c r="W52" s="21"/>
      <c r="X52" s="21"/>
      <c r="Y52" s="6"/>
      <c r="Z52" s="22"/>
      <c r="AA52" s="22"/>
      <c r="AB52" s="6"/>
      <c r="AC52" s="6"/>
      <c r="AD52" s="6"/>
      <c r="AE52" s="23"/>
      <c r="AF52" s="6"/>
      <c r="AG52" s="6"/>
      <c r="AH52" s="6"/>
      <c r="AI52" s="6"/>
      <c r="AJ52" s="6"/>
      <c r="AK52" s="6"/>
      <c r="AL52" s="6"/>
      <c r="AM52" s="6"/>
      <c r="AN52" s="23"/>
      <c r="AO52" s="23"/>
      <c r="AP52" s="23"/>
      <c r="AQ52" s="23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14"/>
      <c r="BN52" s="6"/>
      <c r="BO52" s="7"/>
    </row>
    <row r="53" spans="1:67" s="4" customFormat="1" ht="63.75" customHeight="1" x14ac:dyDescent="0.3">
      <c r="A53" s="16"/>
      <c r="B53" s="17"/>
      <c r="C53" s="19"/>
      <c r="D53" s="17"/>
      <c r="E53" s="17"/>
      <c r="F53" s="17"/>
      <c r="G53" s="11"/>
      <c r="H53" s="11"/>
      <c r="I53" s="11" t="s">
        <v>9</v>
      </c>
      <c r="J53" s="129">
        <v>1</v>
      </c>
      <c r="K53" s="25">
        <f>53.34</f>
        <v>53.34</v>
      </c>
      <c r="L53" s="25"/>
      <c r="M53" s="25">
        <f>3.912</f>
        <v>3.9119999999999999</v>
      </c>
      <c r="N53" s="25">
        <f>10.51</f>
        <v>10.51</v>
      </c>
      <c r="O53" s="25">
        <f>38.39</f>
        <v>38.39</v>
      </c>
      <c r="P53" s="25">
        <f>0.53</f>
        <v>0.53</v>
      </c>
      <c r="Q53" s="34">
        <f>M53+N53+O53+P53</f>
        <v>53.341999999999999</v>
      </c>
      <c r="R53" s="6"/>
      <c r="S53" s="6"/>
      <c r="T53" s="6"/>
      <c r="U53" s="6"/>
      <c r="V53" s="6"/>
      <c r="W53" s="21"/>
      <c r="X53" s="21"/>
      <c r="Y53" s="6"/>
      <c r="Z53" s="22"/>
      <c r="AA53" s="22"/>
      <c r="AB53" s="6"/>
      <c r="AC53" s="6"/>
      <c r="AD53" s="6"/>
      <c r="AE53" s="23"/>
      <c r="AF53" s="6"/>
      <c r="AG53" s="6"/>
      <c r="AH53" s="6"/>
      <c r="AI53" s="6"/>
      <c r="AJ53" s="6"/>
      <c r="AK53" s="6"/>
      <c r="AL53" s="6"/>
      <c r="AM53" s="6"/>
      <c r="AN53" s="23"/>
      <c r="AO53" s="23"/>
      <c r="AP53" s="23"/>
      <c r="AQ53" s="23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14"/>
      <c r="BN53" s="6"/>
      <c r="BO53" s="7"/>
    </row>
    <row r="54" spans="1:67" s="4" customFormat="1" ht="63.75" customHeight="1" x14ac:dyDescent="0.25">
      <c r="A54" s="16"/>
      <c r="B54" s="17"/>
      <c r="C54" s="19"/>
      <c r="D54" s="17"/>
      <c r="E54" s="17"/>
      <c r="F54" s="17"/>
      <c r="G54" s="11"/>
      <c r="H54" s="11"/>
      <c r="I54" s="11" t="s">
        <v>360</v>
      </c>
      <c r="J54" s="125">
        <v>1</v>
      </c>
      <c r="K54" s="35">
        <f>Q54</f>
        <v>183.66000000000003</v>
      </c>
      <c r="L54" s="35"/>
      <c r="M54" s="35">
        <v>6.53</v>
      </c>
      <c r="N54" s="35">
        <f>41.42</f>
        <v>41.42</v>
      </c>
      <c r="O54" s="35">
        <v>133.96</v>
      </c>
      <c r="P54" s="35">
        <v>1.75</v>
      </c>
      <c r="Q54" s="36">
        <f t="shared" ref="Q54" si="51">M54+N54+O54+P54</f>
        <v>183.66000000000003</v>
      </c>
      <c r="R54" s="6"/>
      <c r="S54" s="6"/>
      <c r="T54" s="6"/>
      <c r="U54" s="6"/>
      <c r="V54" s="6"/>
      <c r="W54" s="21"/>
      <c r="X54" s="21"/>
      <c r="Y54" s="6"/>
      <c r="Z54" s="22"/>
      <c r="AA54" s="22"/>
      <c r="AB54" s="6"/>
      <c r="AC54" s="6"/>
      <c r="AD54" s="6"/>
      <c r="AE54" s="23"/>
      <c r="AF54" s="6"/>
      <c r="AG54" s="6"/>
      <c r="AH54" s="6"/>
      <c r="AI54" s="6"/>
      <c r="AJ54" s="6"/>
      <c r="AK54" s="6"/>
      <c r="AL54" s="6"/>
      <c r="AM54" s="6"/>
      <c r="AN54" s="23"/>
      <c r="AO54" s="23"/>
      <c r="AP54" s="23"/>
      <c r="AQ54" s="23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14"/>
      <c r="BN54" s="6"/>
      <c r="BO54" s="7"/>
    </row>
    <row r="55" spans="1:67" s="4" customFormat="1" ht="63.75" customHeight="1" x14ac:dyDescent="0.25">
      <c r="A55" s="16"/>
      <c r="B55" s="17"/>
      <c r="C55" s="19"/>
      <c r="D55" s="17"/>
      <c r="E55" s="17"/>
      <c r="F55" s="17"/>
      <c r="G55" s="11"/>
      <c r="H55" s="11"/>
      <c r="I55" s="11" t="s">
        <v>35</v>
      </c>
      <c r="J55" s="125">
        <v>1</v>
      </c>
      <c r="K55" s="25">
        <f>22.59</f>
        <v>22.59</v>
      </c>
      <c r="L55" s="25"/>
      <c r="M55" s="25">
        <f>1.67</f>
        <v>1.67</v>
      </c>
      <c r="N55" s="25">
        <f>1.26</f>
        <v>1.26</v>
      </c>
      <c r="O55" s="25">
        <f>18.5</f>
        <v>18.5</v>
      </c>
      <c r="P55" s="25">
        <f>0.36+0.8</f>
        <v>1.1600000000000001</v>
      </c>
      <c r="Q55" s="25">
        <f>M55+N55+O55+P55</f>
        <v>22.59</v>
      </c>
      <c r="R55" s="6"/>
      <c r="S55" s="6"/>
      <c r="T55" s="6"/>
      <c r="U55" s="6"/>
      <c r="V55" s="6"/>
      <c r="W55" s="21"/>
      <c r="X55" s="21"/>
      <c r="Y55" s="6"/>
      <c r="Z55" s="22"/>
      <c r="AA55" s="22"/>
      <c r="AB55" s="6"/>
      <c r="AC55" s="6"/>
      <c r="AD55" s="6"/>
      <c r="AE55" s="23"/>
      <c r="AF55" s="6"/>
      <c r="AG55" s="6"/>
      <c r="AH55" s="6"/>
      <c r="AI55" s="6"/>
      <c r="AJ55" s="6"/>
      <c r="AK55" s="6"/>
      <c r="AL55" s="6"/>
      <c r="AM55" s="6"/>
      <c r="AN55" s="23"/>
      <c r="AO55" s="23"/>
      <c r="AP55" s="23"/>
      <c r="AQ55" s="23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14"/>
      <c r="BN55" s="6"/>
      <c r="BO55" s="7"/>
    </row>
    <row r="56" spans="1:67" s="42" customFormat="1" ht="63.75" customHeight="1" x14ac:dyDescent="0.25">
      <c r="A56" s="37"/>
      <c r="B56" s="38"/>
      <c r="C56" s="39"/>
      <c r="D56" s="38"/>
      <c r="E56" s="38"/>
      <c r="F56" s="38"/>
      <c r="G56" s="25"/>
      <c r="H56" s="25"/>
      <c r="I56" s="25" t="s">
        <v>361</v>
      </c>
      <c r="J56" s="119">
        <v>0.1</v>
      </c>
      <c r="K56" s="25">
        <f t="shared" ref="K56:K59" si="52">J56*930</f>
        <v>93</v>
      </c>
      <c r="L56" s="25"/>
      <c r="M56" s="25">
        <f t="shared" ref="M56:M59" si="53">K56*0.08</f>
        <v>7.44</v>
      </c>
      <c r="N56" s="25">
        <f t="shared" ref="N56:N59" si="54">K56*0.86</f>
        <v>79.98</v>
      </c>
      <c r="O56" s="25"/>
      <c r="P56" s="25">
        <f t="shared" ref="P56:P59" si="55">K56*0.06</f>
        <v>5.58</v>
      </c>
      <c r="Q56" s="25">
        <f t="shared" ref="Q56:Q59" si="56">M56+N56+O56+P56</f>
        <v>93</v>
      </c>
      <c r="R56" s="40"/>
      <c r="S56" s="40"/>
      <c r="T56" s="40"/>
      <c r="U56" s="40"/>
      <c r="V56" s="40"/>
      <c r="W56" s="47"/>
      <c r="X56" s="47"/>
      <c r="Y56" s="40"/>
      <c r="Z56" s="48"/>
      <c r="AA56" s="48"/>
      <c r="AB56" s="40"/>
      <c r="AC56" s="40"/>
      <c r="AD56" s="40"/>
      <c r="AE56" s="49"/>
      <c r="AF56" s="40"/>
      <c r="AG56" s="40"/>
      <c r="AH56" s="40"/>
      <c r="AI56" s="40"/>
      <c r="AJ56" s="40"/>
      <c r="AK56" s="40"/>
      <c r="AL56" s="40"/>
      <c r="AM56" s="40"/>
      <c r="AN56" s="49"/>
      <c r="AO56" s="49"/>
      <c r="AP56" s="49"/>
      <c r="AQ56" s="49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13"/>
      <c r="BN56" s="40"/>
      <c r="BO56" s="41"/>
    </row>
    <row r="57" spans="1:67" s="42" customFormat="1" ht="63.75" customHeight="1" x14ac:dyDescent="0.25">
      <c r="A57" s="37"/>
      <c r="B57" s="38"/>
      <c r="C57" s="39"/>
      <c r="D57" s="38"/>
      <c r="E57" s="38"/>
      <c r="F57" s="38"/>
      <c r="G57" s="25"/>
      <c r="H57" s="25"/>
      <c r="I57" s="25" t="s">
        <v>362</v>
      </c>
      <c r="J57" s="119">
        <v>0.2</v>
      </c>
      <c r="K57" s="25">
        <f t="shared" si="52"/>
        <v>186</v>
      </c>
      <c r="L57" s="25"/>
      <c r="M57" s="25">
        <f>K57*0.08</f>
        <v>14.88</v>
      </c>
      <c r="N57" s="25">
        <f t="shared" si="54"/>
        <v>159.96</v>
      </c>
      <c r="O57" s="25"/>
      <c r="P57" s="25">
        <f t="shared" si="55"/>
        <v>11.16</v>
      </c>
      <c r="Q57" s="25">
        <f t="shared" si="56"/>
        <v>186</v>
      </c>
      <c r="R57" s="40"/>
      <c r="S57" s="40"/>
      <c r="T57" s="40"/>
      <c r="U57" s="40"/>
      <c r="V57" s="40"/>
      <c r="W57" s="47"/>
      <c r="X57" s="47"/>
      <c r="Y57" s="40"/>
      <c r="Z57" s="48"/>
      <c r="AA57" s="48"/>
      <c r="AB57" s="40"/>
      <c r="AC57" s="40"/>
      <c r="AD57" s="40"/>
      <c r="AE57" s="49"/>
      <c r="AF57" s="40"/>
      <c r="AG57" s="40"/>
      <c r="AH57" s="40"/>
      <c r="AI57" s="40"/>
      <c r="AJ57" s="40"/>
      <c r="AK57" s="40"/>
      <c r="AL57" s="40"/>
      <c r="AM57" s="40"/>
      <c r="AN57" s="49"/>
      <c r="AO57" s="49"/>
      <c r="AP57" s="49"/>
      <c r="AQ57" s="49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13"/>
      <c r="BN57" s="40"/>
      <c r="BO57" s="41"/>
    </row>
    <row r="58" spans="1:67" s="42" customFormat="1" ht="63.75" customHeight="1" x14ac:dyDescent="0.25">
      <c r="A58" s="37"/>
      <c r="B58" s="38"/>
      <c r="C58" s="39"/>
      <c r="D58" s="38"/>
      <c r="E58" s="38"/>
      <c r="F58" s="38"/>
      <c r="G58" s="25"/>
      <c r="H58" s="25"/>
      <c r="I58" s="25" t="s">
        <v>363</v>
      </c>
      <c r="J58" s="119">
        <v>0.5</v>
      </c>
      <c r="K58" s="25">
        <f t="shared" si="52"/>
        <v>465</v>
      </c>
      <c r="L58" s="25"/>
      <c r="M58" s="25">
        <f t="shared" si="53"/>
        <v>37.200000000000003</v>
      </c>
      <c r="N58" s="25">
        <f t="shared" si="54"/>
        <v>399.9</v>
      </c>
      <c r="O58" s="25"/>
      <c r="P58" s="25">
        <f t="shared" si="55"/>
        <v>27.9</v>
      </c>
      <c r="Q58" s="25">
        <f t="shared" si="56"/>
        <v>464.99999999999994</v>
      </c>
      <c r="R58" s="40"/>
      <c r="S58" s="40"/>
      <c r="T58" s="40"/>
      <c r="U58" s="40"/>
      <c r="V58" s="40"/>
      <c r="W58" s="47"/>
      <c r="X58" s="47"/>
      <c r="Y58" s="40"/>
      <c r="Z58" s="48"/>
      <c r="AA58" s="48"/>
      <c r="AB58" s="40"/>
      <c r="AC58" s="40"/>
      <c r="AD58" s="40"/>
      <c r="AE58" s="49"/>
      <c r="AF58" s="40"/>
      <c r="AG58" s="40"/>
      <c r="AH58" s="40"/>
      <c r="AI58" s="40"/>
      <c r="AJ58" s="40"/>
      <c r="AK58" s="40"/>
      <c r="AL58" s="40"/>
      <c r="AM58" s="40"/>
      <c r="AN58" s="49"/>
      <c r="AO58" s="49"/>
      <c r="AP58" s="49"/>
      <c r="AQ58" s="49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13"/>
      <c r="BN58" s="40"/>
      <c r="BO58" s="41"/>
    </row>
    <row r="59" spans="1:67" s="42" customFormat="1" ht="63.75" customHeight="1" x14ac:dyDescent="0.25">
      <c r="A59" s="37"/>
      <c r="B59" s="38"/>
      <c r="C59" s="39"/>
      <c r="D59" s="38"/>
      <c r="E59" s="38"/>
      <c r="F59" s="38"/>
      <c r="G59" s="25"/>
      <c r="H59" s="25"/>
      <c r="I59" s="25" t="s">
        <v>364</v>
      </c>
      <c r="J59" s="119">
        <v>0.4</v>
      </c>
      <c r="K59" s="51">
        <f t="shared" si="52"/>
        <v>372</v>
      </c>
      <c r="L59" s="25"/>
      <c r="M59" s="25">
        <f t="shared" si="53"/>
        <v>29.76</v>
      </c>
      <c r="N59" s="25">
        <f t="shared" si="54"/>
        <v>319.92</v>
      </c>
      <c r="O59" s="25"/>
      <c r="P59" s="25">
        <f t="shared" si="55"/>
        <v>22.32</v>
      </c>
      <c r="Q59" s="25">
        <f t="shared" si="56"/>
        <v>372</v>
      </c>
      <c r="R59" s="40"/>
      <c r="S59" s="40"/>
      <c r="T59" s="40"/>
      <c r="U59" s="40"/>
      <c r="V59" s="40"/>
      <c r="W59" s="47"/>
      <c r="X59" s="47"/>
      <c r="Y59" s="40"/>
      <c r="Z59" s="48"/>
      <c r="AA59" s="48"/>
      <c r="AB59" s="40"/>
      <c r="AC59" s="40"/>
      <c r="AD59" s="40"/>
      <c r="AE59" s="49"/>
      <c r="AF59" s="40"/>
      <c r="AG59" s="40"/>
      <c r="AH59" s="40"/>
      <c r="AI59" s="40"/>
      <c r="AJ59" s="40"/>
      <c r="AK59" s="40"/>
      <c r="AL59" s="40"/>
      <c r="AM59" s="40"/>
      <c r="AN59" s="49"/>
      <c r="AO59" s="49"/>
      <c r="AP59" s="49"/>
      <c r="AQ59" s="49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13"/>
      <c r="BN59" s="40"/>
      <c r="BO59" s="41"/>
    </row>
    <row r="60" spans="1:67" s="33" customFormat="1" ht="143.25" customHeight="1" x14ac:dyDescent="0.3">
      <c r="A60" s="27" t="s">
        <v>261</v>
      </c>
      <c r="B60" s="29">
        <v>40856804</v>
      </c>
      <c r="C60" s="28">
        <v>466.1</v>
      </c>
      <c r="D60" s="29" t="s">
        <v>262</v>
      </c>
      <c r="E60" s="29" t="s">
        <v>28</v>
      </c>
      <c r="F60" s="29" t="s">
        <v>263</v>
      </c>
      <c r="G60" s="24" t="s">
        <v>264</v>
      </c>
      <c r="H60" s="24" t="s">
        <v>265</v>
      </c>
      <c r="I60" s="24" t="s">
        <v>371</v>
      </c>
      <c r="J60" s="127"/>
      <c r="K60" s="128">
        <f>K62+K63+K64+K65+K66+K67</f>
        <v>806.19</v>
      </c>
      <c r="L60" s="121"/>
      <c r="M60" s="128">
        <f t="shared" ref="M60:Q60" si="57">M62+M63+M64+M65+M66+M67</f>
        <v>55.84</v>
      </c>
      <c r="N60" s="128">
        <f t="shared" si="57"/>
        <v>524.04</v>
      </c>
      <c r="O60" s="128">
        <f t="shared" si="57"/>
        <v>190.85000000000002</v>
      </c>
      <c r="P60" s="128">
        <f t="shared" si="57"/>
        <v>35.462000000000003</v>
      </c>
      <c r="Q60" s="128">
        <f t="shared" si="57"/>
        <v>806.19200000000001</v>
      </c>
      <c r="R60" s="30"/>
      <c r="S60" s="30"/>
      <c r="T60" s="30"/>
      <c r="U60" s="30"/>
      <c r="V60" s="30"/>
      <c r="W60" s="63"/>
      <c r="X60" s="63">
        <v>0.03</v>
      </c>
      <c r="Y60" s="30"/>
      <c r="Z60" s="30">
        <v>25.8</v>
      </c>
      <c r="AA60" s="30"/>
      <c r="AB60" s="30"/>
      <c r="AC60" s="30"/>
      <c r="AD60" s="30"/>
      <c r="AE60" s="63">
        <v>1</v>
      </c>
      <c r="AF60" s="30"/>
      <c r="AG60" s="30">
        <v>53.34</v>
      </c>
      <c r="AH60" s="30"/>
      <c r="AI60" s="30"/>
      <c r="AJ60" s="30"/>
      <c r="AK60" s="30"/>
      <c r="AL60" s="30"/>
      <c r="AM60" s="30"/>
      <c r="AN60" s="63" t="s">
        <v>294</v>
      </c>
      <c r="AO60" s="63">
        <v>183.66</v>
      </c>
      <c r="AP60" s="63">
        <v>1</v>
      </c>
      <c r="AQ60" s="63">
        <v>22.59</v>
      </c>
      <c r="AR60" s="30"/>
      <c r="AS60" s="30"/>
      <c r="AT60" s="30"/>
      <c r="AU60" s="30"/>
      <c r="AV60" s="30"/>
      <c r="AW60" s="30"/>
      <c r="AX60" s="30"/>
      <c r="AY60" s="30" t="s">
        <v>310</v>
      </c>
      <c r="AZ60" s="30"/>
      <c r="BA60" s="30">
        <v>279</v>
      </c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146">
        <v>564.39</v>
      </c>
      <c r="BM60" s="31">
        <v>41879</v>
      </c>
      <c r="BN60" s="30"/>
      <c r="BO60" s="32"/>
    </row>
    <row r="61" spans="1:67" s="33" customFormat="1" ht="99" customHeight="1" x14ac:dyDescent="0.3">
      <c r="A61" s="27" t="s">
        <v>68</v>
      </c>
      <c r="B61" s="29" t="s">
        <v>110</v>
      </c>
      <c r="C61" s="28">
        <v>466.1</v>
      </c>
      <c r="D61" s="29" t="s">
        <v>152</v>
      </c>
      <c r="E61" s="29" t="s">
        <v>28</v>
      </c>
      <c r="F61" s="29" t="s">
        <v>199</v>
      </c>
      <c r="G61" s="24" t="s">
        <v>230</v>
      </c>
      <c r="H61" s="24" t="s">
        <v>246</v>
      </c>
      <c r="I61" s="24"/>
      <c r="J61" s="127"/>
      <c r="K61" s="121"/>
      <c r="L61" s="121"/>
      <c r="M61" s="121"/>
      <c r="N61" s="121"/>
      <c r="O61" s="121"/>
      <c r="P61" s="121"/>
      <c r="Q61" s="121"/>
      <c r="R61" s="30"/>
      <c r="S61" s="30"/>
      <c r="T61" s="30"/>
      <c r="U61" s="30"/>
      <c r="V61" s="30"/>
      <c r="W61" s="64"/>
      <c r="X61" s="64"/>
      <c r="Y61" s="30"/>
      <c r="Z61" s="30"/>
      <c r="AA61" s="30"/>
      <c r="AB61" s="30"/>
      <c r="AC61" s="30"/>
      <c r="AD61" s="30"/>
      <c r="AE61" s="64"/>
      <c r="AF61" s="30"/>
      <c r="AG61" s="30"/>
      <c r="AH61" s="30"/>
      <c r="AI61" s="30"/>
      <c r="AJ61" s="30"/>
      <c r="AK61" s="30"/>
      <c r="AL61" s="30"/>
      <c r="AM61" s="30"/>
      <c r="AN61" s="64"/>
      <c r="AO61" s="64"/>
      <c r="AP61" s="64"/>
      <c r="AQ61" s="64"/>
      <c r="AR61" s="30"/>
      <c r="AS61" s="30"/>
      <c r="AT61" s="30"/>
      <c r="AU61" s="30"/>
      <c r="AV61" s="30"/>
      <c r="AW61" s="30"/>
      <c r="AX61" s="30"/>
      <c r="AY61" s="30">
        <v>0.26</v>
      </c>
      <c r="AZ61" s="30"/>
      <c r="BA61" s="30">
        <v>241.8</v>
      </c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>
        <v>241.8</v>
      </c>
      <c r="BM61" s="31">
        <v>41879</v>
      </c>
      <c r="BN61" s="30" t="s">
        <v>311</v>
      </c>
      <c r="BO61" s="32"/>
    </row>
    <row r="62" spans="1:67" s="42" customFormat="1" ht="99" customHeight="1" x14ac:dyDescent="0.25">
      <c r="A62" s="37"/>
      <c r="B62" s="38"/>
      <c r="C62" s="39"/>
      <c r="D62" s="38"/>
      <c r="E62" s="38"/>
      <c r="F62" s="38"/>
      <c r="G62" s="25"/>
      <c r="H62" s="25"/>
      <c r="I62" s="25" t="s">
        <v>6</v>
      </c>
      <c r="J62" s="119">
        <v>0.03</v>
      </c>
      <c r="K62" s="11">
        <f>J62*860</f>
        <v>25.8</v>
      </c>
      <c r="L62" s="11"/>
      <c r="M62" s="11">
        <f>K62*0.08</f>
        <v>2.0640000000000001</v>
      </c>
      <c r="N62" s="11">
        <f>K62*0.89</f>
        <v>22.962</v>
      </c>
      <c r="O62" s="11"/>
      <c r="P62" s="11">
        <f>K62*0.03</f>
        <v>0.77400000000000002</v>
      </c>
      <c r="Q62" s="11">
        <f>M62+N62+O62+P62</f>
        <v>25.8</v>
      </c>
      <c r="R62" s="40"/>
      <c r="S62" s="40"/>
      <c r="T62" s="40"/>
      <c r="U62" s="40"/>
      <c r="V62" s="40"/>
      <c r="W62" s="48"/>
      <c r="X62" s="48"/>
      <c r="Y62" s="40"/>
      <c r="Z62" s="40"/>
      <c r="AA62" s="40"/>
      <c r="AB62" s="40"/>
      <c r="AC62" s="40"/>
      <c r="AD62" s="40"/>
      <c r="AE62" s="48"/>
      <c r="AF62" s="40"/>
      <c r="AG62" s="40"/>
      <c r="AH62" s="40"/>
      <c r="AI62" s="40"/>
      <c r="AJ62" s="40"/>
      <c r="AK62" s="40"/>
      <c r="AL62" s="40"/>
      <c r="AM62" s="40"/>
      <c r="AN62" s="48"/>
      <c r="AO62" s="48"/>
      <c r="AP62" s="48"/>
      <c r="AQ62" s="48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13"/>
      <c r="BN62" s="40"/>
      <c r="BO62" s="41"/>
    </row>
    <row r="63" spans="1:67" s="42" customFormat="1" ht="99" customHeight="1" x14ac:dyDescent="0.25">
      <c r="A63" s="37"/>
      <c r="B63" s="38"/>
      <c r="C63" s="39"/>
      <c r="D63" s="38"/>
      <c r="E63" s="38"/>
      <c r="F63" s="38"/>
      <c r="G63" s="25"/>
      <c r="H63" s="25"/>
      <c r="I63" s="25" t="s">
        <v>9</v>
      </c>
      <c r="J63" s="119">
        <v>1</v>
      </c>
      <c r="K63" s="25">
        <f>53.34</f>
        <v>53.34</v>
      </c>
      <c r="L63" s="25"/>
      <c r="M63" s="25">
        <f>3.912</f>
        <v>3.9119999999999999</v>
      </c>
      <c r="N63" s="25">
        <f>10.51</f>
        <v>10.51</v>
      </c>
      <c r="O63" s="25">
        <f>38.39</f>
        <v>38.39</v>
      </c>
      <c r="P63" s="25">
        <f>0.53</f>
        <v>0.53</v>
      </c>
      <c r="Q63" s="34">
        <f>M63+N63+O63+P63</f>
        <v>53.341999999999999</v>
      </c>
      <c r="R63" s="40"/>
      <c r="S63" s="40"/>
      <c r="T63" s="40"/>
      <c r="U63" s="40"/>
      <c r="V63" s="40"/>
      <c r="W63" s="48"/>
      <c r="X63" s="48"/>
      <c r="Y63" s="40"/>
      <c r="Z63" s="40"/>
      <c r="AA63" s="40"/>
      <c r="AB63" s="40"/>
      <c r="AC63" s="40"/>
      <c r="AD63" s="40"/>
      <c r="AE63" s="48"/>
      <c r="AF63" s="40"/>
      <c r="AG63" s="40"/>
      <c r="AH63" s="40"/>
      <c r="AI63" s="40"/>
      <c r="AJ63" s="40"/>
      <c r="AK63" s="40"/>
      <c r="AL63" s="40"/>
      <c r="AM63" s="40"/>
      <c r="AN63" s="48"/>
      <c r="AO63" s="48"/>
      <c r="AP63" s="48"/>
      <c r="AQ63" s="48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13"/>
      <c r="BN63" s="40"/>
      <c r="BO63" s="41"/>
    </row>
    <row r="64" spans="1:67" s="42" customFormat="1" ht="99" customHeight="1" x14ac:dyDescent="0.25">
      <c r="A64" s="37"/>
      <c r="B64" s="38"/>
      <c r="C64" s="39"/>
      <c r="D64" s="38"/>
      <c r="E64" s="38"/>
      <c r="F64" s="38"/>
      <c r="G64" s="25"/>
      <c r="H64" s="25"/>
      <c r="I64" s="25" t="s">
        <v>366</v>
      </c>
      <c r="J64" s="119">
        <v>1</v>
      </c>
      <c r="K64" s="35">
        <f>Q64</f>
        <v>183.66000000000003</v>
      </c>
      <c r="L64" s="35"/>
      <c r="M64" s="35">
        <v>6.53</v>
      </c>
      <c r="N64" s="35">
        <f>41.42</f>
        <v>41.42</v>
      </c>
      <c r="O64" s="35">
        <v>133.96</v>
      </c>
      <c r="P64" s="35">
        <v>1.75</v>
      </c>
      <c r="Q64" s="36">
        <f t="shared" ref="Q64" si="58">M64+N64+O64+P64</f>
        <v>183.66000000000003</v>
      </c>
      <c r="R64" s="40"/>
      <c r="S64" s="40"/>
      <c r="T64" s="40"/>
      <c r="U64" s="40"/>
      <c r="V64" s="40"/>
      <c r="W64" s="48"/>
      <c r="X64" s="48"/>
      <c r="Y64" s="40"/>
      <c r="Z64" s="40"/>
      <c r="AA64" s="40"/>
      <c r="AB64" s="40"/>
      <c r="AC64" s="40"/>
      <c r="AD64" s="40"/>
      <c r="AE64" s="48"/>
      <c r="AF64" s="40"/>
      <c r="AG64" s="40"/>
      <c r="AH64" s="40"/>
      <c r="AI64" s="40"/>
      <c r="AJ64" s="40"/>
      <c r="AK64" s="40"/>
      <c r="AL64" s="40"/>
      <c r="AM64" s="40"/>
      <c r="AN64" s="48"/>
      <c r="AO64" s="48"/>
      <c r="AP64" s="48"/>
      <c r="AQ64" s="48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13"/>
      <c r="BN64" s="40"/>
      <c r="BO64" s="41"/>
    </row>
    <row r="65" spans="1:67" s="42" customFormat="1" ht="57.75" customHeight="1" x14ac:dyDescent="0.25">
      <c r="A65" s="37"/>
      <c r="B65" s="38"/>
      <c r="C65" s="39"/>
      <c r="D65" s="38"/>
      <c r="E65" s="38"/>
      <c r="F65" s="38"/>
      <c r="G65" s="25"/>
      <c r="H65" s="25"/>
      <c r="I65" s="11" t="s">
        <v>35</v>
      </c>
      <c r="J65" s="125">
        <v>1</v>
      </c>
      <c r="K65" s="25">
        <f>22.59</f>
        <v>22.59</v>
      </c>
      <c r="L65" s="25"/>
      <c r="M65" s="25">
        <f>1.67</f>
        <v>1.67</v>
      </c>
      <c r="N65" s="25">
        <f>1.26</f>
        <v>1.26</v>
      </c>
      <c r="O65" s="25">
        <f>18.5</f>
        <v>18.5</v>
      </c>
      <c r="P65" s="25">
        <f>0.36+0.8</f>
        <v>1.1600000000000001</v>
      </c>
      <c r="Q65" s="25">
        <f>M65+N65+O65+P65</f>
        <v>22.59</v>
      </c>
      <c r="R65" s="40"/>
      <c r="S65" s="40"/>
      <c r="T65" s="40"/>
      <c r="U65" s="40"/>
      <c r="V65" s="40"/>
      <c r="W65" s="48"/>
      <c r="X65" s="48"/>
      <c r="Y65" s="40"/>
      <c r="Z65" s="40"/>
      <c r="AA65" s="40"/>
      <c r="AB65" s="40"/>
      <c r="AC65" s="40"/>
      <c r="AD65" s="40"/>
      <c r="AE65" s="48"/>
      <c r="AF65" s="40"/>
      <c r="AG65" s="40"/>
      <c r="AH65" s="40"/>
      <c r="AI65" s="40"/>
      <c r="AJ65" s="40"/>
      <c r="AK65" s="40"/>
      <c r="AL65" s="40"/>
      <c r="AM65" s="40"/>
      <c r="AN65" s="48"/>
      <c r="AO65" s="48"/>
      <c r="AP65" s="48"/>
      <c r="AQ65" s="48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13"/>
      <c r="BN65" s="40"/>
      <c r="BO65" s="41"/>
    </row>
    <row r="66" spans="1:67" s="42" customFormat="1" ht="99" customHeight="1" x14ac:dyDescent="0.25">
      <c r="A66" s="37"/>
      <c r="B66" s="38"/>
      <c r="C66" s="39"/>
      <c r="D66" s="38"/>
      <c r="E66" s="38"/>
      <c r="F66" s="38"/>
      <c r="G66" s="25"/>
      <c r="H66" s="25"/>
      <c r="I66" s="11" t="s">
        <v>367</v>
      </c>
      <c r="J66" s="119">
        <v>0.3</v>
      </c>
      <c r="K66" s="51">
        <f t="shared" ref="K66:K67" si="59">J66*930</f>
        <v>279</v>
      </c>
      <c r="L66" s="25"/>
      <c r="M66" s="25">
        <f t="shared" ref="M66" si="60">K66*0.08</f>
        <v>22.32</v>
      </c>
      <c r="N66" s="25">
        <f t="shared" ref="N66" si="61">K66*0.86</f>
        <v>239.94</v>
      </c>
      <c r="O66" s="25"/>
      <c r="P66" s="25">
        <f t="shared" ref="P66" si="62">K66*0.06</f>
        <v>16.739999999999998</v>
      </c>
      <c r="Q66" s="25">
        <f t="shared" ref="Q66" si="63">M66+N66+O66+P66</f>
        <v>279</v>
      </c>
      <c r="R66" s="40"/>
      <c r="S66" s="40"/>
      <c r="T66" s="40"/>
      <c r="U66" s="40"/>
      <c r="V66" s="40"/>
      <c r="W66" s="48"/>
      <c r="X66" s="48"/>
      <c r="Y66" s="40"/>
      <c r="Z66" s="40"/>
      <c r="AA66" s="40"/>
      <c r="AB66" s="40"/>
      <c r="AC66" s="40"/>
      <c r="AD66" s="40"/>
      <c r="AE66" s="48"/>
      <c r="AF66" s="40"/>
      <c r="AG66" s="40"/>
      <c r="AH66" s="40"/>
      <c r="AI66" s="40"/>
      <c r="AJ66" s="40"/>
      <c r="AK66" s="40"/>
      <c r="AL66" s="40"/>
      <c r="AM66" s="40"/>
      <c r="AN66" s="48"/>
      <c r="AO66" s="48"/>
      <c r="AP66" s="48"/>
      <c r="AQ66" s="48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13"/>
      <c r="BN66" s="40"/>
      <c r="BO66" s="41"/>
    </row>
    <row r="67" spans="1:67" s="42" customFormat="1" ht="99" customHeight="1" x14ac:dyDescent="0.25">
      <c r="A67" s="37"/>
      <c r="B67" s="38"/>
      <c r="C67" s="39"/>
      <c r="D67" s="38"/>
      <c r="E67" s="38"/>
      <c r="F67" s="38"/>
      <c r="G67" s="25"/>
      <c r="H67" s="25"/>
      <c r="I67" s="11" t="s">
        <v>16</v>
      </c>
      <c r="J67" s="119">
        <v>0.26</v>
      </c>
      <c r="K67" s="51">
        <f t="shared" si="59"/>
        <v>241.8</v>
      </c>
      <c r="L67" s="25"/>
      <c r="M67" s="25">
        <f t="shared" ref="M67" si="64">K67*0.08</f>
        <v>19.344000000000001</v>
      </c>
      <c r="N67" s="25">
        <f t="shared" ref="N67" si="65">K67*0.86</f>
        <v>207.94800000000001</v>
      </c>
      <c r="O67" s="25"/>
      <c r="P67" s="25">
        <f t="shared" ref="P67" si="66">K67*0.06</f>
        <v>14.508000000000001</v>
      </c>
      <c r="Q67" s="25">
        <f t="shared" ref="Q67" si="67">M67+N67+O67+P67</f>
        <v>241.8</v>
      </c>
      <c r="R67" s="40"/>
      <c r="S67" s="40"/>
      <c r="T67" s="40"/>
      <c r="U67" s="40"/>
      <c r="V67" s="40"/>
      <c r="W67" s="48"/>
      <c r="X67" s="48"/>
      <c r="Y67" s="40"/>
      <c r="Z67" s="40"/>
      <c r="AA67" s="40"/>
      <c r="AB67" s="40"/>
      <c r="AC67" s="40"/>
      <c r="AD67" s="40"/>
      <c r="AE67" s="48"/>
      <c r="AF67" s="40"/>
      <c r="AG67" s="40"/>
      <c r="AH67" s="40"/>
      <c r="AI67" s="40"/>
      <c r="AJ67" s="40"/>
      <c r="AK67" s="40"/>
      <c r="AL67" s="40"/>
      <c r="AM67" s="40"/>
      <c r="AN67" s="48"/>
      <c r="AO67" s="48"/>
      <c r="AP67" s="48"/>
      <c r="AQ67" s="48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13"/>
      <c r="BN67" s="40"/>
      <c r="BO67" s="41"/>
    </row>
    <row r="68" spans="1:67" s="33" customFormat="1" ht="105" customHeight="1" x14ac:dyDescent="0.3">
      <c r="A68" s="27" t="s">
        <v>69</v>
      </c>
      <c r="B68" s="29" t="s">
        <v>111</v>
      </c>
      <c r="C68" s="28">
        <v>466.1</v>
      </c>
      <c r="D68" s="29" t="s">
        <v>153</v>
      </c>
      <c r="E68" s="29" t="s">
        <v>169</v>
      </c>
      <c r="F68" s="29" t="s">
        <v>200</v>
      </c>
      <c r="G68" s="24" t="s">
        <v>231</v>
      </c>
      <c r="H68" s="24" t="s">
        <v>30</v>
      </c>
      <c r="I68" s="24" t="s">
        <v>365</v>
      </c>
      <c r="J68" s="120"/>
      <c r="K68" s="121">
        <f>K69+K70</f>
        <v>79.14</v>
      </c>
      <c r="L68" s="121"/>
      <c r="M68" s="121">
        <f t="shared" ref="M68:Q68" si="68">M69+M70</f>
        <v>5.976</v>
      </c>
      <c r="N68" s="121">
        <f t="shared" si="68"/>
        <v>33.472000000000001</v>
      </c>
      <c r="O68" s="121">
        <f t="shared" si="68"/>
        <v>38.39</v>
      </c>
      <c r="P68" s="121">
        <f t="shared" si="68"/>
        <v>1.304</v>
      </c>
      <c r="Q68" s="121">
        <f t="shared" si="68"/>
        <v>79.141999999999996</v>
      </c>
      <c r="R68" s="30"/>
      <c r="S68" s="30"/>
      <c r="T68" s="30"/>
      <c r="U68" s="30"/>
      <c r="V68" s="30"/>
      <c r="W68" s="30"/>
      <c r="X68" s="30">
        <v>0.03</v>
      </c>
      <c r="Y68" s="30"/>
      <c r="Z68" s="30">
        <v>25.8</v>
      </c>
      <c r="AA68" s="30"/>
      <c r="AB68" s="30"/>
      <c r="AC68" s="30"/>
      <c r="AD68" s="30"/>
      <c r="AE68" s="30">
        <v>1</v>
      </c>
      <c r="AF68" s="30"/>
      <c r="AG68" s="30">
        <v>53.34</v>
      </c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>
        <v>79.14</v>
      </c>
      <c r="BM68" s="31">
        <v>41816</v>
      </c>
      <c r="BN68" s="30"/>
      <c r="BO68" s="32"/>
    </row>
    <row r="69" spans="1:67" s="42" customFormat="1" ht="50.25" customHeight="1" x14ac:dyDescent="0.25">
      <c r="A69" s="37"/>
      <c r="B69" s="38"/>
      <c r="C69" s="39"/>
      <c r="D69" s="38"/>
      <c r="E69" s="38"/>
      <c r="F69" s="38"/>
      <c r="G69" s="25"/>
      <c r="H69" s="25"/>
      <c r="I69" s="25" t="s">
        <v>6</v>
      </c>
      <c r="J69" s="119">
        <v>0.03</v>
      </c>
      <c r="K69" s="11">
        <f>J69*860</f>
        <v>25.8</v>
      </c>
      <c r="L69" s="11"/>
      <c r="M69" s="11">
        <f>K69*0.08</f>
        <v>2.0640000000000001</v>
      </c>
      <c r="N69" s="11">
        <f>K69*0.89</f>
        <v>22.962</v>
      </c>
      <c r="O69" s="11"/>
      <c r="P69" s="11">
        <f>K69*0.03</f>
        <v>0.77400000000000002</v>
      </c>
      <c r="Q69" s="11">
        <f>M69+N69+O69+P69</f>
        <v>25.8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13"/>
      <c r="BN69" s="40"/>
      <c r="BO69" s="41"/>
    </row>
    <row r="70" spans="1:67" s="42" customFormat="1" ht="39" customHeight="1" x14ac:dyDescent="0.25">
      <c r="A70" s="37"/>
      <c r="B70" s="38"/>
      <c r="C70" s="39"/>
      <c r="D70" s="38"/>
      <c r="E70" s="38"/>
      <c r="F70" s="38"/>
      <c r="G70" s="25"/>
      <c r="H70" s="25"/>
      <c r="I70" s="25" t="s">
        <v>9</v>
      </c>
      <c r="J70" s="119">
        <v>1</v>
      </c>
      <c r="K70" s="25">
        <f>53.34</f>
        <v>53.34</v>
      </c>
      <c r="L70" s="25"/>
      <c r="M70" s="25">
        <f>3.912</f>
        <v>3.9119999999999999</v>
      </c>
      <c r="N70" s="25">
        <f>10.51</f>
        <v>10.51</v>
      </c>
      <c r="O70" s="25">
        <f>38.39</f>
        <v>38.39</v>
      </c>
      <c r="P70" s="25">
        <f>0.53</f>
        <v>0.53</v>
      </c>
      <c r="Q70" s="34">
        <f>M70+N70+O70+P70</f>
        <v>53.341999999999999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13"/>
      <c r="BN70" s="40"/>
      <c r="BO70" s="41"/>
    </row>
    <row r="71" spans="1:67" s="33" customFormat="1" ht="84.75" customHeight="1" x14ac:dyDescent="0.25">
      <c r="A71" s="27" t="s">
        <v>70</v>
      </c>
      <c r="B71" s="29" t="s">
        <v>112</v>
      </c>
      <c r="C71" s="28">
        <v>466.1</v>
      </c>
      <c r="D71" s="29" t="s">
        <v>154</v>
      </c>
      <c r="E71" s="29" t="s">
        <v>28</v>
      </c>
      <c r="F71" s="29" t="s">
        <v>201</v>
      </c>
      <c r="G71" s="24" t="s">
        <v>232</v>
      </c>
      <c r="H71" s="24"/>
      <c r="I71" s="24" t="s">
        <v>16</v>
      </c>
      <c r="J71" s="121">
        <v>0.1</v>
      </c>
      <c r="K71" s="52">
        <f t="shared" ref="K71:K86" si="69">J71*930</f>
        <v>93</v>
      </c>
      <c r="L71" s="24"/>
      <c r="M71" s="24">
        <f t="shared" ref="M71" si="70">K71*0.08</f>
        <v>7.44</v>
      </c>
      <c r="N71" s="24">
        <f t="shared" ref="N71" si="71">K71*0.86</f>
        <v>79.98</v>
      </c>
      <c r="O71" s="24"/>
      <c r="P71" s="24">
        <f t="shared" ref="P71" si="72">K71*0.06</f>
        <v>5.58</v>
      </c>
      <c r="Q71" s="24">
        <f t="shared" ref="Q71" si="73">M71+N71+O71+P71</f>
        <v>93</v>
      </c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>
        <v>0.1</v>
      </c>
      <c r="AZ71" s="30"/>
      <c r="BA71" s="30">
        <v>93</v>
      </c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>
        <v>93</v>
      </c>
      <c r="BM71" s="31">
        <v>41808</v>
      </c>
      <c r="BN71" s="30"/>
      <c r="BO71" s="32"/>
    </row>
    <row r="72" spans="1:67" s="33" customFormat="1" ht="88.5" customHeight="1" x14ac:dyDescent="0.3">
      <c r="A72" s="27" t="s">
        <v>71</v>
      </c>
      <c r="B72" s="29" t="s">
        <v>113</v>
      </c>
      <c r="C72" s="28">
        <v>466.1</v>
      </c>
      <c r="D72" s="29" t="s">
        <v>155</v>
      </c>
      <c r="E72" s="29" t="s">
        <v>28</v>
      </c>
      <c r="F72" s="29" t="s">
        <v>202</v>
      </c>
      <c r="G72" s="24" t="s">
        <v>233</v>
      </c>
      <c r="H72" s="24" t="s">
        <v>30</v>
      </c>
      <c r="I72" s="24" t="s">
        <v>11</v>
      </c>
      <c r="J72" s="121">
        <v>0.08</v>
      </c>
      <c r="K72" s="121">
        <f>J72*1279</f>
        <v>102.32000000000001</v>
      </c>
      <c r="L72" s="120"/>
      <c r="M72" s="53">
        <f t="shared" ref="M72:M76" si="74">K72*0.08</f>
        <v>8.1856000000000009</v>
      </c>
      <c r="N72" s="53">
        <f t="shared" ref="N72:N76" si="75">K72*0.86</f>
        <v>87.995200000000011</v>
      </c>
      <c r="O72" s="53"/>
      <c r="P72" s="53">
        <f t="shared" ref="P72:P76" si="76">K72*0.06</f>
        <v>6.1392000000000007</v>
      </c>
      <c r="Q72" s="53">
        <f t="shared" ref="Q72:Q76" si="77">M72+N72+O72+P72</f>
        <v>102.32000000000001</v>
      </c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>
        <v>0.08</v>
      </c>
      <c r="AK72" s="30"/>
      <c r="AL72" s="30">
        <v>102.32</v>
      </c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>
        <v>102.32</v>
      </c>
      <c r="BM72" s="31">
        <v>41810</v>
      </c>
      <c r="BN72" s="30"/>
      <c r="BO72" s="32"/>
    </row>
    <row r="73" spans="1:67" s="33" customFormat="1" ht="85.5" customHeight="1" x14ac:dyDescent="0.25">
      <c r="A73" s="27" t="s">
        <v>72</v>
      </c>
      <c r="B73" s="29" t="s">
        <v>114</v>
      </c>
      <c r="C73" s="28">
        <v>466.1</v>
      </c>
      <c r="D73" s="29" t="s">
        <v>156</v>
      </c>
      <c r="E73" s="29" t="s">
        <v>28</v>
      </c>
      <c r="F73" s="29" t="s">
        <v>203</v>
      </c>
      <c r="G73" s="24" t="s">
        <v>234</v>
      </c>
      <c r="H73" s="24" t="s">
        <v>30</v>
      </c>
      <c r="I73" s="24" t="s">
        <v>16</v>
      </c>
      <c r="J73" s="121">
        <v>0.05</v>
      </c>
      <c r="K73" s="52">
        <f t="shared" si="69"/>
        <v>46.5</v>
      </c>
      <c r="L73" s="24"/>
      <c r="M73" s="24">
        <f t="shared" si="74"/>
        <v>3.72</v>
      </c>
      <c r="N73" s="24">
        <f t="shared" si="75"/>
        <v>39.99</v>
      </c>
      <c r="O73" s="24"/>
      <c r="P73" s="24">
        <f t="shared" si="76"/>
        <v>2.79</v>
      </c>
      <c r="Q73" s="24">
        <f t="shared" si="77"/>
        <v>46.5</v>
      </c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>
        <v>0.05</v>
      </c>
      <c r="AZ73" s="30"/>
      <c r="BA73" s="30">
        <f>AY73*930</f>
        <v>46.5</v>
      </c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>
        <v>46.5</v>
      </c>
      <c r="BM73" s="31">
        <v>41809</v>
      </c>
      <c r="BN73" s="30"/>
      <c r="BO73" s="32"/>
    </row>
    <row r="74" spans="1:67" s="33" customFormat="1" ht="81.75" customHeight="1" x14ac:dyDescent="0.25">
      <c r="A74" s="27" t="s">
        <v>73</v>
      </c>
      <c r="B74" s="29" t="s">
        <v>115</v>
      </c>
      <c r="C74" s="28">
        <v>466.1</v>
      </c>
      <c r="D74" s="29" t="s">
        <v>157</v>
      </c>
      <c r="E74" s="29" t="s">
        <v>28</v>
      </c>
      <c r="F74" s="29" t="s">
        <v>204</v>
      </c>
      <c r="G74" s="24" t="s">
        <v>235</v>
      </c>
      <c r="H74" s="24" t="s">
        <v>30</v>
      </c>
      <c r="I74" s="24" t="s">
        <v>16</v>
      </c>
      <c r="J74" s="121">
        <v>0.12</v>
      </c>
      <c r="K74" s="52">
        <f t="shared" si="69"/>
        <v>111.6</v>
      </c>
      <c r="L74" s="24"/>
      <c r="M74" s="24">
        <f t="shared" si="74"/>
        <v>8.927999999999999</v>
      </c>
      <c r="N74" s="24">
        <f t="shared" si="75"/>
        <v>95.975999999999999</v>
      </c>
      <c r="O74" s="24"/>
      <c r="P74" s="24">
        <f t="shared" si="76"/>
        <v>6.6959999999999997</v>
      </c>
      <c r="Q74" s="24">
        <f t="shared" si="77"/>
        <v>111.6</v>
      </c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>
        <v>0.12</v>
      </c>
      <c r="AZ74" s="30"/>
      <c r="BA74" s="30">
        <f>AY74*930</f>
        <v>111.6</v>
      </c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>
        <v>111.6</v>
      </c>
      <c r="BM74" s="31">
        <v>41809</v>
      </c>
      <c r="BN74" s="30"/>
      <c r="BO74" s="32"/>
    </row>
    <row r="75" spans="1:67" s="33" customFormat="1" ht="139.5" x14ac:dyDescent="0.25">
      <c r="A75" s="27" t="s">
        <v>74</v>
      </c>
      <c r="B75" s="29" t="s">
        <v>116</v>
      </c>
      <c r="C75" s="28">
        <v>466.1</v>
      </c>
      <c r="D75" s="29" t="s">
        <v>158</v>
      </c>
      <c r="E75" s="29" t="s">
        <v>28</v>
      </c>
      <c r="F75" s="29" t="s">
        <v>205</v>
      </c>
      <c r="G75" s="24" t="s">
        <v>266</v>
      </c>
      <c r="H75" s="24" t="s">
        <v>30</v>
      </c>
      <c r="I75" s="24" t="s">
        <v>16</v>
      </c>
      <c r="J75" s="121">
        <v>0.28000000000000003</v>
      </c>
      <c r="K75" s="52">
        <f t="shared" si="69"/>
        <v>260.40000000000003</v>
      </c>
      <c r="L75" s="24"/>
      <c r="M75" s="24">
        <f t="shared" si="74"/>
        <v>20.832000000000004</v>
      </c>
      <c r="N75" s="24">
        <f t="shared" si="75"/>
        <v>223.94400000000002</v>
      </c>
      <c r="O75" s="24"/>
      <c r="P75" s="24">
        <f t="shared" si="76"/>
        <v>15.624000000000002</v>
      </c>
      <c r="Q75" s="24">
        <f t="shared" si="77"/>
        <v>260.40000000000003</v>
      </c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>
        <v>0.28000000000000003</v>
      </c>
      <c r="AZ75" s="30"/>
      <c r="BA75" s="30">
        <f>AY75*930</f>
        <v>260.40000000000003</v>
      </c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>
        <v>260.39999999999998</v>
      </c>
      <c r="BM75" s="31">
        <v>41810</v>
      </c>
      <c r="BN75" s="30" t="s">
        <v>312</v>
      </c>
      <c r="BO75" s="32"/>
    </row>
    <row r="76" spans="1:67" s="33" customFormat="1" ht="139.5" x14ac:dyDescent="0.25">
      <c r="A76" s="27" t="s">
        <v>75</v>
      </c>
      <c r="B76" s="29" t="s">
        <v>117</v>
      </c>
      <c r="C76" s="28">
        <v>466.1</v>
      </c>
      <c r="D76" s="29" t="s">
        <v>159</v>
      </c>
      <c r="E76" s="29" t="s">
        <v>28</v>
      </c>
      <c r="F76" s="29" t="s">
        <v>206</v>
      </c>
      <c r="G76" s="24" t="s">
        <v>267</v>
      </c>
      <c r="H76" s="24" t="s">
        <v>30</v>
      </c>
      <c r="I76" s="24" t="s">
        <v>16</v>
      </c>
      <c r="J76" s="121">
        <v>0.1</v>
      </c>
      <c r="K76" s="52">
        <f t="shared" si="69"/>
        <v>93</v>
      </c>
      <c r="L76" s="24"/>
      <c r="M76" s="24">
        <f t="shared" si="74"/>
        <v>7.44</v>
      </c>
      <c r="N76" s="24">
        <f t="shared" si="75"/>
        <v>79.98</v>
      </c>
      <c r="O76" s="24"/>
      <c r="P76" s="24">
        <f t="shared" si="76"/>
        <v>5.58</v>
      </c>
      <c r="Q76" s="24">
        <f t="shared" si="77"/>
        <v>93</v>
      </c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>
        <v>0.1</v>
      </c>
      <c r="AZ76" s="30"/>
      <c r="BA76" s="30">
        <v>93</v>
      </c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>
        <v>93</v>
      </c>
      <c r="BM76" s="31">
        <v>41815</v>
      </c>
      <c r="BN76" s="30" t="s">
        <v>313</v>
      </c>
      <c r="BO76" s="32"/>
    </row>
    <row r="77" spans="1:67" s="33" customFormat="1" ht="139.5" x14ac:dyDescent="0.25">
      <c r="A77" s="27" t="s">
        <v>79</v>
      </c>
      <c r="B77" s="29" t="s">
        <v>121</v>
      </c>
      <c r="C77" s="28">
        <v>466.1</v>
      </c>
      <c r="D77" s="29" t="s">
        <v>163</v>
      </c>
      <c r="E77" s="29" t="s">
        <v>28</v>
      </c>
      <c r="F77" s="29" t="s">
        <v>210</v>
      </c>
      <c r="G77" s="24" t="s">
        <v>269</v>
      </c>
      <c r="H77" s="24" t="s">
        <v>30</v>
      </c>
      <c r="I77" s="24" t="s">
        <v>16</v>
      </c>
      <c r="J77" s="121">
        <v>0.03</v>
      </c>
      <c r="K77" s="54">
        <f t="shared" si="69"/>
        <v>27.9</v>
      </c>
      <c r="L77" s="24"/>
      <c r="M77" s="24">
        <f t="shared" ref="M77" si="78">K77*0.08</f>
        <v>2.2319999999999998</v>
      </c>
      <c r="N77" s="24">
        <f t="shared" ref="N77" si="79">K77*0.86</f>
        <v>23.994</v>
      </c>
      <c r="O77" s="24"/>
      <c r="P77" s="24">
        <f t="shared" ref="P77" si="80">K77*0.06</f>
        <v>1.6739999999999999</v>
      </c>
      <c r="Q77" s="24">
        <f t="shared" ref="Q77" si="81">M77+N77+O77+P77</f>
        <v>27.9</v>
      </c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>
        <v>0.03</v>
      </c>
      <c r="AZ77" s="30"/>
      <c r="BA77" s="30">
        <v>27.9</v>
      </c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>
        <v>27.9</v>
      </c>
      <c r="BM77" s="31">
        <v>41815</v>
      </c>
      <c r="BN77" s="30" t="s">
        <v>314</v>
      </c>
      <c r="BO77" s="32"/>
    </row>
    <row r="78" spans="1:67" s="62" customFormat="1" ht="251.25" customHeight="1" x14ac:dyDescent="0.25">
      <c r="A78" s="55" t="s">
        <v>76</v>
      </c>
      <c r="B78" s="56" t="s">
        <v>118</v>
      </c>
      <c r="C78" s="57">
        <v>466.1</v>
      </c>
      <c r="D78" s="56" t="s">
        <v>160</v>
      </c>
      <c r="E78" s="56" t="s">
        <v>28</v>
      </c>
      <c r="F78" s="56" t="s">
        <v>207</v>
      </c>
      <c r="G78" s="58" t="s">
        <v>369</v>
      </c>
      <c r="H78" s="58" t="s">
        <v>247</v>
      </c>
      <c r="I78" s="58" t="s">
        <v>368</v>
      </c>
      <c r="J78" s="122">
        <v>1</v>
      </c>
      <c r="K78" s="122">
        <v>193.65</v>
      </c>
      <c r="L78" s="122"/>
      <c r="M78" s="122">
        <v>10.89</v>
      </c>
      <c r="N78" s="122">
        <v>33.049999999999997</v>
      </c>
      <c r="O78" s="123">
        <f>(162.082+25)/1.18*1.08</f>
        <v>171.227593220339</v>
      </c>
      <c r="P78" s="122">
        <v>1.36</v>
      </c>
      <c r="Q78" s="123">
        <f>M78+N78+O78+P78</f>
        <v>216.52759322033901</v>
      </c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 t="s">
        <v>316</v>
      </c>
      <c r="AW78" s="59"/>
      <c r="AX78" s="59">
        <v>216.53</v>
      </c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>
        <v>216.53</v>
      </c>
      <c r="BM78" s="60">
        <v>41872</v>
      </c>
      <c r="BN78" s="59" t="s">
        <v>315</v>
      </c>
      <c r="BO78" s="61"/>
    </row>
    <row r="79" spans="1:67" s="33" customFormat="1" ht="72.75" customHeight="1" x14ac:dyDescent="0.25">
      <c r="A79" s="27" t="s">
        <v>77</v>
      </c>
      <c r="B79" s="29" t="s">
        <v>119</v>
      </c>
      <c r="C79" s="28">
        <v>466.1</v>
      </c>
      <c r="D79" s="29" t="s">
        <v>161</v>
      </c>
      <c r="E79" s="29" t="s">
        <v>28</v>
      </c>
      <c r="F79" s="29" t="s">
        <v>208</v>
      </c>
      <c r="G79" s="24" t="s">
        <v>236</v>
      </c>
      <c r="H79" s="24" t="s">
        <v>30</v>
      </c>
      <c r="I79" s="24" t="s">
        <v>16</v>
      </c>
      <c r="J79" s="121">
        <v>0.18</v>
      </c>
      <c r="K79" s="54">
        <f t="shared" si="69"/>
        <v>167.4</v>
      </c>
      <c r="L79" s="24"/>
      <c r="M79" s="24">
        <f t="shared" ref="M79:M82" si="82">K79*0.08</f>
        <v>13.392000000000001</v>
      </c>
      <c r="N79" s="24">
        <f t="shared" ref="N79:N82" si="83">K79*0.86</f>
        <v>143.964</v>
      </c>
      <c r="O79" s="24"/>
      <c r="P79" s="24">
        <f t="shared" ref="P79:P82" si="84">K79*0.06</f>
        <v>10.044</v>
      </c>
      <c r="Q79" s="24">
        <f t="shared" ref="Q79:Q82" si="85">M79+N79+O79+P79</f>
        <v>167.4</v>
      </c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>
        <v>0.18</v>
      </c>
      <c r="AZ79" s="30"/>
      <c r="BA79" s="30">
        <f>AY79*930</f>
        <v>167.4</v>
      </c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>
        <v>167.4</v>
      </c>
      <c r="BM79" s="31">
        <v>41815</v>
      </c>
      <c r="BN79" s="30"/>
      <c r="BO79" s="32"/>
    </row>
    <row r="80" spans="1:67" s="33" customFormat="1" ht="139.5" x14ac:dyDescent="0.25">
      <c r="A80" s="27" t="s">
        <v>78</v>
      </c>
      <c r="B80" s="29" t="s">
        <v>120</v>
      </c>
      <c r="C80" s="28">
        <v>466.1</v>
      </c>
      <c r="D80" s="29" t="s">
        <v>162</v>
      </c>
      <c r="E80" s="29" t="s">
        <v>28</v>
      </c>
      <c r="F80" s="29" t="s">
        <v>209</v>
      </c>
      <c r="G80" s="24" t="s">
        <v>268</v>
      </c>
      <c r="H80" s="24" t="s">
        <v>30</v>
      </c>
      <c r="I80" s="24" t="s">
        <v>16</v>
      </c>
      <c r="J80" s="121">
        <v>0.03</v>
      </c>
      <c r="K80" s="54">
        <f t="shared" si="69"/>
        <v>27.9</v>
      </c>
      <c r="L80" s="24"/>
      <c r="M80" s="24">
        <f t="shared" si="82"/>
        <v>2.2319999999999998</v>
      </c>
      <c r="N80" s="24">
        <f t="shared" si="83"/>
        <v>23.994</v>
      </c>
      <c r="O80" s="24"/>
      <c r="P80" s="24">
        <f t="shared" si="84"/>
        <v>1.6739999999999999</v>
      </c>
      <c r="Q80" s="24">
        <f t="shared" si="85"/>
        <v>27.9</v>
      </c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>
        <v>0.03</v>
      </c>
      <c r="AZ80" s="30"/>
      <c r="BA80" s="30">
        <f t="shared" ref="BA80:BA81" si="86">AY80*930</f>
        <v>27.9</v>
      </c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>
        <v>27.9</v>
      </c>
      <c r="BM80" s="31">
        <v>41815</v>
      </c>
      <c r="BN80" s="30" t="s">
        <v>317</v>
      </c>
      <c r="BO80" s="32"/>
    </row>
    <row r="81" spans="1:67" s="33" customFormat="1" ht="86.25" customHeight="1" x14ac:dyDescent="0.25">
      <c r="A81" s="27" t="s">
        <v>80</v>
      </c>
      <c r="B81" s="29" t="s">
        <v>122</v>
      </c>
      <c r="C81" s="28">
        <v>466.1</v>
      </c>
      <c r="D81" s="29" t="s">
        <v>164</v>
      </c>
      <c r="E81" s="29" t="s">
        <v>28</v>
      </c>
      <c r="F81" s="29" t="s">
        <v>211</v>
      </c>
      <c r="G81" s="24" t="s">
        <v>237</v>
      </c>
      <c r="H81" s="24" t="s">
        <v>30</v>
      </c>
      <c r="I81" s="24" t="s">
        <v>16</v>
      </c>
      <c r="J81" s="121">
        <v>0.12</v>
      </c>
      <c r="K81" s="54">
        <f t="shared" si="69"/>
        <v>111.6</v>
      </c>
      <c r="L81" s="24"/>
      <c r="M81" s="24">
        <f t="shared" si="82"/>
        <v>8.927999999999999</v>
      </c>
      <c r="N81" s="24">
        <f t="shared" si="83"/>
        <v>95.975999999999999</v>
      </c>
      <c r="O81" s="24"/>
      <c r="P81" s="24">
        <f t="shared" si="84"/>
        <v>6.6959999999999997</v>
      </c>
      <c r="Q81" s="24">
        <f t="shared" si="85"/>
        <v>111.6</v>
      </c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>
        <v>0.12</v>
      </c>
      <c r="AZ81" s="30"/>
      <c r="BA81" s="30">
        <f t="shared" si="86"/>
        <v>111.6</v>
      </c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>
        <v>111.6</v>
      </c>
      <c r="BM81" s="31">
        <v>41816</v>
      </c>
      <c r="BN81" s="30"/>
      <c r="BO81" s="32"/>
    </row>
    <row r="82" spans="1:67" s="33" customFormat="1" ht="90.75" customHeight="1" x14ac:dyDescent="0.3">
      <c r="A82" s="27" t="s">
        <v>270</v>
      </c>
      <c r="B82" s="29">
        <v>40862236</v>
      </c>
      <c r="C82" s="28">
        <v>466.1</v>
      </c>
      <c r="D82" s="29" t="s">
        <v>271</v>
      </c>
      <c r="E82" s="29" t="s">
        <v>28</v>
      </c>
      <c r="F82" s="29" t="s">
        <v>272</v>
      </c>
      <c r="G82" s="24" t="s">
        <v>273</v>
      </c>
      <c r="H82" s="24" t="s">
        <v>274</v>
      </c>
      <c r="I82" s="24" t="s">
        <v>370</v>
      </c>
      <c r="J82" s="120"/>
      <c r="K82" s="124">
        <f>K83+K84</f>
        <v>313.86</v>
      </c>
      <c r="L82" s="121"/>
      <c r="M82" s="121">
        <f t="shared" si="82"/>
        <v>25.108800000000002</v>
      </c>
      <c r="N82" s="121">
        <f t="shared" si="83"/>
        <v>269.9196</v>
      </c>
      <c r="O82" s="121"/>
      <c r="P82" s="121">
        <f t="shared" si="84"/>
        <v>18.831600000000002</v>
      </c>
      <c r="Q82" s="121">
        <f t="shared" si="85"/>
        <v>313.86</v>
      </c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>
        <v>0.25</v>
      </c>
      <c r="AZ82" s="30"/>
      <c r="BA82" s="30">
        <f>AY82*930</f>
        <v>232.5</v>
      </c>
      <c r="BB82" s="30"/>
      <c r="BC82" s="30"/>
      <c r="BD82" s="30"/>
      <c r="BE82" s="30"/>
      <c r="BF82" s="30">
        <v>0.3</v>
      </c>
      <c r="BG82" s="30"/>
      <c r="BH82" s="30">
        <v>81.36</v>
      </c>
      <c r="BI82" s="30"/>
      <c r="BJ82" s="30"/>
      <c r="BK82" s="30"/>
      <c r="BL82" s="30">
        <f>BA82+BH82</f>
        <v>313.86</v>
      </c>
      <c r="BM82" s="31">
        <v>41878</v>
      </c>
      <c r="BN82" s="30"/>
      <c r="BO82" s="32"/>
    </row>
    <row r="83" spans="1:67" s="4" customFormat="1" ht="42" customHeight="1" x14ac:dyDescent="0.25">
      <c r="A83" s="16"/>
      <c r="B83" s="17"/>
      <c r="C83" s="19"/>
      <c r="D83" s="17"/>
      <c r="E83" s="17"/>
      <c r="F83" s="17"/>
      <c r="G83" s="11"/>
      <c r="H83" s="11"/>
      <c r="I83" s="25" t="s">
        <v>16</v>
      </c>
      <c r="J83" s="125">
        <v>0.25</v>
      </c>
      <c r="K83" s="50">
        <f t="shared" si="69"/>
        <v>232.5</v>
      </c>
      <c r="L83" s="25"/>
      <c r="M83" s="25">
        <f t="shared" ref="M83:M86" si="87">K83*0.08</f>
        <v>18.600000000000001</v>
      </c>
      <c r="N83" s="25">
        <f t="shared" ref="N83" si="88">K83*0.86</f>
        <v>199.95</v>
      </c>
      <c r="O83" s="25"/>
      <c r="P83" s="25">
        <f t="shared" ref="P83" si="89">K83*0.06</f>
        <v>13.95</v>
      </c>
      <c r="Q83" s="25">
        <f t="shared" ref="Q83:Q86" si="90">M83+N83+O83+P83</f>
        <v>232.49999999999997</v>
      </c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14"/>
      <c r="BN83" s="6"/>
      <c r="BO83" s="7"/>
    </row>
    <row r="84" spans="1:67" s="4" customFormat="1" ht="44.25" customHeight="1" x14ac:dyDescent="0.25">
      <c r="A84" s="16"/>
      <c r="B84" s="17"/>
      <c r="C84" s="19"/>
      <c r="D84" s="17"/>
      <c r="E84" s="17"/>
      <c r="F84" s="17"/>
      <c r="G84" s="11"/>
      <c r="H84" s="11"/>
      <c r="I84" s="11" t="s">
        <v>19</v>
      </c>
      <c r="J84" s="125">
        <v>0.3</v>
      </c>
      <c r="K84" s="44">
        <f>J84*135.6*2</f>
        <v>81.36</v>
      </c>
      <c r="L84" s="44"/>
      <c r="M84" s="44">
        <f t="shared" si="87"/>
        <v>6.5087999999999999</v>
      </c>
      <c r="N84" s="44">
        <f>K84*0.91</f>
        <v>74.037599999999998</v>
      </c>
      <c r="O84" s="44"/>
      <c r="P84" s="44">
        <f>K84*0.01</f>
        <v>0.81359999999999999</v>
      </c>
      <c r="Q84" s="36">
        <f t="shared" si="90"/>
        <v>81.359999999999985</v>
      </c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14"/>
      <c r="BN84" s="6"/>
      <c r="BO84" s="7"/>
    </row>
    <row r="85" spans="1:67" s="33" customFormat="1" ht="36" customHeight="1" x14ac:dyDescent="0.25">
      <c r="A85" s="27" t="s">
        <v>286</v>
      </c>
      <c r="B85" s="29">
        <v>40860875</v>
      </c>
      <c r="C85" s="28">
        <v>466.1</v>
      </c>
      <c r="D85" s="29" t="s">
        <v>288</v>
      </c>
      <c r="E85" s="29" t="s">
        <v>28</v>
      </c>
      <c r="F85" s="29" t="s">
        <v>290</v>
      </c>
      <c r="G85" s="24" t="s">
        <v>293</v>
      </c>
      <c r="H85" s="24"/>
      <c r="I85" s="24" t="s">
        <v>16</v>
      </c>
      <c r="J85" s="121">
        <v>0.23</v>
      </c>
      <c r="K85" s="54">
        <f t="shared" si="69"/>
        <v>213.9</v>
      </c>
      <c r="L85" s="24"/>
      <c r="M85" s="24">
        <f t="shared" si="87"/>
        <v>17.112000000000002</v>
      </c>
      <c r="N85" s="24">
        <f t="shared" ref="N85:N86" si="91">K85*0.86</f>
        <v>183.95400000000001</v>
      </c>
      <c r="O85" s="24"/>
      <c r="P85" s="24">
        <f t="shared" ref="P85:P86" si="92">K85*0.06</f>
        <v>12.834</v>
      </c>
      <c r="Q85" s="24">
        <f t="shared" si="90"/>
        <v>213.9</v>
      </c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>
        <v>0.23</v>
      </c>
      <c r="AZ85" s="30"/>
      <c r="BA85" s="30">
        <f>AY85*930</f>
        <v>213.9</v>
      </c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>
        <v>213.9</v>
      </c>
      <c r="BM85" s="31">
        <v>41817</v>
      </c>
      <c r="BN85" s="30" t="s">
        <v>318</v>
      </c>
      <c r="BO85" s="32"/>
    </row>
    <row r="86" spans="1:67" s="33" customFormat="1" ht="42.75" customHeight="1" x14ac:dyDescent="0.25">
      <c r="A86" s="27" t="s">
        <v>327</v>
      </c>
      <c r="B86" s="29">
        <v>40866094</v>
      </c>
      <c r="C86" s="28">
        <v>466.1</v>
      </c>
      <c r="D86" s="29" t="s">
        <v>326</v>
      </c>
      <c r="E86" s="29" t="s">
        <v>28</v>
      </c>
      <c r="F86" s="29" t="s">
        <v>328</v>
      </c>
      <c r="G86" s="24" t="s">
        <v>329</v>
      </c>
      <c r="H86" s="24"/>
      <c r="I86" s="24" t="s">
        <v>16</v>
      </c>
      <c r="J86" s="121">
        <v>0.15</v>
      </c>
      <c r="K86" s="54">
        <f t="shared" si="69"/>
        <v>139.5</v>
      </c>
      <c r="L86" s="24"/>
      <c r="M86" s="24">
        <f t="shared" si="87"/>
        <v>11.16</v>
      </c>
      <c r="N86" s="24">
        <f t="shared" si="91"/>
        <v>119.97</v>
      </c>
      <c r="O86" s="24"/>
      <c r="P86" s="24">
        <f t="shared" si="92"/>
        <v>8.3699999999999992</v>
      </c>
      <c r="Q86" s="24">
        <f t="shared" si="90"/>
        <v>139.5</v>
      </c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>
        <v>0.15</v>
      </c>
      <c r="AZ86" s="30"/>
      <c r="BA86" s="30">
        <f>AY86*930</f>
        <v>139.5</v>
      </c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>
        <v>139.5</v>
      </c>
      <c r="BM86" s="31"/>
      <c r="BN86" s="30"/>
      <c r="BO86" s="32"/>
    </row>
    <row r="87" spans="1:67" s="33" customFormat="1" ht="302.25" customHeight="1" x14ac:dyDescent="0.25">
      <c r="A87" s="27" t="s">
        <v>275</v>
      </c>
      <c r="B87" s="29">
        <v>40851023</v>
      </c>
      <c r="C87" s="28">
        <v>466.1</v>
      </c>
      <c r="D87" s="29" t="s">
        <v>277</v>
      </c>
      <c r="E87" s="29" t="s">
        <v>276</v>
      </c>
      <c r="F87" s="29" t="s">
        <v>278</v>
      </c>
      <c r="G87" s="24" t="s">
        <v>279</v>
      </c>
      <c r="H87" s="24"/>
      <c r="I87" s="24" t="s">
        <v>341</v>
      </c>
      <c r="J87" s="121">
        <v>1</v>
      </c>
      <c r="K87" s="24">
        <f>22.59</f>
        <v>22.59</v>
      </c>
      <c r="L87" s="24"/>
      <c r="M87" s="24">
        <f>1.67</f>
        <v>1.67</v>
      </c>
      <c r="N87" s="24">
        <f>1.26</f>
        <v>1.26</v>
      </c>
      <c r="O87" s="24">
        <f>18.5</f>
        <v>18.5</v>
      </c>
      <c r="P87" s="24">
        <f>0.36+0.8</f>
        <v>1.1600000000000001</v>
      </c>
      <c r="Q87" s="24">
        <f>M87+N87+O87+P87</f>
        <v>22.59</v>
      </c>
      <c r="R87" s="30"/>
      <c r="S87" s="30"/>
      <c r="T87" s="30"/>
      <c r="U87" s="30" t="s">
        <v>320</v>
      </c>
      <c r="V87" s="30"/>
      <c r="W87" s="30">
        <v>22.59</v>
      </c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>
        <v>22.59</v>
      </c>
      <c r="BM87" s="31">
        <v>41818</v>
      </c>
      <c r="BN87" s="30"/>
      <c r="BO87" s="32"/>
    </row>
    <row r="88" spans="1:67" s="4" customFormat="1" ht="111" customHeight="1" x14ac:dyDescent="0.3">
      <c r="A88" s="16"/>
      <c r="B88" s="17"/>
      <c r="C88" s="19"/>
      <c r="D88" s="17"/>
      <c r="E88" s="17"/>
      <c r="F88" s="17"/>
      <c r="G88" s="11"/>
      <c r="H88" s="11"/>
      <c r="I88" s="26"/>
      <c r="J88" s="126"/>
      <c r="K88" s="126"/>
      <c r="L88" s="126"/>
      <c r="M88" s="126"/>
      <c r="N88" s="126"/>
      <c r="O88" s="126"/>
      <c r="P88" s="126"/>
      <c r="Q88" s="12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7">
        <v>8464.85</v>
      </c>
      <c r="BM88" s="14"/>
      <c r="BN88" s="6"/>
      <c r="BO88" s="7"/>
    </row>
    <row r="89" spans="1:67" s="4" customFormat="1" ht="111" customHeight="1" x14ac:dyDescent="0.3">
      <c r="A89" s="16"/>
      <c r="B89" s="17"/>
      <c r="C89" s="19"/>
      <c r="D89" s="17"/>
      <c r="E89" s="17"/>
      <c r="F89" s="17"/>
      <c r="G89" s="11"/>
      <c r="H89" s="11"/>
      <c r="I89" s="26"/>
      <c r="J89" s="126"/>
      <c r="K89" s="126"/>
      <c r="L89" s="126"/>
      <c r="M89" s="126"/>
      <c r="N89" s="126"/>
      <c r="O89" s="126"/>
      <c r="P89" s="126"/>
      <c r="Q89" s="12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14"/>
      <c r="BN89" s="6"/>
      <c r="BO89" s="7"/>
    </row>
    <row r="90" spans="1:67" s="4" customFormat="1" ht="111" customHeight="1" x14ac:dyDescent="0.3">
      <c r="A90" s="16"/>
      <c r="B90" s="17"/>
      <c r="C90" s="19"/>
      <c r="D90" s="17"/>
      <c r="E90" s="17"/>
      <c r="F90" s="17"/>
      <c r="G90" s="11"/>
      <c r="H90" s="11"/>
      <c r="I90" s="26"/>
      <c r="J90" s="126"/>
      <c r="K90" s="126"/>
      <c r="L90" s="126"/>
      <c r="M90" s="126"/>
      <c r="N90" s="126"/>
      <c r="O90" s="126"/>
      <c r="P90" s="126"/>
      <c r="Q90" s="12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6"/>
      <c r="BM90" s="14"/>
      <c r="BN90" s="6"/>
      <c r="BO90" s="7"/>
    </row>
    <row r="91" spans="1:67" s="4" customFormat="1" ht="111" customHeight="1" x14ac:dyDescent="0.3">
      <c r="A91" s="16"/>
      <c r="B91" s="17"/>
      <c r="C91" s="19"/>
      <c r="D91" s="17"/>
      <c r="E91" s="17"/>
      <c r="F91" s="17"/>
      <c r="G91" s="11"/>
      <c r="H91" s="11"/>
      <c r="I91" s="26"/>
      <c r="J91" s="126"/>
      <c r="K91" s="126"/>
      <c r="L91" s="126"/>
      <c r="M91" s="126"/>
      <c r="N91" s="126"/>
      <c r="O91" s="126"/>
      <c r="P91" s="126"/>
      <c r="Q91" s="12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14"/>
      <c r="BN91" s="6"/>
      <c r="BO91" s="7"/>
    </row>
    <row r="92" spans="1:67" s="4" customFormat="1" ht="111" customHeight="1" x14ac:dyDescent="0.3">
      <c r="A92" s="16"/>
      <c r="B92" s="17"/>
      <c r="C92" s="19"/>
      <c r="D92" s="17"/>
      <c r="E92" s="17"/>
      <c r="F92" s="17"/>
      <c r="G92" s="11"/>
      <c r="H92" s="11"/>
      <c r="I92" s="26"/>
      <c r="J92" s="126"/>
      <c r="K92" s="126"/>
      <c r="L92" s="126"/>
      <c r="M92" s="126"/>
      <c r="N92" s="126"/>
      <c r="O92" s="126"/>
      <c r="P92" s="126"/>
      <c r="Q92" s="12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14"/>
      <c r="BN92" s="6"/>
      <c r="BO92" s="7"/>
    </row>
    <row r="93" spans="1:67" s="4" customFormat="1" ht="111" customHeight="1" x14ac:dyDescent="0.3">
      <c r="A93" s="16"/>
      <c r="B93" s="17"/>
      <c r="C93" s="19"/>
      <c r="D93" s="17"/>
      <c r="E93" s="17"/>
      <c r="F93" s="17"/>
      <c r="G93" s="11"/>
      <c r="H93" s="11"/>
      <c r="I93" s="26"/>
      <c r="J93" s="126"/>
      <c r="K93" s="126"/>
      <c r="L93" s="126"/>
      <c r="M93" s="126"/>
      <c r="N93" s="126"/>
      <c r="O93" s="126"/>
      <c r="P93" s="126"/>
      <c r="Q93" s="12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14"/>
      <c r="BN93" s="6"/>
      <c r="BO93" s="7"/>
    </row>
    <row r="94" spans="1:67" s="4" customFormat="1" ht="111" customHeight="1" x14ac:dyDescent="0.3">
      <c r="A94" s="16"/>
      <c r="B94" s="17"/>
      <c r="C94" s="19"/>
      <c r="D94" s="17"/>
      <c r="E94" s="17"/>
      <c r="F94" s="17"/>
      <c r="G94" s="11"/>
      <c r="H94" s="11"/>
      <c r="I94" s="26"/>
      <c r="J94" s="126"/>
      <c r="K94" s="126"/>
      <c r="L94" s="126"/>
      <c r="M94" s="126"/>
      <c r="N94" s="126"/>
      <c r="O94" s="126"/>
      <c r="P94" s="126"/>
      <c r="Q94" s="12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14"/>
      <c r="BN94" s="6"/>
      <c r="BO94" s="7"/>
    </row>
    <row r="95" spans="1:67" s="4" customFormat="1" ht="111" customHeight="1" x14ac:dyDescent="0.3">
      <c r="A95" s="16"/>
      <c r="B95" s="17"/>
      <c r="C95" s="19"/>
      <c r="D95" s="17"/>
      <c r="E95" s="17"/>
      <c r="F95" s="17"/>
      <c r="G95" s="11"/>
      <c r="H95" s="11"/>
      <c r="I95" s="26"/>
      <c r="J95" s="126"/>
      <c r="K95" s="126"/>
      <c r="L95" s="126"/>
      <c r="M95" s="126"/>
      <c r="N95" s="126"/>
      <c r="O95" s="126"/>
      <c r="P95" s="126"/>
      <c r="Q95" s="12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14"/>
      <c r="BN95" s="6"/>
      <c r="BO95" s="7"/>
    </row>
    <row r="96" spans="1:67" s="4" customFormat="1" ht="111" customHeight="1" x14ac:dyDescent="0.3">
      <c r="A96" s="16"/>
      <c r="B96" s="17"/>
      <c r="C96" s="19"/>
      <c r="D96" s="17"/>
      <c r="E96" s="17"/>
      <c r="F96" s="17"/>
      <c r="G96" s="11"/>
      <c r="H96" s="11"/>
      <c r="I96" s="26"/>
      <c r="J96" s="126"/>
      <c r="K96" s="126"/>
      <c r="L96" s="126"/>
      <c r="M96" s="126"/>
      <c r="N96" s="126"/>
      <c r="O96" s="126"/>
      <c r="P96" s="126"/>
      <c r="Q96" s="12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14"/>
      <c r="BN96" s="6"/>
      <c r="BO96" s="7"/>
    </row>
    <row r="97" spans="1:67" s="4" customFormat="1" ht="111" customHeight="1" x14ac:dyDescent="0.3">
      <c r="A97" s="16"/>
      <c r="B97" s="17"/>
      <c r="C97" s="19"/>
      <c r="D97" s="17"/>
      <c r="E97" s="17"/>
      <c r="F97" s="17"/>
      <c r="G97" s="11"/>
      <c r="H97" s="11"/>
      <c r="I97" s="26"/>
      <c r="J97" s="126"/>
      <c r="K97" s="126"/>
      <c r="L97" s="126"/>
      <c r="M97" s="126"/>
      <c r="N97" s="126"/>
      <c r="O97" s="126"/>
      <c r="P97" s="126"/>
      <c r="Q97" s="12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14"/>
      <c r="BN97" s="6"/>
      <c r="BO97" s="7"/>
    </row>
    <row r="98" spans="1:67" s="4" customFormat="1" ht="111" customHeight="1" x14ac:dyDescent="0.3">
      <c r="A98" s="16"/>
      <c r="B98" s="17"/>
      <c r="C98" s="19"/>
      <c r="D98" s="17"/>
      <c r="E98" s="17"/>
      <c r="F98" s="17"/>
      <c r="G98" s="11"/>
      <c r="H98" s="11"/>
      <c r="I98" s="26"/>
      <c r="J98" s="126"/>
      <c r="K98" s="126"/>
      <c r="L98" s="126"/>
      <c r="M98" s="126"/>
      <c r="N98" s="126"/>
      <c r="O98" s="126"/>
      <c r="P98" s="126"/>
      <c r="Q98" s="12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14"/>
      <c r="BN98" s="6"/>
      <c r="BO98" s="7"/>
    </row>
    <row r="99" spans="1:67" s="4" customFormat="1" ht="111" customHeight="1" x14ac:dyDescent="0.3">
      <c r="A99" s="16"/>
      <c r="B99" s="17"/>
      <c r="C99" s="19"/>
      <c r="D99" s="17"/>
      <c r="E99" s="17"/>
      <c r="F99" s="17"/>
      <c r="G99" s="11"/>
      <c r="H99" s="11"/>
      <c r="I99" s="26"/>
      <c r="J99" s="126"/>
      <c r="K99" s="126"/>
      <c r="L99" s="126"/>
      <c r="M99" s="126"/>
      <c r="N99" s="126"/>
      <c r="O99" s="126"/>
      <c r="P99" s="126"/>
      <c r="Q99" s="12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14"/>
      <c r="BN99" s="6"/>
      <c r="BO99" s="7"/>
    </row>
    <row r="100" spans="1:67" s="4" customFormat="1" ht="111" customHeight="1" x14ac:dyDescent="0.3">
      <c r="A100" s="16"/>
      <c r="B100" s="17"/>
      <c r="C100" s="19"/>
      <c r="D100" s="17"/>
      <c r="E100" s="17"/>
      <c r="F100" s="17"/>
      <c r="G100" s="11"/>
      <c r="H100" s="11"/>
      <c r="I100" s="26"/>
      <c r="J100" s="126"/>
      <c r="K100" s="126"/>
      <c r="L100" s="126"/>
      <c r="M100" s="126"/>
      <c r="N100" s="126"/>
      <c r="O100" s="126"/>
      <c r="P100" s="126"/>
      <c r="Q100" s="12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14"/>
      <c r="BN100" s="6"/>
      <c r="BO100" s="7"/>
    </row>
    <row r="101" spans="1:67" s="4" customFormat="1" ht="111" customHeight="1" x14ac:dyDescent="0.3">
      <c r="A101" s="16"/>
      <c r="B101" s="17"/>
      <c r="C101" s="19"/>
      <c r="D101" s="17"/>
      <c r="E101" s="17"/>
      <c r="F101" s="17"/>
      <c r="G101" s="11"/>
      <c r="H101" s="11"/>
      <c r="I101" s="26"/>
      <c r="J101" s="126"/>
      <c r="K101" s="126"/>
      <c r="L101" s="126"/>
      <c r="M101" s="126"/>
      <c r="N101" s="126"/>
      <c r="O101" s="126"/>
      <c r="P101" s="126"/>
      <c r="Q101" s="12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14"/>
      <c r="BN101" s="6"/>
      <c r="BO101" s="7"/>
    </row>
    <row r="102" spans="1:67" s="4" customFormat="1" ht="111" customHeight="1" x14ac:dyDescent="0.3">
      <c r="A102" s="16"/>
      <c r="B102" s="17"/>
      <c r="C102" s="19"/>
      <c r="D102" s="17"/>
      <c r="E102" s="17"/>
      <c r="F102" s="17"/>
      <c r="G102" s="11"/>
      <c r="H102" s="11"/>
      <c r="I102" s="26"/>
      <c r="J102" s="126"/>
      <c r="K102" s="126"/>
      <c r="L102" s="126"/>
      <c r="M102" s="126"/>
      <c r="N102" s="126"/>
      <c r="O102" s="126"/>
      <c r="P102" s="126"/>
      <c r="Q102" s="12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14"/>
      <c r="BN102" s="6"/>
      <c r="BO102" s="7"/>
    </row>
    <row r="103" spans="1:67" s="4" customFormat="1" ht="111" customHeight="1" x14ac:dyDescent="0.3">
      <c r="A103" s="16"/>
      <c r="B103" s="17"/>
      <c r="C103" s="19"/>
      <c r="D103" s="17"/>
      <c r="E103" s="17"/>
      <c r="F103" s="17"/>
      <c r="G103" s="11"/>
      <c r="H103" s="11"/>
      <c r="I103" s="26"/>
      <c r="J103" s="126"/>
      <c r="K103" s="126"/>
      <c r="L103" s="126"/>
      <c r="M103" s="126"/>
      <c r="N103" s="126"/>
      <c r="O103" s="126"/>
      <c r="P103" s="126"/>
      <c r="Q103" s="12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14"/>
      <c r="BN103" s="6"/>
      <c r="BO103" s="7"/>
    </row>
    <row r="104" spans="1:67" s="4" customFormat="1" ht="111" customHeight="1" x14ac:dyDescent="0.3">
      <c r="A104" s="16"/>
      <c r="B104" s="17"/>
      <c r="C104" s="19"/>
      <c r="D104" s="17"/>
      <c r="E104" s="17"/>
      <c r="F104" s="17"/>
      <c r="G104" s="11"/>
      <c r="H104" s="11"/>
      <c r="I104" s="26"/>
      <c r="J104" s="126"/>
      <c r="K104" s="126"/>
      <c r="L104" s="126"/>
      <c r="M104" s="126"/>
      <c r="N104" s="126"/>
      <c r="O104" s="126"/>
      <c r="P104" s="126"/>
      <c r="Q104" s="12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14"/>
      <c r="BN104" s="6"/>
      <c r="BO104" s="7"/>
    </row>
    <row r="105" spans="1:67" s="4" customFormat="1" ht="111" customHeight="1" x14ac:dyDescent="0.3">
      <c r="A105" s="16"/>
      <c r="B105" s="17"/>
      <c r="C105" s="19"/>
      <c r="D105" s="17"/>
      <c r="E105" s="17"/>
      <c r="F105" s="17"/>
      <c r="G105" s="11"/>
      <c r="H105" s="11"/>
      <c r="I105" s="26"/>
      <c r="J105" s="126"/>
      <c r="K105" s="126"/>
      <c r="L105" s="126"/>
      <c r="M105" s="126"/>
      <c r="N105" s="126"/>
      <c r="O105" s="126"/>
      <c r="P105" s="126"/>
      <c r="Q105" s="12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14"/>
      <c r="BN105" s="6"/>
      <c r="BO105" s="7"/>
    </row>
    <row r="106" spans="1:67" s="4" customFormat="1" ht="120.75" customHeight="1" x14ac:dyDescent="0.3">
      <c r="A106" s="16"/>
      <c r="B106" s="16"/>
      <c r="C106" s="19"/>
      <c r="D106" s="17"/>
      <c r="E106" s="17"/>
      <c r="F106" s="17"/>
      <c r="G106" s="11"/>
      <c r="H106" s="11"/>
      <c r="I106" s="26"/>
      <c r="J106" s="126"/>
      <c r="K106" s="126"/>
      <c r="L106" s="126"/>
      <c r="M106" s="126"/>
      <c r="N106" s="126"/>
      <c r="O106" s="126"/>
      <c r="P106" s="126"/>
      <c r="Q106" s="12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14"/>
      <c r="BN106" s="6"/>
      <c r="BO106" s="7"/>
    </row>
    <row r="107" spans="1:67" s="4" customFormat="1" ht="174" customHeight="1" x14ac:dyDescent="0.3">
      <c r="A107" s="16"/>
      <c r="B107" s="16"/>
      <c r="C107" s="19"/>
      <c r="D107" s="17"/>
      <c r="E107" s="17"/>
      <c r="F107" s="17"/>
      <c r="G107" s="11"/>
      <c r="H107" s="11"/>
      <c r="I107" s="26"/>
      <c r="J107" s="126"/>
      <c r="K107" s="126"/>
      <c r="L107" s="126"/>
      <c r="M107" s="126"/>
      <c r="N107" s="126"/>
      <c r="O107" s="126"/>
      <c r="P107" s="126"/>
      <c r="Q107" s="12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14"/>
      <c r="BN107" s="6"/>
      <c r="BO107" s="7"/>
    </row>
    <row r="108" spans="1:67" s="4" customFormat="1" ht="118.5" customHeight="1" x14ac:dyDescent="0.3">
      <c r="A108" s="16"/>
      <c r="B108" s="16"/>
      <c r="C108" s="19"/>
      <c r="D108" s="17"/>
      <c r="E108" s="17"/>
      <c r="F108" s="17"/>
      <c r="G108" s="11"/>
      <c r="H108" s="11"/>
      <c r="I108" s="26"/>
      <c r="J108" s="126"/>
      <c r="K108" s="126"/>
      <c r="L108" s="126"/>
      <c r="M108" s="126"/>
      <c r="N108" s="126"/>
      <c r="O108" s="126"/>
      <c r="P108" s="126"/>
      <c r="Q108" s="12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14"/>
      <c r="BN108" s="6"/>
      <c r="BO108" s="7"/>
    </row>
    <row r="109" spans="1:67" s="4" customFormat="1" ht="111" customHeight="1" x14ac:dyDescent="0.3">
      <c r="A109" s="16"/>
      <c r="B109" s="16"/>
      <c r="C109" s="19"/>
      <c r="D109" s="17"/>
      <c r="E109" s="17"/>
      <c r="F109" s="17"/>
      <c r="G109" s="11"/>
      <c r="H109" s="11"/>
      <c r="I109" s="26"/>
      <c r="J109" s="12"/>
      <c r="K109" s="12"/>
      <c r="L109" s="12"/>
      <c r="M109" s="12"/>
      <c r="N109" s="12"/>
      <c r="O109" s="12"/>
      <c r="P109" s="12"/>
      <c r="Q109" s="12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14"/>
      <c r="BN109" s="6"/>
      <c r="BO109" s="7"/>
    </row>
    <row r="110" spans="1:67" s="4" customFormat="1" ht="108.75" customHeight="1" x14ac:dyDescent="0.3">
      <c r="A110" s="16"/>
      <c r="B110" s="16"/>
      <c r="C110" s="19"/>
      <c r="D110" s="17"/>
      <c r="E110" s="17"/>
      <c r="F110" s="17"/>
      <c r="G110" s="11"/>
      <c r="H110" s="11"/>
      <c r="I110" s="26"/>
      <c r="J110" s="12"/>
      <c r="K110" s="12"/>
      <c r="L110" s="12"/>
      <c r="M110" s="12"/>
      <c r="N110" s="12"/>
      <c r="O110" s="12"/>
      <c r="P110" s="12"/>
      <c r="Q110" s="12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14"/>
      <c r="BN110" s="6"/>
      <c r="BO110" s="7"/>
    </row>
    <row r="111" spans="1:67" s="4" customFormat="1" ht="101.25" customHeight="1" x14ac:dyDescent="0.3">
      <c r="A111" s="16"/>
      <c r="B111" s="16"/>
      <c r="C111" s="19"/>
      <c r="D111" s="17"/>
      <c r="E111" s="17"/>
      <c r="F111" s="17"/>
      <c r="G111" s="11"/>
      <c r="H111" s="11"/>
      <c r="I111" s="26"/>
      <c r="J111" s="12"/>
      <c r="K111" s="12"/>
      <c r="L111" s="12"/>
      <c r="M111" s="12"/>
      <c r="N111" s="12"/>
      <c r="O111" s="12"/>
      <c r="P111" s="12"/>
      <c r="Q111" s="12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14"/>
      <c r="BN111" s="6"/>
      <c r="BO111" s="7"/>
    </row>
    <row r="112" spans="1:67" s="4" customFormat="1" ht="103.5" customHeight="1" x14ac:dyDescent="0.3">
      <c r="A112" s="16"/>
      <c r="B112" s="16"/>
      <c r="C112" s="19"/>
      <c r="D112" s="17"/>
      <c r="E112" s="17"/>
      <c r="F112" s="17"/>
      <c r="G112" s="11"/>
      <c r="H112" s="11"/>
      <c r="I112" s="26"/>
      <c r="J112" s="12"/>
      <c r="K112" s="12"/>
      <c r="L112" s="12"/>
      <c r="M112" s="12"/>
      <c r="N112" s="12"/>
      <c r="O112" s="12"/>
      <c r="P112" s="12"/>
      <c r="Q112" s="12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14"/>
      <c r="BN112" s="6"/>
      <c r="BO112" s="7"/>
    </row>
    <row r="113" spans="1:67" s="4" customFormat="1" ht="107.25" customHeight="1" x14ac:dyDescent="0.3">
      <c r="A113" s="16"/>
      <c r="B113" s="16"/>
      <c r="C113" s="19"/>
      <c r="D113" s="17"/>
      <c r="E113" s="17"/>
      <c r="F113" s="17"/>
      <c r="G113" s="11"/>
      <c r="H113" s="11"/>
      <c r="I113" s="26"/>
      <c r="J113" s="12"/>
      <c r="K113" s="12"/>
      <c r="L113" s="12"/>
      <c r="M113" s="12"/>
      <c r="N113" s="12"/>
      <c r="O113" s="12"/>
      <c r="P113" s="12"/>
      <c r="Q113" s="12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14"/>
      <c r="BN113" s="6"/>
      <c r="BO113" s="7"/>
    </row>
    <row r="114" spans="1:67" s="4" customFormat="1" ht="62.25" customHeight="1" x14ac:dyDescent="0.3">
      <c r="A114" s="16"/>
      <c r="B114" s="16"/>
      <c r="C114" s="19"/>
      <c r="D114" s="17"/>
      <c r="E114" s="17"/>
      <c r="F114" s="17"/>
      <c r="G114" s="11"/>
      <c r="H114" s="11"/>
      <c r="I114" s="26"/>
      <c r="J114" s="12"/>
      <c r="K114" s="12"/>
      <c r="L114" s="12"/>
      <c r="M114" s="12"/>
      <c r="N114" s="12"/>
      <c r="O114" s="12"/>
      <c r="P114" s="12"/>
      <c r="Q114" s="12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14"/>
      <c r="BN114" s="6"/>
      <c r="BO114" s="7"/>
    </row>
    <row r="115" spans="1:67" s="4" customFormat="1" ht="62.25" customHeight="1" x14ac:dyDescent="0.3">
      <c r="A115" s="16"/>
      <c r="B115" s="16"/>
      <c r="C115" s="19"/>
      <c r="D115" s="17"/>
      <c r="E115" s="17"/>
      <c r="F115" s="17"/>
      <c r="G115" s="11"/>
      <c r="H115" s="11"/>
      <c r="I115" s="26"/>
      <c r="J115" s="12"/>
      <c r="K115" s="12"/>
      <c r="L115" s="12"/>
      <c r="M115" s="12"/>
      <c r="N115" s="12"/>
      <c r="O115" s="12"/>
      <c r="P115" s="12"/>
      <c r="Q115" s="12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14"/>
      <c r="BN115" s="6"/>
      <c r="BO115" s="7"/>
    </row>
    <row r="116" spans="1:67" s="4" customFormat="1" ht="62.25" customHeight="1" x14ac:dyDescent="0.3">
      <c r="A116" s="16"/>
      <c r="B116" s="16"/>
      <c r="C116" s="19"/>
      <c r="D116" s="17"/>
      <c r="E116" s="17"/>
      <c r="F116" s="17"/>
      <c r="G116" s="11"/>
      <c r="H116" s="11"/>
      <c r="I116" s="26"/>
      <c r="J116" s="12"/>
      <c r="K116" s="12"/>
      <c r="L116" s="12"/>
      <c r="M116" s="12"/>
      <c r="N116" s="12"/>
      <c r="O116" s="12"/>
      <c r="P116" s="12"/>
      <c r="Q116" s="12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14"/>
      <c r="BN116" s="6"/>
      <c r="BO116" s="7"/>
    </row>
    <row r="117" spans="1:67" s="4" customFormat="1" ht="62.25" customHeight="1" x14ac:dyDescent="0.3">
      <c r="A117" s="16"/>
      <c r="B117" s="16"/>
      <c r="C117" s="19"/>
      <c r="D117" s="17"/>
      <c r="E117" s="17"/>
      <c r="F117" s="17"/>
      <c r="G117" s="11"/>
      <c r="H117" s="11"/>
      <c r="I117" s="26"/>
      <c r="J117" s="12"/>
      <c r="K117" s="12"/>
      <c r="L117" s="12"/>
      <c r="M117" s="12"/>
      <c r="N117" s="12"/>
      <c r="O117" s="12"/>
      <c r="P117" s="12"/>
      <c r="Q117" s="12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14"/>
      <c r="BN117" s="6"/>
      <c r="BO117" s="7"/>
    </row>
    <row r="118" spans="1:67" s="4" customFormat="1" ht="62.25" customHeight="1" x14ac:dyDescent="0.3">
      <c r="A118" s="16"/>
      <c r="B118" s="16"/>
      <c r="C118" s="19"/>
      <c r="D118" s="17"/>
      <c r="E118" s="17"/>
      <c r="F118" s="17"/>
      <c r="G118" s="11"/>
      <c r="H118" s="11"/>
      <c r="I118" s="26"/>
      <c r="J118" s="12"/>
      <c r="K118" s="12"/>
      <c r="L118" s="12"/>
      <c r="M118" s="12"/>
      <c r="N118" s="12"/>
      <c r="O118" s="12"/>
      <c r="P118" s="12"/>
      <c r="Q118" s="12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14"/>
      <c r="BN118" s="6"/>
      <c r="BO118" s="7"/>
    </row>
    <row r="119" spans="1:67" s="4" customFormat="1" ht="62.25" customHeight="1" x14ac:dyDescent="0.3">
      <c r="A119" s="16"/>
      <c r="B119" s="16"/>
      <c r="C119" s="19"/>
      <c r="D119" s="17"/>
      <c r="E119" s="17"/>
      <c r="F119" s="17"/>
      <c r="G119" s="11"/>
      <c r="H119" s="11"/>
      <c r="I119" s="26"/>
      <c r="J119" s="12"/>
      <c r="K119" s="12"/>
      <c r="L119" s="12"/>
      <c r="M119" s="12"/>
      <c r="N119" s="12"/>
      <c r="O119" s="12"/>
      <c r="P119" s="12"/>
      <c r="Q119" s="12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14"/>
      <c r="BN119" s="6"/>
      <c r="BO119" s="7"/>
    </row>
    <row r="120" spans="1:67" s="4" customFormat="1" ht="118.5" customHeight="1" x14ac:dyDescent="0.3">
      <c r="A120" s="16"/>
      <c r="B120" s="16"/>
      <c r="C120" s="16"/>
      <c r="D120" s="17"/>
      <c r="E120" s="17"/>
      <c r="F120" s="17"/>
      <c r="G120" s="11"/>
      <c r="H120" s="11"/>
      <c r="I120" s="26"/>
      <c r="J120" s="12"/>
      <c r="K120" s="12"/>
      <c r="L120" s="12"/>
      <c r="M120" s="12"/>
      <c r="N120" s="12"/>
      <c r="O120" s="12"/>
      <c r="P120" s="12"/>
      <c r="Q120" s="12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14"/>
      <c r="BN120" s="6"/>
      <c r="BO120" s="7"/>
    </row>
    <row r="121" spans="1:67" s="4" customFormat="1" ht="118.5" customHeight="1" x14ac:dyDescent="0.3">
      <c r="A121" s="16"/>
      <c r="B121" s="16"/>
      <c r="C121" s="16"/>
      <c r="D121" s="17"/>
      <c r="E121" s="17"/>
      <c r="F121" s="17"/>
      <c r="G121" s="11"/>
      <c r="H121" s="11"/>
      <c r="I121" s="26"/>
      <c r="J121" s="12"/>
      <c r="K121" s="12"/>
      <c r="L121" s="12"/>
      <c r="M121" s="12"/>
      <c r="N121" s="12"/>
      <c r="O121" s="12"/>
      <c r="P121" s="12"/>
      <c r="Q121" s="12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14"/>
      <c r="BN121" s="6"/>
      <c r="BO121" s="7"/>
    </row>
    <row r="122" spans="1:67" s="4" customFormat="1" ht="118.5" customHeight="1" x14ac:dyDescent="0.3">
      <c r="A122" s="16"/>
      <c r="B122" s="16"/>
      <c r="C122" s="16"/>
      <c r="D122" s="17"/>
      <c r="E122" s="17"/>
      <c r="F122" s="17"/>
      <c r="G122" s="11"/>
      <c r="H122" s="11"/>
      <c r="I122" s="26"/>
      <c r="J122" s="12"/>
      <c r="K122" s="12"/>
      <c r="L122" s="12"/>
      <c r="M122" s="12"/>
      <c r="N122" s="12"/>
      <c r="O122" s="12"/>
      <c r="P122" s="12"/>
      <c r="Q122" s="12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14"/>
      <c r="BN122" s="6"/>
      <c r="BO122" s="7"/>
    </row>
    <row r="123" spans="1:67" s="4" customFormat="1" ht="118.5" customHeight="1" x14ac:dyDescent="0.3">
      <c r="A123" s="16"/>
      <c r="B123" s="16"/>
      <c r="C123" s="16"/>
      <c r="D123" s="17"/>
      <c r="E123" s="17"/>
      <c r="F123" s="17"/>
      <c r="G123" s="11"/>
      <c r="H123" s="11"/>
      <c r="I123" s="26"/>
      <c r="J123" s="12"/>
      <c r="K123" s="12"/>
      <c r="L123" s="12"/>
      <c r="M123" s="12"/>
      <c r="N123" s="12"/>
      <c r="O123" s="12"/>
      <c r="P123" s="12"/>
      <c r="Q123" s="12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14"/>
      <c r="BN123" s="6"/>
      <c r="BO123" s="7"/>
    </row>
    <row r="124" spans="1:67" s="4" customFormat="1" ht="118.5" customHeight="1" x14ac:dyDescent="0.3">
      <c r="A124" s="16"/>
      <c r="B124" s="16"/>
      <c r="C124" s="16"/>
      <c r="D124" s="17"/>
      <c r="E124" s="17"/>
      <c r="F124" s="17"/>
      <c r="G124" s="11"/>
      <c r="H124" s="11"/>
      <c r="I124" s="26"/>
      <c r="J124" s="12"/>
      <c r="K124" s="12"/>
      <c r="L124" s="12"/>
      <c r="M124" s="12"/>
      <c r="N124" s="12"/>
      <c r="O124" s="12"/>
      <c r="P124" s="12"/>
      <c r="Q124" s="12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14"/>
      <c r="BN124" s="6"/>
      <c r="BO124" s="7"/>
    </row>
    <row r="125" spans="1:67" s="4" customFormat="1" ht="118.5" customHeight="1" x14ac:dyDescent="0.3">
      <c r="A125" s="16"/>
      <c r="B125" s="16"/>
      <c r="C125" s="16"/>
      <c r="D125" s="17"/>
      <c r="E125" s="17"/>
      <c r="F125" s="17"/>
      <c r="G125" s="11"/>
      <c r="H125" s="11"/>
      <c r="I125" s="26"/>
      <c r="J125" s="12"/>
      <c r="K125" s="12"/>
      <c r="L125" s="12"/>
      <c r="M125" s="12"/>
      <c r="N125" s="12"/>
      <c r="O125" s="12"/>
      <c r="P125" s="12"/>
      <c r="Q125" s="12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14"/>
      <c r="BN125" s="6"/>
      <c r="BO125" s="7"/>
    </row>
    <row r="126" spans="1:67" s="4" customFormat="1" ht="118.5" customHeight="1" x14ac:dyDescent="0.3">
      <c r="A126" s="16"/>
      <c r="B126" s="16"/>
      <c r="C126" s="16"/>
      <c r="D126" s="17"/>
      <c r="E126" s="17"/>
      <c r="F126" s="17"/>
      <c r="G126" s="11"/>
      <c r="H126" s="11"/>
      <c r="I126" s="26"/>
      <c r="J126" s="12"/>
      <c r="K126" s="12"/>
      <c r="L126" s="12"/>
      <c r="M126" s="12"/>
      <c r="N126" s="12"/>
      <c r="O126" s="12"/>
      <c r="P126" s="12"/>
      <c r="Q126" s="12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14"/>
      <c r="BN126" s="6"/>
      <c r="BO126" s="7"/>
    </row>
    <row r="127" spans="1:67" s="4" customFormat="1" ht="118.5" customHeight="1" x14ac:dyDescent="0.3">
      <c r="A127" s="16"/>
      <c r="B127" s="16"/>
      <c r="C127" s="16"/>
      <c r="D127" s="17"/>
      <c r="E127" s="17"/>
      <c r="F127" s="17"/>
      <c r="G127" s="11"/>
      <c r="H127" s="11"/>
      <c r="I127" s="26"/>
      <c r="J127" s="12"/>
      <c r="K127" s="12"/>
      <c r="L127" s="12"/>
      <c r="M127" s="12"/>
      <c r="N127" s="12"/>
      <c r="O127" s="12"/>
      <c r="P127" s="12"/>
      <c r="Q127" s="12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14"/>
      <c r="BN127" s="6"/>
      <c r="BO127" s="7"/>
    </row>
  </sheetData>
  <autoFilter ref="A2:BN117"/>
  <pageMargins left="0" right="0" top="0" bottom="0" header="0" footer="0"/>
  <pageSetup paperSize="9" scale="16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104"/>
  <sheetViews>
    <sheetView zoomScale="60" zoomScaleNormal="60" workbookViewId="0">
      <pane ySplit="6" topLeftCell="A7" activePane="bottomLeft" state="frozen"/>
      <selection pane="bottomLeft" activeCell="O10" sqref="O10:S10"/>
    </sheetView>
  </sheetViews>
  <sheetFormatPr defaultRowHeight="15" x14ac:dyDescent="0.25"/>
  <cols>
    <col min="1" max="3" width="17.140625" style="5" customWidth="1"/>
    <col min="4" max="4" width="21.85546875" style="5" customWidth="1"/>
    <col min="5" max="10" width="17.140625" style="5" customWidth="1"/>
    <col min="11" max="11" width="25.140625" style="113" customWidth="1"/>
    <col min="12" max="13" width="17.140625" style="5" customWidth="1"/>
    <col min="14" max="20" width="17.140625" style="95" customWidth="1"/>
    <col min="21" max="21" width="17.140625" style="5" customWidth="1"/>
    <col min="22" max="22" width="17.7109375" style="5" customWidth="1"/>
    <col min="23" max="23" width="12.7109375" style="112" customWidth="1"/>
    <col min="24" max="16384" width="9.140625" style="5"/>
  </cols>
  <sheetData>
    <row r="1" spans="1:23" x14ac:dyDescent="0.25">
      <c r="A1" s="72"/>
      <c r="B1" s="73"/>
      <c r="C1" s="72"/>
      <c r="D1" s="72"/>
      <c r="E1" s="72"/>
      <c r="F1" s="72"/>
      <c r="G1" s="72"/>
      <c r="H1" s="72"/>
      <c r="I1" s="72"/>
      <c r="J1" s="73"/>
      <c r="L1" s="72"/>
      <c r="M1" s="72"/>
      <c r="N1" s="89"/>
      <c r="O1" s="89"/>
      <c r="P1" s="89"/>
      <c r="Q1" s="89"/>
      <c r="R1" s="89"/>
      <c r="S1" s="89"/>
      <c r="T1" s="74">
        <v>9029.2565132203381</v>
      </c>
      <c r="U1" s="75"/>
    </row>
    <row r="2" spans="1:23" ht="15.75" x14ac:dyDescent="0.25">
      <c r="A2" s="72"/>
      <c r="B2" s="73"/>
      <c r="C2" s="72"/>
      <c r="D2" s="72"/>
      <c r="E2" s="72"/>
      <c r="F2" s="72"/>
      <c r="G2" s="72"/>
      <c r="H2" s="72"/>
      <c r="I2" s="72"/>
      <c r="J2" s="73"/>
      <c r="L2" s="72"/>
      <c r="M2" s="72"/>
      <c r="N2" s="90">
        <f t="shared" ref="N2:S2" si="0">SUBTOTAL(9,N6:N391)</f>
        <v>6.508</v>
      </c>
      <c r="O2" s="90">
        <f t="shared" si="0"/>
        <v>197.97119999999998</v>
      </c>
      <c r="P2" s="90">
        <f t="shared" si="0"/>
        <v>1948.89536</v>
      </c>
      <c r="Q2" s="90"/>
      <c r="R2" s="90">
        <f t="shared" si="0"/>
        <v>458.90999999999997</v>
      </c>
      <c r="S2" s="90">
        <f t="shared" si="0"/>
        <v>132.32489999999999</v>
      </c>
      <c r="T2" s="90">
        <f>SUBTOTAL(9,T6:T391)</f>
        <v>2738.1014599999999</v>
      </c>
      <c r="U2" s="145">
        <f t="shared" ref="U2" si="1">SUBTOTAL(9,U6:U291)</f>
        <v>0</v>
      </c>
      <c r="V2" s="145"/>
    </row>
    <row r="3" spans="1:23" x14ac:dyDescent="0.25">
      <c r="A3" s="72"/>
      <c r="B3" s="73"/>
      <c r="C3" s="72"/>
      <c r="D3" s="72"/>
      <c r="E3" s="72"/>
      <c r="F3" s="72"/>
      <c r="G3" s="72"/>
      <c r="H3" s="72"/>
      <c r="I3" s="72"/>
      <c r="J3" s="73"/>
      <c r="L3" s="72"/>
      <c r="M3" s="72"/>
      <c r="N3" s="89"/>
      <c r="O3" s="89"/>
      <c r="P3" s="89"/>
      <c r="Q3" s="89"/>
      <c r="R3" s="89"/>
      <c r="S3" s="89"/>
      <c r="T3" s="89"/>
      <c r="U3" s="75"/>
    </row>
    <row r="4" spans="1:23" ht="47.25" x14ac:dyDescent="0.25">
      <c r="A4" s="68" t="s">
        <v>0</v>
      </c>
      <c r="B4" s="76" t="s">
        <v>31</v>
      </c>
      <c r="C4" s="68" t="s">
        <v>34</v>
      </c>
      <c r="D4" s="68" t="s">
        <v>1</v>
      </c>
      <c r="E4" s="77" t="s">
        <v>373</v>
      </c>
      <c r="F4" s="77" t="s">
        <v>374</v>
      </c>
      <c r="G4" s="77" t="s">
        <v>375</v>
      </c>
      <c r="H4" s="77" t="s">
        <v>376</v>
      </c>
      <c r="I4" s="77" t="s">
        <v>377</v>
      </c>
      <c r="J4" s="76" t="s">
        <v>31</v>
      </c>
      <c r="K4" s="114" t="s">
        <v>378</v>
      </c>
      <c r="L4" s="77" t="s">
        <v>377</v>
      </c>
      <c r="M4" s="77" t="s">
        <v>376</v>
      </c>
      <c r="N4" s="91" t="s">
        <v>379</v>
      </c>
      <c r="O4" s="92" t="s">
        <v>335</v>
      </c>
      <c r="P4" s="92" t="s">
        <v>336</v>
      </c>
      <c r="Q4" s="92"/>
      <c r="R4" s="92" t="s">
        <v>380</v>
      </c>
      <c r="S4" s="92" t="s">
        <v>338</v>
      </c>
      <c r="T4" s="92" t="s">
        <v>381</v>
      </c>
      <c r="U4" s="78" t="s">
        <v>382</v>
      </c>
    </row>
    <row r="5" spans="1:23" ht="15.75" x14ac:dyDescent="0.25">
      <c r="A5" s="68"/>
      <c r="B5" s="76"/>
      <c r="C5" s="68"/>
      <c r="D5" s="68"/>
      <c r="E5" s="77"/>
      <c r="F5" s="77"/>
      <c r="G5" s="77"/>
      <c r="H5" s="77"/>
      <c r="I5" s="77"/>
      <c r="J5" s="76"/>
      <c r="K5" s="114"/>
      <c r="L5" s="77"/>
      <c r="M5" s="77"/>
      <c r="N5" s="91"/>
      <c r="O5" s="92"/>
      <c r="P5" s="92"/>
      <c r="Q5" s="92"/>
      <c r="R5" s="92"/>
      <c r="S5" s="92"/>
      <c r="T5" s="92"/>
      <c r="U5" s="78"/>
    </row>
    <row r="6" spans="1:23" ht="15.75" x14ac:dyDescent="0.25">
      <c r="A6" s="71"/>
      <c r="B6" s="69"/>
      <c r="C6" s="70"/>
      <c r="D6" s="69"/>
      <c r="E6" s="88"/>
      <c r="F6" s="88"/>
      <c r="G6" s="88"/>
      <c r="H6" s="88"/>
      <c r="I6" s="88"/>
      <c r="J6" s="69"/>
      <c r="K6" s="115"/>
      <c r="L6" s="88"/>
      <c r="M6" s="88"/>
      <c r="N6" s="93"/>
      <c r="O6" s="93"/>
      <c r="P6" s="93"/>
      <c r="Q6" s="93"/>
      <c r="R6" s="93"/>
      <c r="S6" s="93"/>
      <c r="T6" s="94"/>
      <c r="U6" s="78"/>
      <c r="W6" s="5"/>
    </row>
    <row r="7" spans="1:23" ht="45" x14ac:dyDescent="0.25">
      <c r="A7" s="71" t="s">
        <v>280</v>
      </c>
      <c r="B7" s="69" t="s">
        <v>281</v>
      </c>
      <c r="C7" s="70">
        <v>124902.88</v>
      </c>
      <c r="D7" s="69" t="s">
        <v>282</v>
      </c>
      <c r="E7" s="88">
        <v>2014</v>
      </c>
      <c r="F7" s="88">
        <v>2014</v>
      </c>
      <c r="G7" s="88">
        <v>2549</v>
      </c>
      <c r="H7" s="88" t="s">
        <v>383</v>
      </c>
      <c r="I7" s="88" t="s">
        <v>384</v>
      </c>
      <c r="J7" s="69" t="s">
        <v>281</v>
      </c>
      <c r="K7" s="115" t="s">
        <v>16</v>
      </c>
      <c r="L7" s="88" t="s">
        <v>384</v>
      </c>
      <c r="M7" s="88" t="s">
        <v>383</v>
      </c>
      <c r="N7" s="93">
        <v>0.04</v>
      </c>
      <c r="O7" s="93">
        <v>2.6040000000000005</v>
      </c>
      <c r="P7" s="93">
        <v>27.993000000000002</v>
      </c>
      <c r="Q7" s="93"/>
      <c r="R7" s="93"/>
      <c r="S7" s="93">
        <v>1.9530000000000003</v>
      </c>
      <c r="T7" s="94">
        <f>S7+R7+P7+O7</f>
        <v>32.550000000000004</v>
      </c>
      <c r="U7" s="78"/>
      <c r="V7" s="95"/>
      <c r="W7" s="112">
        <f t="shared" ref="W7:W38" si="2">T7/N7</f>
        <v>813.75000000000011</v>
      </c>
    </row>
    <row r="8" spans="1:23" ht="76.5" customHeight="1" x14ac:dyDescent="0.25">
      <c r="A8" s="103" t="s">
        <v>39</v>
      </c>
      <c r="B8" s="104" t="s">
        <v>81</v>
      </c>
      <c r="C8" s="105">
        <v>466.1</v>
      </c>
      <c r="D8" s="104" t="s">
        <v>123</v>
      </c>
      <c r="E8" s="106"/>
      <c r="F8" s="106"/>
      <c r="G8" s="106"/>
      <c r="H8" s="106"/>
      <c r="I8" s="106"/>
      <c r="J8" s="104" t="s">
        <v>81</v>
      </c>
      <c r="K8" s="116" t="s">
        <v>343</v>
      </c>
      <c r="L8" s="106"/>
      <c r="M8" s="106"/>
      <c r="N8" s="107"/>
      <c r="O8" s="107"/>
      <c r="P8" s="107"/>
      <c r="Q8" s="107"/>
      <c r="R8" s="107"/>
      <c r="S8" s="107"/>
      <c r="T8" s="108"/>
      <c r="U8" s="109"/>
      <c r="V8" s="95"/>
      <c r="W8" s="112" t="e">
        <f t="shared" si="2"/>
        <v>#DIV/0!</v>
      </c>
    </row>
    <row r="9" spans="1:23" ht="45" x14ac:dyDescent="0.25">
      <c r="A9" s="83" t="s">
        <v>39</v>
      </c>
      <c r="B9" s="84" t="s">
        <v>81</v>
      </c>
      <c r="C9" s="85">
        <v>466.1</v>
      </c>
      <c r="D9" s="84" t="s">
        <v>123</v>
      </c>
      <c r="E9" s="86">
        <v>2014</v>
      </c>
      <c r="F9" s="86">
        <v>2014</v>
      </c>
      <c r="G9" s="86">
        <v>2550</v>
      </c>
      <c r="H9" s="86" t="s">
        <v>385</v>
      </c>
      <c r="I9" s="86" t="s">
        <v>338</v>
      </c>
      <c r="J9" s="84" t="s">
        <v>81</v>
      </c>
      <c r="K9" s="117" t="s">
        <v>341</v>
      </c>
      <c r="L9" s="86" t="s">
        <v>388</v>
      </c>
      <c r="M9" s="86" t="s">
        <v>385</v>
      </c>
      <c r="N9" s="110">
        <v>1</v>
      </c>
      <c r="O9" s="110">
        <v>0.75</v>
      </c>
      <c r="P9" s="110">
        <v>1.63</v>
      </c>
      <c r="Q9" s="110"/>
      <c r="R9" s="110">
        <v>10.119999999999999</v>
      </c>
      <c r="S9" s="110"/>
      <c r="T9" s="111">
        <f>S9+R9+P9+O9</f>
        <v>12.5</v>
      </c>
      <c r="U9" s="87"/>
      <c r="V9" s="95"/>
      <c r="W9" s="112">
        <f t="shared" si="2"/>
        <v>12.5</v>
      </c>
    </row>
    <row r="10" spans="1:23" ht="45" x14ac:dyDescent="0.25">
      <c r="A10" s="83" t="s">
        <v>39</v>
      </c>
      <c r="B10" s="84" t="s">
        <v>81</v>
      </c>
      <c r="C10" s="85">
        <v>466.1</v>
      </c>
      <c r="D10" s="84" t="s">
        <v>123</v>
      </c>
      <c r="E10" s="86">
        <v>2014</v>
      </c>
      <c r="F10" s="86">
        <v>2014</v>
      </c>
      <c r="G10" s="86">
        <v>2547</v>
      </c>
      <c r="H10" s="86" t="s">
        <v>383</v>
      </c>
      <c r="I10" s="86" t="s">
        <v>384</v>
      </c>
      <c r="J10" s="84" t="s">
        <v>81</v>
      </c>
      <c r="K10" s="117" t="s">
        <v>6</v>
      </c>
      <c r="L10" s="86" t="s">
        <v>384</v>
      </c>
      <c r="M10" s="86" t="s">
        <v>383</v>
      </c>
      <c r="N10" s="110">
        <v>0.15</v>
      </c>
      <c r="O10" s="110">
        <v>10.32</v>
      </c>
      <c r="P10" s="110">
        <v>114.81</v>
      </c>
      <c r="Q10" s="110"/>
      <c r="R10" s="110"/>
      <c r="S10" s="110">
        <v>3.8699999999999997</v>
      </c>
      <c r="T10" s="111">
        <f>S10+R10+P10+O10</f>
        <v>129</v>
      </c>
      <c r="U10" s="87"/>
      <c r="V10" s="95"/>
      <c r="W10" s="112">
        <f t="shared" si="2"/>
        <v>860</v>
      </c>
    </row>
    <row r="11" spans="1:23" ht="45" x14ac:dyDescent="0.25">
      <c r="A11" s="83" t="s">
        <v>39</v>
      </c>
      <c r="B11" s="84" t="s">
        <v>81</v>
      </c>
      <c r="C11" s="85">
        <v>466.1</v>
      </c>
      <c r="D11" s="84" t="s">
        <v>123</v>
      </c>
      <c r="E11" s="86">
        <v>2014</v>
      </c>
      <c r="F11" s="86">
        <v>2014</v>
      </c>
      <c r="G11" s="86">
        <v>2550</v>
      </c>
      <c r="H11" s="86" t="s">
        <v>383</v>
      </c>
      <c r="I11" s="86" t="s">
        <v>338</v>
      </c>
      <c r="J11" s="84" t="s">
        <v>81</v>
      </c>
      <c r="K11" s="117" t="s">
        <v>9</v>
      </c>
      <c r="L11" s="86" t="s">
        <v>388</v>
      </c>
      <c r="M11" s="86" t="s">
        <v>383</v>
      </c>
      <c r="N11" s="110">
        <v>1</v>
      </c>
      <c r="O11" s="110">
        <v>3.9119999999999999</v>
      </c>
      <c r="P11" s="110">
        <v>10.51</v>
      </c>
      <c r="Q11" s="110"/>
      <c r="R11" s="110">
        <v>38.39</v>
      </c>
      <c r="S11" s="110">
        <v>0.53</v>
      </c>
      <c r="T11" s="111">
        <f>S11+R11+P11+O11</f>
        <v>53.341999999999999</v>
      </c>
      <c r="U11" s="87"/>
      <c r="V11" s="95"/>
      <c r="W11" s="112">
        <f t="shared" si="2"/>
        <v>53.341999999999999</v>
      </c>
    </row>
    <row r="12" spans="1:23" ht="45" x14ac:dyDescent="0.25">
      <c r="A12" s="83" t="s">
        <v>39</v>
      </c>
      <c r="B12" s="84" t="s">
        <v>81</v>
      </c>
      <c r="C12" s="85">
        <v>466.1</v>
      </c>
      <c r="D12" s="84" t="s">
        <v>123</v>
      </c>
      <c r="E12" s="86">
        <v>2014</v>
      </c>
      <c r="F12" s="86">
        <v>2014</v>
      </c>
      <c r="G12" s="86">
        <v>2550</v>
      </c>
      <c r="H12" s="86" t="s">
        <v>383</v>
      </c>
      <c r="I12" s="86" t="s">
        <v>338</v>
      </c>
      <c r="J12" s="84" t="s">
        <v>81</v>
      </c>
      <c r="K12" s="117" t="s">
        <v>342</v>
      </c>
      <c r="L12" s="86" t="s">
        <v>388</v>
      </c>
      <c r="M12" s="86" t="s">
        <v>383</v>
      </c>
      <c r="N12" s="110">
        <v>6.3E-2</v>
      </c>
      <c r="O12" s="110">
        <v>6.53</v>
      </c>
      <c r="P12" s="110">
        <v>41.42</v>
      </c>
      <c r="Q12" s="110"/>
      <c r="R12" s="110">
        <v>133.96</v>
      </c>
      <c r="S12" s="110">
        <v>1.75</v>
      </c>
      <c r="T12" s="111">
        <f>S12+R12+P12+O12</f>
        <v>183.66</v>
      </c>
      <c r="U12" s="87"/>
      <c r="V12" s="95"/>
      <c r="W12" s="112">
        <f t="shared" si="2"/>
        <v>2915.238095238095</v>
      </c>
    </row>
    <row r="13" spans="1:23" ht="45" x14ac:dyDescent="0.25">
      <c r="A13" s="83" t="s">
        <v>39</v>
      </c>
      <c r="B13" s="84" t="s">
        <v>81</v>
      </c>
      <c r="C13" s="85">
        <v>466.1</v>
      </c>
      <c r="D13" s="84" t="s">
        <v>123</v>
      </c>
      <c r="E13" s="86">
        <v>2014</v>
      </c>
      <c r="F13" s="86">
        <v>2014</v>
      </c>
      <c r="G13" s="86">
        <v>2550</v>
      </c>
      <c r="H13" s="86" t="s">
        <v>383</v>
      </c>
      <c r="I13" s="86" t="s">
        <v>338</v>
      </c>
      <c r="J13" s="84" t="s">
        <v>81</v>
      </c>
      <c r="K13" s="117" t="s">
        <v>35</v>
      </c>
      <c r="L13" s="86" t="s">
        <v>388</v>
      </c>
      <c r="M13" s="86" t="s">
        <v>383</v>
      </c>
      <c r="N13" s="110">
        <v>1</v>
      </c>
      <c r="O13" s="110">
        <v>1.67</v>
      </c>
      <c r="P13" s="110">
        <v>1.26</v>
      </c>
      <c r="Q13" s="110"/>
      <c r="R13" s="110">
        <v>18.5</v>
      </c>
      <c r="S13" s="110">
        <v>1.1600000000000001</v>
      </c>
      <c r="T13" s="111">
        <f>S13+R13+P13+O13</f>
        <v>22.590000000000003</v>
      </c>
      <c r="U13" s="87"/>
      <c r="V13" s="95"/>
      <c r="W13" s="112">
        <f t="shared" si="2"/>
        <v>22.590000000000003</v>
      </c>
    </row>
    <row r="14" spans="1:23" ht="49.5" customHeight="1" x14ac:dyDescent="0.25">
      <c r="A14" s="103" t="s">
        <v>40</v>
      </c>
      <c r="B14" s="104" t="s">
        <v>82</v>
      </c>
      <c r="C14" s="105">
        <v>466.1</v>
      </c>
      <c r="D14" s="104" t="s">
        <v>124</v>
      </c>
      <c r="E14" s="106"/>
      <c r="F14" s="106"/>
      <c r="G14" s="106"/>
      <c r="H14" s="106"/>
      <c r="I14" s="106"/>
      <c r="J14" s="104" t="s">
        <v>82</v>
      </c>
      <c r="K14" s="116" t="s">
        <v>344</v>
      </c>
      <c r="L14" s="106"/>
      <c r="M14" s="106"/>
      <c r="N14" s="107"/>
      <c r="O14" s="107"/>
      <c r="P14" s="107"/>
      <c r="Q14" s="107"/>
      <c r="R14" s="107"/>
      <c r="S14" s="107"/>
      <c r="T14" s="108"/>
      <c r="U14" s="109"/>
      <c r="V14" s="95"/>
      <c r="W14" s="112" t="e">
        <f t="shared" si="2"/>
        <v>#DIV/0!</v>
      </c>
    </row>
    <row r="15" spans="1:23" ht="45" x14ac:dyDescent="0.25">
      <c r="A15" s="83" t="s">
        <v>40</v>
      </c>
      <c r="B15" s="84" t="s">
        <v>82</v>
      </c>
      <c r="C15" s="85">
        <v>466.1</v>
      </c>
      <c r="D15" s="84" t="s">
        <v>124</v>
      </c>
      <c r="E15" s="86">
        <v>2014</v>
      </c>
      <c r="F15" s="86">
        <v>2014</v>
      </c>
      <c r="G15" s="86">
        <v>2550</v>
      </c>
      <c r="H15" s="86" t="s">
        <v>385</v>
      </c>
      <c r="I15" s="86" t="s">
        <v>338</v>
      </c>
      <c r="J15" s="84" t="s">
        <v>82</v>
      </c>
      <c r="K15" s="117" t="s">
        <v>345</v>
      </c>
      <c r="L15" s="86" t="s">
        <v>388</v>
      </c>
      <c r="M15" s="86" t="s">
        <v>385</v>
      </c>
      <c r="N15" s="110">
        <v>0.1</v>
      </c>
      <c r="O15" s="110">
        <v>12.08</v>
      </c>
      <c r="P15" s="110">
        <v>41.69</v>
      </c>
      <c r="Q15" s="110"/>
      <c r="R15" s="110">
        <v>239.44</v>
      </c>
      <c r="S15" s="110">
        <v>5.61</v>
      </c>
      <c r="T15" s="111">
        <f t="shared" ref="T15:T30" si="3">S15+R15+P15+O15</f>
        <v>298.82</v>
      </c>
      <c r="U15" s="87"/>
      <c r="V15" s="95"/>
      <c r="W15" s="112">
        <f t="shared" si="2"/>
        <v>2988.2</v>
      </c>
    </row>
    <row r="16" spans="1:23" ht="45" x14ac:dyDescent="0.25">
      <c r="A16" s="83" t="s">
        <v>40</v>
      </c>
      <c r="B16" s="84" t="s">
        <v>82</v>
      </c>
      <c r="C16" s="85">
        <v>466.1</v>
      </c>
      <c r="D16" s="84" t="s">
        <v>124</v>
      </c>
      <c r="E16" s="86">
        <v>2014</v>
      </c>
      <c r="F16" s="86">
        <v>2014</v>
      </c>
      <c r="G16" s="86">
        <v>2550</v>
      </c>
      <c r="H16" s="86" t="s">
        <v>385</v>
      </c>
      <c r="I16" s="86" t="s">
        <v>338</v>
      </c>
      <c r="J16" s="84" t="s">
        <v>82</v>
      </c>
      <c r="K16" s="110" t="s">
        <v>348</v>
      </c>
      <c r="L16" s="86" t="s">
        <v>388</v>
      </c>
      <c r="M16" s="86" t="s">
        <v>385</v>
      </c>
      <c r="N16" s="110"/>
      <c r="O16" s="110">
        <v>2.3195200000000002</v>
      </c>
      <c r="P16" s="110">
        <v>28.994</v>
      </c>
      <c r="Q16" s="110"/>
      <c r="R16" s="110"/>
      <c r="S16" s="110">
        <v>0.28994000000000003</v>
      </c>
      <c r="T16" s="111">
        <f t="shared" si="3"/>
        <v>31.603460000000002</v>
      </c>
      <c r="U16" s="87"/>
      <c r="V16" s="95"/>
      <c r="W16" s="112" t="e">
        <f t="shared" si="2"/>
        <v>#DIV/0!</v>
      </c>
    </row>
    <row r="17" spans="1:23" ht="45" x14ac:dyDescent="0.25">
      <c r="A17" s="83" t="s">
        <v>40</v>
      </c>
      <c r="B17" s="84" t="s">
        <v>82</v>
      </c>
      <c r="C17" s="85">
        <v>466.1</v>
      </c>
      <c r="D17" s="84" t="s">
        <v>124</v>
      </c>
      <c r="E17" s="86">
        <v>2014</v>
      </c>
      <c r="F17" s="86">
        <v>2014</v>
      </c>
      <c r="G17" s="86">
        <v>2549</v>
      </c>
      <c r="H17" s="86" t="s">
        <v>383</v>
      </c>
      <c r="I17" s="86" t="s">
        <v>384</v>
      </c>
      <c r="J17" s="84" t="s">
        <v>82</v>
      </c>
      <c r="K17" s="117" t="s">
        <v>346</v>
      </c>
      <c r="L17" s="86" t="s">
        <v>384</v>
      </c>
      <c r="M17" s="86" t="s">
        <v>383</v>
      </c>
      <c r="N17" s="110">
        <v>0.49</v>
      </c>
      <c r="O17" s="110">
        <v>36.456000000000003</v>
      </c>
      <c r="P17" s="110">
        <v>391.90199999999999</v>
      </c>
      <c r="Q17" s="110"/>
      <c r="R17" s="110"/>
      <c r="S17" s="110">
        <v>27.341999999999999</v>
      </c>
      <c r="T17" s="111">
        <f t="shared" si="3"/>
        <v>455.7</v>
      </c>
      <c r="U17" s="87"/>
      <c r="V17" s="95"/>
      <c r="W17" s="112">
        <f t="shared" si="2"/>
        <v>930</v>
      </c>
    </row>
    <row r="18" spans="1:23" ht="60" x14ac:dyDescent="0.25">
      <c r="A18" s="71" t="s">
        <v>41</v>
      </c>
      <c r="B18" s="69" t="s">
        <v>83</v>
      </c>
      <c r="C18" s="70">
        <v>466.1</v>
      </c>
      <c r="D18" s="69" t="s">
        <v>125</v>
      </c>
      <c r="E18" s="88">
        <v>2014</v>
      </c>
      <c r="F18" s="88">
        <v>2014</v>
      </c>
      <c r="G18" s="88">
        <v>2549</v>
      </c>
      <c r="H18" s="88" t="s">
        <v>385</v>
      </c>
      <c r="I18" s="88" t="s">
        <v>384</v>
      </c>
      <c r="J18" s="69" t="s">
        <v>83</v>
      </c>
      <c r="K18" s="115" t="s">
        <v>349</v>
      </c>
      <c r="L18" s="88" t="s">
        <v>384</v>
      </c>
      <c r="M18" s="88" t="s">
        <v>385</v>
      </c>
      <c r="N18" s="93">
        <v>0.08</v>
      </c>
      <c r="O18" s="93">
        <v>1.7356799999999999</v>
      </c>
      <c r="P18" s="93">
        <v>19.743359999999999</v>
      </c>
      <c r="Q18" s="93"/>
      <c r="R18" s="93"/>
      <c r="S18" s="93">
        <v>0.21695999999999999</v>
      </c>
      <c r="T18" s="94">
        <f t="shared" si="3"/>
        <v>21.695999999999998</v>
      </c>
      <c r="U18" s="78"/>
      <c r="V18" s="95"/>
      <c r="W18" s="112">
        <f t="shared" si="2"/>
        <v>271.2</v>
      </c>
    </row>
    <row r="19" spans="1:23" ht="45" x14ac:dyDescent="0.25">
      <c r="A19" s="71" t="s">
        <v>42</v>
      </c>
      <c r="B19" s="69" t="s">
        <v>84</v>
      </c>
      <c r="C19" s="70">
        <v>466.1</v>
      </c>
      <c r="D19" s="69" t="s">
        <v>126</v>
      </c>
      <c r="E19" s="88">
        <v>2014</v>
      </c>
      <c r="F19" s="88">
        <v>2014</v>
      </c>
      <c r="G19" s="88">
        <v>2549</v>
      </c>
      <c r="H19" s="88" t="s">
        <v>383</v>
      </c>
      <c r="I19" s="88" t="s">
        <v>384</v>
      </c>
      <c r="J19" s="69" t="s">
        <v>84</v>
      </c>
      <c r="K19" s="115" t="s">
        <v>16</v>
      </c>
      <c r="L19" s="88" t="s">
        <v>384</v>
      </c>
      <c r="M19" s="88" t="s">
        <v>383</v>
      </c>
      <c r="N19" s="93">
        <v>0.15</v>
      </c>
      <c r="O19" s="93">
        <v>11.16</v>
      </c>
      <c r="P19" s="93">
        <v>119.97</v>
      </c>
      <c r="Q19" s="93"/>
      <c r="R19" s="93"/>
      <c r="S19" s="93">
        <v>8.3699999999999992</v>
      </c>
      <c r="T19" s="94">
        <f t="shared" si="3"/>
        <v>139.5</v>
      </c>
      <c r="U19" s="78"/>
      <c r="V19" s="95"/>
      <c r="W19" s="112">
        <f t="shared" si="2"/>
        <v>930</v>
      </c>
    </row>
    <row r="20" spans="1:23" ht="45" x14ac:dyDescent="0.25">
      <c r="A20" s="71" t="s">
        <v>43</v>
      </c>
      <c r="B20" s="69" t="s">
        <v>85</v>
      </c>
      <c r="C20" s="70">
        <v>466.1</v>
      </c>
      <c r="D20" s="69" t="s">
        <v>127</v>
      </c>
      <c r="E20" s="88">
        <v>2014</v>
      </c>
      <c r="F20" s="88">
        <v>2014</v>
      </c>
      <c r="G20" s="88">
        <v>2549</v>
      </c>
      <c r="H20" s="88" t="s">
        <v>383</v>
      </c>
      <c r="I20" s="88" t="s">
        <v>384</v>
      </c>
      <c r="J20" s="69" t="s">
        <v>85</v>
      </c>
      <c r="K20" s="115" t="s">
        <v>16</v>
      </c>
      <c r="L20" s="88" t="s">
        <v>384</v>
      </c>
      <c r="M20" s="88" t="s">
        <v>383</v>
      </c>
      <c r="N20" s="93">
        <v>0.04</v>
      </c>
      <c r="O20" s="93">
        <v>2.9760000000000004</v>
      </c>
      <c r="P20" s="93">
        <v>31.992000000000001</v>
      </c>
      <c r="Q20" s="93"/>
      <c r="R20" s="93"/>
      <c r="S20" s="93">
        <v>2.2320000000000002</v>
      </c>
      <c r="T20" s="94">
        <f t="shared" si="3"/>
        <v>37.200000000000003</v>
      </c>
      <c r="U20" s="78"/>
      <c r="V20" s="95"/>
      <c r="W20" s="112">
        <f t="shared" si="2"/>
        <v>930</v>
      </c>
    </row>
    <row r="21" spans="1:23" ht="45" x14ac:dyDescent="0.25">
      <c r="A21" s="71" t="s">
        <v>44</v>
      </c>
      <c r="B21" s="69" t="s">
        <v>86</v>
      </c>
      <c r="C21" s="70">
        <v>466.1</v>
      </c>
      <c r="D21" s="69" t="s">
        <v>128</v>
      </c>
      <c r="E21" s="88">
        <v>2014</v>
      </c>
      <c r="F21" s="88">
        <v>2014</v>
      </c>
      <c r="G21" s="88">
        <v>2549</v>
      </c>
      <c r="H21" s="88" t="s">
        <v>383</v>
      </c>
      <c r="I21" s="88" t="s">
        <v>384</v>
      </c>
      <c r="J21" s="69" t="s">
        <v>86</v>
      </c>
      <c r="K21" s="115" t="s">
        <v>16</v>
      </c>
      <c r="L21" s="88" t="s">
        <v>384</v>
      </c>
      <c r="M21" s="88" t="s">
        <v>383</v>
      </c>
      <c r="N21" s="93">
        <v>0.21</v>
      </c>
      <c r="O21" s="93">
        <v>15.623999999999999</v>
      </c>
      <c r="P21" s="93">
        <v>167.95799999999997</v>
      </c>
      <c r="Q21" s="93"/>
      <c r="R21" s="93"/>
      <c r="S21" s="93">
        <v>11.717999999999998</v>
      </c>
      <c r="T21" s="94">
        <f t="shared" si="3"/>
        <v>195.29999999999995</v>
      </c>
      <c r="U21" s="78"/>
      <c r="V21" s="95"/>
      <c r="W21" s="112">
        <f t="shared" si="2"/>
        <v>929.99999999999977</v>
      </c>
    </row>
    <row r="22" spans="1:23" ht="45" x14ac:dyDescent="0.25">
      <c r="A22" s="71" t="s">
        <v>45</v>
      </c>
      <c r="B22" s="69" t="s">
        <v>87</v>
      </c>
      <c r="C22" s="70">
        <v>466.1</v>
      </c>
      <c r="D22" s="69" t="s">
        <v>129</v>
      </c>
      <c r="E22" s="88">
        <v>2014</v>
      </c>
      <c r="F22" s="88">
        <v>2014</v>
      </c>
      <c r="G22" s="88">
        <v>2550</v>
      </c>
      <c r="H22" s="88" t="s">
        <v>383</v>
      </c>
      <c r="I22" s="88" t="s">
        <v>384</v>
      </c>
      <c r="J22" s="69" t="s">
        <v>87</v>
      </c>
      <c r="K22" s="115" t="s">
        <v>16</v>
      </c>
      <c r="L22" s="88" t="s">
        <v>384</v>
      </c>
      <c r="M22" s="88" t="s">
        <v>383</v>
      </c>
      <c r="N22" s="93">
        <v>0.27</v>
      </c>
      <c r="O22" s="93">
        <v>20.088000000000001</v>
      </c>
      <c r="P22" s="93">
        <v>215.94600000000003</v>
      </c>
      <c r="Q22" s="93"/>
      <c r="R22" s="93"/>
      <c r="S22" s="93">
        <v>15.066000000000001</v>
      </c>
      <c r="T22" s="94">
        <f t="shared" si="3"/>
        <v>251.10000000000002</v>
      </c>
      <c r="U22" s="78"/>
      <c r="V22" s="95"/>
      <c r="W22" s="112">
        <f t="shared" si="2"/>
        <v>930</v>
      </c>
    </row>
    <row r="23" spans="1:23" ht="60" x14ac:dyDescent="0.25">
      <c r="A23" s="71" t="s">
        <v>331</v>
      </c>
      <c r="B23" s="69">
        <v>40850947</v>
      </c>
      <c r="C23" s="70">
        <v>466.1</v>
      </c>
      <c r="D23" s="69" t="s">
        <v>324</v>
      </c>
      <c r="E23" s="88">
        <v>2014</v>
      </c>
      <c r="F23" s="88">
        <v>2014</v>
      </c>
      <c r="G23" s="88">
        <v>2549</v>
      </c>
      <c r="H23" s="88" t="s">
        <v>383</v>
      </c>
      <c r="I23" s="88" t="s">
        <v>384</v>
      </c>
      <c r="J23" s="69">
        <v>40850947</v>
      </c>
      <c r="K23" s="115" t="s">
        <v>350</v>
      </c>
      <c r="L23" s="88" t="s">
        <v>384</v>
      </c>
      <c r="M23" s="88" t="s">
        <v>383</v>
      </c>
      <c r="N23" s="93">
        <v>2.5000000000000001E-2</v>
      </c>
      <c r="O23" s="93">
        <v>1.86</v>
      </c>
      <c r="P23" s="93">
        <v>19.995000000000001</v>
      </c>
      <c r="Q23" s="93"/>
      <c r="R23" s="93"/>
      <c r="S23" s="93">
        <v>1.395</v>
      </c>
      <c r="T23" s="94">
        <f t="shared" si="3"/>
        <v>23.25</v>
      </c>
      <c r="U23" s="78"/>
      <c r="V23" s="95"/>
      <c r="W23" s="112">
        <f t="shared" si="2"/>
        <v>930</v>
      </c>
    </row>
    <row r="24" spans="1:23" ht="45" x14ac:dyDescent="0.25">
      <c r="A24" s="71" t="s">
        <v>46</v>
      </c>
      <c r="B24" s="69" t="s">
        <v>88</v>
      </c>
      <c r="C24" s="70">
        <v>466.1</v>
      </c>
      <c r="D24" s="69" t="s">
        <v>130</v>
      </c>
      <c r="E24" s="88">
        <v>2014</v>
      </c>
      <c r="F24" s="88">
        <v>2014</v>
      </c>
      <c r="G24" s="88">
        <v>2549</v>
      </c>
      <c r="H24" s="88" t="s">
        <v>383</v>
      </c>
      <c r="I24" s="88" t="s">
        <v>384</v>
      </c>
      <c r="J24" s="69" t="s">
        <v>88</v>
      </c>
      <c r="K24" s="115" t="s">
        <v>16</v>
      </c>
      <c r="L24" s="88" t="s">
        <v>384</v>
      </c>
      <c r="M24" s="88" t="s">
        <v>383</v>
      </c>
      <c r="N24" s="93">
        <v>0.08</v>
      </c>
      <c r="O24" s="93">
        <v>5.9520000000000008</v>
      </c>
      <c r="P24" s="93">
        <v>63.984000000000002</v>
      </c>
      <c r="Q24" s="93"/>
      <c r="R24" s="93"/>
      <c r="S24" s="93">
        <v>4.4640000000000004</v>
      </c>
      <c r="T24" s="94">
        <f t="shared" si="3"/>
        <v>74.400000000000006</v>
      </c>
      <c r="U24" s="78"/>
      <c r="V24" s="95"/>
      <c r="W24" s="112">
        <f t="shared" si="2"/>
        <v>930</v>
      </c>
    </row>
    <row r="25" spans="1:23" ht="45" x14ac:dyDescent="0.25">
      <c r="A25" s="71" t="s">
        <v>47</v>
      </c>
      <c r="B25" s="69" t="s">
        <v>89</v>
      </c>
      <c r="C25" s="70">
        <v>466.1</v>
      </c>
      <c r="D25" s="69" t="s">
        <v>131</v>
      </c>
      <c r="E25" s="88">
        <v>2014</v>
      </c>
      <c r="F25" s="88">
        <v>2014</v>
      </c>
      <c r="G25" s="88">
        <v>2549</v>
      </c>
      <c r="H25" s="88" t="s">
        <v>383</v>
      </c>
      <c r="I25" s="88" t="s">
        <v>384</v>
      </c>
      <c r="J25" s="69" t="s">
        <v>89</v>
      </c>
      <c r="K25" s="115" t="s">
        <v>16</v>
      </c>
      <c r="L25" s="88" t="s">
        <v>384</v>
      </c>
      <c r="M25" s="88" t="s">
        <v>383</v>
      </c>
      <c r="N25" s="93">
        <v>0.12</v>
      </c>
      <c r="O25" s="93">
        <v>8.927999999999999</v>
      </c>
      <c r="P25" s="93">
        <v>95.975999999999999</v>
      </c>
      <c r="Q25" s="93"/>
      <c r="R25" s="93"/>
      <c r="S25" s="93">
        <v>6.6959999999999997</v>
      </c>
      <c r="T25" s="94">
        <f t="shared" si="3"/>
        <v>111.6</v>
      </c>
      <c r="U25" s="78"/>
      <c r="V25" s="95"/>
      <c r="W25" s="112">
        <f t="shared" si="2"/>
        <v>930</v>
      </c>
    </row>
    <row r="26" spans="1:23" ht="45" x14ac:dyDescent="0.25">
      <c r="A26" s="71" t="s">
        <v>48</v>
      </c>
      <c r="B26" s="69" t="s">
        <v>90</v>
      </c>
      <c r="C26" s="70">
        <v>466.1</v>
      </c>
      <c r="D26" s="69" t="s">
        <v>132</v>
      </c>
      <c r="E26" s="88">
        <v>2014</v>
      </c>
      <c r="F26" s="88">
        <v>2014</v>
      </c>
      <c r="G26" s="88">
        <v>2549</v>
      </c>
      <c r="H26" s="88" t="s">
        <v>383</v>
      </c>
      <c r="I26" s="88" t="s">
        <v>384</v>
      </c>
      <c r="J26" s="69" t="s">
        <v>90</v>
      </c>
      <c r="K26" s="115" t="s">
        <v>16</v>
      </c>
      <c r="L26" s="88" t="s">
        <v>384</v>
      </c>
      <c r="M26" s="88" t="s">
        <v>383</v>
      </c>
      <c r="N26" s="93">
        <v>0.04</v>
      </c>
      <c r="O26" s="93">
        <v>2.9760000000000004</v>
      </c>
      <c r="P26" s="93">
        <v>31.992000000000001</v>
      </c>
      <c r="Q26" s="93"/>
      <c r="R26" s="93"/>
      <c r="S26" s="93">
        <v>2.2320000000000002</v>
      </c>
      <c r="T26" s="94">
        <f t="shared" si="3"/>
        <v>37.200000000000003</v>
      </c>
      <c r="U26" s="78"/>
      <c r="V26" s="95"/>
      <c r="W26" s="112">
        <f t="shared" si="2"/>
        <v>930</v>
      </c>
    </row>
    <row r="27" spans="1:23" ht="45" x14ac:dyDescent="0.25">
      <c r="A27" s="71" t="s">
        <v>49</v>
      </c>
      <c r="B27" s="69" t="s">
        <v>91</v>
      </c>
      <c r="C27" s="70">
        <v>466.1</v>
      </c>
      <c r="D27" s="69" t="s">
        <v>133</v>
      </c>
      <c r="E27" s="88">
        <v>2014</v>
      </c>
      <c r="F27" s="88">
        <v>2014</v>
      </c>
      <c r="G27" s="88">
        <v>2549</v>
      </c>
      <c r="H27" s="88" t="s">
        <v>383</v>
      </c>
      <c r="I27" s="88" t="s">
        <v>384</v>
      </c>
      <c r="J27" s="69" t="s">
        <v>91</v>
      </c>
      <c r="K27" s="115" t="s">
        <v>16</v>
      </c>
      <c r="L27" s="88" t="s">
        <v>384</v>
      </c>
      <c r="M27" s="88" t="s">
        <v>383</v>
      </c>
      <c r="N27" s="93">
        <v>0.12</v>
      </c>
      <c r="O27" s="93">
        <v>8.927999999999999</v>
      </c>
      <c r="P27" s="93">
        <v>95.975999999999999</v>
      </c>
      <c r="Q27" s="93"/>
      <c r="R27" s="93"/>
      <c r="S27" s="93">
        <v>6.6959999999999997</v>
      </c>
      <c r="T27" s="94">
        <f t="shared" si="3"/>
        <v>111.6</v>
      </c>
      <c r="U27" s="78"/>
      <c r="V27" s="95"/>
      <c r="W27" s="112">
        <f t="shared" si="2"/>
        <v>930</v>
      </c>
    </row>
    <row r="28" spans="1:23" ht="45" x14ac:dyDescent="0.25">
      <c r="A28" s="71" t="s">
        <v>50</v>
      </c>
      <c r="B28" s="69" t="s">
        <v>92</v>
      </c>
      <c r="C28" s="70">
        <v>466.1</v>
      </c>
      <c r="D28" s="69" t="s">
        <v>134</v>
      </c>
      <c r="E28" s="88">
        <v>2014</v>
      </c>
      <c r="F28" s="88">
        <v>2014</v>
      </c>
      <c r="G28" s="88">
        <v>2549</v>
      </c>
      <c r="H28" s="88" t="s">
        <v>385</v>
      </c>
      <c r="I28" s="88" t="s">
        <v>384</v>
      </c>
      <c r="J28" s="69" t="s">
        <v>92</v>
      </c>
      <c r="K28" s="115" t="s">
        <v>16</v>
      </c>
      <c r="L28" s="88" t="s">
        <v>384</v>
      </c>
      <c r="M28" s="88" t="s">
        <v>385</v>
      </c>
      <c r="N28" s="93">
        <v>0.35</v>
      </c>
      <c r="O28" s="93">
        <v>26.04</v>
      </c>
      <c r="P28" s="93">
        <v>279.93</v>
      </c>
      <c r="Q28" s="93"/>
      <c r="R28" s="93"/>
      <c r="S28" s="93">
        <v>19.529999999999998</v>
      </c>
      <c r="T28" s="94">
        <f t="shared" si="3"/>
        <v>325.5</v>
      </c>
      <c r="U28" s="78"/>
      <c r="V28" s="95"/>
      <c r="W28" s="112">
        <f t="shared" si="2"/>
        <v>930.00000000000011</v>
      </c>
    </row>
    <row r="29" spans="1:23" ht="45" x14ac:dyDescent="0.25">
      <c r="A29" s="71" t="s">
        <v>51</v>
      </c>
      <c r="B29" s="69" t="s">
        <v>93</v>
      </c>
      <c r="C29" s="70">
        <v>466.1</v>
      </c>
      <c r="D29" s="69" t="s">
        <v>135</v>
      </c>
      <c r="E29" s="88"/>
      <c r="F29" s="88"/>
      <c r="G29" s="88"/>
      <c r="H29" s="88"/>
      <c r="I29" s="88"/>
      <c r="J29" s="69" t="s">
        <v>93</v>
      </c>
      <c r="K29" s="115"/>
      <c r="L29" s="88"/>
      <c r="M29" s="88"/>
      <c r="N29" s="93"/>
      <c r="O29" s="93"/>
      <c r="P29" s="93"/>
      <c r="Q29" s="93"/>
      <c r="R29" s="93"/>
      <c r="S29" s="93"/>
      <c r="T29" s="94">
        <f t="shared" si="3"/>
        <v>0</v>
      </c>
      <c r="U29" s="78"/>
      <c r="V29" s="95"/>
      <c r="W29" s="112" t="e">
        <f t="shared" si="2"/>
        <v>#DIV/0!</v>
      </c>
    </row>
    <row r="30" spans="1:23" ht="45" x14ac:dyDescent="0.25">
      <c r="A30" s="71" t="s">
        <v>52</v>
      </c>
      <c r="B30" s="69" t="s">
        <v>94</v>
      </c>
      <c r="C30" s="70">
        <v>466.1</v>
      </c>
      <c r="D30" s="69" t="s">
        <v>136</v>
      </c>
      <c r="E30" s="88">
        <v>2014</v>
      </c>
      <c r="F30" s="88">
        <v>2014</v>
      </c>
      <c r="G30" s="88">
        <v>2549</v>
      </c>
      <c r="H30" s="88" t="s">
        <v>385</v>
      </c>
      <c r="I30" s="88" t="s">
        <v>384</v>
      </c>
      <c r="J30" s="69" t="s">
        <v>94</v>
      </c>
      <c r="K30" s="115" t="s">
        <v>16</v>
      </c>
      <c r="L30" s="88" t="s">
        <v>384</v>
      </c>
      <c r="M30" s="88" t="s">
        <v>385</v>
      </c>
      <c r="N30" s="93">
        <v>0.18</v>
      </c>
      <c r="O30" s="93">
        <v>13.392000000000001</v>
      </c>
      <c r="P30" s="93">
        <v>143.964</v>
      </c>
      <c r="Q30" s="93"/>
      <c r="R30" s="93"/>
      <c r="S30" s="93">
        <v>10.044</v>
      </c>
      <c r="T30" s="94">
        <f t="shared" si="3"/>
        <v>167.4</v>
      </c>
      <c r="U30" s="78"/>
      <c r="V30" s="95"/>
      <c r="W30" s="112">
        <f t="shared" si="2"/>
        <v>930.00000000000011</v>
      </c>
    </row>
    <row r="31" spans="1:23" ht="45" x14ac:dyDescent="0.25">
      <c r="A31" s="71" t="s">
        <v>53</v>
      </c>
      <c r="B31" s="69" t="s">
        <v>95</v>
      </c>
      <c r="C31" s="70">
        <v>466.1</v>
      </c>
      <c r="D31" s="69" t="s">
        <v>137</v>
      </c>
      <c r="E31" s="88"/>
      <c r="F31" s="88"/>
      <c r="G31" s="88"/>
      <c r="H31" s="88"/>
      <c r="I31" s="88"/>
      <c r="J31" s="69" t="s">
        <v>95</v>
      </c>
      <c r="K31" s="115"/>
      <c r="L31" s="88"/>
      <c r="M31" s="88"/>
      <c r="N31" s="93"/>
      <c r="O31" s="93"/>
      <c r="P31" s="93"/>
      <c r="Q31" s="93"/>
      <c r="R31" s="93"/>
      <c r="S31" s="93"/>
      <c r="T31" s="94"/>
      <c r="U31" s="78"/>
      <c r="V31" s="95"/>
      <c r="W31" s="112" t="e">
        <f t="shared" si="2"/>
        <v>#DIV/0!</v>
      </c>
    </row>
    <row r="32" spans="1:23" ht="45" hidden="1" x14ac:dyDescent="0.25">
      <c r="A32" s="71" t="s">
        <v>54</v>
      </c>
      <c r="B32" s="69" t="s">
        <v>96</v>
      </c>
      <c r="C32" s="70">
        <v>466.1</v>
      </c>
      <c r="D32" s="69" t="s">
        <v>138</v>
      </c>
      <c r="E32" s="88">
        <v>2014</v>
      </c>
      <c r="F32" s="88">
        <v>2014</v>
      </c>
      <c r="G32" s="88">
        <v>2549</v>
      </c>
      <c r="H32" s="88" t="s">
        <v>385</v>
      </c>
      <c r="I32" s="88" t="s">
        <v>384</v>
      </c>
      <c r="J32" s="69" t="s">
        <v>96</v>
      </c>
      <c r="K32" s="115" t="s">
        <v>16</v>
      </c>
      <c r="L32" s="88" t="s">
        <v>384</v>
      </c>
      <c r="M32" s="88" t="s">
        <v>385</v>
      </c>
      <c r="N32" s="93">
        <v>0.03</v>
      </c>
      <c r="O32" s="93">
        <v>2.2319999999999998</v>
      </c>
      <c r="P32" s="93">
        <v>23.994</v>
      </c>
      <c r="Q32" s="93"/>
      <c r="R32" s="93"/>
      <c r="S32" s="93">
        <v>1.6739999999999999</v>
      </c>
      <c r="T32" s="94">
        <f>S32+R32+P32+O32</f>
        <v>27.9</v>
      </c>
      <c r="U32" s="78"/>
      <c r="V32" s="95"/>
      <c r="W32" s="112">
        <f t="shared" si="2"/>
        <v>930</v>
      </c>
    </row>
    <row r="33" spans="1:23" ht="120" hidden="1" x14ac:dyDescent="0.25">
      <c r="A33" s="96" t="s">
        <v>55</v>
      </c>
      <c r="B33" s="97" t="s">
        <v>97</v>
      </c>
      <c r="C33" s="98">
        <v>466.1</v>
      </c>
      <c r="D33" s="97" t="s">
        <v>139</v>
      </c>
      <c r="E33" s="99"/>
      <c r="F33" s="99"/>
      <c r="G33" s="99"/>
      <c r="H33" s="99"/>
      <c r="I33" s="99"/>
      <c r="J33" s="97" t="s">
        <v>97</v>
      </c>
      <c r="K33" s="130" t="s">
        <v>353</v>
      </c>
      <c r="L33" s="99"/>
      <c r="M33" s="99"/>
      <c r="N33" s="100"/>
      <c r="O33" s="100"/>
      <c r="P33" s="100"/>
      <c r="Q33" s="100"/>
      <c r="R33" s="100"/>
      <c r="S33" s="100"/>
      <c r="T33" s="101"/>
      <c r="U33" s="78"/>
      <c r="V33" s="95"/>
      <c r="W33" s="112" t="e">
        <f t="shared" si="2"/>
        <v>#DIV/0!</v>
      </c>
    </row>
    <row r="34" spans="1:23" ht="45" hidden="1" x14ac:dyDescent="0.25">
      <c r="A34" s="96" t="s">
        <v>55</v>
      </c>
      <c r="B34" s="97" t="s">
        <v>97</v>
      </c>
      <c r="C34" s="98">
        <v>466.1</v>
      </c>
      <c r="D34" s="97" t="s">
        <v>139</v>
      </c>
      <c r="E34" s="86">
        <v>2014</v>
      </c>
      <c r="F34" s="86">
        <v>2014</v>
      </c>
      <c r="G34" s="86">
        <v>2547</v>
      </c>
      <c r="H34" s="86" t="s">
        <v>383</v>
      </c>
      <c r="I34" s="86" t="s">
        <v>384</v>
      </c>
      <c r="J34" s="84" t="s">
        <v>97</v>
      </c>
      <c r="K34" s="117" t="s">
        <v>351</v>
      </c>
      <c r="L34" s="86" t="s">
        <v>384</v>
      </c>
      <c r="M34" s="86" t="s">
        <v>383</v>
      </c>
      <c r="N34" s="110">
        <v>0.42</v>
      </c>
      <c r="O34" s="110">
        <v>28.896000000000001</v>
      </c>
      <c r="P34" s="110">
        <v>321.46800000000002</v>
      </c>
      <c r="Q34" s="110"/>
      <c r="R34" s="110"/>
      <c r="S34" s="110">
        <v>10.835999999999999</v>
      </c>
      <c r="T34" s="111">
        <f t="shared" ref="T34:T42" si="4">S34+R34+P34+O34</f>
        <v>361.20000000000005</v>
      </c>
      <c r="U34" s="78"/>
      <c r="V34" s="95"/>
      <c r="W34" s="112">
        <f t="shared" si="2"/>
        <v>860.00000000000011</v>
      </c>
    </row>
    <row r="35" spans="1:23" ht="45" hidden="1" x14ac:dyDescent="0.25">
      <c r="A35" s="96" t="s">
        <v>55</v>
      </c>
      <c r="B35" s="97" t="s">
        <v>97</v>
      </c>
      <c r="C35" s="98">
        <v>466.1</v>
      </c>
      <c r="D35" s="97" t="s">
        <v>139</v>
      </c>
      <c r="E35" s="86">
        <v>2014</v>
      </c>
      <c r="F35" s="86">
        <v>2014</v>
      </c>
      <c r="G35" s="86">
        <v>2550</v>
      </c>
      <c r="H35" s="86" t="s">
        <v>383</v>
      </c>
      <c r="I35" s="86" t="s">
        <v>338</v>
      </c>
      <c r="J35" s="84" t="s">
        <v>97</v>
      </c>
      <c r="K35" s="117" t="s">
        <v>9</v>
      </c>
      <c r="L35" s="86" t="s">
        <v>388</v>
      </c>
      <c r="M35" s="86" t="s">
        <v>383</v>
      </c>
      <c r="N35" s="110">
        <v>1</v>
      </c>
      <c r="O35" s="110">
        <v>3.9119999999999999</v>
      </c>
      <c r="P35" s="110">
        <v>10.51</v>
      </c>
      <c r="Q35" s="110"/>
      <c r="R35" s="110">
        <v>38.39</v>
      </c>
      <c r="S35" s="110">
        <v>0.53</v>
      </c>
      <c r="T35" s="111">
        <f t="shared" si="4"/>
        <v>53.341999999999999</v>
      </c>
      <c r="U35" s="78"/>
      <c r="V35" s="95"/>
      <c r="W35" s="112">
        <f t="shared" si="2"/>
        <v>53.341999999999999</v>
      </c>
    </row>
    <row r="36" spans="1:23" ht="45" hidden="1" x14ac:dyDescent="0.25">
      <c r="A36" s="96" t="s">
        <v>55</v>
      </c>
      <c r="B36" s="97" t="s">
        <v>97</v>
      </c>
      <c r="C36" s="98">
        <v>466.1</v>
      </c>
      <c r="D36" s="97" t="s">
        <v>139</v>
      </c>
      <c r="E36" s="86">
        <v>2014</v>
      </c>
      <c r="F36" s="86">
        <v>2014</v>
      </c>
      <c r="G36" s="86">
        <v>2550</v>
      </c>
      <c r="H36" s="86" t="s">
        <v>383</v>
      </c>
      <c r="I36" s="86" t="s">
        <v>338</v>
      </c>
      <c r="J36" s="84" t="s">
        <v>97</v>
      </c>
      <c r="K36" s="117" t="s">
        <v>352</v>
      </c>
      <c r="L36" s="86" t="s">
        <v>388</v>
      </c>
      <c r="M36" s="86" t="s">
        <v>383</v>
      </c>
      <c r="N36" s="110">
        <v>6.3E-2</v>
      </c>
      <c r="O36" s="110">
        <v>6.53</v>
      </c>
      <c r="P36" s="110">
        <v>41.42</v>
      </c>
      <c r="Q36" s="110"/>
      <c r="R36" s="110">
        <v>133.96</v>
      </c>
      <c r="S36" s="110">
        <v>1.75</v>
      </c>
      <c r="T36" s="111">
        <f t="shared" si="4"/>
        <v>183.66</v>
      </c>
      <c r="U36" s="78"/>
      <c r="V36" s="95"/>
      <c r="W36" s="112">
        <f t="shared" si="2"/>
        <v>2915.238095238095</v>
      </c>
    </row>
    <row r="37" spans="1:23" ht="45" hidden="1" x14ac:dyDescent="0.25">
      <c r="A37" s="96" t="s">
        <v>55</v>
      </c>
      <c r="B37" s="97" t="s">
        <v>97</v>
      </c>
      <c r="C37" s="98">
        <v>466.1</v>
      </c>
      <c r="D37" s="97" t="s">
        <v>139</v>
      </c>
      <c r="E37" s="86">
        <v>2014</v>
      </c>
      <c r="F37" s="86">
        <v>2014</v>
      </c>
      <c r="G37" s="86">
        <v>2550</v>
      </c>
      <c r="H37" s="86" t="s">
        <v>383</v>
      </c>
      <c r="I37" s="86" t="s">
        <v>338</v>
      </c>
      <c r="J37" s="84" t="s">
        <v>97</v>
      </c>
      <c r="K37" s="117" t="s">
        <v>35</v>
      </c>
      <c r="L37" s="86" t="s">
        <v>388</v>
      </c>
      <c r="M37" s="86" t="s">
        <v>383</v>
      </c>
      <c r="N37" s="110">
        <v>1</v>
      </c>
      <c r="O37" s="110">
        <v>1.67</v>
      </c>
      <c r="P37" s="110">
        <v>1.26</v>
      </c>
      <c r="Q37" s="110"/>
      <c r="R37" s="110">
        <v>18.5</v>
      </c>
      <c r="S37" s="110">
        <v>1.1600000000000001</v>
      </c>
      <c r="T37" s="111">
        <f t="shared" si="4"/>
        <v>22.590000000000003</v>
      </c>
      <c r="U37" s="78"/>
      <c r="V37" s="95"/>
      <c r="W37" s="112">
        <f t="shared" si="2"/>
        <v>22.590000000000003</v>
      </c>
    </row>
    <row r="38" spans="1:23" ht="45" hidden="1" x14ac:dyDescent="0.25">
      <c r="A38" s="96" t="s">
        <v>55</v>
      </c>
      <c r="B38" s="97" t="s">
        <v>97</v>
      </c>
      <c r="C38" s="98">
        <v>466.1</v>
      </c>
      <c r="D38" s="97" t="s">
        <v>139</v>
      </c>
      <c r="E38" s="86">
        <v>2014</v>
      </c>
      <c r="F38" s="86">
        <v>2014</v>
      </c>
      <c r="G38" s="86">
        <v>2549</v>
      </c>
      <c r="H38" s="86" t="s">
        <v>383</v>
      </c>
      <c r="I38" s="86" t="s">
        <v>384</v>
      </c>
      <c r="J38" s="84" t="s">
        <v>97</v>
      </c>
      <c r="K38" s="117" t="s">
        <v>16</v>
      </c>
      <c r="L38" s="86" t="s">
        <v>384</v>
      </c>
      <c r="M38" s="86" t="s">
        <v>383</v>
      </c>
      <c r="N38" s="110">
        <v>0.2</v>
      </c>
      <c r="O38" s="110">
        <v>14.88</v>
      </c>
      <c r="P38" s="110">
        <v>159.96</v>
      </c>
      <c r="Q38" s="110"/>
      <c r="R38" s="110"/>
      <c r="S38" s="110">
        <v>11.16</v>
      </c>
      <c r="T38" s="111">
        <f t="shared" si="4"/>
        <v>186</v>
      </c>
      <c r="U38" s="78"/>
      <c r="V38" s="95"/>
      <c r="W38" s="112">
        <f t="shared" si="2"/>
        <v>930</v>
      </c>
    </row>
    <row r="39" spans="1:23" ht="45" hidden="1" x14ac:dyDescent="0.25">
      <c r="A39" s="79" t="s">
        <v>56</v>
      </c>
      <c r="B39" s="80" t="s">
        <v>98</v>
      </c>
      <c r="C39" s="81">
        <v>466.1</v>
      </c>
      <c r="D39" s="80" t="s">
        <v>140</v>
      </c>
      <c r="E39" s="82">
        <v>2014</v>
      </c>
      <c r="F39" s="82">
        <v>2014</v>
      </c>
      <c r="G39" s="82">
        <v>2550</v>
      </c>
      <c r="H39" s="82" t="s">
        <v>385</v>
      </c>
      <c r="I39" s="82" t="s">
        <v>338</v>
      </c>
      <c r="J39" s="80" t="s">
        <v>98</v>
      </c>
      <c r="K39" s="131" t="s">
        <v>355</v>
      </c>
      <c r="L39" s="86" t="s">
        <v>388</v>
      </c>
      <c r="M39" s="82" t="s">
        <v>385</v>
      </c>
      <c r="N39" s="132">
        <v>0.25</v>
      </c>
      <c r="O39" s="132">
        <v>12.08</v>
      </c>
      <c r="P39" s="132">
        <v>41.69</v>
      </c>
      <c r="Q39" s="132"/>
      <c r="R39" s="132">
        <v>379.9</v>
      </c>
      <c r="S39" s="132">
        <v>5.61</v>
      </c>
      <c r="T39" s="133">
        <f t="shared" si="4"/>
        <v>439.28</v>
      </c>
      <c r="U39" s="78"/>
      <c r="V39" s="95"/>
      <c r="W39" s="112">
        <f t="shared" ref="W39:W70" si="5">T39/N39</f>
        <v>1757.12</v>
      </c>
    </row>
    <row r="40" spans="1:23" ht="45" hidden="1" x14ac:dyDescent="0.25">
      <c r="A40" s="79" t="s">
        <v>56</v>
      </c>
      <c r="B40" s="80" t="s">
        <v>386</v>
      </c>
      <c r="C40" s="81">
        <v>467.1</v>
      </c>
      <c r="D40" s="80" t="s">
        <v>140</v>
      </c>
      <c r="E40" s="82">
        <v>2014</v>
      </c>
      <c r="F40" s="82">
        <v>2014</v>
      </c>
      <c r="G40" s="82">
        <v>2550</v>
      </c>
      <c r="H40" s="82" t="s">
        <v>385</v>
      </c>
      <c r="I40" s="82" t="s">
        <v>338</v>
      </c>
      <c r="J40" s="80" t="s">
        <v>386</v>
      </c>
      <c r="K40" s="132" t="s">
        <v>356</v>
      </c>
      <c r="L40" s="86" t="s">
        <v>388</v>
      </c>
      <c r="M40" s="82" t="s">
        <v>385</v>
      </c>
      <c r="N40" s="132">
        <v>1</v>
      </c>
      <c r="O40" s="132">
        <v>2.3195200000000002</v>
      </c>
      <c r="P40" s="132">
        <v>28.994</v>
      </c>
      <c r="Q40" s="132"/>
      <c r="R40" s="132"/>
      <c r="S40" s="132">
        <v>0.28994000000000003</v>
      </c>
      <c r="T40" s="133">
        <f t="shared" si="4"/>
        <v>31.603460000000002</v>
      </c>
      <c r="U40" s="78"/>
      <c r="V40" s="95"/>
      <c r="W40" s="112">
        <f t="shared" si="5"/>
        <v>31.603460000000002</v>
      </c>
    </row>
    <row r="41" spans="1:23" ht="45" hidden="1" x14ac:dyDescent="0.25">
      <c r="A41" s="71" t="s">
        <v>57</v>
      </c>
      <c r="B41" s="69" t="s">
        <v>99</v>
      </c>
      <c r="C41" s="70">
        <v>466.1</v>
      </c>
      <c r="D41" s="69" t="s">
        <v>141</v>
      </c>
      <c r="E41" s="88">
        <v>2014</v>
      </c>
      <c r="F41" s="88">
        <v>2014</v>
      </c>
      <c r="G41" s="88">
        <v>2549</v>
      </c>
      <c r="H41" s="88" t="s">
        <v>383</v>
      </c>
      <c r="I41" s="88" t="s">
        <v>384</v>
      </c>
      <c r="J41" s="69" t="s">
        <v>99</v>
      </c>
      <c r="K41" s="115" t="s">
        <v>16</v>
      </c>
      <c r="L41" s="88" t="s">
        <v>384</v>
      </c>
      <c r="M41" s="88" t="s">
        <v>383</v>
      </c>
      <c r="N41" s="93">
        <v>0.2</v>
      </c>
      <c r="O41" s="93">
        <v>14.88</v>
      </c>
      <c r="P41" s="93">
        <v>159.96</v>
      </c>
      <c r="Q41" s="93"/>
      <c r="R41" s="93"/>
      <c r="S41" s="93">
        <v>11.16</v>
      </c>
      <c r="T41" s="94">
        <f t="shared" si="4"/>
        <v>186</v>
      </c>
      <c r="U41" s="78"/>
      <c r="V41" s="95"/>
      <c r="W41" s="112">
        <f t="shared" si="5"/>
        <v>930</v>
      </c>
    </row>
    <row r="42" spans="1:23" ht="45" hidden="1" x14ac:dyDescent="0.25">
      <c r="A42" s="71" t="s">
        <v>58</v>
      </c>
      <c r="B42" s="69" t="s">
        <v>100</v>
      </c>
      <c r="C42" s="70">
        <v>466.1</v>
      </c>
      <c r="D42" s="69" t="s">
        <v>142</v>
      </c>
      <c r="E42" s="88">
        <v>2014</v>
      </c>
      <c r="F42" s="88">
        <v>2014</v>
      </c>
      <c r="G42" s="88">
        <v>2549</v>
      </c>
      <c r="H42" s="88" t="s">
        <v>383</v>
      </c>
      <c r="I42" s="88" t="s">
        <v>384</v>
      </c>
      <c r="J42" s="69" t="s">
        <v>100</v>
      </c>
      <c r="K42" s="115" t="s">
        <v>16</v>
      </c>
      <c r="L42" s="88" t="s">
        <v>384</v>
      </c>
      <c r="M42" s="88" t="s">
        <v>383</v>
      </c>
      <c r="N42" s="93">
        <v>7.0000000000000007E-2</v>
      </c>
      <c r="O42" s="93">
        <v>5.2080000000000011</v>
      </c>
      <c r="P42" s="93">
        <v>55.986000000000004</v>
      </c>
      <c r="Q42" s="93"/>
      <c r="R42" s="93"/>
      <c r="S42" s="93">
        <v>3.9060000000000006</v>
      </c>
      <c r="T42" s="94">
        <f t="shared" si="4"/>
        <v>65.100000000000009</v>
      </c>
      <c r="U42" s="78"/>
      <c r="V42" s="95"/>
      <c r="W42" s="112">
        <f t="shared" si="5"/>
        <v>930</v>
      </c>
    </row>
    <row r="43" spans="1:23" ht="165" hidden="1" x14ac:dyDescent="0.25">
      <c r="A43" s="96" t="s">
        <v>59</v>
      </c>
      <c r="B43" s="97" t="s">
        <v>101</v>
      </c>
      <c r="C43" s="98">
        <v>466.1</v>
      </c>
      <c r="D43" s="97" t="s">
        <v>143</v>
      </c>
      <c r="E43" s="99"/>
      <c r="F43" s="99"/>
      <c r="G43" s="99"/>
      <c r="H43" s="99"/>
      <c r="I43" s="99"/>
      <c r="J43" s="97" t="s">
        <v>101</v>
      </c>
      <c r="K43" s="130" t="s">
        <v>359</v>
      </c>
      <c r="L43" s="99"/>
      <c r="M43" s="99"/>
      <c r="N43" s="100"/>
      <c r="O43" s="100"/>
      <c r="P43" s="100"/>
      <c r="Q43" s="100"/>
      <c r="R43" s="100"/>
      <c r="S43" s="100"/>
      <c r="T43" s="101"/>
      <c r="U43" s="102"/>
      <c r="V43" s="95"/>
      <c r="W43" s="112" t="e">
        <f t="shared" si="5"/>
        <v>#DIV/0!</v>
      </c>
    </row>
    <row r="44" spans="1:23" ht="60" hidden="1" x14ac:dyDescent="0.25">
      <c r="A44" s="83" t="s">
        <v>59</v>
      </c>
      <c r="B44" s="84" t="s">
        <v>101</v>
      </c>
      <c r="C44" s="85">
        <v>466.1</v>
      </c>
      <c r="D44" s="84" t="s">
        <v>143</v>
      </c>
      <c r="E44" s="86">
        <v>2014</v>
      </c>
      <c r="F44" s="86">
        <v>2014</v>
      </c>
      <c r="G44" s="86">
        <v>2550</v>
      </c>
      <c r="H44" s="86" t="s">
        <v>385</v>
      </c>
      <c r="I44" s="86" t="s">
        <v>338</v>
      </c>
      <c r="J44" s="84" t="s">
        <v>101</v>
      </c>
      <c r="K44" s="117" t="s">
        <v>304</v>
      </c>
      <c r="L44" s="86" t="s">
        <v>388</v>
      </c>
      <c r="M44" s="86" t="s">
        <v>385</v>
      </c>
      <c r="N44" s="110">
        <v>1</v>
      </c>
      <c r="O44" s="110">
        <v>0.26</v>
      </c>
      <c r="P44" s="110">
        <v>1.1599999999999999</v>
      </c>
      <c r="Q44" s="110"/>
      <c r="R44" s="110">
        <v>6.7</v>
      </c>
      <c r="S44" s="110">
        <v>0.08</v>
      </c>
      <c r="T44" s="111">
        <f t="shared" ref="T44:T51" si="6">S44+R44+P44+O44</f>
        <v>8.2000000000000011</v>
      </c>
      <c r="U44" s="87"/>
      <c r="V44" s="95"/>
      <c r="W44" s="112">
        <f t="shared" si="5"/>
        <v>8.2000000000000011</v>
      </c>
    </row>
    <row r="45" spans="1:23" ht="90" hidden="1" x14ac:dyDescent="0.25">
      <c r="A45" s="83" t="s">
        <v>59</v>
      </c>
      <c r="B45" s="84" t="s">
        <v>101</v>
      </c>
      <c r="C45" s="85">
        <v>466.1</v>
      </c>
      <c r="D45" s="84" t="s">
        <v>143</v>
      </c>
      <c r="E45" s="86">
        <v>2014</v>
      </c>
      <c r="F45" s="86">
        <v>2014</v>
      </c>
      <c r="G45" s="86">
        <v>2549</v>
      </c>
      <c r="H45" s="86" t="s">
        <v>385</v>
      </c>
      <c r="I45" s="86" t="s">
        <v>384</v>
      </c>
      <c r="J45" s="84" t="s">
        <v>101</v>
      </c>
      <c r="K45" s="117" t="s">
        <v>357</v>
      </c>
      <c r="L45" s="86" t="s">
        <v>384</v>
      </c>
      <c r="M45" s="86" t="s">
        <v>385</v>
      </c>
      <c r="N45" s="110">
        <v>3.5000000000000003E-2</v>
      </c>
      <c r="O45" s="110">
        <v>0.37968000000000002</v>
      </c>
      <c r="P45" s="110">
        <v>4.3188600000000008</v>
      </c>
      <c r="Q45" s="110"/>
      <c r="R45" s="110"/>
      <c r="S45" s="110">
        <v>4.7460000000000002E-2</v>
      </c>
      <c r="T45" s="111">
        <f t="shared" si="6"/>
        <v>4.7460000000000004</v>
      </c>
      <c r="U45" s="87"/>
      <c r="V45" s="95"/>
      <c r="W45" s="112">
        <f t="shared" si="5"/>
        <v>135.6</v>
      </c>
    </row>
    <row r="46" spans="1:23" ht="75" hidden="1" x14ac:dyDescent="0.25">
      <c r="A46" s="83" t="s">
        <v>59</v>
      </c>
      <c r="B46" s="84" t="s">
        <v>101</v>
      </c>
      <c r="C46" s="85">
        <v>466.1</v>
      </c>
      <c r="D46" s="84" t="s">
        <v>143</v>
      </c>
      <c r="E46" s="86">
        <v>2014</v>
      </c>
      <c r="F46" s="86">
        <v>2014</v>
      </c>
      <c r="G46" s="86">
        <v>2549</v>
      </c>
      <c r="H46" s="86" t="s">
        <v>385</v>
      </c>
      <c r="I46" s="86" t="s">
        <v>384</v>
      </c>
      <c r="J46" s="84" t="s">
        <v>101</v>
      </c>
      <c r="K46" s="117" t="s">
        <v>358</v>
      </c>
      <c r="L46" s="86" t="s">
        <v>384</v>
      </c>
      <c r="M46" s="86" t="s">
        <v>385</v>
      </c>
      <c r="N46" s="110">
        <v>0.04</v>
      </c>
      <c r="O46" s="110">
        <v>2.9760000000000004</v>
      </c>
      <c r="P46" s="110">
        <v>31.992000000000001</v>
      </c>
      <c r="Q46" s="110"/>
      <c r="R46" s="110"/>
      <c r="S46" s="110">
        <v>2.2320000000000002</v>
      </c>
      <c r="T46" s="111">
        <f t="shared" si="6"/>
        <v>37.200000000000003</v>
      </c>
      <c r="U46" s="87"/>
      <c r="V46" s="95"/>
      <c r="W46" s="112">
        <f t="shared" si="5"/>
        <v>930</v>
      </c>
    </row>
    <row r="47" spans="1:23" ht="45" hidden="1" x14ac:dyDescent="0.25">
      <c r="A47" s="71" t="s">
        <v>60</v>
      </c>
      <c r="B47" s="69" t="s">
        <v>102</v>
      </c>
      <c r="C47" s="70">
        <v>466.1</v>
      </c>
      <c r="D47" s="69" t="s">
        <v>144</v>
      </c>
      <c r="E47" s="88">
        <v>2014</v>
      </c>
      <c r="F47" s="88">
        <v>2014</v>
      </c>
      <c r="G47" s="88">
        <v>2549</v>
      </c>
      <c r="H47" s="88" t="s">
        <v>383</v>
      </c>
      <c r="I47" s="88" t="s">
        <v>384</v>
      </c>
      <c r="J47" s="69" t="s">
        <v>102</v>
      </c>
      <c r="K47" s="115" t="s">
        <v>16</v>
      </c>
      <c r="L47" s="88" t="s">
        <v>384</v>
      </c>
      <c r="M47" s="88" t="s">
        <v>383</v>
      </c>
      <c r="N47" s="93">
        <v>0.2</v>
      </c>
      <c r="O47" s="93">
        <v>14.88</v>
      </c>
      <c r="P47" s="93">
        <v>159.96</v>
      </c>
      <c r="Q47" s="93"/>
      <c r="R47" s="93"/>
      <c r="S47" s="93">
        <v>11.16</v>
      </c>
      <c r="T47" s="94">
        <f t="shared" si="6"/>
        <v>186</v>
      </c>
      <c r="U47" s="78"/>
      <c r="V47" s="95"/>
      <c r="W47" s="112">
        <f t="shared" si="5"/>
        <v>930</v>
      </c>
    </row>
    <row r="48" spans="1:23" ht="45" hidden="1" x14ac:dyDescent="0.25">
      <c r="A48" s="71" t="s">
        <v>61</v>
      </c>
      <c r="B48" s="69" t="s">
        <v>103</v>
      </c>
      <c r="C48" s="70">
        <v>466.1</v>
      </c>
      <c r="D48" s="69" t="s">
        <v>145</v>
      </c>
      <c r="E48" s="88">
        <v>2014</v>
      </c>
      <c r="F48" s="88">
        <v>2014</v>
      </c>
      <c r="G48" s="88">
        <v>2549</v>
      </c>
      <c r="H48" s="88" t="s">
        <v>383</v>
      </c>
      <c r="I48" s="88" t="s">
        <v>384</v>
      </c>
      <c r="J48" s="69" t="s">
        <v>103</v>
      </c>
      <c r="K48" s="115" t="s">
        <v>16</v>
      </c>
      <c r="L48" s="88" t="s">
        <v>384</v>
      </c>
      <c r="M48" s="88" t="s">
        <v>383</v>
      </c>
      <c r="N48" s="93">
        <v>0.09</v>
      </c>
      <c r="O48" s="93">
        <v>6.6960000000000006</v>
      </c>
      <c r="P48" s="93">
        <v>71.981999999999999</v>
      </c>
      <c r="Q48" s="93"/>
      <c r="R48" s="93"/>
      <c r="S48" s="93">
        <v>5.0220000000000002</v>
      </c>
      <c r="T48" s="94">
        <f t="shared" si="6"/>
        <v>83.7</v>
      </c>
      <c r="U48" s="78"/>
      <c r="V48" s="95"/>
      <c r="W48" s="112">
        <f t="shared" si="5"/>
        <v>930.00000000000011</v>
      </c>
    </row>
    <row r="49" spans="1:23" ht="45" hidden="1" x14ac:dyDescent="0.25">
      <c r="A49" s="71" t="s">
        <v>62</v>
      </c>
      <c r="B49" s="69" t="s">
        <v>104</v>
      </c>
      <c r="C49" s="70">
        <v>466.1</v>
      </c>
      <c r="D49" s="69" t="s">
        <v>146</v>
      </c>
      <c r="E49" s="88">
        <v>2014</v>
      </c>
      <c r="F49" s="88">
        <v>2014</v>
      </c>
      <c r="G49" s="88">
        <v>2549</v>
      </c>
      <c r="H49" s="88" t="s">
        <v>383</v>
      </c>
      <c r="I49" s="88" t="s">
        <v>384</v>
      </c>
      <c r="J49" s="69" t="s">
        <v>104</v>
      </c>
      <c r="K49" s="115" t="s">
        <v>16</v>
      </c>
      <c r="L49" s="88" t="s">
        <v>384</v>
      </c>
      <c r="M49" s="88" t="s">
        <v>383</v>
      </c>
      <c r="N49" s="93">
        <v>0.12</v>
      </c>
      <c r="O49" s="93">
        <v>8.927999999999999</v>
      </c>
      <c r="P49" s="93">
        <v>95.975999999999999</v>
      </c>
      <c r="Q49" s="93"/>
      <c r="R49" s="93"/>
      <c r="S49" s="93">
        <v>6.6959999999999997</v>
      </c>
      <c r="T49" s="94">
        <f t="shared" si="6"/>
        <v>111.6</v>
      </c>
      <c r="U49" s="78"/>
      <c r="V49" s="95"/>
      <c r="W49" s="112">
        <f t="shared" si="5"/>
        <v>930</v>
      </c>
    </row>
    <row r="50" spans="1:23" ht="45" hidden="1" x14ac:dyDescent="0.25">
      <c r="A50" s="71" t="s">
        <v>64</v>
      </c>
      <c r="B50" s="69" t="s">
        <v>106</v>
      </c>
      <c r="C50" s="70">
        <v>466.1</v>
      </c>
      <c r="D50" s="69" t="s">
        <v>148</v>
      </c>
      <c r="E50" s="88">
        <v>2014</v>
      </c>
      <c r="F50" s="88">
        <v>2014</v>
      </c>
      <c r="G50" s="88">
        <v>2549</v>
      </c>
      <c r="H50" s="88" t="s">
        <v>383</v>
      </c>
      <c r="I50" s="88" t="s">
        <v>384</v>
      </c>
      <c r="J50" s="69" t="s">
        <v>106</v>
      </c>
      <c r="K50" s="115" t="s">
        <v>16</v>
      </c>
      <c r="L50" s="88" t="s">
        <v>384</v>
      </c>
      <c r="M50" s="88" t="s">
        <v>383</v>
      </c>
      <c r="N50" s="93">
        <v>0.04</v>
      </c>
      <c r="O50" s="93">
        <v>2.9760000000000004</v>
      </c>
      <c r="P50" s="93">
        <v>31.992000000000001</v>
      </c>
      <c r="Q50" s="93"/>
      <c r="R50" s="93"/>
      <c r="S50" s="93">
        <v>2.2320000000000002</v>
      </c>
      <c r="T50" s="94">
        <f t="shared" si="6"/>
        <v>37.200000000000003</v>
      </c>
      <c r="U50" s="78"/>
      <c r="V50" s="95"/>
      <c r="W50" s="112">
        <f t="shared" si="5"/>
        <v>930</v>
      </c>
    </row>
    <row r="51" spans="1:23" ht="45" hidden="1" x14ac:dyDescent="0.25">
      <c r="A51" s="71" t="s">
        <v>65</v>
      </c>
      <c r="B51" s="69" t="s">
        <v>107</v>
      </c>
      <c r="C51" s="70">
        <v>466.1</v>
      </c>
      <c r="D51" s="69" t="s">
        <v>149</v>
      </c>
      <c r="E51" s="88">
        <v>2014</v>
      </c>
      <c r="F51" s="88">
        <v>2014</v>
      </c>
      <c r="G51" s="88">
        <v>2549</v>
      </c>
      <c r="H51" s="88" t="s">
        <v>383</v>
      </c>
      <c r="I51" s="88" t="s">
        <v>384</v>
      </c>
      <c r="J51" s="69" t="s">
        <v>107</v>
      </c>
      <c r="K51" s="115" t="s">
        <v>16</v>
      </c>
      <c r="L51" s="88" t="s">
        <v>384</v>
      </c>
      <c r="M51" s="88" t="s">
        <v>383</v>
      </c>
      <c r="N51" s="93">
        <v>0.05</v>
      </c>
      <c r="O51" s="93">
        <v>3.72</v>
      </c>
      <c r="P51" s="93">
        <v>39.99</v>
      </c>
      <c r="Q51" s="93"/>
      <c r="R51" s="93"/>
      <c r="S51" s="93">
        <v>2.79</v>
      </c>
      <c r="T51" s="94">
        <f t="shared" si="6"/>
        <v>46.5</v>
      </c>
      <c r="U51" s="78"/>
      <c r="V51" s="95"/>
      <c r="W51" s="112">
        <f t="shared" si="5"/>
        <v>930</v>
      </c>
    </row>
    <row r="52" spans="1:23" ht="120" hidden="1" x14ac:dyDescent="0.25">
      <c r="A52" s="96" t="s">
        <v>63</v>
      </c>
      <c r="B52" s="97" t="s">
        <v>105</v>
      </c>
      <c r="C52" s="98">
        <v>466.1</v>
      </c>
      <c r="D52" s="97" t="s">
        <v>147</v>
      </c>
      <c r="E52" s="99"/>
      <c r="F52" s="99"/>
      <c r="G52" s="99"/>
      <c r="H52" s="99"/>
      <c r="I52" s="99"/>
      <c r="J52" s="97" t="s">
        <v>105</v>
      </c>
      <c r="K52" s="130" t="s">
        <v>372</v>
      </c>
      <c r="L52" s="99"/>
      <c r="M52" s="99"/>
      <c r="N52" s="100"/>
      <c r="O52" s="100"/>
      <c r="P52" s="100"/>
      <c r="Q52" s="100"/>
      <c r="R52" s="100"/>
      <c r="S52" s="100"/>
      <c r="T52" s="101"/>
      <c r="U52" s="102"/>
      <c r="V52" s="95"/>
      <c r="W52" s="112" t="e">
        <f t="shared" si="5"/>
        <v>#DIV/0!</v>
      </c>
    </row>
    <row r="53" spans="1:23" ht="45" hidden="1" x14ac:dyDescent="0.25">
      <c r="A53" s="96" t="s">
        <v>66</v>
      </c>
      <c r="B53" s="97" t="s">
        <v>108</v>
      </c>
      <c r="C53" s="98">
        <v>466.1</v>
      </c>
      <c r="D53" s="97" t="s">
        <v>150</v>
      </c>
      <c r="E53" s="99"/>
      <c r="F53" s="99"/>
      <c r="G53" s="99"/>
      <c r="H53" s="99"/>
      <c r="I53" s="99"/>
      <c r="J53" s="97" t="s">
        <v>108</v>
      </c>
      <c r="K53" s="130"/>
      <c r="L53" s="99"/>
      <c r="M53" s="99"/>
      <c r="N53" s="100"/>
      <c r="O53" s="100"/>
      <c r="P53" s="100"/>
      <c r="Q53" s="100"/>
      <c r="R53" s="100"/>
      <c r="S53" s="100"/>
      <c r="T53" s="101"/>
      <c r="U53" s="102"/>
      <c r="V53" s="95"/>
      <c r="W53" s="112" t="e">
        <f t="shared" si="5"/>
        <v>#DIV/0!</v>
      </c>
    </row>
    <row r="54" spans="1:23" ht="45" hidden="1" x14ac:dyDescent="0.25">
      <c r="A54" s="96" t="s">
        <v>67</v>
      </c>
      <c r="B54" s="97" t="s">
        <v>109</v>
      </c>
      <c r="C54" s="98">
        <v>466.1</v>
      </c>
      <c r="D54" s="97" t="s">
        <v>151</v>
      </c>
      <c r="E54" s="99"/>
      <c r="F54" s="99"/>
      <c r="G54" s="99"/>
      <c r="H54" s="99"/>
      <c r="I54" s="99"/>
      <c r="J54" s="97" t="s">
        <v>109</v>
      </c>
      <c r="K54" s="130"/>
      <c r="L54" s="99"/>
      <c r="M54" s="99"/>
      <c r="N54" s="100"/>
      <c r="O54" s="100"/>
      <c r="P54" s="100"/>
      <c r="Q54" s="100"/>
      <c r="R54" s="100"/>
      <c r="S54" s="100"/>
      <c r="T54" s="101"/>
      <c r="U54" s="102"/>
      <c r="V54" s="95"/>
      <c r="W54" s="112" t="e">
        <f t="shared" si="5"/>
        <v>#DIV/0!</v>
      </c>
    </row>
    <row r="55" spans="1:23" ht="45" hidden="1" x14ac:dyDescent="0.25">
      <c r="A55" s="96" t="s">
        <v>285</v>
      </c>
      <c r="B55" s="97">
        <v>40859856</v>
      </c>
      <c r="C55" s="98">
        <v>466.1</v>
      </c>
      <c r="D55" s="97" t="s">
        <v>287</v>
      </c>
      <c r="E55" s="99"/>
      <c r="F55" s="99"/>
      <c r="G55" s="99"/>
      <c r="H55" s="99"/>
      <c r="I55" s="99"/>
      <c r="J55" s="97">
        <v>40859856</v>
      </c>
      <c r="K55" s="130"/>
      <c r="L55" s="99"/>
      <c r="M55" s="99"/>
      <c r="N55" s="100"/>
      <c r="O55" s="100"/>
      <c r="P55" s="100"/>
      <c r="Q55" s="100"/>
      <c r="R55" s="100"/>
      <c r="S55" s="100"/>
      <c r="T55" s="101"/>
      <c r="U55" s="102"/>
      <c r="V55" s="95"/>
      <c r="W55" s="112" t="e">
        <f t="shared" si="5"/>
        <v>#DIV/0!</v>
      </c>
    </row>
    <row r="56" spans="1:23" s="150" customFormat="1" ht="45" hidden="1" x14ac:dyDescent="0.25">
      <c r="A56" s="83" t="s">
        <v>63</v>
      </c>
      <c r="B56" s="84" t="s">
        <v>105</v>
      </c>
      <c r="C56" s="85">
        <v>466.1</v>
      </c>
      <c r="D56" s="84" t="s">
        <v>147</v>
      </c>
      <c r="E56" s="86">
        <v>2014</v>
      </c>
      <c r="F56" s="86">
        <v>2014</v>
      </c>
      <c r="G56" s="86">
        <v>2547</v>
      </c>
      <c r="H56" s="86" t="s">
        <v>383</v>
      </c>
      <c r="I56" s="86" t="s">
        <v>384</v>
      </c>
      <c r="J56" s="84" t="s">
        <v>105</v>
      </c>
      <c r="K56" s="117" t="s">
        <v>7</v>
      </c>
      <c r="L56" s="86" t="s">
        <v>384</v>
      </c>
      <c r="M56" s="86" t="s">
        <v>383</v>
      </c>
      <c r="N56" s="110">
        <v>0.03</v>
      </c>
      <c r="O56" s="110">
        <v>2.64</v>
      </c>
      <c r="P56" s="110">
        <v>29.37</v>
      </c>
      <c r="Q56" s="110"/>
      <c r="R56" s="110"/>
      <c r="S56" s="110">
        <v>0.99</v>
      </c>
      <c r="T56" s="147">
        <f t="shared" ref="T56:T63" si="7">S56+R56+P56+O56</f>
        <v>33</v>
      </c>
      <c r="U56" s="87"/>
      <c r="V56" s="148"/>
      <c r="W56" s="149">
        <f t="shared" si="5"/>
        <v>1100</v>
      </c>
    </row>
    <row r="57" spans="1:23" ht="45" hidden="1" x14ac:dyDescent="0.25">
      <c r="A57" s="83" t="s">
        <v>63</v>
      </c>
      <c r="B57" s="84" t="s">
        <v>105</v>
      </c>
      <c r="C57" s="85">
        <v>466.1</v>
      </c>
      <c r="D57" s="84" t="s">
        <v>147</v>
      </c>
      <c r="E57" s="86">
        <v>2014</v>
      </c>
      <c r="F57" s="86">
        <v>2014</v>
      </c>
      <c r="G57" s="86">
        <v>2550</v>
      </c>
      <c r="H57" s="86" t="s">
        <v>383</v>
      </c>
      <c r="I57" s="86" t="s">
        <v>338</v>
      </c>
      <c r="J57" s="84" t="s">
        <v>105</v>
      </c>
      <c r="K57" s="117" t="s">
        <v>9</v>
      </c>
      <c r="L57" s="86" t="s">
        <v>388</v>
      </c>
      <c r="M57" s="86" t="s">
        <v>383</v>
      </c>
      <c r="N57" s="110">
        <v>1</v>
      </c>
      <c r="O57" s="110">
        <v>3.9119999999999999</v>
      </c>
      <c r="P57" s="110">
        <v>10.51</v>
      </c>
      <c r="Q57" s="110"/>
      <c r="R57" s="110">
        <v>38.39</v>
      </c>
      <c r="S57" s="110">
        <v>0.53</v>
      </c>
      <c r="T57" s="111">
        <f t="shared" si="7"/>
        <v>53.341999999999999</v>
      </c>
      <c r="U57" s="87"/>
      <c r="V57" s="95"/>
      <c r="W57" s="112">
        <f t="shared" si="5"/>
        <v>53.341999999999999</v>
      </c>
    </row>
    <row r="58" spans="1:23" ht="45" hidden="1" x14ac:dyDescent="0.25">
      <c r="A58" s="83" t="s">
        <v>63</v>
      </c>
      <c r="B58" s="84" t="s">
        <v>105</v>
      </c>
      <c r="C58" s="85">
        <v>466.1</v>
      </c>
      <c r="D58" s="84" t="s">
        <v>147</v>
      </c>
      <c r="E58" s="86">
        <v>2014</v>
      </c>
      <c r="F58" s="86">
        <v>2014</v>
      </c>
      <c r="G58" s="86">
        <v>2550</v>
      </c>
      <c r="H58" s="86" t="s">
        <v>383</v>
      </c>
      <c r="I58" s="86" t="s">
        <v>338</v>
      </c>
      <c r="J58" s="84" t="s">
        <v>105</v>
      </c>
      <c r="K58" s="117" t="s">
        <v>360</v>
      </c>
      <c r="L58" s="86" t="s">
        <v>388</v>
      </c>
      <c r="M58" s="86" t="s">
        <v>383</v>
      </c>
      <c r="N58" s="110">
        <v>6.3E-2</v>
      </c>
      <c r="O58" s="110">
        <v>6.53</v>
      </c>
      <c r="P58" s="110">
        <v>41.42</v>
      </c>
      <c r="Q58" s="110"/>
      <c r="R58" s="110">
        <v>133.96</v>
      </c>
      <c r="S58" s="110">
        <v>1.75</v>
      </c>
      <c r="T58" s="111">
        <f t="shared" si="7"/>
        <v>183.66</v>
      </c>
      <c r="U58" s="87"/>
      <c r="V58" s="95"/>
      <c r="W58" s="112">
        <f t="shared" si="5"/>
        <v>2915.238095238095</v>
      </c>
    </row>
    <row r="59" spans="1:23" ht="45" hidden="1" x14ac:dyDescent="0.25">
      <c r="A59" s="83" t="s">
        <v>63</v>
      </c>
      <c r="B59" s="84" t="s">
        <v>105</v>
      </c>
      <c r="C59" s="85">
        <v>466.1</v>
      </c>
      <c r="D59" s="84" t="s">
        <v>147</v>
      </c>
      <c r="E59" s="86">
        <v>2014</v>
      </c>
      <c r="F59" s="86">
        <v>2014</v>
      </c>
      <c r="G59" s="86">
        <v>2550</v>
      </c>
      <c r="H59" s="86" t="s">
        <v>383</v>
      </c>
      <c r="I59" s="86" t="s">
        <v>338</v>
      </c>
      <c r="J59" s="84" t="s">
        <v>105</v>
      </c>
      <c r="K59" s="117" t="s">
        <v>35</v>
      </c>
      <c r="L59" s="86" t="s">
        <v>388</v>
      </c>
      <c r="M59" s="86" t="s">
        <v>383</v>
      </c>
      <c r="N59" s="110">
        <v>1</v>
      </c>
      <c r="O59" s="110">
        <v>1.67</v>
      </c>
      <c r="P59" s="110">
        <v>1.26</v>
      </c>
      <c r="Q59" s="110"/>
      <c r="R59" s="110">
        <v>18.5</v>
      </c>
      <c r="S59" s="110">
        <v>1.1600000000000001</v>
      </c>
      <c r="T59" s="111">
        <f t="shared" si="7"/>
        <v>22.590000000000003</v>
      </c>
      <c r="U59" s="87"/>
      <c r="V59" s="95"/>
      <c r="W59" s="112">
        <f t="shared" si="5"/>
        <v>22.590000000000003</v>
      </c>
    </row>
    <row r="60" spans="1:23" ht="45" hidden="1" x14ac:dyDescent="0.25">
      <c r="A60" s="83" t="s">
        <v>63</v>
      </c>
      <c r="B60" s="84" t="s">
        <v>105</v>
      </c>
      <c r="C60" s="85">
        <v>466.1</v>
      </c>
      <c r="D60" s="84" t="s">
        <v>147</v>
      </c>
      <c r="E60" s="86">
        <v>2014</v>
      </c>
      <c r="F60" s="86">
        <v>2014</v>
      </c>
      <c r="G60" s="86">
        <v>2549</v>
      </c>
      <c r="H60" s="86" t="s">
        <v>383</v>
      </c>
      <c r="I60" s="86" t="s">
        <v>384</v>
      </c>
      <c r="J60" s="84" t="s">
        <v>105</v>
      </c>
      <c r="K60" s="117" t="s">
        <v>16</v>
      </c>
      <c r="L60" s="86" t="s">
        <v>384</v>
      </c>
      <c r="M60" s="86" t="s">
        <v>383</v>
      </c>
      <c r="N60" s="110">
        <v>0.1</v>
      </c>
      <c r="O60" s="110">
        <v>7.44</v>
      </c>
      <c r="P60" s="110">
        <v>79.98</v>
      </c>
      <c r="Q60" s="110"/>
      <c r="R60" s="110"/>
      <c r="S60" s="110">
        <v>5.58</v>
      </c>
      <c r="T60" s="111">
        <f t="shared" si="7"/>
        <v>93</v>
      </c>
      <c r="U60" s="87"/>
      <c r="V60" s="95"/>
      <c r="W60" s="112">
        <f t="shared" si="5"/>
        <v>930</v>
      </c>
    </row>
    <row r="61" spans="1:23" ht="45" hidden="1" x14ac:dyDescent="0.25">
      <c r="A61" s="71" t="s">
        <v>66</v>
      </c>
      <c r="B61" s="69" t="s">
        <v>108</v>
      </c>
      <c r="C61" s="70">
        <v>466.1</v>
      </c>
      <c r="D61" s="69" t="s">
        <v>150</v>
      </c>
      <c r="E61" s="88">
        <v>2014</v>
      </c>
      <c r="F61" s="88">
        <v>2014</v>
      </c>
      <c r="G61" s="88">
        <v>2549</v>
      </c>
      <c r="H61" s="88" t="s">
        <v>383</v>
      </c>
      <c r="I61" s="88" t="s">
        <v>384</v>
      </c>
      <c r="J61" s="69" t="s">
        <v>108</v>
      </c>
      <c r="K61" s="115" t="s">
        <v>16</v>
      </c>
      <c r="L61" s="88" t="s">
        <v>384</v>
      </c>
      <c r="M61" s="88" t="s">
        <v>383</v>
      </c>
      <c r="N61" s="93">
        <v>0.2</v>
      </c>
      <c r="O61" s="93">
        <v>14.88</v>
      </c>
      <c r="P61" s="93">
        <v>159.96</v>
      </c>
      <c r="Q61" s="93"/>
      <c r="R61" s="93"/>
      <c r="S61" s="93">
        <v>11.16</v>
      </c>
      <c r="T61" s="94">
        <f t="shared" si="7"/>
        <v>186</v>
      </c>
      <c r="U61" s="78"/>
      <c r="V61" s="95"/>
      <c r="W61" s="112">
        <f t="shared" si="5"/>
        <v>930</v>
      </c>
    </row>
    <row r="62" spans="1:23" ht="45" hidden="1" x14ac:dyDescent="0.25">
      <c r="A62" s="71" t="s">
        <v>67</v>
      </c>
      <c r="B62" s="69" t="s">
        <v>109</v>
      </c>
      <c r="C62" s="70">
        <v>466.1</v>
      </c>
      <c r="D62" s="69" t="s">
        <v>151</v>
      </c>
      <c r="E62" s="88">
        <v>2014</v>
      </c>
      <c r="F62" s="88">
        <v>2014</v>
      </c>
      <c r="G62" s="88">
        <v>2549</v>
      </c>
      <c r="H62" s="88" t="s">
        <v>383</v>
      </c>
      <c r="I62" s="88" t="s">
        <v>384</v>
      </c>
      <c r="J62" s="69" t="s">
        <v>109</v>
      </c>
      <c r="K62" s="115" t="s">
        <v>16</v>
      </c>
      <c r="L62" s="88" t="s">
        <v>384</v>
      </c>
      <c r="M62" s="88" t="s">
        <v>383</v>
      </c>
      <c r="N62" s="93">
        <v>0.5</v>
      </c>
      <c r="O62" s="93">
        <v>37.200000000000003</v>
      </c>
      <c r="P62" s="93">
        <v>399.9</v>
      </c>
      <c r="Q62" s="93"/>
      <c r="R62" s="93"/>
      <c r="S62" s="93">
        <v>27.9</v>
      </c>
      <c r="T62" s="94">
        <f t="shared" si="7"/>
        <v>464.99999999999994</v>
      </c>
      <c r="U62" s="78"/>
      <c r="V62" s="95"/>
      <c r="W62" s="112">
        <f t="shared" si="5"/>
        <v>929.99999999999989</v>
      </c>
    </row>
    <row r="63" spans="1:23" ht="45" hidden="1" x14ac:dyDescent="0.25">
      <c r="A63" s="71" t="s">
        <v>285</v>
      </c>
      <c r="B63" s="69">
        <v>40859856</v>
      </c>
      <c r="C63" s="70">
        <v>466.1</v>
      </c>
      <c r="D63" s="69" t="s">
        <v>287</v>
      </c>
      <c r="E63" s="88">
        <v>2014</v>
      </c>
      <c r="F63" s="88">
        <v>2014</v>
      </c>
      <c r="G63" s="88">
        <v>2549</v>
      </c>
      <c r="H63" s="88" t="s">
        <v>383</v>
      </c>
      <c r="I63" s="88" t="s">
        <v>384</v>
      </c>
      <c r="J63" s="69">
        <v>40859856</v>
      </c>
      <c r="K63" s="115" t="s">
        <v>16</v>
      </c>
      <c r="L63" s="88" t="s">
        <v>384</v>
      </c>
      <c r="M63" s="88" t="s">
        <v>383</v>
      </c>
      <c r="N63" s="93">
        <v>0.4</v>
      </c>
      <c r="O63" s="93">
        <v>29.76</v>
      </c>
      <c r="P63" s="93">
        <v>319.92</v>
      </c>
      <c r="Q63" s="93"/>
      <c r="R63" s="93"/>
      <c r="S63" s="93">
        <v>22.32</v>
      </c>
      <c r="T63" s="94">
        <f t="shared" si="7"/>
        <v>372</v>
      </c>
      <c r="U63" s="78"/>
      <c r="V63" s="95"/>
      <c r="W63" s="112">
        <f t="shared" si="5"/>
        <v>930</v>
      </c>
    </row>
    <row r="64" spans="1:23" ht="105" hidden="1" x14ac:dyDescent="0.25">
      <c r="A64" s="96" t="s">
        <v>261</v>
      </c>
      <c r="B64" s="97">
        <v>40856804</v>
      </c>
      <c r="C64" s="98">
        <v>466.1</v>
      </c>
      <c r="D64" s="97" t="s">
        <v>262</v>
      </c>
      <c r="E64" s="99"/>
      <c r="F64" s="99"/>
      <c r="G64" s="99"/>
      <c r="H64" s="99"/>
      <c r="I64" s="99"/>
      <c r="J64" s="97">
        <v>40856804</v>
      </c>
      <c r="K64" s="130" t="s">
        <v>371</v>
      </c>
      <c r="L64" s="99"/>
      <c r="M64" s="99"/>
      <c r="N64" s="100"/>
      <c r="O64" s="100"/>
      <c r="P64" s="100"/>
      <c r="Q64" s="100"/>
      <c r="R64" s="100"/>
      <c r="S64" s="100"/>
      <c r="T64" s="101"/>
      <c r="U64" s="102"/>
      <c r="V64" s="95"/>
      <c r="W64" s="112" t="e">
        <f t="shared" si="5"/>
        <v>#DIV/0!</v>
      </c>
    </row>
    <row r="65" spans="1:23" ht="45" hidden="1" x14ac:dyDescent="0.25">
      <c r="A65" s="96" t="s">
        <v>68</v>
      </c>
      <c r="B65" s="97" t="s">
        <v>110</v>
      </c>
      <c r="C65" s="98">
        <v>466.1</v>
      </c>
      <c r="D65" s="97" t="s">
        <v>152</v>
      </c>
      <c r="E65" s="99"/>
      <c r="F65" s="99"/>
      <c r="G65" s="99"/>
      <c r="H65" s="99"/>
      <c r="I65" s="99"/>
      <c r="J65" s="97" t="s">
        <v>110</v>
      </c>
      <c r="K65" s="130"/>
      <c r="L65" s="99"/>
      <c r="M65" s="99"/>
      <c r="N65" s="100"/>
      <c r="O65" s="100"/>
      <c r="P65" s="100"/>
      <c r="Q65" s="100"/>
      <c r="R65" s="100"/>
      <c r="S65" s="100"/>
      <c r="T65" s="101"/>
      <c r="U65" s="102"/>
      <c r="V65" s="95"/>
      <c r="W65" s="112" t="e">
        <f t="shared" si="5"/>
        <v>#DIV/0!</v>
      </c>
    </row>
    <row r="66" spans="1:23" ht="60" hidden="1" x14ac:dyDescent="0.25">
      <c r="A66" s="83" t="s">
        <v>261</v>
      </c>
      <c r="B66" s="84">
        <v>40856804</v>
      </c>
      <c r="C66" s="85">
        <v>466.1</v>
      </c>
      <c r="D66" s="84" t="s">
        <v>262</v>
      </c>
      <c r="E66" s="86">
        <v>2014</v>
      </c>
      <c r="F66" s="86">
        <v>2014</v>
      </c>
      <c r="G66" s="86">
        <v>2547</v>
      </c>
      <c r="H66" s="86" t="s">
        <v>383</v>
      </c>
      <c r="I66" s="86" t="s">
        <v>384</v>
      </c>
      <c r="J66" s="84">
        <v>40856804</v>
      </c>
      <c r="K66" s="117" t="s">
        <v>6</v>
      </c>
      <c r="L66" s="86" t="s">
        <v>384</v>
      </c>
      <c r="M66" s="86" t="s">
        <v>383</v>
      </c>
      <c r="N66" s="110">
        <v>0.03</v>
      </c>
      <c r="O66" s="110">
        <v>2.0640000000000001</v>
      </c>
      <c r="P66" s="110">
        <v>22.962</v>
      </c>
      <c r="Q66" s="110"/>
      <c r="R66" s="110"/>
      <c r="S66" s="110">
        <v>0.77400000000000002</v>
      </c>
      <c r="T66" s="111">
        <f t="shared" ref="T66:T71" si="8">S66+R66+P66+O66</f>
        <v>25.8</v>
      </c>
      <c r="U66" s="87"/>
      <c r="V66" s="95"/>
      <c r="W66" s="112">
        <f t="shared" si="5"/>
        <v>860</v>
      </c>
    </row>
    <row r="67" spans="1:23" ht="60" hidden="1" x14ac:dyDescent="0.25">
      <c r="A67" s="83" t="s">
        <v>261</v>
      </c>
      <c r="B67" s="84">
        <v>40856804</v>
      </c>
      <c r="C67" s="85">
        <v>466.1</v>
      </c>
      <c r="D67" s="84" t="s">
        <v>262</v>
      </c>
      <c r="E67" s="86">
        <v>2014</v>
      </c>
      <c r="F67" s="86">
        <v>2014</v>
      </c>
      <c r="G67" s="86">
        <v>2550</v>
      </c>
      <c r="H67" s="86" t="s">
        <v>383</v>
      </c>
      <c r="I67" s="86" t="s">
        <v>338</v>
      </c>
      <c r="J67" s="84">
        <v>40856804</v>
      </c>
      <c r="K67" s="117" t="s">
        <v>9</v>
      </c>
      <c r="L67" s="86" t="s">
        <v>388</v>
      </c>
      <c r="M67" s="86" t="s">
        <v>383</v>
      </c>
      <c r="N67" s="110">
        <v>1</v>
      </c>
      <c r="O67" s="110">
        <v>3.9119999999999999</v>
      </c>
      <c r="P67" s="110">
        <v>10.51</v>
      </c>
      <c r="Q67" s="110"/>
      <c r="R67" s="110">
        <v>38.39</v>
      </c>
      <c r="S67" s="110">
        <v>0.53</v>
      </c>
      <c r="T67" s="111">
        <f t="shared" si="8"/>
        <v>53.341999999999999</v>
      </c>
      <c r="U67" s="87"/>
      <c r="V67" s="95"/>
      <c r="W67" s="112">
        <f t="shared" si="5"/>
        <v>53.341999999999999</v>
      </c>
    </row>
    <row r="68" spans="1:23" ht="60" hidden="1" x14ac:dyDescent="0.25">
      <c r="A68" s="83" t="s">
        <v>261</v>
      </c>
      <c r="B68" s="84">
        <v>40856804</v>
      </c>
      <c r="C68" s="85">
        <v>466.1</v>
      </c>
      <c r="D68" s="84" t="s">
        <v>262</v>
      </c>
      <c r="E68" s="86">
        <v>2014</v>
      </c>
      <c r="F68" s="86">
        <v>2014</v>
      </c>
      <c r="G68" s="86">
        <v>2550</v>
      </c>
      <c r="H68" s="86" t="s">
        <v>383</v>
      </c>
      <c r="I68" s="86" t="s">
        <v>338</v>
      </c>
      <c r="J68" s="84">
        <v>40856804</v>
      </c>
      <c r="K68" s="117" t="s">
        <v>366</v>
      </c>
      <c r="L68" s="86" t="s">
        <v>388</v>
      </c>
      <c r="M68" s="86" t="s">
        <v>383</v>
      </c>
      <c r="N68" s="110">
        <v>1</v>
      </c>
      <c r="O68" s="110">
        <v>6.53</v>
      </c>
      <c r="P68" s="110">
        <v>41.42</v>
      </c>
      <c r="Q68" s="110"/>
      <c r="R68" s="110">
        <v>133.96</v>
      </c>
      <c r="S68" s="110">
        <v>1.75</v>
      </c>
      <c r="T68" s="111">
        <f t="shared" si="8"/>
        <v>183.66</v>
      </c>
      <c r="U68" s="87"/>
      <c r="V68" s="95"/>
      <c r="W68" s="112">
        <f t="shared" si="5"/>
        <v>183.66</v>
      </c>
    </row>
    <row r="69" spans="1:23" ht="60" hidden="1" x14ac:dyDescent="0.25">
      <c r="A69" s="83" t="s">
        <v>261</v>
      </c>
      <c r="B69" s="84">
        <v>40856804</v>
      </c>
      <c r="C69" s="85">
        <v>466.1</v>
      </c>
      <c r="D69" s="84" t="s">
        <v>262</v>
      </c>
      <c r="E69" s="86">
        <v>2014</v>
      </c>
      <c r="F69" s="86">
        <v>2014</v>
      </c>
      <c r="G69" s="86">
        <v>2550</v>
      </c>
      <c r="H69" s="86" t="s">
        <v>383</v>
      </c>
      <c r="I69" s="86" t="s">
        <v>338</v>
      </c>
      <c r="J69" s="84">
        <v>40856804</v>
      </c>
      <c r="K69" s="117" t="s">
        <v>35</v>
      </c>
      <c r="L69" s="86" t="s">
        <v>388</v>
      </c>
      <c r="M69" s="86" t="s">
        <v>383</v>
      </c>
      <c r="N69" s="110">
        <v>1</v>
      </c>
      <c r="O69" s="110">
        <v>1.67</v>
      </c>
      <c r="P69" s="110">
        <v>1.26</v>
      </c>
      <c r="Q69" s="110"/>
      <c r="R69" s="110">
        <v>18.5</v>
      </c>
      <c r="S69" s="110">
        <v>1.1600000000000001</v>
      </c>
      <c r="T69" s="111">
        <f t="shared" si="8"/>
        <v>22.590000000000003</v>
      </c>
      <c r="U69" s="87"/>
      <c r="V69" s="95"/>
      <c r="W69" s="112">
        <f t="shared" si="5"/>
        <v>22.590000000000003</v>
      </c>
    </row>
    <row r="70" spans="1:23" ht="75" hidden="1" x14ac:dyDescent="0.25">
      <c r="A70" s="83" t="s">
        <v>261</v>
      </c>
      <c r="B70" s="84">
        <v>40856804</v>
      </c>
      <c r="C70" s="85">
        <v>466.1</v>
      </c>
      <c r="D70" s="84" t="s">
        <v>262</v>
      </c>
      <c r="E70" s="86">
        <v>2014</v>
      </c>
      <c r="F70" s="86">
        <v>2014</v>
      </c>
      <c r="G70" s="86">
        <v>2549</v>
      </c>
      <c r="H70" s="86" t="s">
        <v>383</v>
      </c>
      <c r="I70" s="86" t="s">
        <v>384</v>
      </c>
      <c r="J70" s="84">
        <v>40856804</v>
      </c>
      <c r="K70" s="117" t="s">
        <v>367</v>
      </c>
      <c r="L70" s="86" t="s">
        <v>384</v>
      </c>
      <c r="M70" s="86" t="s">
        <v>383</v>
      </c>
      <c r="N70" s="110">
        <v>0.3</v>
      </c>
      <c r="O70" s="110">
        <v>22.32</v>
      </c>
      <c r="P70" s="110">
        <v>239.94</v>
      </c>
      <c r="Q70" s="110"/>
      <c r="R70" s="110"/>
      <c r="S70" s="110">
        <v>16.739999999999998</v>
      </c>
      <c r="T70" s="111">
        <f t="shared" si="8"/>
        <v>279</v>
      </c>
      <c r="U70" s="87"/>
      <c r="V70" s="95"/>
      <c r="W70" s="112">
        <f t="shared" si="5"/>
        <v>930</v>
      </c>
    </row>
    <row r="71" spans="1:23" ht="45" hidden="1" x14ac:dyDescent="0.25">
      <c r="A71" s="83" t="s">
        <v>68</v>
      </c>
      <c r="B71" s="84" t="s">
        <v>110</v>
      </c>
      <c r="C71" s="85">
        <v>466.1</v>
      </c>
      <c r="D71" s="84" t="s">
        <v>152</v>
      </c>
      <c r="E71" s="86">
        <v>2014</v>
      </c>
      <c r="F71" s="86">
        <v>2014</v>
      </c>
      <c r="G71" s="86">
        <v>2549</v>
      </c>
      <c r="H71" s="86" t="s">
        <v>383</v>
      </c>
      <c r="I71" s="86" t="s">
        <v>384</v>
      </c>
      <c r="J71" s="84" t="s">
        <v>110</v>
      </c>
      <c r="K71" s="117" t="s">
        <v>16</v>
      </c>
      <c r="L71" s="86" t="s">
        <v>384</v>
      </c>
      <c r="M71" s="86" t="s">
        <v>383</v>
      </c>
      <c r="N71" s="110">
        <v>0.26</v>
      </c>
      <c r="O71" s="110">
        <v>19.344000000000001</v>
      </c>
      <c r="P71" s="110">
        <v>207.94800000000001</v>
      </c>
      <c r="Q71" s="110"/>
      <c r="R71" s="110"/>
      <c r="S71" s="110">
        <v>14.508000000000001</v>
      </c>
      <c r="T71" s="111">
        <f t="shared" si="8"/>
        <v>241.8</v>
      </c>
      <c r="U71" s="87"/>
      <c r="V71" s="95"/>
      <c r="W71" s="112">
        <f t="shared" ref="W71:W93" si="9">T71/N71</f>
        <v>930</v>
      </c>
    </row>
    <row r="72" spans="1:23" ht="60" hidden="1" x14ac:dyDescent="0.25">
      <c r="A72" s="96" t="s">
        <v>69</v>
      </c>
      <c r="B72" s="97" t="s">
        <v>111</v>
      </c>
      <c r="C72" s="98">
        <v>466.1</v>
      </c>
      <c r="D72" s="97" t="s">
        <v>153</v>
      </c>
      <c r="E72" s="99"/>
      <c r="F72" s="99"/>
      <c r="G72" s="99"/>
      <c r="H72" s="99"/>
      <c r="I72" s="99"/>
      <c r="J72" s="97" t="s">
        <v>111</v>
      </c>
      <c r="K72" s="130" t="s">
        <v>365</v>
      </c>
      <c r="L72" s="99"/>
      <c r="M72" s="99"/>
      <c r="N72" s="100"/>
      <c r="O72" s="100"/>
      <c r="P72" s="100"/>
      <c r="Q72" s="100"/>
      <c r="R72" s="100"/>
      <c r="S72" s="100"/>
      <c r="T72" s="101"/>
      <c r="U72" s="102"/>
      <c r="V72" s="95"/>
      <c r="W72" s="112" t="e">
        <f t="shared" si="9"/>
        <v>#DIV/0!</v>
      </c>
    </row>
    <row r="73" spans="1:23" ht="45" hidden="1" x14ac:dyDescent="0.25">
      <c r="A73" s="83" t="s">
        <v>69</v>
      </c>
      <c r="B73" s="84" t="s">
        <v>111</v>
      </c>
      <c r="C73" s="85">
        <v>466.1</v>
      </c>
      <c r="D73" s="84" t="s">
        <v>153</v>
      </c>
      <c r="E73" s="86">
        <v>2014</v>
      </c>
      <c r="F73" s="86">
        <v>2014</v>
      </c>
      <c r="G73" s="86">
        <v>2547</v>
      </c>
      <c r="H73" s="86" t="s">
        <v>383</v>
      </c>
      <c r="I73" s="86" t="s">
        <v>384</v>
      </c>
      <c r="J73" s="84" t="s">
        <v>111</v>
      </c>
      <c r="K73" s="117" t="s">
        <v>6</v>
      </c>
      <c r="L73" s="86" t="s">
        <v>384</v>
      </c>
      <c r="M73" s="86" t="s">
        <v>383</v>
      </c>
      <c r="N73" s="110">
        <v>0.03</v>
      </c>
      <c r="O73" s="110">
        <v>2.0640000000000001</v>
      </c>
      <c r="P73" s="110">
        <v>22.962</v>
      </c>
      <c r="Q73" s="110"/>
      <c r="R73" s="110"/>
      <c r="S73" s="110">
        <v>0.77400000000000002</v>
      </c>
      <c r="T73" s="111">
        <f t="shared" ref="T73:T85" si="10">S73+R73+P73+O73</f>
        <v>25.8</v>
      </c>
      <c r="U73" s="87"/>
      <c r="V73" s="95"/>
      <c r="W73" s="112">
        <f t="shared" si="9"/>
        <v>860</v>
      </c>
    </row>
    <row r="74" spans="1:23" ht="45" hidden="1" x14ac:dyDescent="0.25">
      <c r="A74" s="83" t="s">
        <v>69</v>
      </c>
      <c r="B74" s="84" t="s">
        <v>111</v>
      </c>
      <c r="C74" s="85">
        <v>466.1</v>
      </c>
      <c r="D74" s="84" t="s">
        <v>153</v>
      </c>
      <c r="E74" s="86">
        <v>2014</v>
      </c>
      <c r="F74" s="86">
        <v>2014</v>
      </c>
      <c r="G74" s="86">
        <v>2547</v>
      </c>
      <c r="H74" s="86" t="s">
        <v>385</v>
      </c>
      <c r="I74" s="86" t="s">
        <v>338</v>
      </c>
      <c r="J74" s="84" t="s">
        <v>111</v>
      </c>
      <c r="K74" s="117" t="s">
        <v>9</v>
      </c>
      <c r="L74" s="86" t="s">
        <v>388</v>
      </c>
      <c r="M74" s="86" t="s">
        <v>385</v>
      </c>
      <c r="N74" s="110">
        <v>1</v>
      </c>
      <c r="O74" s="110">
        <v>3.9119999999999999</v>
      </c>
      <c r="P74" s="110">
        <v>10.51</v>
      </c>
      <c r="Q74" s="110"/>
      <c r="R74" s="110">
        <v>38.39</v>
      </c>
      <c r="S74" s="110">
        <v>0.53</v>
      </c>
      <c r="T74" s="111">
        <f t="shared" si="10"/>
        <v>53.341999999999999</v>
      </c>
      <c r="U74" s="87"/>
      <c r="V74" s="95"/>
      <c r="W74" s="112">
        <f t="shared" si="9"/>
        <v>53.341999999999999</v>
      </c>
    </row>
    <row r="75" spans="1:23" ht="45" hidden="1" x14ac:dyDescent="0.25">
      <c r="A75" s="71" t="s">
        <v>70</v>
      </c>
      <c r="B75" s="69" t="s">
        <v>112</v>
      </c>
      <c r="C75" s="70">
        <v>466.1</v>
      </c>
      <c r="D75" s="69" t="s">
        <v>154</v>
      </c>
      <c r="E75" s="88">
        <v>2014</v>
      </c>
      <c r="F75" s="88">
        <v>2014</v>
      </c>
      <c r="G75" s="88">
        <v>2549</v>
      </c>
      <c r="H75" s="88" t="s">
        <v>383</v>
      </c>
      <c r="I75" s="88" t="s">
        <v>384</v>
      </c>
      <c r="J75" s="69" t="s">
        <v>112</v>
      </c>
      <c r="K75" s="115" t="s">
        <v>16</v>
      </c>
      <c r="L75" s="88" t="s">
        <v>384</v>
      </c>
      <c r="M75" s="88" t="s">
        <v>383</v>
      </c>
      <c r="N75" s="93">
        <v>0.1</v>
      </c>
      <c r="O75" s="93">
        <v>7.44</v>
      </c>
      <c r="P75" s="93">
        <v>79.98</v>
      </c>
      <c r="Q75" s="93"/>
      <c r="R75" s="93"/>
      <c r="S75" s="93">
        <v>5.58</v>
      </c>
      <c r="T75" s="94">
        <f t="shared" si="10"/>
        <v>93</v>
      </c>
      <c r="U75" s="78"/>
      <c r="V75" s="95"/>
      <c r="W75" s="112">
        <f t="shared" si="9"/>
        <v>930</v>
      </c>
    </row>
    <row r="76" spans="1:23" ht="45" hidden="1" x14ac:dyDescent="0.25">
      <c r="A76" s="71" t="s">
        <v>71</v>
      </c>
      <c r="B76" s="69" t="s">
        <v>113</v>
      </c>
      <c r="C76" s="70">
        <v>466.1</v>
      </c>
      <c r="D76" s="69" t="s">
        <v>155</v>
      </c>
      <c r="E76" s="88">
        <v>2014</v>
      </c>
      <c r="F76" s="88">
        <v>2014</v>
      </c>
      <c r="G76" s="88">
        <v>2549</v>
      </c>
      <c r="H76" s="88" t="s">
        <v>383</v>
      </c>
      <c r="I76" s="88" t="s">
        <v>384</v>
      </c>
      <c r="J76" s="69" t="s">
        <v>113</v>
      </c>
      <c r="K76" s="115" t="s">
        <v>11</v>
      </c>
      <c r="L76" s="88" t="s">
        <v>384</v>
      </c>
      <c r="M76" s="88" t="s">
        <v>383</v>
      </c>
      <c r="N76" s="93">
        <v>0.08</v>
      </c>
      <c r="O76" s="93">
        <v>8.1856000000000009</v>
      </c>
      <c r="P76" s="93">
        <v>87.995200000000011</v>
      </c>
      <c r="Q76" s="93"/>
      <c r="R76" s="93"/>
      <c r="S76" s="93">
        <v>6.1392000000000007</v>
      </c>
      <c r="T76" s="94">
        <f t="shared" si="10"/>
        <v>102.32000000000002</v>
      </c>
      <c r="U76" s="78"/>
      <c r="V76" s="95"/>
      <c r="W76" s="112">
        <f t="shared" si="9"/>
        <v>1279.0000000000002</v>
      </c>
    </row>
    <row r="77" spans="1:23" ht="45" hidden="1" x14ac:dyDescent="0.25">
      <c r="A77" s="71" t="s">
        <v>72</v>
      </c>
      <c r="B77" s="69" t="s">
        <v>114</v>
      </c>
      <c r="C77" s="70">
        <v>466.1</v>
      </c>
      <c r="D77" s="69" t="s">
        <v>156</v>
      </c>
      <c r="E77" s="88">
        <v>2014</v>
      </c>
      <c r="F77" s="88">
        <v>2014</v>
      </c>
      <c r="G77" s="88">
        <v>2549</v>
      </c>
      <c r="H77" s="88" t="s">
        <v>383</v>
      </c>
      <c r="I77" s="88" t="s">
        <v>384</v>
      </c>
      <c r="J77" s="69" t="s">
        <v>114</v>
      </c>
      <c r="K77" s="115" t="s">
        <v>16</v>
      </c>
      <c r="L77" s="88" t="s">
        <v>384</v>
      </c>
      <c r="M77" s="88" t="s">
        <v>383</v>
      </c>
      <c r="N77" s="93">
        <v>0.05</v>
      </c>
      <c r="O77" s="93">
        <v>3.72</v>
      </c>
      <c r="P77" s="93">
        <v>39.99</v>
      </c>
      <c r="Q77" s="93"/>
      <c r="R77" s="93"/>
      <c r="S77" s="93">
        <v>2.79</v>
      </c>
      <c r="T77" s="94">
        <f t="shared" si="10"/>
        <v>46.5</v>
      </c>
      <c r="U77" s="78"/>
      <c r="V77" s="95"/>
      <c r="W77" s="112">
        <f t="shared" si="9"/>
        <v>930</v>
      </c>
    </row>
    <row r="78" spans="1:23" ht="45" hidden="1" x14ac:dyDescent="0.25">
      <c r="A78" s="71" t="s">
        <v>73</v>
      </c>
      <c r="B78" s="69" t="s">
        <v>115</v>
      </c>
      <c r="C78" s="70">
        <v>466.1</v>
      </c>
      <c r="D78" s="69" t="s">
        <v>157</v>
      </c>
      <c r="E78" s="88">
        <v>2014</v>
      </c>
      <c r="F78" s="88">
        <v>2014</v>
      </c>
      <c r="G78" s="88">
        <v>2549</v>
      </c>
      <c r="H78" s="88" t="s">
        <v>383</v>
      </c>
      <c r="I78" s="88" t="s">
        <v>384</v>
      </c>
      <c r="J78" s="69" t="s">
        <v>115</v>
      </c>
      <c r="K78" s="115" t="s">
        <v>16</v>
      </c>
      <c r="L78" s="88" t="s">
        <v>384</v>
      </c>
      <c r="M78" s="88" t="s">
        <v>383</v>
      </c>
      <c r="N78" s="93">
        <v>0.12</v>
      </c>
      <c r="O78" s="93">
        <v>8.927999999999999</v>
      </c>
      <c r="P78" s="93">
        <v>95.975999999999999</v>
      </c>
      <c r="Q78" s="93"/>
      <c r="R78" s="93"/>
      <c r="S78" s="93">
        <v>6.6959999999999997</v>
      </c>
      <c r="T78" s="94">
        <f t="shared" si="10"/>
        <v>111.6</v>
      </c>
      <c r="U78" s="78"/>
      <c r="V78" s="95"/>
      <c r="W78" s="112">
        <f t="shared" si="9"/>
        <v>930</v>
      </c>
    </row>
    <row r="79" spans="1:23" ht="45" hidden="1" x14ac:dyDescent="0.25">
      <c r="A79" s="71" t="s">
        <v>74</v>
      </c>
      <c r="B79" s="69" t="s">
        <v>116</v>
      </c>
      <c r="C79" s="70">
        <v>466.1</v>
      </c>
      <c r="D79" s="69" t="s">
        <v>158</v>
      </c>
      <c r="E79" s="88">
        <v>2014</v>
      </c>
      <c r="F79" s="88">
        <v>2014</v>
      </c>
      <c r="G79" s="88">
        <v>2549</v>
      </c>
      <c r="H79" s="88" t="s">
        <v>383</v>
      </c>
      <c r="I79" s="88" t="s">
        <v>384</v>
      </c>
      <c r="J79" s="69" t="s">
        <v>116</v>
      </c>
      <c r="K79" s="115" t="s">
        <v>16</v>
      </c>
      <c r="L79" s="88" t="s">
        <v>384</v>
      </c>
      <c r="M79" s="88" t="s">
        <v>383</v>
      </c>
      <c r="N79" s="93">
        <v>0.28000000000000003</v>
      </c>
      <c r="O79" s="93">
        <v>20.832000000000004</v>
      </c>
      <c r="P79" s="93">
        <v>223.94400000000002</v>
      </c>
      <c r="Q79" s="93"/>
      <c r="R79" s="93"/>
      <c r="S79" s="93">
        <v>15.624000000000002</v>
      </c>
      <c r="T79" s="94">
        <f t="shared" si="10"/>
        <v>260.40000000000003</v>
      </c>
      <c r="U79" s="78"/>
      <c r="V79" s="95"/>
      <c r="W79" s="112">
        <f t="shared" si="9"/>
        <v>930</v>
      </c>
    </row>
    <row r="80" spans="1:23" ht="45" hidden="1" x14ac:dyDescent="0.25">
      <c r="A80" s="71" t="s">
        <v>75</v>
      </c>
      <c r="B80" s="69" t="s">
        <v>117</v>
      </c>
      <c r="C80" s="70">
        <v>466.1</v>
      </c>
      <c r="D80" s="69" t="s">
        <v>159</v>
      </c>
      <c r="E80" s="88">
        <v>2014</v>
      </c>
      <c r="F80" s="88">
        <v>2014</v>
      </c>
      <c r="G80" s="88">
        <v>2549</v>
      </c>
      <c r="H80" s="88" t="s">
        <v>383</v>
      </c>
      <c r="I80" s="88" t="s">
        <v>384</v>
      </c>
      <c r="J80" s="69" t="s">
        <v>117</v>
      </c>
      <c r="K80" s="115" t="s">
        <v>16</v>
      </c>
      <c r="L80" s="88" t="s">
        <v>384</v>
      </c>
      <c r="M80" s="88" t="s">
        <v>383</v>
      </c>
      <c r="N80" s="93">
        <v>0.1</v>
      </c>
      <c r="O80" s="93">
        <v>7.44</v>
      </c>
      <c r="P80" s="93">
        <v>79.98</v>
      </c>
      <c r="Q80" s="93"/>
      <c r="R80" s="93"/>
      <c r="S80" s="93">
        <v>5.58</v>
      </c>
      <c r="T80" s="94">
        <f t="shared" si="10"/>
        <v>93</v>
      </c>
      <c r="U80" s="78"/>
      <c r="V80" s="95"/>
      <c r="W80" s="112">
        <f t="shared" si="9"/>
        <v>930</v>
      </c>
    </row>
    <row r="81" spans="1:23" ht="45" hidden="1" x14ac:dyDescent="0.25">
      <c r="A81" s="71" t="s">
        <v>79</v>
      </c>
      <c r="B81" s="69" t="s">
        <v>121</v>
      </c>
      <c r="C81" s="70">
        <v>466.1</v>
      </c>
      <c r="D81" s="69" t="s">
        <v>163</v>
      </c>
      <c r="E81" s="88">
        <v>2014</v>
      </c>
      <c r="F81" s="88">
        <v>2014</v>
      </c>
      <c r="G81" s="88">
        <v>2549</v>
      </c>
      <c r="H81" s="88" t="s">
        <v>383</v>
      </c>
      <c r="I81" s="88" t="s">
        <v>384</v>
      </c>
      <c r="J81" s="69" t="s">
        <v>121</v>
      </c>
      <c r="K81" s="115" t="s">
        <v>16</v>
      </c>
      <c r="L81" s="88" t="s">
        <v>384</v>
      </c>
      <c r="M81" s="88" t="s">
        <v>383</v>
      </c>
      <c r="N81" s="93">
        <v>0.03</v>
      </c>
      <c r="O81" s="93">
        <v>2.2319999999999998</v>
      </c>
      <c r="P81" s="93">
        <v>23.994</v>
      </c>
      <c r="Q81" s="93"/>
      <c r="R81" s="93"/>
      <c r="S81" s="93">
        <v>1.6739999999999999</v>
      </c>
      <c r="T81" s="94">
        <f t="shared" si="10"/>
        <v>27.9</v>
      </c>
      <c r="U81" s="78"/>
      <c r="V81" s="95"/>
      <c r="W81" s="112">
        <f t="shared" si="9"/>
        <v>930</v>
      </c>
    </row>
    <row r="82" spans="1:23" s="142" customFormat="1" ht="120" hidden="1" x14ac:dyDescent="0.25">
      <c r="A82" s="134" t="s">
        <v>76</v>
      </c>
      <c r="B82" s="135" t="s">
        <v>118</v>
      </c>
      <c r="C82" s="136">
        <v>466.1</v>
      </c>
      <c r="D82" s="135" t="s">
        <v>160</v>
      </c>
      <c r="E82" s="137">
        <v>2014</v>
      </c>
      <c r="F82" s="137">
        <v>2014</v>
      </c>
      <c r="G82" s="137">
        <v>2550</v>
      </c>
      <c r="H82" s="137" t="s">
        <v>385</v>
      </c>
      <c r="I82" s="137" t="s">
        <v>338</v>
      </c>
      <c r="J82" s="135" t="s">
        <v>118</v>
      </c>
      <c r="K82" s="138" t="s">
        <v>387</v>
      </c>
      <c r="L82" s="86" t="s">
        <v>388</v>
      </c>
      <c r="M82" s="137" t="s">
        <v>385</v>
      </c>
      <c r="N82" s="139">
        <v>0.25</v>
      </c>
      <c r="O82" s="139">
        <v>10.89</v>
      </c>
      <c r="P82" s="139">
        <v>33.049999999999997</v>
      </c>
      <c r="Q82" s="139"/>
      <c r="R82" s="139">
        <v>171.227593220339</v>
      </c>
      <c r="S82" s="139">
        <v>1.36</v>
      </c>
      <c r="T82" s="140">
        <f t="shared" si="10"/>
        <v>216.52759322033899</v>
      </c>
      <c r="U82" s="141"/>
      <c r="V82" s="144"/>
      <c r="W82" s="143">
        <f t="shared" si="9"/>
        <v>866.11037288135594</v>
      </c>
    </row>
    <row r="83" spans="1:23" ht="45" hidden="1" x14ac:dyDescent="0.25">
      <c r="A83" s="71" t="s">
        <v>77</v>
      </c>
      <c r="B83" s="69" t="s">
        <v>119</v>
      </c>
      <c r="C83" s="70">
        <v>466.1</v>
      </c>
      <c r="D83" s="69" t="s">
        <v>161</v>
      </c>
      <c r="E83" s="88">
        <v>2014</v>
      </c>
      <c r="F83" s="88">
        <v>2014</v>
      </c>
      <c r="G83" s="88">
        <v>2549</v>
      </c>
      <c r="H83" s="88" t="s">
        <v>383</v>
      </c>
      <c r="I83" s="88" t="s">
        <v>384</v>
      </c>
      <c r="J83" s="69" t="s">
        <v>119</v>
      </c>
      <c r="K83" s="115" t="s">
        <v>16</v>
      </c>
      <c r="L83" s="88" t="s">
        <v>384</v>
      </c>
      <c r="M83" s="88" t="s">
        <v>383</v>
      </c>
      <c r="N83" s="93">
        <v>0.18</v>
      </c>
      <c r="O83" s="93">
        <v>13.392000000000001</v>
      </c>
      <c r="P83" s="93">
        <v>143.964</v>
      </c>
      <c r="Q83" s="93"/>
      <c r="R83" s="93"/>
      <c r="S83" s="93">
        <v>10.044</v>
      </c>
      <c r="T83" s="94">
        <f t="shared" si="10"/>
        <v>167.4</v>
      </c>
      <c r="U83" s="78"/>
      <c r="V83" s="95"/>
      <c r="W83" s="112">
        <f t="shared" si="9"/>
        <v>930.00000000000011</v>
      </c>
    </row>
    <row r="84" spans="1:23" ht="45" hidden="1" x14ac:dyDescent="0.25">
      <c r="A84" s="71" t="s">
        <v>78</v>
      </c>
      <c r="B84" s="69" t="s">
        <v>120</v>
      </c>
      <c r="C84" s="70">
        <v>466.1</v>
      </c>
      <c r="D84" s="69" t="s">
        <v>162</v>
      </c>
      <c r="E84" s="88">
        <v>2014</v>
      </c>
      <c r="F84" s="88">
        <v>2014</v>
      </c>
      <c r="G84" s="88">
        <v>2549</v>
      </c>
      <c r="H84" s="88" t="s">
        <v>383</v>
      </c>
      <c r="I84" s="88" t="s">
        <v>384</v>
      </c>
      <c r="J84" s="69" t="s">
        <v>120</v>
      </c>
      <c r="K84" s="115" t="s">
        <v>16</v>
      </c>
      <c r="L84" s="88" t="s">
        <v>384</v>
      </c>
      <c r="M84" s="88" t="s">
        <v>383</v>
      </c>
      <c r="N84" s="93">
        <v>0.03</v>
      </c>
      <c r="O84" s="93">
        <v>2.2319999999999998</v>
      </c>
      <c r="P84" s="93">
        <v>23.994</v>
      </c>
      <c r="Q84" s="93"/>
      <c r="R84" s="93"/>
      <c r="S84" s="93">
        <v>1.6739999999999999</v>
      </c>
      <c r="T84" s="94">
        <f t="shared" si="10"/>
        <v>27.9</v>
      </c>
      <c r="U84" s="78"/>
      <c r="V84" s="95"/>
      <c r="W84" s="112">
        <f t="shared" si="9"/>
        <v>930</v>
      </c>
    </row>
    <row r="85" spans="1:23" ht="45" hidden="1" x14ac:dyDescent="0.25">
      <c r="A85" s="71" t="s">
        <v>80</v>
      </c>
      <c r="B85" s="69" t="s">
        <v>122</v>
      </c>
      <c r="C85" s="70">
        <v>466.1</v>
      </c>
      <c r="D85" s="69" t="s">
        <v>164</v>
      </c>
      <c r="E85" s="88">
        <v>2014</v>
      </c>
      <c r="F85" s="88">
        <v>2014</v>
      </c>
      <c r="G85" s="88">
        <v>2549</v>
      </c>
      <c r="H85" s="88" t="s">
        <v>383</v>
      </c>
      <c r="I85" s="88" t="s">
        <v>384</v>
      </c>
      <c r="J85" s="69" t="s">
        <v>122</v>
      </c>
      <c r="K85" s="115" t="s">
        <v>16</v>
      </c>
      <c r="L85" s="88" t="s">
        <v>384</v>
      </c>
      <c r="M85" s="88" t="s">
        <v>383</v>
      </c>
      <c r="N85" s="93">
        <v>0.12</v>
      </c>
      <c r="O85" s="93">
        <v>8.927999999999999</v>
      </c>
      <c r="P85" s="93">
        <v>95.975999999999999</v>
      </c>
      <c r="Q85" s="93"/>
      <c r="R85" s="93"/>
      <c r="S85" s="93">
        <v>6.6959999999999997</v>
      </c>
      <c r="T85" s="94">
        <f t="shared" si="10"/>
        <v>111.6</v>
      </c>
      <c r="U85" s="78"/>
      <c r="V85" s="95"/>
      <c r="W85" s="112">
        <f t="shared" si="9"/>
        <v>930</v>
      </c>
    </row>
    <row r="86" spans="1:23" ht="90" hidden="1" x14ac:dyDescent="0.25">
      <c r="A86" s="96" t="s">
        <v>270</v>
      </c>
      <c r="B86" s="97">
        <v>40862236</v>
      </c>
      <c r="C86" s="98">
        <v>466.1</v>
      </c>
      <c r="D86" s="97" t="s">
        <v>271</v>
      </c>
      <c r="E86" s="99"/>
      <c r="F86" s="99"/>
      <c r="G86" s="99"/>
      <c r="H86" s="99"/>
      <c r="I86" s="99"/>
      <c r="J86" s="97">
        <v>40862236</v>
      </c>
      <c r="K86" s="130" t="s">
        <v>370</v>
      </c>
      <c r="L86" s="99"/>
      <c r="M86" s="99"/>
      <c r="N86" s="100"/>
      <c r="O86" s="100"/>
      <c r="P86" s="100"/>
      <c r="Q86" s="100"/>
      <c r="R86" s="100"/>
      <c r="S86" s="100"/>
      <c r="T86" s="101"/>
      <c r="U86" s="102"/>
      <c r="V86" s="95"/>
      <c r="W86" s="112" t="e">
        <f t="shared" si="9"/>
        <v>#DIV/0!</v>
      </c>
    </row>
    <row r="87" spans="1:23" ht="60" hidden="1" x14ac:dyDescent="0.25">
      <c r="A87" s="83" t="s">
        <v>270</v>
      </c>
      <c r="B87" s="84">
        <v>40862236</v>
      </c>
      <c r="C87" s="85">
        <v>466.1</v>
      </c>
      <c r="D87" s="84" t="s">
        <v>271</v>
      </c>
      <c r="E87" s="86">
        <v>2014</v>
      </c>
      <c r="F87" s="86">
        <v>2014</v>
      </c>
      <c r="G87" s="86">
        <v>2549</v>
      </c>
      <c r="H87" s="86" t="s">
        <v>383</v>
      </c>
      <c r="I87" s="86" t="s">
        <v>384</v>
      </c>
      <c r="J87" s="84">
        <v>40862236</v>
      </c>
      <c r="K87" s="117" t="s">
        <v>16</v>
      </c>
      <c r="L87" s="86" t="s">
        <v>384</v>
      </c>
      <c r="M87" s="86" t="s">
        <v>383</v>
      </c>
      <c r="N87" s="110">
        <v>0.25</v>
      </c>
      <c r="O87" s="110">
        <v>18.600000000000001</v>
      </c>
      <c r="P87" s="110">
        <v>199.95</v>
      </c>
      <c r="Q87" s="110"/>
      <c r="R87" s="110"/>
      <c r="S87" s="110">
        <v>13.95</v>
      </c>
      <c r="T87" s="111">
        <f t="shared" ref="T87:T93" si="11">S87+R87+P87+O87</f>
        <v>232.49999999999997</v>
      </c>
      <c r="U87" s="87"/>
      <c r="V87" s="95"/>
      <c r="W87" s="112">
        <f t="shared" si="9"/>
        <v>929.99999999999989</v>
      </c>
    </row>
    <row r="88" spans="1:23" ht="60" hidden="1" x14ac:dyDescent="0.25">
      <c r="A88" s="83" t="s">
        <v>270</v>
      </c>
      <c r="B88" s="84">
        <v>40862236</v>
      </c>
      <c r="C88" s="85">
        <v>466.1</v>
      </c>
      <c r="D88" s="84" t="s">
        <v>271</v>
      </c>
      <c r="E88" s="86">
        <v>2014</v>
      </c>
      <c r="F88" s="86">
        <v>2014</v>
      </c>
      <c r="G88" s="86">
        <v>2549</v>
      </c>
      <c r="H88" s="86" t="s">
        <v>385</v>
      </c>
      <c r="I88" s="86" t="s">
        <v>384</v>
      </c>
      <c r="J88" s="84">
        <v>40862236</v>
      </c>
      <c r="K88" s="117" t="s">
        <v>19</v>
      </c>
      <c r="L88" s="86" t="s">
        <v>384</v>
      </c>
      <c r="M88" s="86" t="s">
        <v>385</v>
      </c>
      <c r="N88" s="110">
        <v>0.3</v>
      </c>
      <c r="O88" s="110">
        <v>6.5087999999999999</v>
      </c>
      <c r="P88" s="110">
        <v>74.037599999999998</v>
      </c>
      <c r="Q88" s="110"/>
      <c r="R88" s="110"/>
      <c r="S88" s="110">
        <v>0.81359999999999999</v>
      </c>
      <c r="T88" s="111">
        <f t="shared" si="11"/>
        <v>81.359999999999985</v>
      </c>
      <c r="U88" s="87"/>
      <c r="V88" s="95"/>
      <c r="W88" s="112">
        <f t="shared" si="9"/>
        <v>271.2</v>
      </c>
    </row>
    <row r="89" spans="1:23" ht="45" hidden="1" x14ac:dyDescent="0.25">
      <c r="A89" s="71" t="s">
        <v>286</v>
      </c>
      <c r="B89" s="69">
        <v>40860875</v>
      </c>
      <c r="C89" s="70">
        <v>466.1</v>
      </c>
      <c r="D89" s="69" t="s">
        <v>288</v>
      </c>
      <c r="E89" s="88">
        <v>2014</v>
      </c>
      <c r="F89" s="88">
        <v>2014</v>
      </c>
      <c r="G89" s="88">
        <v>2549</v>
      </c>
      <c r="H89" s="88" t="s">
        <v>383</v>
      </c>
      <c r="I89" s="88" t="s">
        <v>384</v>
      </c>
      <c r="J89" s="69">
        <v>40860875</v>
      </c>
      <c r="K89" s="115" t="s">
        <v>16</v>
      </c>
      <c r="L89" s="88" t="s">
        <v>384</v>
      </c>
      <c r="M89" s="88" t="s">
        <v>383</v>
      </c>
      <c r="N89" s="93">
        <v>0.23</v>
      </c>
      <c r="O89" s="93">
        <v>17.112000000000002</v>
      </c>
      <c r="P89" s="93">
        <v>183.95400000000001</v>
      </c>
      <c r="Q89" s="93"/>
      <c r="R89" s="93"/>
      <c r="S89" s="93">
        <v>12.834</v>
      </c>
      <c r="T89" s="94">
        <f t="shared" si="11"/>
        <v>213.9</v>
      </c>
      <c r="U89" s="78"/>
      <c r="V89" s="95"/>
      <c r="W89" s="112">
        <f t="shared" si="9"/>
        <v>930</v>
      </c>
    </row>
    <row r="90" spans="1:23" ht="45" hidden="1" x14ac:dyDescent="0.25">
      <c r="A90" s="71" t="s">
        <v>327</v>
      </c>
      <c r="B90" s="69">
        <v>40866094</v>
      </c>
      <c r="C90" s="70">
        <v>466.1</v>
      </c>
      <c r="D90" s="69" t="s">
        <v>326</v>
      </c>
      <c r="E90" s="88">
        <v>2014</v>
      </c>
      <c r="F90" s="88">
        <v>2014</v>
      </c>
      <c r="G90" s="88">
        <v>2549</v>
      </c>
      <c r="H90" s="88" t="s">
        <v>383</v>
      </c>
      <c r="I90" s="88" t="s">
        <v>384</v>
      </c>
      <c r="J90" s="69">
        <v>40866094</v>
      </c>
      <c r="K90" s="115" t="s">
        <v>16</v>
      </c>
      <c r="L90" s="88" t="s">
        <v>384</v>
      </c>
      <c r="M90" s="88" t="s">
        <v>383</v>
      </c>
      <c r="N90" s="93">
        <v>0.15</v>
      </c>
      <c r="O90" s="93">
        <v>11.16</v>
      </c>
      <c r="P90" s="93">
        <v>119.97</v>
      </c>
      <c r="Q90" s="93"/>
      <c r="R90" s="93"/>
      <c r="S90" s="93">
        <v>8.3699999999999992</v>
      </c>
      <c r="T90" s="94">
        <f t="shared" si="11"/>
        <v>139.5</v>
      </c>
      <c r="U90" s="78"/>
      <c r="V90" s="95"/>
      <c r="W90" s="112">
        <f t="shared" si="9"/>
        <v>930</v>
      </c>
    </row>
    <row r="91" spans="1:23" ht="60" x14ac:dyDescent="0.25">
      <c r="A91" s="71" t="s">
        <v>275</v>
      </c>
      <c r="B91" s="69">
        <v>40851023</v>
      </c>
      <c r="C91" s="70">
        <v>466.1</v>
      </c>
      <c r="D91" s="69" t="s">
        <v>277</v>
      </c>
      <c r="E91" s="88">
        <v>2014</v>
      </c>
      <c r="F91" s="88">
        <v>2014</v>
      </c>
      <c r="G91" s="88">
        <v>2550</v>
      </c>
      <c r="H91" s="88" t="s">
        <v>385</v>
      </c>
      <c r="I91" s="88" t="s">
        <v>338</v>
      </c>
      <c r="J91" s="69">
        <v>40851023</v>
      </c>
      <c r="K91" s="115" t="s">
        <v>341</v>
      </c>
      <c r="L91" s="88" t="s">
        <v>338</v>
      </c>
      <c r="M91" s="88" t="s">
        <v>385</v>
      </c>
      <c r="N91" s="93">
        <v>1</v>
      </c>
      <c r="O91" s="93">
        <v>1.67</v>
      </c>
      <c r="P91" s="93">
        <v>1.26</v>
      </c>
      <c r="Q91" s="93"/>
      <c r="R91" s="93">
        <v>18.5</v>
      </c>
      <c r="S91" s="93">
        <v>1.1600000000000001</v>
      </c>
      <c r="T91" s="94">
        <f t="shared" si="11"/>
        <v>22.590000000000003</v>
      </c>
      <c r="U91" s="78"/>
      <c r="V91" s="95"/>
      <c r="W91" s="112">
        <f t="shared" si="9"/>
        <v>22.590000000000003</v>
      </c>
    </row>
    <row r="92" spans="1:23" ht="15.75" x14ac:dyDescent="0.25">
      <c r="A92" s="71"/>
      <c r="B92" s="69"/>
      <c r="C92" s="70"/>
      <c r="D92" s="69"/>
      <c r="E92" s="88"/>
      <c r="F92" s="88"/>
      <c r="G92" s="88"/>
      <c r="H92" s="88"/>
      <c r="I92" s="88"/>
      <c r="J92" s="69"/>
      <c r="K92" s="115"/>
      <c r="L92" s="88"/>
      <c r="M92" s="88"/>
      <c r="N92" s="93"/>
      <c r="O92" s="93"/>
      <c r="P92" s="93"/>
      <c r="Q92" s="93"/>
      <c r="R92" s="93"/>
      <c r="S92" s="93"/>
      <c r="T92" s="94">
        <f t="shared" si="11"/>
        <v>0</v>
      </c>
      <c r="U92" s="78"/>
      <c r="V92" s="95"/>
      <c r="W92" s="112" t="e">
        <f t="shared" si="9"/>
        <v>#DIV/0!</v>
      </c>
    </row>
    <row r="93" spans="1:23" ht="15.75" x14ac:dyDescent="0.25">
      <c r="A93" s="71"/>
      <c r="B93" s="69"/>
      <c r="C93" s="70"/>
      <c r="D93" s="69"/>
      <c r="E93" s="88"/>
      <c r="F93" s="88"/>
      <c r="G93" s="88"/>
      <c r="H93" s="88"/>
      <c r="I93" s="88"/>
      <c r="J93" s="69"/>
      <c r="K93" s="115"/>
      <c r="L93" s="88"/>
      <c r="M93" s="88"/>
      <c r="N93" s="93"/>
      <c r="O93" s="93"/>
      <c r="P93" s="93"/>
      <c r="Q93" s="93"/>
      <c r="R93" s="93"/>
      <c r="S93" s="93"/>
      <c r="T93" s="94">
        <f t="shared" si="11"/>
        <v>0</v>
      </c>
      <c r="U93" s="78"/>
      <c r="V93" s="95"/>
      <c r="W93" s="112" t="e">
        <f t="shared" si="9"/>
        <v>#DIV/0!</v>
      </c>
    </row>
    <row r="94" spans="1:23" x14ac:dyDescent="0.25">
      <c r="V94" s="95"/>
    </row>
    <row r="95" spans="1:23" x14ac:dyDescent="0.25">
      <c r="V95" s="95"/>
    </row>
    <row r="96" spans="1:23" x14ac:dyDescent="0.25">
      <c r="V96" s="95"/>
    </row>
    <row r="97" spans="22:22" x14ac:dyDescent="0.25">
      <c r="V97" s="95"/>
    </row>
    <row r="98" spans="22:22" x14ac:dyDescent="0.25">
      <c r="V98" s="95"/>
    </row>
    <row r="99" spans="22:22" x14ac:dyDescent="0.25">
      <c r="V99" s="95"/>
    </row>
    <row r="100" spans="22:22" x14ac:dyDescent="0.25">
      <c r="V100" s="95"/>
    </row>
    <row r="101" spans="22:22" x14ac:dyDescent="0.25">
      <c r="V101" s="95"/>
    </row>
    <row r="102" spans="22:22" x14ac:dyDescent="0.25">
      <c r="V102" s="95"/>
    </row>
    <row r="103" spans="22:22" x14ac:dyDescent="0.25">
      <c r="V103" s="95"/>
    </row>
    <row r="104" spans="22:22" x14ac:dyDescent="0.25">
      <c r="V104" s="95"/>
    </row>
  </sheetData>
  <autoFilter ref="A5:U93">
    <filterColumn colId="0">
      <filters blank="1">
        <filter val="В-2392/0219-ОРЗТП/2014 от 14.02.14г."/>
        <filter val="В-2398/0313-ОРЗТП/2014 от 25.02.14г."/>
        <filter val="В-2399/0312-ОРЗТП/2014 от 24.02.14г."/>
        <filter val="В-2402/0271-ОРЗТП/2014 от 14.02.14г."/>
        <filter val="В-2406/0308-ОРЗТП/2014 от 25.02.14г."/>
        <filter val="В-2410/0248-ОРЗТП/2014 от 17.02.14г."/>
        <filter val="В-2411/336-ОРЗТП/2014 от 28.02.14г."/>
        <filter val="З-1977/0387-ОРЗТП/2014 от 04.03.2014г."/>
        <filter val="З-1994/0309-ОРЗТП/2014 от 24.02.14г."/>
        <filter val="З-2006/342-ОРЗТП/2014 от 28.02.14г."/>
        <filter val="С-1950/0253-ОРЗТП/2014 от 17.02.14г."/>
        <filter val="С-1961/0212-ОРЗТП/2014 от 12.02.14г."/>
        <filter val="С-1962/0265-ОРЗТП/2014 от 17.02.14г."/>
        <filter val="С-1965/0223-ОРЗТП/2014 от 13.02.14г."/>
        <filter val="С-1966/0252-ОРЗТП/2014 от 18.02.14г."/>
        <filter val="С-1970/0306-ОРЗТП/2014 от 24.02.14г."/>
        <filter val="С-1971/0311-ОРЗТП/2014 от 25.02.14г."/>
        <filter val="Ю-2288/0349-ОРЗТП/2014 от 28.02.2014г.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zoomScale="60" zoomScaleNormal="60" workbookViewId="0">
      <pane ySplit="6" topLeftCell="A9" activePane="bottomLeft" state="frozen"/>
      <selection pane="bottomLeft" activeCell="Q13" sqref="Q13"/>
    </sheetView>
  </sheetViews>
  <sheetFormatPr defaultRowHeight="15" x14ac:dyDescent="0.25"/>
  <cols>
    <col min="1" max="3" width="17.140625" style="5" customWidth="1"/>
    <col min="4" max="4" width="21.85546875" style="5" customWidth="1"/>
    <col min="5" max="8" width="17.140625" style="5" customWidth="1"/>
    <col min="9" max="9" width="25.140625" style="113" customWidth="1"/>
    <col min="10" max="11" width="17.140625" style="5" customWidth="1"/>
    <col min="12" max="18" width="17.140625" style="95" customWidth="1"/>
    <col min="19" max="19" width="17.140625" style="5" customWidth="1"/>
    <col min="20" max="20" width="17.7109375" style="5" customWidth="1"/>
    <col min="21" max="21" width="12.7109375" style="112" customWidth="1"/>
    <col min="22" max="16384" width="9.140625" style="5"/>
  </cols>
  <sheetData>
    <row r="1" spans="1:26" ht="15.75" x14ac:dyDescent="0.25">
      <c r="A1" s="72"/>
      <c r="B1" s="73"/>
      <c r="C1" s="72"/>
      <c r="D1" s="72"/>
      <c r="E1" s="72"/>
      <c r="F1" s="72"/>
      <c r="G1" s="72"/>
      <c r="H1" s="73"/>
      <c r="J1" s="72"/>
      <c r="K1" s="72"/>
      <c r="L1" s="89"/>
      <c r="M1" s="89"/>
      <c r="N1" s="89"/>
      <c r="O1" s="89"/>
      <c r="P1" s="89"/>
      <c r="Q1" s="89"/>
      <c r="R1" s="90"/>
      <c r="S1" s="75"/>
    </row>
    <row r="2" spans="1:26" ht="15.75" x14ac:dyDescent="0.25">
      <c r="A2" s="72"/>
      <c r="B2" s="73"/>
      <c r="C2" s="72"/>
      <c r="D2" s="72"/>
      <c r="E2" s="72"/>
      <c r="F2" s="72"/>
      <c r="G2" s="72"/>
      <c r="H2" s="73"/>
      <c r="J2" s="72"/>
      <c r="K2" s="72"/>
      <c r="L2" s="90">
        <f>SUM(L6:L29)</f>
        <v>6.6130000000000013</v>
      </c>
      <c r="M2" s="90">
        <f t="shared" ref="M2:Q2" si="0">SUM(M6:M29)</f>
        <v>195.29823999999999</v>
      </c>
      <c r="N2" s="90">
        <f t="shared" si="0"/>
        <v>1920.4604399999998</v>
      </c>
      <c r="O2" s="90">
        <f t="shared" si="0"/>
        <v>27.433</v>
      </c>
      <c r="P2" s="90">
        <f t="shared" si="0"/>
        <v>458.90999999999997</v>
      </c>
      <c r="Q2" s="90">
        <f t="shared" si="0"/>
        <v>124.90783999999999</v>
      </c>
      <c r="R2" s="90">
        <f>SUM(R6:R29)</f>
        <v>2727.0095200000001</v>
      </c>
      <c r="S2" s="145">
        <f>SUBTOTAL(9,S6:S217)</f>
        <v>0</v>
      </c>
      <c r="T2" s="145"/>
    </row>
    <row r="3" spans="1:26" x14ac:dyDescent="0.25">
      <c r="A3" s="72"/>
      <c r="B3" s="73"/>
      <c r="C3" s="72"/>
      <c r="D3" s="72"/>
      <c r="E3" s="72"/>
      <c r="F3" s="72"/>
      <c r="G3" s="72"/>
      <c r="H3" s="73"/>
      <c r="J3" s="72"/>
      <c r="K3" s="72"/>
      <c r="L3" s="89"/>
      <c r="M3" s="89"/>
      <c r="N3" s="89"/>
      <c r="O3" s="89"/>
      <c r="P3" s="89"/>
      <c r="Q3" s="89"/>
      <c r="R3" s="89"/>
      <c r="S3" s="75"/>
    </row>
    <row r="4" spans="1:26" ht="47.25" x14ac:dyDescent="0.25">
      <c r="A4" s="68" t="s">
        <v>0</v>
      </c>
      <c r="B4" s="76" t="s">
        <v>31</v>
      </c>
      <c r="C4" s="68" t="s">
        <v>34</v>
      </c>
      <c r="D4" s="68" t="s">
        <v>1</v>
      </c>
      <c r="E4" s="77" t="s">
        <v>373</v>
      </c>
      <c r="F4" s="77" t="s">
        <v>374</v>
      </c>
      <c r="G4" s="77" t="s">
        <v>375</v>
      </c>
      <c r="H4" s="76" t="s">
        <v>31</v>
      </c>
      <c r="I4" s="114" t="s">
        <v>378</v>
      </c>
      <c r="J4" s="77" t="s">
        <v>377</v>
      </c>
      <c r="K4" s="77" t="s">
        <v>376</v>
      </c>
      <c r="L4" s="91" t="s">
        <v>379</v>
      </c>
      <c r="M4" s="92" t="s">
        <v>335</v>
      </c>
      <c r="N4" s="92" t="s">
        <v>336</v>
      </c>
      <c r="O4" s="92" t="s">
        <v>397</v>
      </c>
      <c r="P4" s="92" t="s">
        <v>380</v>
      </c>
      <c r="Q4" s="92" t="s">
        <v>338</v>
      </c>
      <c r="R4" s="92" t="s">
        <v>381</v>
      </c>
      <c r="S4" s="78" t="s">
        <v>382</v>
      </c>
    </row>
    <row r="5" spans="1:26" ht="15.75" x14ac:dyDescent="0.25">
      <c r="A5" s="68"/>
      <c r="B5" s="76"/>
      <c r="C5" s="68"/>
      <c r="D5" s="68"/>
      <c r="E5" s="77"/>
      <c r="F5" s="77"/>
      <c r="G5" s="77"/>
      <c r="H5" s="76"/>
      <c r="I5" s="114"/>
      <c r="J5" s="77"/>
      <c r="K5" s="77"/>
      <c r="L5" s="91"/>
      <c r="M5" s="92"/>
      <c r="N5" s="92"/>
      <c r="O5" s="92"/>
      <c r="P5" s="92"/>
      <c r="Q5" s="92"/>
      <c r="R5" s="92"/>
      <c r="S5" s="78"/>
    </row>
    <row r="6" spans="1:26" ht="45" x14ac:dyDescent="0.25">
      <c r="A6" s="79" t="s">
        <v>39</v>
      </c>
      <c r="B6" s="80" t="s">
        <v>81</v>
      </c>
      <c r="C6" s="81">
        <v>466.1</v>
      </c>
      <c r="D6" s="80" t="s">
        <v>123</v>
      </c>
      <c r="E6" s="82">
        <v>2014</v>
      </c>
      <c r="F6" s="82">
        <v>2014</v>
      </c>
      <c r="G6" s="82">
        <v>2550</v>
      </c>
      <c r="H6" s="80" t="s">
        <v>81</v>
      </c>
      <c r="I6" s="131" t="s">
        <v>395</v>
      </c>
      <c r="J6" s="82" t="s">
        <v>388</v>
      </c>
      <c r="K6" s="82" t="s">
        <v>385</v>
      </c>
      <c r="L6" s="132">
        <v>1</v>
      </c>
      <c r="M6" s="132">
        <v>0.75</v>
      </c>
      <c r="N6" s="132">
        <v>1.63</v>
      </c>
      <c r="O6" s="132"/>
      <c r="P6" s="132">
        <v>10.119999999999999</v>
      </c>
      <c r="Q6" s="132"/>
      <c r="R6" s="133">
        <f>M6+N6+P6+Q6</f>
        <v>12.5</v>
      </c>
      <c r="S6" s="151"/>
      <c r="T6" s="95"/>
      <c r="V6" s="112"/>
      <c r="W6" s="112"/>
      <c r="X6" s="112"/>
      <c r="Y6" s="112"/>
      <c r="Z6" s="112"/>
    </row>
    <row r="7" spans="1:26" ht="45" x14ac:dyDescent="0.25">
      <c r="A7" s="79" t="s">
        <v>275</v>
      </c>
      <c r="B7" s="80">
        <v>40851023</v>
      </c>
      <c r="C7" s="81">
        <v>466.1</v>
      </c>
      <c r="D7" s="80" t="s">
        <v>277</v>
      </c>
      <c r="E7" s="82">
        <v>2014</v>
      </c>
      <c r="F7" s="82">
        <v>2014</v>
      </c>
      <c r="G7" s="82">
        <v>2550</v>
      </c>
      <c r="H7" s="80">
        <v>40851023</v>
      </c>
      <c r="I7" s="131" t="s">
        <v>395</v>
      </c>
      <c r="J7" s="82" t="s">
        <v>338</v>
      </c>
      <c r="K7" s="82" t="s">
        <v>385</v>
      </c>
      <c r="L7" s="132">
        <v>1</v>
      </c>
      <c r="M7" s="132">
        <v>1.67</v>
      </c>
      <c r="N7" s="132">
        <v>1.26</v>
      </c>
      <c r="O7" s="132"/>
      <c r="P7" s="132">
        <v>18.5</v>
      </c>
      <c r="Q7" s="132">
        <v>1.1600000000000001</v>
      </c>
      <c r="R7" s="133">
        <f>M7+N7+P7+Q7</f>
        <v>22.59</v>
      </c>
      <c r="S7" s="151"/>
      <c r="T7" s="95"/>
    </row>
    <row r="8" spans="1:26" ht="45" x14ac:dyDescent="0.25">
      <c r="A8" s="71" t="s">
        <v>39</v>
      </c>
      <c r="B8" s="69" t="s">
        <v>81</v>
      </c>
      <c r="C8" s="70">
        <v>466.1</v>
      </c>
      <c r="D8" s="69" t="s">
        <v>123</v>
      </c>
      <c r="E8" s="88">
        <v>2014</v>
      </c>
      <c r="F8" s="88">
        <v>2014</v>
      </c>
      <c r="G8" s="88">
        <v>2547</v>
      </c>
      <c r="H8" s="69" t="s">
        <v>81</v>
      </c>
      <c r="I8" s="115" t="s">
        <v>390</v>
      </c>
      <c r="J8" s="88" t="s">
        <v>384</v>
      </c>
      <c r="K8" s="88" t="s">
        <v>383</v>
      </c>
      <c r="L8" s="93">
        <v>1.4999999999999999E-2</v>
      </c>
      <c r="M8" s="93">
        <v>2.44</v>
      </c>
      <c r="N8" s="93">
        <v>27.145</v>
      </c>
      <c r="O8" s="93"/>
      <c r="P8" s="93"/>
      <c r="Q8" s="93">
        <v>0.91499999999999992</v>
      </c>
      <c r="R8" s="133">
        <f>M8+N8+P8+Q8</f>
        <v>30.5</v>
      </c>
      <c r="S8" s="78"/>
      <c r="U8" s="5"/>
    </row>
    <row r="9" spans="1:26" ht="45" x14ac:dyDescent="0.25">
      <c r="A9" s="79" t="s">
        <v>39</v>
      </c>
      <c r="B9" s="80" t="s">
        <v>81</v>
      </c>
      <c r="C9" s="81">
        <v>466.1</v>
      </c>
      <c r="D9" s="80" t="s">
        <v>123</v>
      </c>
      <c r="E9" s="82">
        <v>2014</v>
      </c>
      <c r="F9" s="82">
        <v>2014</v>
      </c>
      <c r="G9" s="82">
        <v>2550</v>
      </c>
      <c r="H9" s="80" t="s">
        <v>81</v>
      </c>
      <c r="I9" s="131" t="s">
        <v>389</v>
      </c>
      <c r="J9" s="82" t="s">
        <v>388</v>
      </c>
      <c r="K9" s="82" t="s">
        <v>383</v>
      </c>
      <c r="L9" s="132">
        <v>1</v>
      </c>
      <c r="M9" s="132">
        <v>3.9119999999999999</v>
      </c>
      <c r="N9" s="132">
        <v>10.51</v>
      </c>
      <c r="O9" s="132"/>
      <c r="P9" s="132">
        <v>38.39</v>
      </c>
      <c r="Q9" s="132">
        <v>0.53</v>
      </c>
      <c r="R9" s="133">
        <f>M9+N9+P9+Q9</f>
        <v>53.341999999999999</v>
      </c>
      <c r="S9" s="151"/>
      <c r="T9" s="95"/>
    </row>
    <row r="10" spans="1:26" ht="45" x14ac:dyDescent="0.25">
      <c r="A10" s="71" t="s">
        <v>39</v>
      </c>
      <c r="B10" s="69" t="s">
        <v>81</v>
      </c>
      <c r="C10" s="70">
        <v>466.1</v>
      </c>
      <c r="D10" s="69" t="s">
        <v>123</v>
      </c>
      <c r="E10" s="88">
        <v>2014</v>
      </c>
      <c r="F10" s="88">
        <v>2014</v>
      </c>
      <c r="G10" s="88">
        <v>2550</v>
      </c>
      <c r="H10" s="69" t="s">
        <v>81</v>
      </c>
      <c r="I10" s="115" t="s">
        <v>391</v>
      </c>
      <c r="J10" s="88" t="s">
        <v>388</v>
      </c>
      <c r="K10" s="88" t="s">
        <v>383</v>
      </c>
      <c r="L10" s="93">
        <v>6.3E-2</v>
      </c>
      <c r="M10" s="93">
        <v>6.53</v>
      </c>
      <c r="N10" s="93">
        <v>41.42</v>
      </c>
      <c r="O10" s="93">
        <v>9.3770000000000007</v>
      </c>
      <c r="P10" s="93">
        <v>133.96</v>
      </c>
      <c r="Q10" s="93">
        <v>0.7</v>
      </c>
      <c r="R10" s="133">
        <f>M10+N10+P10+Q10+O10</f>
        <v>191.98700000000002</v>
      </c>
      <c r="S10" s="78"/>
      <c r="T10" s="95"/>
    </row>
    <row r="11" spans="1:26" ht="45" x14ac:dyDescent="0.25">
      <c r="A11" s="152" t="s">
        <v>39</v>
      </c>
      <c r="B11" s="153" t="s">
        <v>81</v>
      </c>
      <c r="C11" s="154">
        <v>466.1</v>
      </c>
      <c r="D11" s="153" t="s">
        <v>123</v>
      </c>
      <c r="E11" s="155">
        <v>2014</v>
      </c>
      <c r="F11" s="155">
        <v>2014</v>
      </c>
      <c r="G11" s="155">
        <v>2550</v>
      </c>
      <c r="H11" s="153" t="s">
        <v>81</v>
      </c>
      <c r="I11" s="156" t="s">
        <v>392</v>
      </c>
      <c r="J11" s="155" t="s">
        <v>388</v>
      </c>
      <c r="K11" s="155" t="s">
        <v>383</v>
      </c>
      <c r="L11" s="157">
        <v>1</v>
      </c>
      <c r="M11" s="157">
        <v>1.67</v>
      </c>
      <c r="N11" s="157">
        <v>1.26</v>
      </c>
      <c r="O11" s="157">
        <v>1.2950000000000002</v>
      </c>
      <c r="P11" s="157">
        <v>18.5</v>
      </c>
      <c r="Q11" s="157">
        <v>0.46400000000000008</v>
      </c>
      <c r="R11" s="133">
        <f>M11+N11+P11+Q11+O11</f>
        <v>23.189</v>
      </c>
      <c r="S11" s="158"/>
    </row>
    <row r="12" spans="1:26" ht="45" x14ac:dyDescent="0.25">
      <c r="A12" s="71" t="s">
        <v>40</v>
      </c>
      <c r="B12" s="69" t="s">
        <v>82</v>
      </c>
      <c r="C12" s="70">
        <v>466.1</v>
      </c>
      <c r="D12" s="69" t="s">
        <v>124</v>
      </c>
      <c r="E12" s="88">
        <v>2014</v>
      </c>
      <c r="F12" s="88">
        <v>2014</v>
      </c>
      <c r="G12" s="88">
        <v>2550</v>
      </c>
      <c r="H12" s="69" t="s">
        <v>82</v>
      </c>
      <c r="I12" s="93" t="s">
        <v>348</v>
      </c>
      <c r="J12" s="88" t="s">
        <v>388</v>
      </c>
      <c r="K12" s="88" t="s">
        <v>385</v>
      </c>
      <c r="L12" s="93">
        <v>0.04</v>
      </c>
      <c r="M12" s="93">
        <v>2.3195200000000002</v>
      </c>
      <c r="N12" s="93">
        <v>28.994</v>
      </c>
      <c r="O12" s="93"/>
      <c r="P12" s="93"/>
      <c r="Q12" s="93">
        <v>0.28899999999999998</v>
      </c>
      <c r="R12" s="133">
        <f>M12+N12+P12+Q12+O12</f>
        <v>31.602520000000002</v>
      </c>
      <c r="S12" s="78"/>
    </row>
    <row r="13" spans="1:26" ht="45" x14ac:dyDescent="0.25">
      <c r="A13" s="71" t="s">
        <v>40</v>
      </c>
      <c r="B13" s="69" t="s">
        <v>82</v>
      </c>
      <c r="C13" s="70">
        <v>466.1</v>
      </c>
      <c r="D13" s="69" t="s">
        <v>124</v>
      </c>
      <c r="E13" s="88">
        <v>2014</v>
      </c>
      <c r="F13" s="88">
        <v>2014</v>
      </c>
      <c r="G13" s="88">
        <v>2550</v>
      </c>
      <c r="H13" s="69" t="s">
        <v>82</v>
      </c>
      <c r="I13" s="115" t="s">
        <v>393</v>
      </c>
      <c r="J13" s="88" t="s">
        <v>388</v>
      </c>
      <c r="K13" s="88" t="s">
        <v>385</v>
      </c>
      <c r="L13" s="93">
        <v>0.1</v>
      </c>
      <c r="M13" s="93">
        <v>12.08</v>
      </c>
      <c r="N13" s="93">
        <v>41.69</v>
      </c>
      <c r="O13" s="93">
        <v>16.760999999999999</v>
      </c>
      <c r="P13" s="93">
        <v>239.44</v>
      </c>
      <c r="Q13" s="93">
        <v>2.2440000000000002</v>
      </c>
      <c r="R13" s="133">
        <f>M13+N13+P13+Q13+O13</f>
        <v>312.21500000000003</v>
      </c>
      <c r="S13" s="78"/>
      <c r="T13" s="95"/>
    </row>
    <row r="14" spans="1:26" ht="60" x14ac:dyDescent="0.25">
      <c r="A14" s="152" t="s">
        <v>331</v>
      </c>
      <c r="B14" s="153">
        <v>40850947</v>
      </c>
      <c r="C14" s="154">
        <v>466.1</v>
      </c>
      <c r="D14" s="153" t="s">
        <v>324</v>
      </c>
      <c r="E14" s="155">
        <v>2014</v>
      </c>
      <c r="F14" s="155">
        <v>2014</v>
      </c>
      <c r="G14" s="155">
        <v>2549</v>
      </c>
      <c r="H14" s="153">
        <v>40850947</v>
      </c>
      <c r="I14" s="156" t="s">
        <v>350</v>
      </c>
      <c r="J14" s="155" t="s">
        <v>384</v>
      </c>
      <c r="K14" s="155" t="s">
        <v>383</v>
      </c>
      <c r="L14" s="157">
        <v>2.5000000000000001E-2</v>
      </c>
      <c r="M14" s="157">
        <v>1.86</v>
      </c>
      <c r="N14" s="157">
        <v>19.995000000000001</v>
      </c>
      <c r="O14" s="157"/>
      <c r="P14" s="157"/>
      <c r="Q14" s="157">
        <v>1.395</v>
      </c>
      <c r="R14" s="133">
        <f t="shared" ref="R14:R29" si="1">M14+N14+P14+Q14</f>
        <v>23.25</v>
      </c>
      <c r="S14" s="158"/>
      <c r="T14" s="95"/>
    </row>
    <row r="15" spans="1:26" ht="45" x14ac:dyDescent="0.25">
      <c r="A15" s="152" t="s">
        <v>280</v>
      </c>
      <c r="B15" s="153" t="s">
        <v>281</v>
      </c>
      <c r="C15" s="154">
        <v>124902.88</v>
      </c>
      <c r="D15" s="153" t="s">
        <v>282</v>
      </c>
      <c r="E15" s="155">
        <v>2014</v>
      </c>
      <c r="F15" s="155">
        <v>2014</v>
      </c>
      <c r="G15" s="155">
        <v>2549</v>
      </c>
      <c r="H15" s="153" t="s">
        <v>281</v>
      </c>
      <c r="I15" s="156" t="s">
        <v>16</v>
      </c>
      <c r="J15" s="155" t="s">
        <v>384</v>
      </c>
      <c r="K15" s="155" t="s">
        <v>383</v>
      </c>
      <c r="L15" s="157">
        <v>0.04</v>
      </c>
      <c r="M15" s="157">
        <v>2.6040000000000005</v>
      </c>
      <c r="N15" s="157">
        <v>27.993000000000002</v>
      </c>
      <c r="O15" s="157"/>
      <c r="P15" s="157"/>
      <c r="Q15" s="157">
        <v>1.9530000000000003</v>
      </c>
      <c r="R15" s="133">
        <f t="shared" si="1"/>
        <v>32.550000000000004</v>
      </c>
      <c r="S15" s="158"/>
      <c r="U15" s="5"/>
    </row>
    <row r="16" spans="1:26" ht="45" x14ac:dyDescent="0.25">
      <c r="A16" s="152" t="s">
        <v>40</v>
      </c>
      <c r="B16" s="153" t="s">
        <v>82</v>
      </c>
      <c r="C16" s="154">
        <v>466.1</v>
      </c>
      <c r="D16" s="153" t="s">
        <v>124</v>
      </c>
      <c r="E16" s="155">
        <v>2014</v>
      </c>
      <c r="F16" s="155">
        <v>2014</v>
      </c>
      <c r="G16" s="155">
        <v>2549</v>
      </c>
      <c r="H16" s="153" t="s">
        <v>82</v>
      </c>
      <c r="I16" s="156" t="s">
        <v>346</v>
      </c>
      <c r="J16" s="155" t="s">
        <v>384</v>
      </c>
      <c r="K16" s="155" t="s">
        <v>383</v>
      </c>
      <c r="L16" s="157">
        <v>0.49</v>
      </c>
      <c r="M16" s="157">
        <v>36.456000000000003</v>
      </c>
      <c r="N16" s="157">
        <v>391.90199999999999</v>
      </c>
      <c r="O16" s="157"/>
      <c r="P16" s="157"/>
      <c r="Q16" s="157">
        <v>27.341999999999999</v>
      </c>
      <c r="R16" s="133">
        <f t="shared" si="1"/>
        <v>455.7</v>
      </c>
      <c r="S16" s="158"/>
      <c r="U16" s="5"/>
    </row>
    <row r="17" spans="1:21" ht="45" x14ac:dyDescent="0.25">
      <c r="A17" s="152" t="s">
        <v>42</v>
      </c>
      <c r="B17" s="153" t="s">
        <v>84</v>
      </c>
      <c r="C17" s="154">
        <v>466.1</v>
      </c>
      <c r="D17" s="153" t="s">
        <v>126</v>
      </c>
      <c r="E17" s="155">
        <v>2014</v>
      </c>
      <c r="F17" s="155">
        <v>2014</v>
      </c>
      <c r="G17" s="155">
        <v>2549</v>
      </c>
      <c r="H17" s="153" t="s">
        <v>84</v>
      </c>
      <c r="I17" s="156" t="s">
        <v>16</v>
      </c>
      <c r="J17" s="155" t="s">
        <v>384</v>
      </c>
      <c r="K17" s="155" t="s">
        <v>383</v>
      </c>
      <c r="L17" s="157">
        <v>0.15</v>
      </c>
      <c r="M17" s="157">
        <v>11.16</v>
      </c>
      <c r="N17" s="157">
        <v>119.97</v>
      </c>
      <c r="O17" s="157"/>
      <c r="P17" s="157"/>
      <c r="Q17" s="157">
        <v>8.3699999999999992</v>
      </c>
      <c r="R17" s="133">
        <f t="shared" si="1"/>
        <v>139.5</v>
      </c>
      <c r="S17" s="158"/>
      <c r="U17" s="5"/>
    </row>
    <row r="18" spans="1:21" ht="45" x14ac:dyDescent="0.25">
      <c r="A18" s="152" t="s">
        <v>43</v>
      </c>
      <c r="B18" s="153" t="s">
        <v>85</v>
      </c>
      <c r="C18" s="154">
        <v>466.1</v>
      </c>
      <c r="D18" s="153" t="s">
        <v>127</v>
      </c>
      <c r="E18" s="155">
        <v>2014</v>
      </c>
      <c r="F18" s="155">
        <v>2014</v>
      </c>
      <c r="G18" s="155">
        <v>2549</v>
      </c>
      <c r="H18" s="153" t="s">
        <v>85</v>
      </c>
      <c r="I18" s="156" t="s">
        <v>16</v>
      </c>
      <c r="J18" s="155" t="s">
        <v>384</v>
      </c>
      <c r="K18" s="155" t="s">
        <v>383</v>
      </c>
      <c r="L18" s="157">
        <v>0.04</v>
      </c>
      <c r="M18" s="157">
        <v>2.9760000000000004</v>
      </c>
      <c r="N18" s="157">
        <v>31.992000000000001</v>
      </c>
      <c r="O18" s="157"/>
      <c r="P18" s="157"/>
      <c r="Q18" s="157">
        <v>2.2320000000000002</v>
      </c>
      <c r="R18" s="133">
        <f t="shared" si="1"/>
        <v>37.200000000000003</v>
      </c>
      <c r="S18" s="158"/>
      <c r="U18" s="5"/>
    </row>
    <row r="19" spans="1:21" ht="45" x14ac:dyDescent="0.25">
      <c r="A19" s="152" t="s">
        <v>44</v>
      </c>
      <c r="B19" s="153" t="s">
        <v>86</v>
      </c>
      <c r="C19" s="154">
        <v>466.1</v>
      </c>
      <c r="D19" s="153" t="s">
        <v>128</v>
      </c>
      <c r="E19" s="155">
        <v>2014</v>
      </c>
      <c r="F19" s="155">
        <v>2014</v>
      </c>
      <c r="G19" s="155">
        <v>2549</v>
      </c>
      <c r="H19" s="153" t="s">
        <v>86</v>
      </c>
      <c r="I19" s="156" t="s">
        <v>16</v>
      </c>
      <c r="J19" s="155" t="s">
        <v>384</v>
      </c>
      <c r="K19" s="155" t="s">
        <v>383</v>
      </c>
      <c r="L19" s="157">
        <v>0.21</v>
      </c>
      <c r="M19" s="157">
        <v>15.623999999999999</v>
      </c>
      <c r="N19" s="157">
        <v>167.95799999999997</v>
      </c>
      <c r="O19" s="157"/>
      <c r="P19" s="157"/>
      <c r="Q19" s="157">
        <v>11.717999999999998</v>
      </c>
      <c r="R19" s="133">
        <f t="shared" si="1"/>
        <v>195.29999999999995</v>
      </c>
      <c r="S19" s="158"/>
      <c r="U19" s="5"/>
    </row>
    <row r="20" spans="1:21" ht="45" x14ac:dyDescent="0.25">
      <c r="A20" s="152" t="s">
        <v>45</v>
      </c>
      <c r="B20" s="153" t="s">
        <v>87</v>
      </c>
      <c r="C20" s="154">
        <v>466.1</v>
      </c>
      <c r="D20" s="153" t="s">
        <v>129</v>
      </c>
      <c r="E20" s="155">
        <v>2014</v>
      </c>
      <c r="F20" s="155">
        <v>2014</v>
      </c>
      <c r="G20" s="155">
        <v>2549</v>
      </c>
      <c r="H20" s="153" t="s">
        <v>87</v>
      </c>
      <c r="I20" s="156" t="s">
        <v>16</v>
      </c>
      <c r="J20" s="155" t="s">
        <v>384</v>
      </c>
      <c r="K20" s="155" t="s">
        <v>383</v>
      </c>
      <c r="L20" s="157">
        <v>0.27</v>
      </c>
      <c r="M20" s="157">
        <v>20.088000000000001</v>
      </c>
      <c r="N20" s="157">
        <v>215.94600000000003</v>
      </c>
      <c r="O20" s="157"/>
      <c r="P20" s="157"/>
      <c r="Q20" s="157">
        <v>15.066000000000001</v>
      </c>
      <c r="R20" s="133">
        <f t="shared" si="1"/>
        <v>251.10000000000002</v>
      </c>
      <c r="S20" s="158"/>
      <c r="U20" s="5"/>
    </row>
    <row r="21" spans="1:21" ht="45" x14ac:dyDescent="0.25">
      <c r="A21" s="152" t="s">
        <v>46</v>
      </c>
      <c r="B21" s="153" t="s">
        <v>88</v>
      </c>
      <c r="C21" s="154">
        <v>466.1</v>
      </c>
      <c r="D21" s="153" t="s">
        <v>130</v>
      </c>
      <c r="E21" s="155">
        <v>2014</v>
      </c>
      <c r="F21" s="155">
        <v>2014</v>
      </c>
      <c r="G21" s="155">
        <v>2549</v>
      </c>
      <c r="H21" s="153" t="s">
        <v>88</v>
      </c>
      <c r="I21" s="156" t="s">
        <v>16</v>
      </c>
      <c r="J21" s="155" t="s">
        <v>384</v>
      </c>
      <c r="K21" s="155" t="s">
        <v>383</v>
      </c>
      <c r="L21" s="157">
        <v>0.08</v>
      </c>
      <c r="M21" s="157">
        <v>5.9520000000000008</v>
      </c>
      <c r="N21" s="157">
        <v>63.984000000000002</v>
      </c>
      <c r="O21" s="157"/>
      <c r="P21" s="157"/>
      <c r="Q21" s="157">
        <v>4.4640000000000004</v>
      </c>
      <c r="R21" s="133">
        <f t="shared" si="1"/>
        <v>74.400000000000006</v>
      </c>
      <c r="S21" s="158"/>
      <c r="U21" s="5"/>
    </row>
    <row r="22" spans="1:21" ht="45" x14ac:dyDescent="0.25">
      <c r="A22" s="152" t="s">
        <v>47</v>
      </c>
      <c r="B22" s="153" t="s">
        <v>89</v>
      </c>
      <c r="C22" s="154">
        <v>466.1</v>
      </c>
      <c r="D22" s="153" t="s">
        <v>131</v>
      </c>
      <c r="E22" s="155">
        <v>2014</v>
      </c>
      <c r="F22" s="155">
        <v>2014</v>
      </c>
      <c r="G22" s="155">
        <v>2549</v>
      </c>
      <c r="H22" s="153" t="s">
        <v>89</v>
      </c>
      <c r="I22" s="156" t="s">
        <v>16</v>
      </c>
      <c r="J22" s="155" t="s">
        <v>384</v>
      </c>
      <c r="K22" s="155" t="s">
        <v>383</v>
      </c>
      <c r="L22" s="157">
        <v>0.12</v>
      </c>
      <c r="M22" s="157">
        <v>8.927999999999999</v>
      </c>
      <c r="N22" s="157">
        <v>95.975999999999999</v>
      </c>
      <c r="O22" s="157"/>
      <c r="P22" s="157"/>
      <c r="Q22" s="157">
        <v>6.6959999999999997</v>
      </c>
      <c r="R22" s="133">
        <f t="shared" si="1"/>
        <v>111.6</v>
      </c>
      <c r="S22" s="158"/>
      <c r="U22" s="5"/>
    </row>
    <row r="23" spans="1:21" ht="45" x14ac:dyDescent="0.25">
      <c r="A23" s="152" t="s">
        <v>48</v>
      </c>
      <c r="B23" s="153" t="s">
        <v>90</v>
      </c>
      <c r="C23" s="154">
        <v>466.1</v>
      </c>
      <c r="D23" s="153" t="s">
        <v>132</v>
      </c>
      <c r="E23" s="155">
        <v>2014</v>
      </c>
      <c r="F23" s="155">
        <v>2014</v>
      </c>
      <c r="G23" s="155">
        <v>2549</v>
      </c>
      <c r="H23" s="153" t="s">
        <v>90</v>
      </c>
      <c r="I23" s="156" t="s">
        <v>16</v>
      </c>
      <c r="J23" s="155" t="s">
        <v>384</v>
      </c>
      <c r="K23" s="155" t="s">
        <v>383</v>
      </c>
      <c r="L23" s="157">
        <v>0.04</v>
      </c>
      <c r="M23" s="157">
        <v>2.9760000000000004</v>
      </c>
      <c r="N23" s="157">
        <v>31.992000000000001</v>
      </c>
      <c r="O23" s="157"/>
      <c r="P23" s="157"/>
      <c r="Q23" s="157">
        <v>2.2320000000000002</v>
      </c>
      <c r="R23" s="133">
        <f t="shared" si="1"/>
        <v>37.200000000000003</v>
      </c>
      <c r="S23" s="158"/>
      <c r="U23" s="5"/>
    </row>
    <row r="24" spans="1:21" ht="45" x14ac:dyDescent="0.25">
      <c r="A24" s="152" t="s">
        <v>49</v>
      </c>
      <c r="B24" s="153" t="s">
        <v>91</v>
      </c>
      <c r="C24" s="154">
        <v>466.1</v>
      </c>
      <c r="D24" s="153" t="s">
        <v>133</v>
      </c>
      <c r="E24" s="155">
        <v>2014</v>
      </c>
      <c r="F24" s="155">
        <v>2014</v>
      </c>
      <c r="G24" s="155">
        <v>2549</v>
      </c>
      <c r="H24" s="153" t="s">
        <v>91</v>
      </c>
      <c r="I24" s="156" t="s">
        <v>16</v>
      </c>
      <c r="J24" s="155" t="s">
        <v>384</v>
      </c>
      <c r="K24" s="155" t="s">
        <v>383</v>
      </c>
      <c r="L24" s="157">
        <v>0.12</v>
      </c>
      <c r="M24" s="157">
        <v>8.927999999999999</v>
      </c>
      <c r="N24" s="157">
        <v>95.975999999999999</v>
      </c>
      <c r="O24" s="157"/>
      <c r="P24" s="157"/>
      <c r="Q24" s="157">
        <v>6.6959999999999997</v>
      </c>
      <c r="R24" s="133">
        <f t="shared" si="1"/>
        <v>111.6</v>
      </c>
      <c r="S24" s="158"/>
      <c r="U24" s="5"/>
    </row>
    <row r="25" spans="1:21" ht="45" x14ac:dyDescent="0.25">
      <c r="A25" s="152" t="s">
        <v>50</v>
      </c>
      <c r="B25" s="153" t="s">
        <v>92</v>
      </c>
      <c r="C25" s="154">
        <v>466.1</v>
      </c>
      <c r="D25" s="153" t="s">
        <v>134</v>
      </c>
      <c r="E25" s="155">
        <v>2014</v>
      </c>
      <c r="F25" s="155">
        <v>2014</v>
      </c>
      <c r="G25" s="155">
        <v>2549</v>
      </c>
      <c r="H25" s="153" t="s">
        <v>92</v>
      </c>
      <c r="I25" s="156" t="s">
        <v>16</v>
      </c>
      <c r="J25" s="155" t="s">
        <v>384</v>
      </c>
      <c r="K25" s="155" t="s">
        <v>385</v>
      </c>
      <c r="L25" s="157">
        <v>0.35</v>
      </c>
      <c r="M25" s="157">
        <v>26.04</v>
      </c>
      <c r="N25" s="157">
        <v>279.93</v>
      </c>
      <c r="O25" s="157"/>
      <c r="P25" s="157"/>
      <c r="Q25" s="157">
        <v>19.529999999999998</v>
      </c>
      <c r="R25" s="133">
        <f t="shared" si="1"/>
        <v>325.5</v>
      </c>
      <c r="S25" s="158"/>
      <c r="U25" s="5"/>
    </row>
    <row r="26" spans="1:21" ht="45" x14ac:dyDescent="0.25">
      <c r="A26" s="152" t="s">
        <v>52</v>
      </c>
      <c r="B26" s="153" t="s">
        <v>94</v>
      </c>
      <c r="C26" s="154">
        <v>466.1</v>
      </c>
      <c r="D26" s="153" t="s">
        <v>136</v>
      </c>
      <c r="E26" s="155">
        <v>2014</v>
      </c>
      <c r="F26" s="155">
        <v>2014</v>
      </c>
      <c r="G26" s="155">
        <v>2549</v>
      </c>
      <c r="H26" s="153" t="s">
        <v>94</v>
      </c>
      <c r="I26" s="156" t="s">
        <v>16</v>
      </c>
      <c r="J26" s="155" t="s">
        <v>384</v>
      </c>
      <c r="K26" s="155" t="s">
        <v>385</v>
      </c>
      <c r="L26" s="157">
        <v>0.18</v>
      </c>
      <c r="M26" s="157">
        <v>13.392000000000001</v>
      </c>
      <c r="N26" s="157">
        <v>143.964</v>
      </c>
      <c r="O26" s="157"/>
      <c r="P26" s="157"/>
      <c r="Q26" s="157">
        <v>10.044</v>
      </c>
      <c r="R26" s="133">
        <f t="shared" si="1"/>
        <v>167.4</v>
      </c>
      <c r="S26" s="158"/>
      <c r="U26" s="5"/>
    </row>
    <row r="27" spans="1:21" ht="60" x14ac:dyDescent="0.25">
      <c r="A27" s="71" t="s">
        <v>331</v>
      </c>
      <c r="B27" s="69">
        <v>40850947</v>
      </c>
      <c r="C27" s="70">
        <v>466.1</v>
      </c>
      <c r="D27" s="69" t="s">
        <v>324</v>
      </c>
      <c r="E27" s="88">
        <v>2014</v>
      </c>
      <c r="F27" s="88">
        <v>2014</v>
      </c>
      <c r="G27" s="88">
        <v>2549</v>
      </c>
      <c r="H27" s="69">
        <v>40850947</v>
      </c>
      <c r="I27" s="115" t="s">
        <v>394</v>
      </c>
      <c r="J27" s="88" t="s">
        <v>384</v>
      </c>
      <c r="K27" s="88" t="s">
        <v>385</v>
      </c>
      <c r="L27" s="93">
        <v>0.16</v>
      </c>
      <c r="M27" s="93">
        <v>3.4713599999999998</v>
      </c>
      <c r="N27" s="93">
        <v>39.486719999999998</v>
      </c>
      <c r="O27" s="93"/>
      <c r="P27" s="93"/>
      <c r="Q27" s="93">
        <v>0.43391999999999997</v>
      </c>
      <c r="R27" s="133">
        <f t="shared" si="1"/>
        <v>43.391999999999996</v>
      </c>
      <c r="S27" s="78"/>
      <c r="U27" s="5"/>
    </row>
    <row r="28" spans="1:21" ht="60" x14ac:dyDescent="0.25">
      <c r="A28" s="71" t="s">
        <v>41</v>
      </c>
      <c r="B28" s="69" t="s">
        <v>83</v>
      </c>
      <c r="C28" s="70">
        <v>466.1</v>
      </c>
      <c r="D28" s="69" t="s">
        <v>125</v>
      </c>
      <c r="E28" s="88">
        <v>2014</v>
      </c>
      <c r="F28" s="88">
        <v>2014</v>
      </c>
      <c r="G28" s="88">
        <v>2549</v>
      </c>
      <c r="H28" s="69" t="s">
        <v>83</v>
      </c>
      <c r="I28" s="115" t="s">
        <v>394</v>
      </c>
      <c r="J28" s="88" t="s">
        <v>384</v>
      </c>
      <c r="K28" s="88" t="s">
        <v>385</v>
      </c>
      <c r="L28" s="93">
        <v>0.08</v>
      </c>
      <c r="M28" s="93">
        <v>1.7356799999999999</v>
      </c>
      <c r="N28" s="93">
        <v>19.743359999999999</v>
      </c>
      <c r="O28" s="93"/>
      <c r="P28" s="93"/>
      <c r="Q28" s="93">
        <v>0.21695999999999999</v>
      </c>
      <c r="R28" s="133">
        <f t="shared" si="1"/>
        <v>21.695999999999998</v>
      </c>
      <c r="S28" s="78"/>
      <c r="T28" s="95"/>
      <c r="U28" s="112">
        <f>R28/L28</f>
        <v>271.2</v>
      </c>
    </row>
    <row r="29" spans="1:21" ht="60" x14ac:dyDescent="0.25">
      <c r="A29" s="152" t="s">
        <v>331</v>
      </c>
      <c r="B29" s="153">
        <v>40850947</v>
      </c>
      <c r="C29" s="154">
        <v>466.1</v>
      </c>
      <c r="D29" s="153" t="s">
        <v>324</v>
      </c>
      <c r="E29" s="155">
        <v>2014</v>
      </c>
      <c r="F29" s="155">
        <v>2014</v>
      </c>
      <c r="G29" s="155">
        <v>2549</v>
      </c>
      <c r="H29" s="153">
        <v>40850947</v>
      </c>
      <c r="I29" s="156" t="s">
        <v>396</v>
      </c>
      <c r="J29" s="155" t="s">
        <v>384</v>
      </c>
      <c r="K29" s="155" t="s">
        <v>383</v>
      </c>
      <c r="L29" s="157">
        <v>0.04</v>
      </c>
      <c r="M29" s="157">
        <v>1.7356799999999999</v>
      </c>
      <c r="N29" s="157">
        <v>19.743359999999999</v>
      </c>
      <c r="O29" s="157"/>
      <c r="P29" s="157"/>
      <c r="Q29" s="157">
        <v>0.21695999999999999</v>
      </c>
      <c r="R29" s="133">
        <f t="shared" si="1"/>
        <v>21.695999999999998</v>
      </c>
      <c r="S29" s="158"/>
      <c r="U29" s="5"/>
    </row>
    <row r="30" spans="1:21" s="112" customFormat="1" x14ac:dyDescent="0.25">
      <c r="A30" s="5"/>
      <c r="B30" s="5"/>
      <c r="C30" s="5"/>
      <c r="D30" s="5"/>
      <c r="E30" s="5"/>
      <c r="F30" s="5"/>
      <c r="G30" s="5"/>
      <c r="H30" s="5"/>
      <c r="I30" s="113"/>
      <c r="J30" s="5"/>
      <c r="K30" s="5"/>
      <c r="L30" s="95"/>
      <c r="M30" s="95"/>
      <c r="N30" s="95"/>
      <c r="O30" s="95"/>
      <c r="P30" s="95"/>
      <c r="Q30" s="95"/>
      <c r="R30" s="95"/>
      <c r="S30" s="5"/>
      <c r="T30" s="95"/>
    </row>
  </sheetData>
  <autoFilter ref="A5:S2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26_лот_(льготники)</vt:lpstr>
      <vt:lpstr>Лист2</vt:lpstr>
      <vt:lpstr>26_лот_(льгот) 8500002907</vt:lpstr>
      <vt:lpstr>'26_лот_(льготники)'!Заголовки_для_печати</vt:lpstr>
      <vt:lpstr>'26_лот_(льготники)'!Область_печати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2014-03-26T04:51:40Z</dcterms:modified>
</cp:coreProperties>
</file>