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585" windowWidth="15120" windowHeight="7530" tabRatio="203" firstSheet="2" activeTab="2"/>
  </bookViews>
  <sheets>
    <sheet name="25_лот_(НЕ_льготники)" sheetId="3" r:id="rId1"/>
    <sheet name="Лист1" sheetId="4" r:id="rId2"/>
    <sheet name="25 Лот не льготники" sheetId="5" r:id="rId3"/>
  </sheets>
  <definedNames>
    <definedName name="_xlnm._FilterDatabase" localSheetId="2" hidden="1">'25 Лот не льготники'!$A$5:$Q$24</definedName>
    <definedName name="_xlnm._FilterDatabase" localSheetId="0" hidden="1">'25_лот_(НЕ_льготники)'!$A$2:$BL$2</definedName>
    <definedName name="_xlnm._FilterDatabase" localSheetId="1" hidden="1">Лист1!$A$5:$Q$28</definedName>
    <definedName name="_xlnm.Print_Titles" localSheetId="0">'25_лот_(НЕ_льготники)'!$2:$2</definedName>
    <definedName name="_xlnm.Print_Area" localSheetId="0">'25_лот_(НЕ_льготники)'!$A$1:$BK$26</definedName>
  </definedNames>
  <calcPr calcId="145621"/>
</workbook>
</file>

<file path=xl/calcChain.xml><?xml version="1.0" encoding="utf-8"?>
<calcChain xmlns="http://schemas.openxmlformats.org/spreadsheetml/2006/main">
  <c r="L2" i="5" l="1"/>
  <c r="M2" i="5"/>
  <c r="N2" i="5"/>
  <c r="O2" i="5"/>
  <c r="K2" i="5"/>
  <c r="P24" i="5" l="1"/>
  <c r="P20" i="5"/>
  <c r="P19" i="5"/>
  <c r="P18" i="5"/>
  <c r="P17" i="5"/>
  <c r="P16" i="5"/>
  <c r="P15" i="5"/>
  <c r="P14" i="5"/>
  <c r="P13" i="5"/>
  <c r="P11" i="5"/>
  <c r="P10" i="5"/>
  <c r="P9" i="5"/>
  <c r="P23" i="5"/>
  <c r="P6" i="5"/>
  <c r="P22" i="5"/>
  <c r="P21" i="5"/>
  <c r="Q2" i="5"/>
  <c r="P2" i="5" l="1"/>
  <c r="Q26" i="3"/>
  <c r="P28" i="4"/>
  <c r="P27" i="4"/>
  <c r="P25" i="4"/>
  <c r="P24" i="4"/>
  <c r="P22" i="4"/>
  <c r="P21" i="4"/>
  <c r="P19" i="4"/>
  <c r="P18" i="4"/>
  <c r="P16" i="4"/>
  <c r="P15" i="4"/>
  <c r="P14" i="4"/>
  <c r="P12" i="4"/>
  <c r="P11" i="4"/>
  <c r="P10" i="4"/>
  <c r="P9" i="4"/>
  <c r="P7" i="4"/>
  <c r="P6" i="4"/>
  <c r="Q2" i="4"/>
  <c r="O2" i="4"/>
  <c r="N2" i="4"/>
  <c r="M2" i="4"/>
  <c r="L2" i="4"/>
  <c r="K2" i="4"/>
  <c r="P2" i="4" l="1"/>
  <c r="BJ26" i="3"/>
  <c r="O23" i="3"/>
  <c r="L23" i="3"/>
  <c r="K24" i="3"/>
  <c r="P24" i="3" s="1"/>
  <c r="P23" i="3" s="1"/>
  <c r="L20" i="3"/>
  <c r="J20" i="3"/>
  <c r="P22" i="3"/>
  <c r="O22" i="3"/>
  <c r="O20" i="3" s="1"/>
  <c r="N22" i="3"/>
  <c r="M22" i="3"/>
  <c r="Q22" i="3" s="1"/>
  <c r="K22" i="3"/>
  <c r="K21" i="3"/>
  <c r="P21" i="3" s="1"/>
  <c r="P20" i="3" s="1"/>
  <c r="P9" i="3"/>
  <c r="O9" i="3"/>
  <c r="Q6" i="3"/>
  <c r="O5" i="3"/>
  <c r="Q17" i="3"/>
  <c r="P17" i="3"/>
  <c r="O17" i="3"/>
  <c r="N17" i="3"/>
  <c r="M17" i="3"/>
  <c r="K17" i="3"/>
  <c r="O14" i="3"/>
  <c r="K15" i="3"/>
  <c r="K14" i="3" s="1"/>
  <c r="O11" i="3"/>
  <c r="O10" i="3" s="1"/>
  <c r="N11" i="3"/>
  <c r="M11" i="3"/>
  <c r="K11" i="3"/>
  <c r="K10" i="3" s="1"/>
  <c r="P12" i="3"/>
  <c r="O12" i="3"/>
  <c r="N12" i="3"/>
  <c r="M12" i="3"/>
  <c r="K13" i="3"/>
  <c r="P13" i="3" s="1"/>
  <c r="K12" i="3"/>
  <c r="K8" i="3"/>
  <c r="K5" i="3" s="1"/>
  <c r="K9" i="3"/>
  <c r="M9" i="3" s="1"/>
  <c r="K4" i="3"/>
  <c r="P4" i="3" s="1"/>
  <c r="P10" i="3" l="1"/>
  <c r="M13" i="3"/>
  <c r="N13" i="3"/>
  <c r="N10" i="3" s="1"/>
  <c r="M15" i="3"/>
  <c r="N15" i="3"/>
  <c r="N14" i="3" s="1"/>
  <c r="P15" i="3"/>
  <c r="P14" i="3" s="1"/>
  <c r="M4" i="3"/>
  <c r="N4" i="3"/>
  <c r="M8" i="3"/>
  <c r="N8" i="3"/>
  <c r="N5" i="3" s="1"/>
  <c r="P8" i="3"/>
  <c r="P5" i="3" s="1"/>
  <c r="K20" i="3"/>
  <c r="K23" i="3"/>
  <c r="M24" i="3"/>
  <c r="N24" i="3"/>
  <c r="N23" i="3" s="1"/>
  <c r="M21" i="3"/>
  <c r="N21" i="3"/>
  <c r="N20" i="3" s="1"/>
  <c r="Q21" i="3" l="1"/>
  <c r="Q20" i="3" s="1"/>
  <c r="M20" i="3"/>
  <c r="Q24" i="3"/>
  <c r="Q23" i="3" s="1"/>
  <c r="M23" i="3"/>
  <c r="M5" i="3"/>
  <c r="Q8" i="3"/>
  <c r="Q5" i="3" s="1"/>
  <c r="M14" i="3"/>
  <c r="Q15" i="3"/>
  <c r="Q14" i="3" s="1"/>
  <c r="Q13" i="3"/>
  <c r="Q10" i="3" s="1"/>
  <c r="M10" i="3"/>
</calcChain>
</file>

<file path=xl/sharedStrings.xml><?xml version="1.0" encoding="utf-8"?>
<sst xmlns="http://schemas.openxmlformats.org/spreadsheetml/2006/main" count="403" uniqueCount="133">
  <si>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</si>
  <si>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</si>
  <si>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</si>
  <si>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</si>
  <si>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</si>
  <si>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</si>
  <si>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</si>
  <si>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</si>
  <si>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</si>
  <si>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</si>
  <si>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</si>
  <si>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</si>
  <si>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</si>
  <si>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</si>
  <si>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</si>
  <si>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</si>
  <si>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</si>
  <si>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</si>
  <si>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Реконструкция ВЛ-0,4 кВ с монтажем дополнительного провода</t>
  </si>
  <si>
    <t>Реконструкция ВЛ-0,4 кВ с монтажем 2-х дополнительныхпроводов</t>
  </si>
  <si>
    <t>Примечание</t>
  </si>
  <si>
    <t>Адрес объекта</t>
  </si>
  <si>
    <t>Реконструкция ВЛ-0,4 кВ с монтажем 4-х дополнительныхпроводов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</si>
  <si>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</si>
  <si>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</si>
  <si>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</si>
  <si>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</si>
  <si>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ФРЭС</t>
  </si>
  <si>
    <t>КРЭС</t>
  </si>
  <si>
    <t>ЦРЭС</t>
  </si>
  <si>
    <t/>
  </si>
  <si>
    <t>Номер (а) договор(ов) ТП в SAPе</t>
  </si>
  <si>
    <t>Су.РЭС</t>
  </si>
  <si>
    <t>Сумма по договору ТП, руб. без НДС</t>
  </si>
  <si>
    <t>Монтаж учёта в ТП 10 (6)/0,4 кВ</t>
  </si>
  <si>
    <t>В-2301/0089-ОРЗТП/2014 от 24.01.14г.</t>
  </si>
  <si>
    <t>В-2356/2999-ОРЗТП/2013 от 27.12.13г.</t>
  </si>
  <si>
    <t>З-1677/2591-ОРЗТП/2013 от 15.11.13г.</t>
  </si>
  <si>
    <t>З-1835/0131-ОРЗТП/2014 от 30.01.14г.</t>
  </si>
  <si>
    <t>С-1798/0147-ОРЗТП/2014 от 29.01.14г.</t>
  </si>
  <si>
    <t>Ц-7122/0025-ОРЗТП/2014 от 15.01.14г.</t>
  </si>
  <si>
    <t>Ц-7408/0043-ОРЗТП/2014 от 20.01.14г.</t>
  </si>
  <si>
    <t>Ю-2276/0078-ОРЗТП/2014 от 23.01.14г.</t>
  </si>
  <si>
    <t>Ю-2280/0105-ОРЗТП/2014 от 27.01.14г.</t>
  </si>
  <si>
    <t>40822704</t>
  </si>
  <si>
    <t>40839091</t>
  </si>
  <si>
    <t>40837480</t>
  </si>
  <si>
    <t>40819965</t>
  </si>
  <si>
    <t>40818599</t>
  </si>
  <si>
    <t>40842530</t>
  </si>
  <si>
    <t>40841410</t>
  </si>
  <si>
    <t>40840137</t>
  </si>
  <si>
    <t>Администрации Ниженского сельсовета</t>
  </si>
  <si>
    <t>Администрация п.Касторное Курской области</t>
  </si>
  <si>
    <t>ООО "Тепличный комплекс "АгроПарк"</t>
  </si>
  <si>
    <t>ОАО " Российский концерн по проиводству электрисческой и тепловой энергии на атомных станциях"</t>
  </si>
  <si>
    <t>Администрация Фатежского района Курской области</t>
  </si>
  <si>
    <t>Гриневич Людмила Андреевна, в лице Юдина Виктора Васильевича</t>
  </si>
  <si>
    <t>Гаражно-строительный кооператив «Автолюбитель»</t>
  </si>
  <si>
    <t>ОАО "Надежда"</t>
  </si>
  <si>
    <t>ООО "Фарос"</t>
  </si>
  <si>
    <t>ЧРЭС</t>
  </si>
  <si>
    <t>КаРЭС</t>
  </si>
  <si>
    <t>ГРЭС</t>
  </si>
  <si>
    <t>КуРЭС</t>
  </si>
  <si>
    <t>Черемисиновский р-он, д.Среднее Общество</t>
  </si>
  <si>
    <t>Курская обл., Касторенский р-н, с.Касторное, ул.Буденного</t>
  </si>
  <si>
    <t>Курская обл., Глушковский р-н, Кобыльской сельсовет, № 46:03:080403</t>
  </si>
  <si>
    <t>Курская обл., г. Курчатов, Промзона</t>
  </si>
  <si>
    <t>307100, Курская обл, г. Фатеж, ул. Восточная, д.53.</t>
  </si>
  <si>
    <t>Курская обл., Курский р-н, Ворошневский с/с, д. Ворошнево, кад. №46:11:050502:0008.</t>
  </si>
  <si>
    <t>г. Курск, ул. Рябиновая, кад. № 46:29:102033</t>
  </si>
  <si>
    <t>Курская обл., Суджанский район, Замостянский сельсовет, кад. 46:23:070602:6</t>
  </si>
  <si>
    <t>Курская обл., Суджанский район, п.Мирный</t>
  </si>
  <si>
    <t>Требования к приборам учёта электрической энергии (мощности):
 В соответствии с Постановлением  Правительства РФ от 04 мая 2012 г. N 442  «О  функционировании розничных рынков электрической энергии, полном и (или) частичном ограничении режима потребления электрической энергии» учет  электроэнергии  выполняется со следующими требованиями:
- приборы  учета  электрической  энергии  должны быть сертифицированы и внесены в Госреестр средств измерений РФ;
- приборы учета должны соответствовать ГОСТ Р 52322-2005. Часть 21 «Статические счетчики активной энергии классов точности 1 и 2» (для реактивной энергии -  ГОСТ Р 52425−2005 «Статические счетчики реактивной энергии»);
- класс точности 1,0 и выше; 
- Iном=5-60А (10-100А) (прямого включения); 
- температурный рабочий диапазон от -40°С до +70°С.</t>
  </si>
  <si>
    <t>строительство ответвления протяженностью 0,035 км от опоры № 16 ВЛ-0,4 № 1 до границы земельного участка заявителя с увеличение протяженности существующей ВЛ-0,4 кВ (марку и сечение провода, протяженность уточнить при проектировании).</t>
  </si>
  <si>
    <t>I этап: 
3.1.1.1. Строительство участка ВЛ-10 кВ от опоры №226 ВЛ-10 кВ №30214 ПС 35/10 кВ Кульбаки до границ земельного участка Заявителя протяженностью ориентировочно 0,15 км (точку врезки, тип, марку и сечение провода (кабеля), протяженность, прохождение трассы определить проектом).
II этап:
3.1.1.2. Строительство ВЛ-10 кВ от проектируемой ячейки 10 кВ ПС 35/10 кВ Кобылки до границ земельного участка Заявителя протяженностью ориентировочно 5,3 км (точку врезки, тип, марку и сечение провода (кабеля), протяженность, прохождение трассы определить проектом).
3.1.1.3. Существующая ПС 35/10 кВ Кобылки:
 монтаж новой ячейки 10 кВ (объем реконструкции определить при проектировании, тип и технические характеристики оборудования определить проектом).</t>
  </si>
  <si>
    <t>реконструкция ячейки 10 кВ №801 в части замены трансформаторов тока, РЗиА и монтажом выключателя 10 кВ (объемы реконструкции определить при проектировании).
реконструкция ячейки 10 кВ №823 в части замены трансформаторов тока, РЗиА и монтажом выключателя 10 кВ (объемы реконструкции определить при проектировании).</t>
  </si>
  <si>
    <t>строительство двухцепной ВЛИ-0,4 кВ протяженностью 0,045 км от ТП-10/0,4 кВ № 3/2х400 (17/2х400) до границы земельного участка заявителя (марку и сечение провода, протяженность уточнить при проектировании).                                                                     монтаж двух коммутационных аппаратов на I и II секциях шин 0,4 кВ ТП-10/0,4 кВ № 3/2х400 (17/2х400) (тип и технические характеристики коммутационных аппаратов определить проектом).                           В соответствии с Постановлением  Правительства РФ от 04 мая 2012 г. N 442  «О  функционировании розничных рынков электрической энергии, полном и (или) частичном ограничении режима потребления электрической энергии» учет  электроэнергии  выполняется со следующими требованиями: 
- приборы  учета  электрической  энергии  должны быть сертифицированы и внесены в Госреестр средств измерений РФ;
- приборы учета должны соответствовать ГОСТ Р 52322-2005. Часть 21 «Статические счетчики активной энергии классов точности 1 и 2» (для реактивной энергии -  ГОСТ Р 52425−2005 «Статические счетчики реактивной энергии»);
- класс точности 1,0 и выше; 
- Iном=5-7,5 А (для трехфазных трансформаторного включения);
- трансформаторы тока должны иметь класс точности не ниже 0,5;
- пломбированию подлежит и прибор учета, и трансформаторы тока;
- температурный рабочий диапазон от -40°С до +70°С.
Счетчики должны подключаться через испытательные коробки (согласно ПУЭ). Все клеммники трансформаторов тока, крышки переходных коробок, где имеются цепи к электросчетчикам, и испытательные коробки должны иметь возможность опломбирования.
 Место установки: в РУ-0,4 кВ ТП-10/0,4 кВ № 3/2х400 (17/2х400).</t>
  </si>
  <si>
    <t>строительство отпайки от опоры №4-3 ВЛ-6 кВ №411.51 протяженностью 0,02 км с монтажом разъединителя 6 кВ  (точку врезки, марку, сечение провода, протяженность, тип разъединителя уточнить при проектировании).</t>
  </si>
  <si>
    <t>- В соответствии с Постановлением  Правительства РФ от 04 мая 2012 г. N 442  «О  функционировании розничных рынков электрической энергии, полном и (или) частичном ограничении режима потребления электрической энергии» учет  электроэнергии  выполняется со следующими требованиями: 
- приборы  учета  электрической  энергии  должны быть сертифицированы и внесены в Госреестр средств измерений РФ;
- приборы учета должны соответствовать ГОСТ Р 52322-2005. Часть 21 «Статические счетчики активной энергии классов точности 1 и 2» (для реактивной энергии -  ГОСТ Р 52425−2005 «Статические счетчики реактивной энергии»);
- класс точности 1,0 и выше; 
- Iном=5-7,5 А (для трехфазных трансформаторного включения);
- трансформаторы тока должны иметь класс точности не ниже 0,5;
- пломбированию подлежит и прибор учета, и трансформаторы тока;
- температурный рабочий диапазон от -40°С до +70°С.
Счетчики должны подключаться через испытательные коробки (согласно ПУЭ).          Все клеммники трансформаторов тока, крышки переходных коробок, где имеются цепи к электросчетчикам, и испытательные коробки должны иметь возможность опломбирования
 Место установки: в шкафу на наружном фасаде гаражных боксов.</t>
  </si>
  <si>
    <t>строительство ответвления протяженностью 0,25 км от опоры существующей ВЛ-10 кВ № 7126 до проектируемой ТП-10/0,4 кВ с установкой разъединителя 10 кВ на концевой опоре и увеличением протяженности существующей ВЛ-10 кВ (марку и сечение кабеля, протяженность уточнить при проектировании, тип и технические характеристики разъединителя определить проектом);
строительство ответвления протяженностью 0,2 км от опоры существующей ВЛ-10 кВ № 22 до проектируемой ТП-10/0,4 кВ с установкой разъединителя 10 кВ на концевой опоре и увеличением протяженности существующей ВЛ-10 кВ (марку и сечение кабеля, протяженность уточнить при проектировании, тип и технические характеристики разъединителя определить проектом).</t>
  </si>
  <si>
    <t>строительство ответвления протяженностью 0,5 км от опоры существующей ВЛ-10 кВ № 30 до проектируемой ТП-10/0,4 кВ с установкой разъединителя 10 кВ на концевой опоре и увеличением протяженности существующей ВЛ-10 кВ (марку и сечение кабеля, протяженность уточнить при проектировании, тип и технические характеристики разъединителя определить проектом).</t>
  </si>
  <si>
    <t>реконструкция ТП-10/0,4 кВ № 10/2х250 в части замены автомата отходящей ВЛ-0,4 кВ № 3 (объем реконструкции уточнить при проектировании) – за счет средств тарифа на передачу электроэнергии.</t>
  </si>
  <si>
    <t>НЕ ЛЬГОТНИКИ Лот № 8500002701</t>
  </si>
  <si>
    <t>1 (без АСКУЭ)</t>
  </si>
  <si>
    <t>I этап: 0,15 км; II этап: 5,3 км</t>
  </si>
  <si>
    <t>реконструкция 2-х ячеек в части замены трансформаторов тока, РЗиА и монтажом выключателя 10 кВ</t>
  </si>
  <si>
    <t>0,045 (двухцепной участок)</t>
  </si>
  <si>
    <t>Монтаж 2-х коммутационных аппаратов 0,4 кВ)</t>
  </si>
  <si>
    <t>2 (без АСКУЭ)</t>
  </si>
  <si>
    <t>ВЛ-6 кВ: 0,02 км</t>
  </si>
  <si>
    <t>1 (6 кВ)</t>
  </si>
  <si>
    <t>Замена автомата отходящей ВЛ-0,4 кВ</t>
  </si>
  <si>
    <t>Наименование работ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</si>
  <si>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</si>
  <si>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</si>
  <si>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</si>
  <si>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</si>
  <si>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</si>
  <si>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</si>
  <si>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</si>
  <si>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Монтаж приборов учета без организацией АСКУЭ</t>
  </si>
  <si>
    <t>Монтаж ячейки 10 (6 ) кВ,монтаж приборов учета с организацией АСКУЭ,строительство ВЛ-10 (6) кВ</t>
  </si>
  <si>
    <t>Монтаж приборов учета без  АСКУЭ</t>
  </si>
  <si>
    <t>Монтаж приборов учета без  АСКУЭ, реконструкция ТП 10 (6)/0,4 кВ-монтаж 2-х коммутационных аппаратов 0,4 кВ, строительство ВЛИ-0,4 кВ-двухцепной участок</t>
  </si>
  <si>
    <t>реконструкция ТП 10 (6)/0,4 кВ-монтаж 2-х коммутационных аппаратов 0,4 кВ</t>
  </si>
  <si>
    <t>строительство ВЛИ-0,4 кВ-двухцепной участок</t>
  </si>
  <si>
    <t>Строительство ВЛ-10 (6) кВ,монтаж разъединителя 10 (6) кВ</t>
  </si>
  <si>
    <t>Монтаж приборов учета без организацией АСКУЭ,Замена автомата отходящей ВЛ-0,4 кВ</t>
  </si>
  <si>
    <t>ВСЕГО:</t>
  </si>
  <si>
    <t>год ввода</t>
  </si>
  <si>
    <t>год освоения</t>
  </si>
  <si>
    <t>ИПР код</t>
  </si>
  <si>
    <t>ТПиР/НС</t>
  </si>
  <si>
    <t>Тип Объекта</t>
  </si>
  <si>
    <t>кол-во</t>
  </si>
  <si>
    <t>Обор</t>
  </si>
  <si>
    <t>Итого</t>
  </si>
  <si>
    <t>Примеч</t>
  </si>
  <si>
    <t>НСиР</t>
  </si>
  <si>
    <t>ВЛЭП</t>
  </si>
  <si>
    <t>ТПиР</t>
  </si>
  <si>
    <t>реконструкция ТП 10 (6)/0,4 кВ - монтаж 2-х коммутационных аппаратов 0,4 кВ</t>
  </si>
  <si>
    <t>Монтаж ячейки 10 кВ</t>
  </si>
  <si>
    <t>Реконструкция 2-х ячеек 10 кВ</t>
  </si>
  <si>
    <t>Прочее</t>
  </si>
  <si>
    <t>Монтаж разъединителя 10 кВ</t>
  </si>
  <si>
    <t>Строительство ВЛ-10 (6) кВ (0,02 км ВЛ-6кВ)</t>
  </si>
  <si>
    <t>Строительство ВЛИ-0,4 кВ (двухцепной участок)</t>
  </si>
  <si>
    <t>Монтаж автоматических выключателей</t>
  </si>
  <si>
    <t>Реконструкция ТП 10/0,4 кВ (в части замены автоматического выключателя)</t>
  </si>
  <si>
    <t>Монтаж технического учета в ячейке 10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</si>
</sst>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Arial Cyr"/>
      <charset val="204"/>
    </font>
    <font>
      <sz val="16"/>
      <color theme="1"/>
      <name val="Calibri"/>
      <family val="2"/>
      <charset val="204"/>
      <scheme val="minor"/>
    </font>
    <font>
      <sz val="16"/>
      <name val="Arial Cyr"/>
      <charset val="204"/>
    </font>
    <font>
      <b/>
      <sz val="2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0" fillId="0" borderId="0" applyFont="0" applyFill="0" applyBorder="0" applyAlignment="0" applyProtection="0"/>
    <xf numFmtId="0" fontId="14" fillId="0" borderId="0"/>
  </cellStyleXfs>
  <cellXfs count="91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14" fontId="1" fillId="2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4" fontId="7" fillId="2" borderId="0" xfId="0" applyNumberFormat="1" applyFont="1" applyFill="1"/>
    <xf numFmtId="1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4" fontId="8" fillId="0" borderId="1" xfId="0" applyNumberFormat="1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9" fillId="2" borderId="0" xfId="0" applyFont="1" applyFill="1"/>
    <xf numFmtId="14" fontId="9" fillId="2" borderId="0" xfId="0" applyNumberFormat="1" applyFont="1" applyFill="1"/>
    <xf numFmtId="0" fontId="0" fillId="0" borderId="0" xfId="0" applyFill="1" applyAlignment="1">
      <alignment horizontal="center"/>
    </xf>
    <xf numFmtId="0" fontId="0" fillId="0" borderId="0" xfId="0" applyNumberFormat="1" applyFill="1" applyAlignment="1">
      <alignment horizontal="center"/>
    </xf>
    <xf numFmtId="165" fontId="11" fillId="0" borderId="0" xfId="1" applyNumberFormat="1" applyFont="1" applyFill="1" applyAlignment="1">
      <alignment horizontal="center"/>
    </xf>
    <xf numFmtId="43" fontId="0" fillId="0" borderId="0" xfId="1" applyFont="1" applyFill="1" applyAlignment="1">
      <alignment horizontal="center"/>
    </xf>
    <xf numFmtId="164" fontId="1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center" wrapText="1"/>
    </xf>
    <xf numFmtId="43" fontId="13" fillId="0" borderId="1" xfId="1" applyFont="1" applyFill="1" applyBorder="1" applyAlignment="1">
      <alignment horizontal="center" vertical="center" wrapText="1"/>
    </xf>
    <xf numFmtId="14" fontId="16" fillId="4" borderId="1" xfId="0" applyNumberFormat="1" applyFont="1" applyFill="1" applyBorder="1" applyAlignment="1">
      <alignment horizontal="center" vertical="center" wrapText="1"/>
    </xf>
    <xf numFmtId="0" fontId="16" fillId="4" borderId="1" xfId="0" applyNumberFormat="1" applyFont="1" applyFill="1" applyBorder="1" applyAlignment="1">
      <alignment horizontal="center" vertical="center" wrapText="1"/>
    </xf>
    <xf numFmtId="4" fontId="16" fillId="4" borderId="1" xfId="0" applyNumberFormat="1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166" fontId="16" fillId="4" borderId="1" xfId="0" applyNumberFormat="1" applyFont="1" applyFill="1" applyBorder="1" applyAlignment="1">
      <alignment horizontal="center" vertical="center" wrapText="1"/>
    </xf>
    <xf numFmtId="43" fontId="13" fillId="4" borderId="1" xfId="1" applyFont="1" applyFill="1" applyBorder="1" applyAlignment="1">
      <alignment horizontal="center" vertical="center" wrapText="1"/>
    </xf>
    <xf numFmtId="14" fontId="16" fillId="5" borderId="1" xfId="0" applyNumberFormat="1" applyFont="1" applyFill="1" applyBorder="1" applyAlignment="1">
      <alignment horizontal="center" vertical="center" wrapText="1"/>
    </xf>
    <xf numFmtId="0" fontId="16" fillId="5" borderId="1" xfId="0" applyNumberFormat="1" applyFont="1" applyFill="1" applyBorder="1" applyAlignment="1">
      <alignment horizontal="center" vertical="center" wrapText="1"/>
    </xf>
    <xf numFmtId="4" fontId="16" fillId="5" borderId="1" xfId="0" applyNumberFormat="1" applyFont="1" applyFill="1" applyBorder="1" applyAlignment="1">
      <alignment horizontal="center" vertical="center" wrapText="1"/>
    </xf>
    <xf numFmtId="0" fontId="13" fillId="5" borderId="1" xfId="0" applyNumberFormat="1" applyFont="1" applyFill="1" applyBorder="1" applyAlignment="1">
      <alignment horizontal="center" vertical="center" wrapText="1"/>
    </xf>
    <xf numFmtId="166" fontId="16" fillId="5" borderId="1" xfId="0" applyNumberFormat="1" applyFont="1" applyFill="1" applyBorder="1" applyAlignment="1">
      <alignment horizontal="center" vertical="center" wrapText="1"/>
    </xf>
    <xf numFmtId="43" fontId="13" fillId="5" borderId="1" xfId="1" applyFont="1" applyFill="1" applyBorder="1" applyAlignment="1">
      <alignment horizontal="center" vertical="center" wrapText="1"/>
    </xf>
    <xf numFmtId="14" fontId="16" fillId="6" borderId="1" xfId="0" applyNumberFormat="1" applyFont="1" applyFill="1" applyBorder="1" applyAlignment="1">
      <alignment horizontal="center" vertical="center" wrapText="1"/>
    </xf>
    <xf numFmtId="0" fontId="16" fillId="6" borderId="1" xfId="0" applyNumberFormat="1" applyFont="1" applyFill="1" applyBorder="1" applyAlignment="1">
      <alignment horizontal="center" vertical="center" wrapText="1"/>
    </xf>
    <xf numFmtId="4" fontId="16" fillId="6" borderId="1" xfId="0" applyNumberFormat="1" applyFont="1" applyFill="1" applyBorder="1" applyAlignment="1">
      <alignment horizontal="center" vertical="center" wrapText="1"/>
    </xf>
    <xf numFmtId="0" fontId="13" fillId="6" borderId="1" xfId="0" applyNumberFormat="1" applyFont="1" applyFill="1" applyBorder="1" applyAlignment="1">
      <alignment horizontal="center" vertical="center" wrapText="1"/>
    </xf>
    <xf numFmtId="166" fontId="16" fillId="6" borderId="1" xfId="0" applyNumberFormat="1" applyFont="1" applyFill="1" applyBorder="1" applyAlignment="1">
      <alignment horizontal="center" vertical="center" wrapText="1"/>
    </xf>
    <xf numFmtId="43" fontId="13" fillId="6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5" fontId="12" fillId="0" borderId="1" xfId="1" applyNumberFormat="1" applyFont="1" applyFill="1" applyBorder="1" applyAlignment="1">
      <alignment horizontal="center" vertical="center" wrapText="1"/>
    </xf>
    <xf numFmtId="165" fontId="0" fillId="0" borderId="0" xfId="1" applyNumberFormat="1" applyFont="1" applyFill="1" applyAlignment="1">
      <alignment horizontal="center"/>
    </xf>
    <xf numFmtId="165" fontId="15" fillId="0" borderId="1" xfId="1" applyNumberFormat="1" applyFont="1" applyFill="1" applyBorder="1" applyAlignment="1">
      <alignment horizontal="center" vertical="center" wrapText="1"/>
    </xf>
    <xf numFmtId="165" fontId="5" fillId="4" borderId="2" xfId="1" applyNumberFormat="1" applyFont="1" applyFill="1" applyBorder="1" applyAlignment="1">
      <alignment horizontal="center" vertical="center" wrapText="1"/>
    </xf>
    <xf numFmtId="165" fontId="0" fillId="0" borderId="0" xfId="1" applyNumberFormat="1" applyFont="1" applyAlignment="1">
      <alignment horizontal="center"/>
    </xf>
    <xf numFmtId="165" fontId="5" fillId="6" borderId="2" xfId="1" applyNumberFormat="1" applyFont="1" applyFill="1" applyBorder="1" applyAlignment="1">
      <alignment horizontal="center" vertical="center" wrapText="1"/>
    </xf>
    <xf numFmtId="165" fontId="5" fillId="5" borderId="2" xfId="1" applyNumberFormat="1" applyFont="1" applyFill="1" applyBorder="1" applyAlignment="1">
      <alignment horizontal="center" vertical="center" wrapText="1"/>
    </xf>
    <xf numFmtId="166" fontId="16" fillId="7" borderId="1" xfId="0" applyNumberFormat="1" applyFont="1" applyFill="1" applyBorder="1" applyAlignment="1">
      <alignment horizontal="center" vertical="center" wrapText="1"/>
    </xf>
    <xf numFmtId="165" fontId="5" fillId="7" borderId="2" xfId="1" applyNumberFormat="1" applyFont="1" applyFill="1" applyBorder="1" applyAlignment="1">
      <alignment horizontal="center" vertical="center" wrapText="1"/>
    </xf>
    <xf numFmtId="43" fontId="13" fillId="7" borderId="1" xfId="1" applyFont="1" applyFill="1" applyBorder="1" applyAlignment="1">
      <alignment horizontal="center" vertical="center" wrapText="1"/>
    </xf>
    <xf numFmtId="0" fontId="16" fillId="7" borderId="1" xfId="0" applyNumberFormat="1" applyFont="1" applyFill="1" applyBorder="1" applyAlignment="1">
      <alignment horizontal="center" vertical="center" wrapText="1"/>
    </xf>
    <xf numFmtId="0" fontId="13" fillId="7" borderId="1" xfId="0" applyNumberFormat="1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/>
    </xf>
    <xf numFmtId="0" fontId="5" fillId="0" borderId="1" xfId="2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2" fontId="16" fillId="5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Финансовый" xfId="1" builtinId="3"/>
  </cellStyles>
  <dxfs count="0"/>
  <tableStyles count="0" defaultTableStyle="TableStyleMedium9" defaultPivotStyle="PivotStyleLight16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6"/>
  <sheetViews>
    <sheetView view="pageBreakPreview" zoomScale="50" zoomScaleNormal="70" zoomScaleSheetLayoutView="50" workbookViewId="0">
      <pane ySplit="2" topLeftCell="A9" activePane="bottomLeft" state="frozen"/>
      <selection pane="bottomLeft" activeCell="M11" sqref="M11:O11"/>
    </sheetView>
  </sheetViews>
  <sheetFormatPr defaultRowHeight="21" x14ac:dyDescent="0.35"/>
  <cols>
    <col min="1" max="1" width="19.85546875" style="18" customWidth="1"/>
    <col min="2" max="2" width="15.85546875" style="18" customWidth="1"/>
    <col min="3" max="3" width="21.140625" style="18" customWidth="1"/>
    <col min="4" max="4" width="33.28515625" style="18" customWidth="1"/>
    <col min="5" max="5" width="10.5703125" style="18" customWidth="1"/>
    <col min="6" max="6" width="29.28515625" style="18" customWidth="1"/>
    <col min="7" max="7" width="99.28515625" style="12" customWidth="1"/>
    <col min="8" max="8" width="103.5703125" style="12" customWidth="1"/>
    <col min="9" max="9" width="47.140625" style="12" customWidth="1"/>
    <col min="10" max="11" width="17.85546875" style="12" customWidth="1"/>
    <col min="12" max="12" width="7.85546875" style="12" customWidth="1"/>
    <col min="13" max="13" width="14.42578125" style="12" customWidth="1"/>
    <col min="14" max="14" width="14.28515625" style="12" customWidth="1"/>
    <col min="15" max="15" width="15.42578125" style="12" customWidth="1"/>
    <col min="16" max="16" width="13.7109375" style="12" customWidth="1"/>
    <col min="17" max="17" width="13" style="12" customWidth="1"/>
    <col min="18" max="18" width="17.42578125" style="5" customWidth="1"/>
    <col min="19" max="19" width="0" style="5" hidden="1" customWidth="1"/>
    <col min="20" max="20" width="14.28515625" style="5" bestFit="1" customWidth="1"/>
    <col min="21" max="21" width="28.5703125" style="5" customWidth="1"/>
    <col min="22" max="22" width="15.5703125" style="5" customWidth="1"/>
    <col min="23" max="23" width="17" style="5" customWidth="1"/>
    <col min="24" max="24" width="0" style="5" hidden="1" customWidth="1"/>
    <col min="25" max="25" width="10.85546875" style="5" bestFit="1" customWidth="1"/>
    <col min="26" max="26" width="11.140625" style="5" customWidth="1"/>
    <col min="27" max="27" width="0" style="5" hidden="1" customWidth="1"/>
    <col min="28" max="28" width="14.28515625" style="5" bestFit="1" customWidth="1"/>
    <col min="29" max="29" width="12.5703125" style="3" hidden="1" customWidth="1"/>
    <col min="30" max="32" width="0" style="3" hidden="1" customWidth="1"/>
    <col min="33" max="33" width="13.42578125" style="3" customWidth="1"/>
    <col min="34" max="34" width="0" style="3" hidden="1" customWidth="1"/>
    <col min="35" max="36" width="10.7109375" style="3" hidden="1" customWidth="1"/>
    <col min="37" max="38" width="0" style="3" hidden="1" customWidth="1"/>
    <col min="39" max="39" width="9.5703125" style="3" hidden="1" customWidth="1"/>
    <col min="40" max="40" width="0" style="3" hidden="1" customWidth="1"/>
    <col min="41" max="42" width="12.42578125" style="3" hidden="1" customWidth="1"/>
    <col min="43" max="46" width="9.140625" style="3" hidden="1" customWidth="1"/>
    <col min="47" max="47" width="15.85546875" style="3" customWidth="1"/>
    <col min="48" max="48" width="19" style="3" customWidth="1"/>
    <col min="49" max="49" width="11.42578125" style="3" hidden="1" customWidth="1"/>
    <col min="50" max="50" width="11.42578125" style="3" customWidth="1"/>
    <col min="51" max="51" width="11.85546875" style="3" customWidth="1"/>
    <col min="52" max="52" width="13.28515625" style="3" hidden="1" customWidth="1"/>
    <col min="53" max="53" width="16.42578125" style="3" hidden="1" customWidth="1"/>
    <col min="54" max="54" width="13.42578125" style="3" hidden="1" customWidth="1"/>
    <col min="55" max="55" width="15.42578125" style="3" hidden="1" customWidth="1"/>
    <col min="56" max="56" width="11.28515625" style="3" hidden="1" customWidth="1"/>
    <col min="57" max="58" width="11.42578125" style="3" hidden="1" customWidth="1"/>
    <col min="59" max="59" width="11.85546875" style="3" hidden="1" customWidth="1"/>
    <col min="60" max="60" width="9.140625" style="3" hidden="1" customWidth="1"/>
    <col min="61" max="61" width="13.85546875" style="3" customWidth="1"/>
    <col min="62" max="62" width="15.7109375" style="3" customWidth="1"/>
    <col min="63" max="63" width="18" style="15" customWidth="1"/>
    <col min="64" max="64" width="19.28515625" style="3" customWidth="1"/>
    <col min="65" max="65" width="17.7109375" style="5" customWidth="1"/>
    <col min="66" max="16384" width="9.140625" style="5"/>
  </cols>
  <sheetData>
    <row r="1" spans="1:65" x14ac:dyDescent="0.35">
      <c r="C1" s="18" t="s">
        <v>84</v>
      </c>
    </row>
    <row r="2" spans="1:65" s="4" customFormat="1" ht="183.75" customHeight="1" x14ac:dyDescent="0.25">
      <c r="A2" s="1" t="s">
        <v>0</v>
      </c>
      <c r="B2" s="1" t="s">
        <v>31</v>
      </c>
      <c r="C2" s="1" t="s">
        <v>33</v>
      </c>
      <c r="D2" s="1" t="s">
        <v>1</v>
      </c>
      <c r="E2" s="1" t="s">
        <v>2</v>
      </c>
      <c r="F2" s="1" t="s">
        <v>21</v>
      </c>
      <c r="G2" s="1" t="s">
        <v>26</v>
      </c>
      <c r="H2" s="1" t="s">
        <v>3</v>
      </c>
      <c r="I2" s="1" t="s">
        <v>94</v>
      </c>
      <c r="J2" s="1" t="s">
        <v>95</v>
      </c>
      <c r="K2" s="1" t="s">
        <v>96</v>
      </c>
      <c r="L2" s="1"/>
      <c r="M2" s="1" t="s">
        <v>97</v>
      </c>
      <c r="N2" s="1" t="s">
        <v>98</v>
      </c>
      <c r="O2" s="1" t="s">
        <v>99</v>
      </c>
      <c r="P2" s="1" t="s">
        <v>100</v>
      </c>
      <c r="Q2" s="1" t="s">
        <v>101</v>
      </c>
      <c r="R2" s="1" t="s">
        <v>4</v>
      </c>
      <c r="S2" s="1"/>
      <c r="T2" s="1"/>
      <c r="U2" s="1" t="s">
        <v>25</v>
      </c>
      <c r="V2" s="1"/>
      <c r="W2" s="8" t="s">
        <v>5</v>
      </c>
      <c r="X2" s="8"/>
      <c r="Y2" s="8"/>
      <c r="Z2" s="1" t="s">
        <v>6</v>
      </c>
      <c r="AA2" s="1"/>
      <c r="AB2" s="1"/>
      <c r="AC2" s="2" t="s">
        <v>7</v>
      </c>
      <c r="AD2" s="2"/>
      <c r="AE2" s="2" t="s">
        <v>8</v>
      </c>
      <c r="AF2" s="2"/>
      <c r="AG2" s="2" t="s">
        <v>9</v>
      </c>
      <c r="AH2" s="2"/>
      <c r="AI2" s="2" t="s">
        <v>10</v>
      </c>
      <c r="AJ2" s="2"/>
      <c r="AK2" s="2" t="s">
        <v>11</v>
      </c>
      <c r="AL2" s="2"/>
      <c r="AM2" s="2" t="s">
        <v>10</v>
      </c>
      <c r="AN2" s="2"/>
      <c r="AO2" s="2" t="s">
        <v>12</v>
      </c>
      <c r="AP2" s="2" t="s">
        <v>34</v>
      </c>
      <c r="AQ2" s="2" t="s">
        <v>13</v>
      </c>
      <c r="AR2" s="2"/>
      <c r="AS2" s="2" t="s">
        <v>14</v>
      </c>
      <c r="AT2" s="2"/>
      <c r="AU2" s="2"/>
      <c r="AV2" s="2" t="s">
        <v>15</v>
      </c>
      <c r="AW2" s="2"/>
      <c r="AX2" s="2"/>
      <c r="AY2" s="2" t="s">
        <v>16</v>
      </c>
      <c r="AZ2" s="2"/>
      <c r="BA2" s="2" t="s">
        <v>17</v>
      </c>
      <c r="BB2" s="2"/>
      <c r="BC2" s="2" t="s">
        <v>18</v>
      </c>
      <c r="BD2" s="2"/>
      <c r="BE2" s="10" t="s">
        <v>19</v>
      </c>
      <c r="BF2" s="10"/>
      <c r="BG2" s="9" t="s">
        <v>22</v>
      </c>
      <c r="BH2" s="9"/>
      <c r="BI2" s="9"/>
      <c r="BJ2" s="2" t="s">
        <v>24</v>
      </c>
      <c r="BK2" s="13" t="s">
        <v>23</v>
      </c>
      <c r="BL2" s="2" t="s">
        <v>20</v>
      </c>
    </row>
    <row r="3" spans="1:65" s="27" customFormat="1" ht="244.5" customHeight="1" x14ac:dyDescent="0.25">
      <c r="A3" s="20" t="s">
        <v>35</v>
      </c>
      <c r="B3" s="20" t="s">
        <v>44</v>
      </c>
      <c r="C3" s="22">
        <v>930.47</v>
      </c>
      <c r="D3" s="21" t="s">
        <v>52</v>
      </c>
      <c r="E3" s="21" t="s">
        <v>61</v>
      </c>
      <c r="F3" s="21" t="s">
        <v>65</v>
      </c>
      <c r="G3" s="23" t="s">
        <v>74</v>
      </c>
      <c r="H3" s="23" t="s">
        <v>30</v>
      </c>
      <c r="I3" s="23" t="s">
        <v>102</v>
      </c>
      <c r="J3" s="23">
        <v>1</v>
      </c>
      <c r="K3" s="23">
        <v>12.5</v>
      </c>
      <c r="L3" s="23"/>
      <c r="M3" s="23">
        <v>0.75</v>
      </c>
      <c r="N3" s="23">
        <v>1.63</v>
      </c>
      <c r="O3" s="23">
        <v>10.119999999999999</v>
      </c>
      <c r="P3" s="23"/>
      <c r="Q3" s="23">
        <v>12.5</v>
      </c>
      <c r="R3" s="24"/>
      <c r="S3" s="24"/>
      <c r="T3" s="24"/>
      <c r="U3" s="24"/>
      <c r="V3" s="24"/>
      <c r="W3" s="24" t="s">
        <v>85</v>
      </c>
      <c r="X3" s="24"/>
      <c r="Y3" s="24">
        <v>12.5</v>
      </c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>
        <v>12.5</v>
      </c>
      <c r="BK3" s="25">
        <v>41783</v>
      </c>
      <c r="BL3" s="24"/>
      <c r="BM3" s="26"/>
    </row>
    <row r="4" spans="1:65" s="27" customFormat="1" ht="117" customHeight="1" x14ac:dyDescent="0.25">
      <c r="A4" s="20" t="s">
        <v>36</v>
      </c>
      <c r="B4" s="20" t="s">
        <v>45</v>
      </c>
      <c r="C4" s="22">
        <v>96382.09</v>
      </c>
      <c r="D4" s="21" t="s">
        <v>53</v>
      </c>
      <c r="E4" s="21" t="s">
        <v>62</v>
      </c>
      <c r="F4" s="21" t="s">
        <v>66</v>
      </c>
      <c r="G4" s="23" t="s">
        <v>75</v>
      </c>
      <c r="H4" s="23" t="s">
        <v>30</v>
      </c>
      <c r="I4" s="23" t="s">
        <v>16</v>
      </c>
      <c r="J4" s="23">
        <v>3.5000000000000003E-2</v>
      </c>
      <c r="K4" s="23">
        <f>0.035*930</f>
        <v>32.550000000000004</v>
      </c>
      <c r="L4" s="23"/>
      <c r="M4" s="23">
        <f>K4*0.08</f>
        <v>2.6040000000000005</v>
      </c>
      <c r="N4" s="23">
        <f>K4*0.86</f>
        <v>27.993000000000002</v>
      </c>
      <c r="O4" s="23"/>
      <c r="P4" s="23">
        <f>K4*0.06</f>
        <v>1.9530000000000003</v>
      </c>
      <c r="Q4" s="23">
        <v>32.549999999999997</v>
      </c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>
        <v>3.5000000000000003E-2</v>
      </c>
      <c r="AZ4" s="24"/>
      <c r="BA4" s="24"/>
      <c r="BB4" s="24"/>
      <c r="BC4" s="24"/>
      <c r="BD4" s="24"/>
      <c r="BE4" s="24"/>
      <c r="BF4" s="24"/>
      <c r="BG4" s="24"/>
      <c r="BH4" s="24"/>
      <c r="BI4" s="24">
        <v>32.549999999999997</v>
      </c>
      <c r="BJ4" s="24">
        <v>32.549999999999997</v>
      </c>
      <c r="BK4" s="25">
        <v>41756</v>
      </c>
      <c r="BL4" s="24"/>
      <c r="BM4" s="26"/>
    </row>
    <row r="5" spans="1:65" s="27" customFormat="1" ht="256.5" customHeight="1" x14ac:dyDescent="0.25">
      <c r="A5" s="20" t="s">
        <v>37</v>
      </c>
      <c r="B5" s="21">
        <v>40795855</v>
      </c>
      <c r="C5" s="22">
        <v>7556535.7599999998</v>
      </c>
      <c r="D5" s="21" t="s">
        <v>54</v>
      </c>
      <c r="E5" s="21" t="s">
        <v>63</v>
      </c>
      <c r="F5" s="21" t="s">
        <v>67</v>
      </c>
      <c r="G5" s="23" t="s">
        <v>76</v>
      </c>
      <c r="H5" s="23" t="s">
        <v>30</v>
      </c>
      <c r="I5" s="23" t="s">
        <v>103</v>
      </c>
      <c r="J5" s="23"/>
      <c r="K5" s="23">
        <f>K6+K7+K8</f>
        <v>5772.92</v>
      </c>
      <c r="L5" s="23"/>
      <c r="M5" s="23">
        <f t="shared" ref="M5:Q5" si="0">M6+M7+M8</f>
        <v>408.08</v>
      </c>
      <c r="N5" s="23">
        <f t="shared" si="0"/>
        <v>4258.7700000000004</v>
      </c>
      <c r="O5" s="23">
        <f t="shared" si="0"/>
        <v>902</v>
      </c>
      <c r="P5" s="23">
        <f t="shared" si="0"/>
        <v>204.07</v>
      </c>
      <c r="Q5" s="23">
        <f t="shared" si="0"/>
        <v>5772.92</v>
      </c>
      <c r="R5" s="24">
        <v>1</v>
      </c>
      <c r="S5" s="24"/>
      <c r="T5" s="24">
        <v>1034.1199999999999</v>
      </c>
      <c r="U5" s="24"/>
      <c r="V5" s="24"/>
      <c r="W5" s="24">
        <v>1</v>
      </c>
      <c r="X5" s="24"/>
      <c r="Y5" s="24">
        <v>51.8</v>
      </c>
      <c r="Z5" s="24" t="s">
        <v>86</v>
      </c>
      <c r="AA5" s="24"/>
      <c r="AB5" s="36">
        <v>4687</v>
      </c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>
        <v>5772.92</v>
      </c>
      <c r="BK5" s="25">
        <v>42323</v>
      </c>
      <c r="BL5" s="24"/>
      <c r="BM5" s="26"/>
    </row>
    <row r="6" spans="1:65" s="34" customFormat="1" ht="84.75" customHeight="1" x14ac:dyDescent="0.25">
      <c r="A6" s="28"/>
      <c r="B6" s="29"/>
      <c r="C6" s="30"/>
      <c r="D6" s="29"/>
      <c r="E6" s="29"/>
      <c r="F6" s="29"/>
      <c r="G6" s="31"/>
      <c r="H6" s="31"/>
      <c r="I6" s="31" t="s">
        <v>4</v>
      </c>
      <c r="J6" s="31">
        <v>1</v>
      </c>
      <c r="K6" s="31">
        <v>1034.1199999999999</v>
      </c>
      <c r="L6" s="31"/>
      <c r="M6" s="31">
        <v>30.72</v>
      </c>
      <c r="N6" s="31">
        <v>67.64</v>
      </c>
      <c r="O6" s="31">
        <v>875.5</v>
      </c>
      <c r="P6" s="31">
        <v>60.26</v>
      </c>
      <c r="Q6" s="31">
        <f>M6+N6+O6+P6</f>
        <v>1034.1200000000001</v>
      </c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13"/>
      <c r="BL6" s="32"/>
      <c r="BM6" s="33"/>
    </row>
    <row r="7" spans="1:65" s="4" customFormat="1" ht="84" customHeight="1" x14ac:dyDescent="0.25">
      <c r="A7" s="16"/>
      <c r="B7" s="17"/>
      <c r="C7" s="19"/>
      <c r="D7" s="17"/>
      <c r="E7" s="17"/>
      <c r="F7" s="17"/>
      <c r="G7" s="11"/>
      <c r="H7" s="11"/>
      <c r="I7" s="11" t="s">
        <v>5</v>
      </c>
      <c r="J7" s="11">
        <v>1</v>
      </c>
      <c r="K7" s="11">
        <v>51.8</v>
      </c>
      <c r="L7" s="11"/>
      <c r="M7" s="11">
        <v>2.4</v>
      </c>
      <c r="N7" s="11">
        <v>19.7</v>
      </c>
      <c r="O7" s="11">
        <v>26.5</v>
      </c>
      <c r="P7" s="11">
        <v>3.2</v>
      </c>
      <c r="Q7" s="11">
        <v>51.8</v>
      </c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14"/>
      <c r="BL7" s="6"/>
      <c r="BM7" s="7"/>
    </row>
    <row r="8" spans="1:65" s="4" customFormat="1" ht="80.25" customHeight="1" x14ac:dyDescent="0.25">
      <c r="A8" s="16"/>
      <c r="B8" s="17"/>
      <c r="C8" s="19"/>
      <c r="D8" s="17"/>
      <c r="E8" s="17"/>
      <c r="F8" s="17"/>
      <c r="G8" s="11"/>
      <c r="H8" s="11"/>
      <c r="I8" s="11" t="s">
        <v>6</v>
      </c>
      <c r="J8" s="11">
        <v>5.45</v>
      </c>
      <c r="K8" s="11">
        <f>5.45*860</f>
        <v>4687</v>
      </c>
      <c r="L8" s="11"/>
      <c r="M8" s="11">
        <f>K8*0.08</f>
        <v>374.96</v>
      </c>
      <c r="N8" s="11">
        <f>K8*0.89</f>
        <v>4171.43</v>
      </c>
      <c r="O8" s="11"/>
      <c r="P8" s="11">
        <f>K8*0.03</f>
        <v>140.60999999999999</v>
      </c>
      <c r="Q8" s="11">
        <f>M8+N8+O8+P8</f>
        <v>4687</v>
      </c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14"/>
      <c r="BL8" s="6"/>
      <c r="BM8" s="7"/>
    </row>
    <row r="9" spans="1:65" s="27" customFormat="1" ht="166.5" customHeight="1" x14ac:dyDescent="0.25">
      <c r="A9" s="20" t="s">
        <v>38</v>
      </c>
      <c r="B9" s="20" t="s">
        <v>46</v>
      </c>
      <c r="C9" s="22">
        <v>3612084</v>
      </c>
      <c r="D9" s="21" t="s">
        <v>55</v>
      </c>
      <c r="E9" s="21" t="s">
        <v>64</v>
      </c>
      <c r="F9" s="21" t="s">
        <v>68</v>
      </c>
      <c r="G9" s="23" t="s">
        <v>77</v>
      </c>
      <c r="H9" s="23" t="s">
        <v>30</v>
      </c>
      <c r="I9" s="23" t="s">
        <v>87</v>
      </c>
      <c r="J9" s="23"/>
      <c r="K9" s="23">
        <f>530*2</f>
        <v>1060</v>
      </c>
      <c r="L9" s="23"/>
      <c r="M9" s="23">
        <f>K9*0.05</f>
        <v>53</v>
      </c>
      <c r="N9" s="23">
        <v>96</v>
      </c>
      <c r="O9" s="23">
        <f>380*2</f>
        <v>760</v>
      </c>
      <c r="P9" s="23">
        <f>75.5*2</f>
        <v>151</v>
      </c>
      <c r="Q9" s="23">
        <v>1060</v>
      </c>
      <c r="R9" s="24"/>
      <c r="S9" s="24"/>
      <c r="T9" s="24"/>
      <c r="U9" s="24" t="s">
        <v>87</v>
      </c>
      <c r="V9" s="24">
        <v>1060</v>
      </c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>
        <v>1060</v>
      </c>
      <c r="BK9" s="25">
        <v>42399</v>
      </c>
      <c r="BL9" s="24"/>
      <c r="BM9" s="26"/>
    </row>
    <row r="10" spans="1:65" s="27" customFormat="1" ht="409.5" customHeight="1" x14ac:dyDescent="0.25">
      <c r="A10" s="20" t="s">
        <v>39</v>
      </c>
      <c r="B10" s="20" t="s">
        <v>47</v>
      </c>
      <c r="C10" s="22">
        <v>146609.63</v>
      </c>
      <c r="D10" s="21" t="s">
        <v>56</v>
      </c>
      <c r="E10" s="21" t="s">
        <v>27</v>
      </c>
      <c r="F10" s="21" t="s">
        <v>69</v>
      </c>
      <c r="G10" s="23" t="s">
        <v>78</v>
      </c>
      <c r="H10" s="23" t="s">
        <v>30</v>
      </c>
      <c r="I10" s="23" t="s">
        <v>105</v>
      </c>
      <c r="J10" s="23"/>
      <c r="K10" s="23">
        <f>K11+K12+K13</f>
        <v>90.9</v>
      </c>
      <c r="L10" s="23"/>
      <c r="M10" s="23">
        <f t="shared" ref="M10:Q10" si="1">M11+M12+M13</f>
        <v>4.63</v>
      </c>
      <c r="N10" s="23">
        <f t="shared" si="1"/>
        <v>48.15</v>
      </c>
      <c r="O10" s="23">
        <f t="shared" si="1"/>
        <v>33.64</v>
      </c>
      <c r="P10" s="23">
        <f t="shared" si="1"/>
        <v>3.13</v>
      </c>
      <c r="Q10" s="23">
        <f t="shared" si="1"/>
        <v>90.9</v>
      </c>
      <c r="R10" s="24"/>
      <c r="S10" s="24"/>
      <c r="T10" s="24"/>
      <c r="U10" s="24"/>
      <c r="V10" s="24"/>
      <c r="W10" s="24" t="s">
        <v>90</v>
      </c>
      <c r="X10" s="24"/>
      <c r="Y10" s="24">
        <v>25</v>
      </c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 t="s">
        <v>89</v>
      </c>
      <c r="AW10" s="24"/>
      <c r="AX10" s="24">
        <v>16.399999999999999</v>
      </c>
      <c r="AY10" s="24" t="s">
        <v>88</v>
      </c>
      <c r="AZ10" s="24"/>
      <c r="BA10" s="24"/>
      <c r="BB10" s="24"/>
      <c r="BC10" s="24"/>
      <c r="BD10" s="24"/>
      <c r="BE10" s="24"/>
      <c r="BF10" s="24"/>
      <c r="BG10" s="24"/>
      <c r="BH10" s="24"/>
      <c r="BI10" s="24">
        <v>49.5</v>
      </c>
      <c r="BJ10" s="24">
        <v>90.9</v>
      </c>
      <c r="BK10" s="25">
        <v>42033</v>
      </c>
      <c r="BL10" s="24"/>
      <c r="BM10" s="26"/>
    </row>
    <row r="11" spans="1:65" s="4" customFormat="1" ht="72" customHeight="1" x14ac:dyDescent="0.25">
      <c r="A11" s="16"/>
      <c r="B11" s="16"/>
      <c r="C11" s="19"/>
      <c r="D11" s="17"/>
      <c r="E11" s="17"/>
      <c r="F11" s="17"/>
      <c r="G11" s="11"/>
      <c r="H11" s="11"/>
      <c r="I11" s="11" t="s">
        <v>104</v>
      </c>
      <c r="J11" s="11">
        <v>2</v>
      </c>
      <c r="K11" s="11">
        <f>12.5*2</f>
        <v>25</v>
      </c>
      <c r="L11" s="11"/>
      <c r="M11" s="11">
        <f>0.075*2</f>
        <v>0.15</v>
      </c>
      <c r="N11" s="11">
        <f>1.63*2</f>
        <v>3.26</v>
      </c>
      <c r="O11" s="11">
        <f>10.12*2</f>
        <v>20.239999999999998</v>
      </c>
      <c r="P11" s="11"/>
      <c r="Q11" s="11">
        <v>25</v>
      </c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14"/>
      <c r="BL11" s="6"/>
      <c r="BM11" s="7"/>
    </row>
    <row r="12" spans="1:65" s="4" customFormat="1" ht="87" customHeight="1" x14ac:dyDescent="0.25">
      <c r="A12" s="16"/>
      <c r="B12" s="16"/>
      <c r="C12" s="19"/>
      <c r="D12" s="17"/>
      <c r="E12" s="17"/>
      <c r="F12" s="17"/>
      <c r="G12" s="11"/>
      <c r="H12" s="11"/>
      <c r="I12" s="11" t="s">
        <v>106</v>
      </c>
      <c r="J12" s="11"/>
      <c r="K12" s="11">
        <f>8.2*2</f>
        <v>16.399999999999999</v>
      </c>
      <c r="L12" s="11"/>
      <c r="M12" s="11">
        <f>0.26*2</f>
        <v>0.52</v>
      </c>
      <c r="N12" s="11">
        <f>1.16*2</f>
        <v>2.3199999999999998</v>
      </c>
      <c r="O12" s="11">
        <f>6.7*2</f>
        <v>13.4</v>
      </c>
      <c r="P12" s="11">
        <f>0.08*2</f>
        <v>0.16</v>
      </c>
      <c r="Q12" s="11">
        <v>16.399999999999999</v>
      </c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14"/>
      <c r="BL12" s="6"/>
      <c r="BM12" s="7"/>
    </row>
    <row r="13" spans="1:65" s="4" customFormat="1" ht="68.25" customHeight="1" x14ac:dyDescent="0.25">
      <c r="A13" s="16"/>
      <c r="B13" s="16"/>
      <c r="C13" s="19"/>
      <c r="D13" s="17"/>
      <c r="E13" s="17"/>
      <c r="F13" s="17"/>
      <c r="G13" s="11"/>
      <c r="H13" s="11"/>
      <c r="I13" s="11" t="s">
        <v>107</v>
      </c>
      <c r="J13" s="11">
        <v>4.4999999999999998E-2</v>
      </c>
      <c r="K13" s="11">
        <f>0.045*1100</f>
        <v>49.5</v>
      </c>
      <c r="L13" s="11"/>
      <c r="M13" s="11">
        <f>K13*0.08</f>
        <v>3.96</v>
      </c>
      <c r="N13" s="11">
        <f>K13*0.86</f>
        <v>42.57</v>
      </c>
      <c r="O13" s="11"/>
      <c r="P13" s="11">
        <f>K13*0.06</f>
        <v>2.9699999999999998</v>
      </c>
      <c r="Q13" s="11">
        <f>M13+N13+O13+P13</f>
        <v>49.5</v>
      </c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14"/>
      <c r="BL13" s="6"/>
      <c r="BM13" s="7"/>
    </row>
    <row r="14" spans="1:65" s="27" customFormat="1" ht="131.25" customHeight="1" x14ac:dyDescent="0.25">
      <c r="A14" s="20" t="s">
        <v>40</v>
      </c>
      <c r="B14" s="20" t="s">
        <v>48</v>
      </c>
      <c r="C14" s="22">
        <v>152086.14000000001</v>
      </c>
      <c r="D14" s="21" t="s">
        <v>57</v>
      </c>
      <c r="E14" s="21" t="s">
        <v>28</v>
      </c>
      <c r="F14" s="21" t="s">
        <v>70</v>
      </c>
      <c r="G14" s="23" t="s">
        <v>79</v>
      </c>
      <c r="H14" s="23" t="s">
        <v>30</v>
      </c>
      <c r="I14" s="35" t="s">
        <v>108</v>
      </c>
      <c r="J14" s="23"/>
      <c r="K14" s="23">
        <f>K15+K16</f>
        <v>75.34</v>
      </c>
      <c r="L14" s="23"/>
      <c r="M14" s="23">
        <f t="shared" ref="M14:Q14" si="2">M15+M16</f>
        <v>5.67</v>
      </c>
      <c r="N14" s="23">
        <f t="shared" si="2"/>
        <v>30.090000000000003</v>
      </c>
      <c r="O14" s="23">
        <f t="shared" si="2"/>
        <v>38.39</v>
      </c>
      <c r="P14" s="23">
        <f t="shared" si="2"/>
        <v>1.19</v>
      </c>
      <c r="Q14" s="23">
        <f t="shared" si="2"/>
        <v>75.34</v>
      </c>
      <c r="R14" s="24"/>
      <c r="S14" s="24"/>
      <c r="T14" s="24"/>
      <c r="U14" s="24"/>
      <c r="V14" s="24"/>
      <c r="W14" s="24"/>
      <c r="X14" s="24"/>
      <c r="Y14" s="24"/>
      <c r="Z14" s="24" t="s">
        <v>91</v>
      </c>
      <c r="AA14" s="24"/>
      <c r="AB14" s="24">
        <v>22</v>
      </c>
      <c r="AC14" s="24"/>
      <c r="AD14" s="24"/>
      <c r="AE14" s="24"/>
      <c r="AF14" s="24"/>
      <c r="AG14" s="24" t="s">
        <v>92</v>
      </c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>
        <v>53.34</v>
      </c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>
        <v>75.34</v>
      </c>
      <c r="BK14" s="25">
        <v>42019</v>
      </c>
      <c r="BL14" s="24"/>
      <c r="BM14" s="26"/>
    </row>
    <row r="15" spans="1:65" s="34" customFormat="1" ht="62.25" customHeight="1" x14ac:dyDescent="0.25">
      <c r="A15" s="28"/>
      <c r="B15" s="28"/>
      <c r="C15" s="30"/>
      <c r="D15" s="29"/>
      <c r="E15" s="29"/>
      <c r="F15" s="29"/>
      <c r="G15" s="31"/>
      <c r="H15" s="31"/>
      <c r="I15" s="2" t="s">
        <v>6</v>
      </c>
      <c r="J15" s="31">
        <v>0.02</v>
      </c>
      <c r="K15" s="31">
        <f>J15*1100</f>
        <v>22</v>
      </c>
      <c r="L15" s="31"/>
      <c r="M15" s="31">
        <f>K15*0.08</f>
        <v>1.76</v>
      </c>
      <c r="N15" s="31">
        <f>K15*0.89</f>
        <v>19.580000000000002</v>
      </c>
      <c r="O15" s="31"/>
      <c r="P15" s="31">
        <f>K15*0.03</f>
        <v>0.65999999999999992</v>
      </c>
      <c r="Q15" s="31">
        <f>M15+N15+P15</f>
        <v>22.000000000000004</v>
      </c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13"/>
      <c r="BL15" s="32"/>
      <c r="BM15" s="33"/>
    </row>
    <row r="16" spans="1:65" s="34" customFormat="1" ht="64.5" customHeight="1" x14ac:dyDescent="0.25">
      <c r="A16" s="28"/>
      <c r="B16" s="28"/>
      <c r="C16" s="30"/>
      <c r="D16" s="29"/>
      <c r="E16" s="29"/>
      <c r="F16" s="29"/>
      <c r="G16" s="31"/>
      <c r="H16" s="31"/>
      <c r="I16" s="2" t="s">
        <v>9</v>
      </c>
      <c r="J16" s="31">
        <v>1</v>
      </c>
      <c r="K16" s="31">
        <v>53.34</v>
      </c>
      <c r="L16" s="31"/>
      <c r="M16" s="31">
        <v>3.91</v>
      </c>
      <c r="N16" s="31">
        <v>10.51</v>
      </c>
      <c r="O16" s="31">
        <v>38.39</v>
      </c>
      <c r="P16" s="31">
        <v>0.53</v>
      </c>
      <c r="Q16" s="31">
        <v>53.34</v>
      </c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13"/>
      <c r="BL16" s="32"/>
      <c r="BM16" s="33"/>
    </row>
    <row r="17" spans="1:65" s="27" customFormat="1" ht="345" customHeight="1" x14ac:dyDescent="0.25">
      <c r="A17" s="20" t="s">
        <v>41</v>
      </c>
      <c r="B17" s="20" t="s">
        <v>49</v>
      </c>
      <c r="C17" s="22">
        <v>13050.85</v>
      </c>
      <c r="D17" s="21" t="s">
        <v>58</v>
      </c>
      <c r="E17" s="21" t="s">
        <v>29</v>
      </c>
      <c r="F17" s="21" t="s">
        <v>71</v>
      </c>
      <c r="G17" s="23" t="s">
        <v>80</v>
      </c>
      <c r="H17" s="23" t="s">
        <v>83</v>
      </c>
      <c r="I17" s="23" t="s">
        <v>109</v>
      </c>
      <c r="J17" s="23"/>
      <c r="K17" s="23">
        <f>K18+K19</f>
        <v>20.7</v>
      </c>
      <c r="L17" s="23"/>
      <c r="M17" s="23">
        <f t="shared" ref="M17:Q17" si="3">M18+M19</f>
        <v>1.01</v>
      </c>
      <c r="N17" s="23">
        <f t="shared" si="3"/>
        <v>2.79</v>
      </c>
      <c r="O17" s="23">
        <f t="shared" si="3"/>
        <v>16.82</v>
      </c>
      <c r="P17" s="23">
        <f t="shared" si="3"/>
        <v>0.08</v>
      </c>
      <c r="Q17" s="23">
        <f t="shared" si="3"/>
        <v>20.7</v>
      </c>
      <c r="R17" s="24"/>
      <c r="S17" s="24"/>
      <c r="T17" s="24"/>
      <c r="U17" s="24"/>
      <c r="V17" s="24"/>
      <c r="W17" s="24" t="s">
        <v>85</v>
      </c>
      <c r="X17" s="24"/>
      <c r="Y17" s="24">
        <v>12.5</v>
      </c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 t="s">
        <v>93</v>
      </c>
      <c r="AW17" s="24"/>
      <c r="AX17" s="24">
        <v>8.1999999999999993</v>
      </c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>
        <v>20.7</v>
      </c>
      <c r="BK17" s="25">
        <v>41840</v>
      </c>
      <c r="BL17" s="24"/>
      <c r="BM17" s="26"/>
    </row>
    <row r="18" spans="1:65" s="34" customFormat="1" ht="55.5" customHeight="1" x14ac:dyDescent="0.25">
      <c r="A18" s="28"/>
      <c r="B18" s="28"/>
      <c r="C18" s="30"/>
      <c r="D18" s="29"/>
      <c r="E18" s="29"/>
      <c r="F18" s="29"/>
      <c r="G18" s="31"/>
      <c r="H18" s="31"/>
      <c r="I18" s="31" t="s">
        <v>102</v>
      </c>
      <c r="J18" s="31">
        <v>1</v>
      </c>
      <c r="K18" s="31">
        <v>12.5</v>
      </c>
      <c r="L18" s="31"/>
      <c r="M18" s="31">
        <v>0.75</v>
      </c>
      <c r="N18" s="31">
        <v>1.63</v>
      </c>
      <c r="O18" s="31">
        <v>10.119999999999999</v>
      </c>
      <c r="P18" s="31"/>
      <c r="Q18" s="31">
        <v>12.5</v>
      </c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13"/>
      <c r="BL18" s="32"/>
      <c r="BM18" s="33"/>
    </row>
    <row r="19" spans="1:65" s="34" customFormat="1" ht="53.25" customHeight="1" x14ac:dyDescent="0.25">
      <c r="A19" s="28"/>
      <c r="B19" s="28"/>
      <c r="C19" s="30"/>
      <c r="D19" s="29"/>
      <c r="E19" s="29"/>
      <c r="F19" s="29"/>
      <c r="G19" s="31"/>
      <c r="H19" s="31"/>
      <c r="I19" s="31" t="s">
        <v>93</v>
      </c>
      <c r="J19" s="31">
        <v>1</v>
      </c>
      <c r="K19" s="31">
        <v>8.1999999999999993</v>
      </c>
      <c r="L19" s="31"/>
      <c r="M19" s="31">
        <v>0.26</v>
      </c>
      <c r="N19" s="31">
        <v>1.1599999999999999</v>
      </c>
      <c r="O19" s="31">
        <v>6.7</v>
      </c>
      <c r="P19" s="31">
        <v>0.08</v>
      </c>
      <c r="Q19" s="31">
        <v>8.1999999999999993</v>
      </c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13"/>
      <c r="BL19" s="32"/>
      <c r="BM19" s="33"/>
    </row>
    <row r="20" spans="1:65" s="27" customFormat="1" ht="197.25" customHeight="1" x14ac:dyDescent="0.25">
      <c r="A20" s="20" t="s">
        <v>42</v>
      </c>
      <c r="B20" s="20" t="s">
        <v>50</v>
      </c>
      <c r="C20" s="22">
        <v>731732.26</v>
      </c>
      <c r="D20" s="21" t="s">
        <v>59</v>
      </c>
      <c r="E20" s="21" t="s">
        <v>32</v>
      </c>
      <c r="F20" s="21" t="s">
        <v>72</v>
      </c>
      <c r="G20" s="23" t="s">
        <v>81</v>
      </c>
      <c r="H20" s="23" t="s">
        <v>30</v>
      </c>
      <c r="I20" s="23" t="s">
        <v>108</v>
      </c>
      <c r="J20" s="23">
        <f>J21+J22</f>
        <v>2.4500000000000002</v>
      </c>
      <c r="K20" s="23">
        <f t="shared" ref="K20:Q20" si="4">K21+K22</f>
        <v>601.68000000000006</v>
      </c>
      <c r="L20" s="23">
        <f t="shared" si="4"/>
        <v>0</v>
      </c>
      <c r="M20" s="23">
        <f t="shared" si="4"/>
        <v>47.42</v>
      </c>
      <c r="N20" s="23">
        <f t="shared" si="4"/>
        <v>461.57</v>
      </c>
      <c r="O20" s="23">
        <f t="shared" si="4"/>
        <v>76.78</v>
      </c>
      <c r="P20" s="23">
        <f t="shared" si="4"/>
        <v>15.91</v>
      </c>
      <c r="Q20" s="23">
        <f t="shared" si="4"/>
        <v>601.68000000000006</v>
      </c>
      <c r="R20" s="24"/>
      <c r="S20" s="24"/>
      <c r="T20" s="24"/>
      <c r="U20" s="24"/>
      <c r="V20" s="24"/>
      <c r="W20" s="24"/>
      <c r="X20" s="24"/>
      <c r="Y20" s="24"/>
      <c r="Z20" s="24">
        <v>0.45</v>
      </c>
      <c r="AA20" s="24"/>
      <c r="AB20" s="24">
        <v>495</v>
      </c>
      <c r="AC20" s="24"/>
      <c r="AD20" s="24"/>
      <c r="AE20" s="24"/>
      <c r="AF20" s="24"/>
      <c r="AG20" s="24">
        <v>2</v>
      </c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>
        <v>106.68</v>
      </c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>
        <v>601.67999999999995</v>
      </c>
      <c r="BK20" s="25">
        <v>41782</v>
      </c>
      <c r="BL20" s="24"/>
      <c r="BM20" s="26"/>
    </row>
    <row r="21" spans="1:65" s="34" customFormat="1" ht="51" customHeight="1" x14ac:dyDescent="0.25">
      <c r="A21" s="28"/>
      <c r="B21" s="28"/>
      <c r="C21" s="30"/>
      <c r="D21" s="29"/>
      <c r="E21" s="29"/>
      <c r="F21" s="29"/>
      <c r="G21" s="31"/>
      <c r="H21" s="31"/>
      <c r="I21" s="31" t="s">
        <v>6</v>
      </c>
      <c r="J21" s="31">
        <v>0.45</v>
      </c>
      <c r="K21" s="31">
        <f>J21*1100</f>
        <v>495</v>
      </c>
      <c r="L21" s="31"/>
      <c r="M21" s="31">
        <f>K21*0.08</f>
        <v>39.6</v>
      </c>
      <c r="N21" s="31">
        <f>K21*0.89</f>
        <v>440.55</v>
      </c>
      <c r="O21" s="31"/>
      <c r="P21" s="31">
        <f>K21*0.03</f>
        <v>14.85</v>
      </c>
      <c r="Q21" s="31">
        <f>M21+N21+P21</f>
        <v>495.00000000000006</v>
      </c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13"/>
      <c r="BL21" s="32"/>
      <c r="BM21" s="33"/>
    </row>
    <row r="22" spans="1:65" s="34" customFormat="1" ht="47.25" customHeight="1" x14ac:dyDescent="0.25">
      <c r="A22" s="28"/>
      <c r="B22" s="28"/>
      <c r="C22" s="30"/>
      <c r="D22" s="29"/>
      <c r="E22" s="29"/>
      <c r="F22" s="29"/>
      <c r="G22" s="31"/>
      <c r="H22" s="31"/>
      <c r="I22" s="31" t="s">
        <v>9</v>
      </c>
      <c r="J22" s="31">
        <v>2</v>
      </c>
      <c r="K22" s="31">
        <f>53.34*2</f>
        <v>106.68</v>
      </c>
      <c r="L22" s="31"/>
      <c r="M22" s="31">
        <f>3.91*2</f>
        <v>7.82</v>
      </c>
      <c r="N22" s="31">
        <f>10.51*2</f>
        <v>21.02</v>
      </c>
      <c r="O22" s="31">
        <f>38.39*2</f>
        <v>76.78</v>
      </c>
      <c r="P22" s="31">
        <f>0.53*2</f>
        <v>1.06</v>
      </c>
      <c r="Q22" s="31">
        <f>M22+N22+O22+P22</f>
        <v>106.68</v>
      </c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13"/>
      <c r="BL22" s="32"/>
      <c r="BM22" s="33"/>
    </row>
    <row r="23" spans="1:65" s="27" customFormat="1" ht="96" customHeight="1" x14ac:dyDescent="0.25">
      <c r="A23" s="20" t="s">
        <v>43</v>
      </c>
      <c r="B23" s="20" t="s">
        <v>51</v>
      </c>
      <c r="C23" s="22">
        <v>658836.5</v>
      </c>
      <c r="D23" s="21" t="s">
        <v>60</v>
      </c>
      <c r="E23" s="21" t="s">
        <v>32</v>
      </c>
      <c r="F23" s="21" t="s">
        <v>73</v>
      </c>
      <c r="G23" s="23" t="s">
        <v>82</v>
      </c>
      <c r="H23" s="23" t="s">
        <v>30</v>
      </c>
      <c r="I23" s="23" t="s">
        <v>108</v>
      </c>
      <c r="J23" s="23"/>
      <c r="K23" s="23">
        <f t="shared" ref="K23:Q23" si="5">K24+K25</f>
        <v>603.34</v>
      </c>
      <c r="L23" s="23">
        <f t="shared" si="5"/>
        <v>0</v>
      </c>
      <c r="M23" s="23">
        <f t="shared" si="5"/>
        <v>47.91</v>
      </c>
      <c r="N23" s="23">
        <f t="shared" si="5"/>
        <v>500.01</v>
      </c>
      <c r="O23" s="23">
        <f t="shared" si="5"/>
        <v>38.39</v>
      </c>
      <c r="P23" s="23">
        <f t="shared" si="5"/>
        <v>17.03</v>
      </c>
      <c r="Q23" s="23">
        <f t="shared" si="5"/>
        <v>603.34</v>
      </c>
      <c r="R23" s="24"/>
      <c r="S23" s="24"/>
      <c r="T23" s="24"/>
      <c r="U23" s="24"/>
      <c r="V23" s="24"/>
      <c r="W23" s="24"/>
      <c r="X23" s="24"/>
      <c r="Y23" s="24"/>
      <c r="Z23" s="24">
        <v>0.5</v>
      </c>
      <c r="AA23" s="24"/>
      <c r="AB23" s="24">
        <v>550</v>
      </c>
      <c r="AC23" s="24"/>
      <c r="AD23" s="24"/>
      <c r="AE23" s="24"/>
      <c r="AF23" s="24"/>
      <c r="AG23" s="24">
        <v>1</v>
      </c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>
        <v>53.34</v>
      </c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>
        <v>603.34</v>
      </c>
      <c r="BK23" s="25">
        <v>41786</v>
      </c>
      <c r="BL23" s="24"/>
      <c r="BM23" s="26"/>
    </row>
    <row r="24" spans="1:65" s="34" customFormat="1" ht="47.25" customHeight="1" x14ac:dyDescent="0.25">
      <c r="A24" s="28"/>
      <c r="B24" s="28"/>
      <c r="C24" s="30"/>
      <c r="D24" s="29"/>
      <c r="E24" s="29"/>
      <c r="F24" s="29"/>
      <c r="G24" s="31"/>
      <c r="H24" s="31"/>
      <c r="I24" s="31" t="s">
        <v>6</v>
      </c>
      <c r="J24" s="31">
        <v>0.5</v>
      </c>
      <c r="K24" s="31">
        <f>J24*1100</f>
        <v>550</v>
      </c>
      <c r="L24" s="31"/>
      <c r="M24" s="31">
        <f>K24*0.08</f>
        <v>44</v>
      </c>
      <c r="N24" s="31">
        <f>K24*0.89</f>
        <v>489.5</v>
      </c>
      <c r="O24" s="31"/>
      <c r="P24" s="31">
        <f>K24*0.03</f>
        <v>16.5</v>
      </c>
      <c r="Q24" s="31">
        <f>M24+N24+P24</f>
        <v>550</v>
      </c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13"/>
      <c r="BL24" s="32"/>
      <c r="BM24" s="33"/>
    </row>
    <row r="25" spans="1:65" s="4" customFormat="1" ht="40.5" customHeight="1" x14ac:dyDescent="0.25">
      <c r="A25" s="16"/>
      <c r="B25" s="16"/>
      <c r="C25" s="19"/>
      <c r="D25" s="17"/>
      <c r="E25" s="17"/>
      <c r="F25" s="17"/>
      <c r="G25" s="11"/>
      <c r="H25" s="11"/>
      <c r="I25" s="31" t="s">
        <v>9</v>
      </c>
      <c r="J25" s="11">
        <v>1</v>
      </c>
      <c r="K25" s="31">
        <v>53.34</v>
      </c>
      <c r="L25" s="31"/>
      <c r="M25" s="31">
        <v>3.91</v>
      </c>
      <c r="N25" s="31">
        <v>10.51</v>
      </c>
      <c r="O25" s="31">
        <v>38.39</v>
      </c>
      <c r="P25" s="31">
        <v>0.53</v>
      </c>
      <c r="Q25" s="31">
        <v>53.34</v>
      </c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14"/>
      <c r="BL25" s="6"/>
      <c r="BM25" s="7"/>
    </row>
    <row r="26" spans="1:65" s="37" customFormat="1" ht="26.25" x14ac:dyDescent="0.4">
      <c r="I26" s="37" t="s">
        <v>110</v>
      </c>
      <c r="Q26" s="37">
        <f>Q23+Q20+Q17+Q14+Q10+Q9+Q5+Q4+Q3</f>
        <v>8269.93</v>
      </c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7">
        <f>BJ23+BJ20+BJ17+BJ14+BJ10+BJ9+BJ5+BJ4+BJ3</f>
        <v>8269.93</v>
      </c>
      <c r="BK26" s="39"/>
      <c r="BL26" s="38"/>
    </row>
  </sheetData>
  <autoFilter ref="A2:BL2"/>
  <pageMargins left="0" right="0" top="0" bottom="0" header="0" footer="0"/>
  <pageSetup paperSize="9" scale="1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zoomScale="80" zoomScaleNormal="80" workbookViewId="0">
      <pane ySplit="5" topLeftCell="A10" activePane="bottomLeft" state="frozen"/>
      <selection pane="bottomLeft" activeCell="J27" activeCellId="6" sqref="J6:J7 J9:J12 J14:J16 J18:J19 J21:J22 J24:J25 J27:J28"/>
    </sheetView>
  </sheetViews>
  <sheetFormatPr defaultRowHeight="15" x14ac:dyDescent="0.25"/>
  <cols>
    <col min="1" max="3" width="15.28515625" style="68" customWidth="1"/>
    <col min="4" max="4" width="22.85546875" style="68" customWidth="1"/>
    <col min="5" max="9" width="15.28515625" style="68" customWidth="1"/>
    <col min="10" max="10" width="28.5703125" style="68" customWidth="1"/>
    <col min="11" max="15" width="15.28515625" style="68" customWidth="1"/>
    <col min="16" max="16" width="15.28515625" style="73" customWidth="1"/>
    <col min="17" max="17" width="15.28515625" style="68" customWidth="1"/>
    <col min="18" max="16384" width="9.140625" style="68"/>
  </cols>
  <sheetData>
    <row r="1" spans="1:17" x14ac:dyDescent="0.25">
      <c r="A1" s="40"/>
      <c r="B1" s="41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2">
        <v>8269.93</v>
      </c>
      <c r="Q1" s="43"/>
    </row>
    <row r="2" spans="1:17" ht="15.75" x14ac:dyDescent="0.25">
      <c r="A2" s="40"/>
      <c r="B2" s="41"/>
      <c r="C2" s="40"/>
      <c r="D2" s="40"/>
      <c r="E2" s="40"/>
      <c r="F2" s="40"/>
      <c r="G2" s="40"/>
      <c r="H2" s="40"/>
      <c r="I2" s="40"/>
      <c r="J2" s="40"/>
      <c r="K2" s="44">
        <f t="shared" ref="K2:Q2" si="0">SUBTOTAL(9,K6:K282)</f>
        <v>21.355</v>
      </c>
      <c r="L2" s="44">
        <f t="shared" si="0"/>
        <v>580.72599999999989</v>
      </c>
      <c r="M2" s="44">
        <f t="shared" si="0"/>
        <v>5470.2430000000013</v>
      </c>
      <c r="N2" s="44">
        <f t="shared" si="0"/>
        <v>2016.4200000000003</v>
      </c>
      <c r="O2" s="44">
        <f t="shared" si="0"/>
        <v>402.29300000000001</v>
      </c>
      <c r="P2" s="69">
        <f t="shared" si="0"/>
        <v>8469.6820000000007</v>
      </c>
      <c r="Q2" s="44">
        <f t="shared" si="0"/>
        <v>0</v>
      </c>
    </row>
    <row r="3" spans="1:17" x14ac:dyDescent="0.25">
      <c r="A3" s="40"/>
      <c r="B3" s="41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70"/>
      <c r="Q3" s="43"/>
    </row>
    <row r="4" spans="1:17" ht="47.25" x14ac:dyDescent="0.25">
      <c r="A4" s="45" t="s">
        <v>0</v>
      </c>
      <c r="B4" s="46" t="s">
        <v>31</v>
      </c>
      <c r="C4" s="45" t="s">
        <v>33</v>
      </c>
      <c r="D4" s="45" t="s">
        <v>1</v>
      </c>
      <c r="E4" s="47" t="s">
        <v>111</v>
      </c>
      <c r="F4" s="47" t="s">
        <v>112</v>
      </c>
      <c r="G4" s="47" t="s">
        <v>113</v>
      </c>
      <c r="H4" s="47" t="s">
        <v>114</v>
      </c>
      <c r="I4" s="47" t="s">
        <v>115</v>
      </c>
      <c r="J4" s="45" t="s">
        <v>94</v>
      </c>
      <c r="K4" s="45" t="s">
        <v>116</v>
      </c>
      <c r="L4" s="48" t="s">
        <v>97</v>
      </c>
      <c r="M4" s="48" t="s">
        <v>98</v>
      </c>
      <c r="N4" s="48" t="s">
        <v>117</v>
      </c>
      <c r="O4" s="48" t="s">
        <v>100</v>
      </c>
      <c r="P4" s="71" t="s">
        <v>118</v>
      </c>
      <c r="Q4" s="49" t="s">
        <v>119</v>
      </c>
    </row>
    <row r="5" spans="1:17" ht="15.75" x14ac:dyDescent="0.25">
      <c r="A5" s="45"/>
      <c r="B5" s="46"/>
      <c r="C5" s="45"/>
      <c r="D5" s="45"/>
      <c r="E5" s="47"/>
      <c r="F5" s="47"/>
      <c r="G5" s="47"/>
      <c r="H5" s="47"/>
      <c r="I5" s="47"/>
      <c r="J5" s="45"/>
      <c r="K5" s="45"/>
      <c r="L5" s="48"/>
      <c r="M5" s="48"/>
      <c r="N5" s="48"/>
      <c r="O5" s="48"/>
      <c r="P5" s="71"/>
      <c r="Q5" s="49"/>
    </row>
    <row r="6" spans="1:17" ht="43.5" customHeight="1" x14ac:dyDescent="0.25">
      <c r="A6" s="50" t="s">
        <v>35</v>
      </c>
      <c r="B6" s="51" t="s">
        <v>44</v>
      </c>
      <c r="C6" s="52">
        <v>930.47</v>
      </c>
      <c r="D6" s="51" t="s">
        <v>52</v>
      </c>
      <c r="E6" s="53">
        <v>2014</v>
      </c>
      <c r="F6" s="53">
        <v>2014</v>
      </c>
      <c r="G6" s="53">
        <v>2550</v>
      </c>
      <c r="H6" s="53" t="s">
        <v>122</v>
      </c>
      <c r="I6" s="53" t="s">
        <v>100</v>
      </c>
      <c r="J6" s="51" t="s">
        <v>102</v>
      </c>
      <c r="K6" s="54">
        <v>1</v>
      </c>
      <c r="L6" s="54">
        <v>0.75</v>
      </c>
      <c r="M6" s="54">
        <v>1.63</v>
      </c>
      <c r="N6" s="54">
        <v>10.119999999999999</v>
      </c>
      <c r="O6" s="54"/>
      <c r="P6" s="72">
        <f>O6+N6+M6+L6</f>
        <v>12.5</v>
      </c>
      <c r="Q6" s="55"/>
    </row>
    <row r="7" spans="1:17" ht="45" x14ac:dyDescent="0.25">
      <c r="A7" s="50" t="s">
        <v>36</v>
      </c>
      <c r="B7" s="51" t="s">
        <v>45</v>
      </c>
      <c r="C7" s="52">
        <v>96382.09</v>
      </c>
      <c r="D7" s="51" t="s">
        <v>53</v>
      </c>
      <c r="E7" s="53">
        <v>2014</v>
      </c>
      <c r="F7" s="53">
        <v>2014</v>
      </c>
      <c r="G7" s="53">
        <v>2549</v>
      </c>
      <c r="H7" s="53" t="s">
        <v>120</v>
      </c>
      <c r="I7" s="53" t="s">
        <v>121</v>
      </c>
      <c r="J7" s="51" t="s">
        <v>16</v>
      </c>
      <c r="K7" s="54">
        <v>3.5000000000000003E-2</v>
      </c>
      <c r="L7" s="54">
        <v>2.6040000000000005</v>
      </c>
      <c r="M7" s="54">
        <v>27.993000000000002</v>
      </c>
      <c r="N7" s="54"/>
      <c r="O7" s="54">
        <v>1.9530000000000003</v>
      </c>
      <c r="P7" s="72">
        <f t="shared" ref="P7:P28" si="1">O7+N7+M7+L7</f>
        <v>32.550000000000004</v>
      </c>
      <c r="Q7" s="55"/>
    </row>
    <row r="8" spans="1:17" ht="75" x14ac:dyDescent="0.25">
      <c r="A8" s="56" t="s">
        <v>37</v>
      </c>
      <c r="B8" s="57">
        <v>40795855</v>
      </c>
      <c r="C8" s="58">
        <v>7556535.7599999998</v>
      </c>
      <c r="D8" s="57" t="s">
        <v>54</v>
      </c>
      <c r="E8" s="59"/>
      <c r="F8" s="59"/>
      <c r="G8" s="59"/>
      <c r="H8" s="59"/>
      <c r="I8" s="59"/>
      <c r="J8" s="57" t="s">
        <v>103</v>
      </c>
      <c r="K8" s="60"/>
      <c r="L8" s="60"/>
      <c r="M8" s="60"/>
      <c r="N8" s="60"/>
      <c r="O8" s="60"/>
      <c r="P8" s="75"/>
      <c r="Q8" s="61"/>
    </row>
    <row r="9" spans="1:17" ht="45" x14ac:dyDescent="0.25">
      <c r="A9" s="62" t="s">
        <v>37</v>
      </c>
      <c r="B9" s="63">
        <v>40795855</v>
      </c>
      <c r="C9" s="64">
        <v>7556535.7599999998</v>
      </c>
      <c r="D9" s="63" t="s">
        <v>54</v>
      </c>
      <c r="E9" s="65">
        <v>2014</v>
      </c>
      <c r="F9" s="65">
        <v>2014</v>
      </c>
      <c r="G9" s="80">
        <v>3285</v>
      </c>
      <c r="H9" s="65" t="s">
        <v>122</v>
      </c>
      <c r="I9" s="65" t="s">
        <v>100</v>
      </c>
      <c r="J9" s="79" t="s">
        <v>4</v>
      </c>
      <c r="K9" s="76">
        <v>1</v>
      </c>
      <c r="L9" s="76">
        <v>30.72</v>
      </c>
      <c r="M9" s="76">
        <v>67.64</v>
      </c>
      <c r="N9" s="76">
        <v>875.5</v>
      </c>
      <c r="O9" s="76">
        <v>60.26</v>
      </c>
      <c r="P9" s="77">
        <f t="shared" si="1"/>
        <v>1034.1199999999999</v>
      </c>
      <c r="Q9" s="78"/>
    </row>
    <row r="10" spans="1:17" ht="45" x14ac:dyDescent="0.25">
      <c r="A10" s="62" t="s">
        <v>37</v>
      </c>
      <c r="B10" s="63">
        <v>40795855</v>
      </c>
      <c r="C10" s="64">
        <v>7556535.7599999998</v>
      </c>
      <c r="D10" s="63" t="s">
        <v>54</v>
      </c>
      <c r="E10" s="65">
        <v>2014</v>
      </c>
      <c r="F10" s="65">
        <v>2014</v>
      </c>
      <c r="G10" s="80">
        <v>2547</v>
      </c>
      <c r="H10" s="65" t="s">
        <v>122</v>
      </c>
      <c r="I10" s="65" t="s">
        <v>100</v>
      </c>
      <c r="J10" s="79" t="s">
        <v>9</v>
      </c>
      <c r="K10" s="76">
        <v>2</v>
      </c>
      <c r="L10" s="76">
        <v>3.9119999999999999</v>
      </c>
      <c r="M10" s="76">
        <v>21.02</v>
      </c>
      <c r="N10" s="76">
        <v>76.78</v>
      </c>
      <c r="O10" s="76">
        <v>1.06</v>
      </c>
      <c r="P10" s="77">
        <f t="shared" si="1"/>
        <v>102.77200000000001</v>
      </c>
      <c r="Q10" s="78"/>
    </row>
    <row r="11" spans="1:17" ht="45" x14ac:dyDescent="0.25">
      <c r="A11" s="62" t="s">
        <v>37</v>
      </c>
      <c r="B11" s="63">
        <v>40795855</v>
      </c>
      <c r="C11" s="64">
        <v>7556535.7599999998</v>
      </c>
      <c r="D11" s="63" t="s">
        <v>54</v>
      </c>
      <c r="E11" s="65">
        <v>2014</v>
      </c>
      <c r="F11" s="65">
        <v>2014</v>
      </c>
      <c r="G11" s="80">
        <v>2547</v>
      </c>
      <c r="H11" s="65" t="s">
        <v>120</v>
      </c>
      <c r="I11" s="65" t="s">
        <v>121</v>
      </c>
      <c r="J11" s="79" t="s">
        <v>6</v>
      </c>
      <c r="K11" s="76">
        <v>5.45</v>
      </c>
      <c r="L11" s="76">
        <v>374.96</v>
      </c>
      <c r="M11" s="76">
        <v>4171.43</v>
      </c>
      <c r="N11" s="76"/>
      <c r="O11" s="76">
        <v>140.60999999999999</v>
      </c>
      <c r="P11" s="77">
        <f t="shared" si="1"/>
        <v>4687</v>
      </c>
      <c r="Q11" s="78"/>
    </row>
    <row r="12" spans="1:17" ht="56.25" customHeight="1" x14ac:dyDescent="0.25">
      <c r="A12" s="50" t="s">
        <v>38</v>
      </c>
      <c r="B12" s="51" t="s">
        <v>46</v>
      </c>
      <c r="C12" s="52">
        <v>3612084</v>
      </c>
      <c r="D12" s="51" t="s">
        <v>55</v>
      </c>
      <c r="E12" s="53">
        <v>2014</v>
      </c>
      <c r="F12" s="53">
        <v>2014</v>
      </c>
      <c r="G12" s="53">
        <v>3285</v>
      </c>
      <c r="H12" s="53" t="s">
        <v>122</v>
      </c>
      <c r="I12" s="53" t="s">
        <v>100</v>
      </c>
      <c r="J12" s="51" t="s">
        <v>87</v>
      </c>
      <c r="K12" s="54">
        <v>2</v>
      </c>
      <c r="L12" s="54">
        <v>61.14</v>
      </c>
      <c r="M12" s="54">
        <v>137.91999999999999</v>
      </c>
      <c r="N12" s="54">
        <v>850</v>
      </c>
      <c r="O12" s="54">
        <v>159.72</v>
      </c>
      <c r="P12" s="72">
        <f t="shared" si="1"/>
        <v>1208.7800000000002</v>
      </c>
      <c r="Q12" s="55"/>
    </row>
    <row r="13" spans="1:17" ht="120" x14ac:dyDescent="0.25">
      <c r="A13" s="56" t="s">
        <v>39</v>
      </c>
      <c r="B13" s="57" t="s">
        <v>47</v>
      </c>
      <c r="C13" s="58">
        <v>146609.63</v>
      </c>
      <c r="D13" s="57" t="s">
        <v>56</v>
      </c>
      <c r="E13" s="59"/>
      <c r="F13" s="59"/>
      <c r="G13" s="59"/>
      <c r="H13" s="59"/>
      <c r="I13" s="59"/>
      <c r="J13" s="57" t="s">
        <v>105</v>
      </c>
      <c r="K13" s="60"/>
      <c r="L13" s="60"/>
      <c r="M13" s="60"/>
      <c r="N13" s="60"/>
      <c r="O13" s="60"/>
      <c r="P13" s="75"/>
      <c r="Q13" s="61"/>
    </row>
    <row r="14" spans="1:17" ht="45" x14ac:dyDescent="0.25">
      <c r="A14" s="62" t="s">
        <v>39</v>
      </c>
      <c r="B14" s="63" t="s">
        <v>47</v>
      </c>
      <c r="C14" s="64">
        <v>146609.63</v>
      </c>
      <c r="D14" s="63" t="s">
        <v>56</v>
      </c>
      <c r="E14" s="65">
        <v>2014</v>
      </c>
      <c r="F14" s="65">
        <v>2014</v>
      </c>
      <c r="G14" s="65">
        <v>2550</v>
      </c>
      <c r="H14" s="65" t="s">
        <v>122</v>
      </c>
      <c r="I14" s="65" t="s">
        <v>100</v>
      </c>
      <c r="J14" s="63" t="s">
        <v>104</v>
      </c>
      <c r="K14" s="66">
        <v>2</v>
      </c>
      <c r="L14" s="66">
        <v>0.15</v>
      </c>
      <c r="M14" s="66">
        <v>3.26</v>
      </c>
      <c r="N14" s="66">
        <v>20.239999999999998</v>
      </c>
      <c r="O14" s="66">
        <v>1.35</v>
      </c>
      <c r="P14" s="74">
        <f t="shared" si="1"/>
        <v>25</v>
      </c>
      <c r="Q14" s="67"/>
    </row>
    <row r="15" spans="1:17" ht="60" x14ac:dyDescent="0.25">
      <c r="A15" s="62" t="s">
        <v>39</v>
      </c>
      <c r="B15" s="63" t="s">
        <v>47</v>
      </c>
      <c r="C15" s="64">
        <v>146609.63</v>
      </c>
      <c r="D15" s="63" t="s">
        <v>56</v>
      </c>
      <c r="E15" s="65">
        <v>2014</v>
      </c>
      <c r="F15" s="65">
        <v>2014</v>
      </c>
      <c r="G15" s="65">
        <v>2550</v>
      </c>
      <c r="H15" s="65" t="s">
        <v>122</v>
      </c>
      <c r="I15" s="65" t="s">
        <v>100</v>
      </c>
      <c r="J15" s="63" t="s">
        <v>123</v>
      </c>
      <c r="K15" s="66"/>
      <c r="L15" s="66">
        <v>0.52</v>
      </c>
      <c r="M15" s="66">
        <v>2.3199999999999998</v>
      </c>
      <c r="N15" s="66">
        <v>13.4</v>
      </c>
      <c r="O15" s="66">
        <v>0.16</v>
      </c>
      <c r="P15" s="74">
        <f t="shared" si="1"/>
        <v>16.400000000000002</v>
      </c>
      <c r="Q15" s="67"/>
    </row>
    <row r="16" spans="1:17" ht="45" x14ac:dyDescent="0.25">
      <c r="A16" s="62" t="s">
        <v>39</v>
      </c>
      <c r="B16" s="63" t="s">
        <v>47</v>
      </c>
      <c r="C16" s="64">
        <v>146609.63</v>
      </c>
      <c r="D16" s="63" t="s">
        <v>56</v>
      </c>
      <c r="E16" s="65">
        <v>2014</v>
      </c>
      <c r="F16" s="65">
        <v>2014</v>
      </c>
      <c r="G16" s="65">
        <v>2549</v>
      </c>
      <c r="H16" s="65" t="s">
        <v>120</v>
      </c>
      <c r="I16" s="65" t="s">
        <v>121</v>
      </c>
      <c r="J16" s="63" t="s">
        <v>107</v>
      </c>
      <c r="K16" s="66">
        <v>0.9</v>
      </c>
      <c r="L16" s="66">
        <v>3.96</v>
      </c>
      <c r="M16" s="66">
        <v>42.57</v>
      </c>
      <c r="N16" s="66"/>
      <c r="O16" s="66">
        <v>2.9699999999999998</v>
      </c>
      <c r="P16" s="74">
        <f t="shared" si="1"/>
        <v>49.5</v>
      </c>
      <c r="Q16" s="67"/>
    </row>
    <row r="17" spans="1:17" ht="60" x14ac:dyDescent="0.25">
      <c r="A17" s="56" t="s">
        <v>40</v>
      </c>
      <c r="B17" s="57" t="s">
        <v>48</v>
      </c>
      <c r="C17" s="58">
        <v>152086.14000000001</v>
      </c>
      <c r="D17" s="57" t="s">
        <v>57</v>
      </c>
      <c r="E17" s="59"/>
      <c r="F17" s="59"/>
      <c r="G17" s="59"/>
      <c r="H17" s="59"/>
      <c r="I17" s="59"/>
      <c r="J17" s="57" t="s">
        <v>108</v>
      </c>
      <c r="K17" s="60"/>
      <c r="L17" s="60"/>
      <c r="M17" s="60"/>
      <c r="N17" s="60"/>
      <c r="O17" s="60"/>
      <c r="P17" s="75"/>
      <c r="Q17" s="61"/>
    </row>
    <row r="18" spans="1:17" ht="60" x14ac:dyDescent="0.25">
      <c r="A18" s="62" t="s">
        <v>40</v>
      </c>
      <c r="B18" s="63" t="s">
        <v>48</v>
      </c>
      <c r="C18" s="64">
        <v>152086.14000000001</v>
      </c>
      <c r="D18" s="63" t="s">
        <v>57</v>
      </c>
      <c r="E18" s="65">
        <v>2014</v>
      </c>
      <c r="F18" s="65">
        <v>2014</v>
      </c>
      <c r="G18" s="65">
        <v>2547</v>
      </c>
      <c r="H18" s="65" t="s">
        <v>120</v>
      </c>
      <c r="I18" s="65" t="s">
        <v>121</v>
      </c>
      <c r="J18" s="63" t="s">
        <v>6</v>
      </c>
      <c r="K18" s="66">
        <v>0.02</v>
      </c>
      <c r="L18" s="66">
        <v>1.76</v>
      </c>
      <c r="M18" s="66">
        <v>19.580000000000002</v>
      </c>
      <c r="N18" s="66"/>
      <c r="O18" s="66">
        <v>0.65999999999999992</v>
      </c>
      <c r="P18" s="74">
        <f t="shared" si="1"/>
        <v>22.000000000000004</v>
      </c>
      <c r="Q18" s="67"/>
    </row>
    <row r="19" spans="1:17" ht="60" x14ac:dyDescent="0.25">
      <c r="A19" s="62" t="s">
        <v>40</v>
      </c>
      <c r="B19" s="63" t="s">
        <v>48</v>
      </c>
      <c r="C19" s="64">
        <v>152086.14000000001</v>
      </c>
      <c r="D19" s="63" t="s">
        <v>57</v>
      </c>
      <c r="E19" s="65">
        <v>2014</v>
      </c>
      <c r="F19" s="65">
        <v>2014</v>
      </c>
      <c r="G19" s="65">
        <v>2547</v>
      </c>
      <c r="H19" s="65" t="s">
        <v>120</v>
      </c>
      <c r="I19" s="65" t="s">
        <v>121</v>
      </c>
      <c r="J19" s="63" t="s">
        <v>9</v>
      </c>
      <c r="K19" s="66">
        <v>1</v>
      </c>
      <c r="L19" s="66">
        <v>3.91</v>
      </c>
      <c r="M19" s="66">
        <v>10.51</v>
      </c>
      <c r="N19" s="66">
        <v>38.39</v>
      </c>
      <c r="O19" s="66">
        <v>0.53</v>
      </c>
      <c r="P19" s="74">
        <f t="shared" si="1"/>
        <v>53.34</v>
      </c>
      <c r="Q19" s="67"/>
    </row>
    <row r="20" spans="1:17" ht="75" x14ac:dyDescent="0.25">
      <c r="A20" s="56" t="s">
        <v>41</v>
      </c>
      <c r="B20" s="57" t="s">
        <v>49</v>
      </c>
      <c r="C20" s="58">
        <v>13050.85</v>
      </c>
      <c r="D20" s="57" t="s">
        <v>58</v>
      </c>
      <c r="E20" s="59"/>
      <c r="F20" s="59"/>
      <c r="G20" s="59"/>
      <c r="H20" s="59"/>
      <c r="I20" s="59"/>
      <c r="J20" s="57" t="s">
        <v>109</v>
      </c>
      <c r="K20" s="60"/>
      <c r="L20" s="60"/>
      <c r="M20" s="60"/>
      <c r="N20" s="60"/>
      <c r="O20" s="60"/>
      <c r="P20" s="75"/>
      <c r="Q20" s="61"/>
    </row>
    <row r="21" spans="1:17" ht="60" x14ac:dyDescent="0.25">
      <c r="A21" s="50" t="s">
        <v>41</v>
      </c>
      <c r="B21" s="51" t="s">
        <v>49</v>
      </c>
      <c r="C21" s="52">
        <v>13050.85</v>
      </c>
      <c r="D21" s="51" t="s">
        <v>58</v>
      </c>
      <c r="E21" s="53">
        <v>2014</v>
      </c>
      <c r="F21" s="53">
        <v>2014</v>
      </c>
      <c r="G21" s="53">
        <v>2550</v>
      </c>
      <c r="H21" s="53" t="s">
        <v>122</v>
      </c>
      <c r="I21" s="53" t="s">
        <v>100</v>
      </c>
      <c r="J21" s="51" t="s">
        <v>102</v>
      </c>
      <c r="K21" s="54">
        <v>1</v>
      </c>
      <c r="L21" s="54">
        <v>0.75</v>
      </c>
      <c r="M21" s="54">
        <v>1.63</v>
      </c>
      <c r="N21" s="54">
        <v>10.119999999999999</v>
      </c>
      <c r="O21" s="54"/>
      <c r="P21" s="72">
        <f t="shared" si="1"/>
        <v>12.5</v>
      </c>
      <c r="Q21" s="55"/>
    </row>
    <row r="22" spans="1:17" ht="60" x14ac:dyDescent="0.25">
      <c r="A22" s="50" t="s">
        <v>41</v>
      </c>
      <c r="B22" s="51" t="s">
        <v>49</v>
      </c>
      <c r="C22" s="52">
        <v>13050.85</v>
      </c>
      <c r="D22" s="51" t="s">
        <v>58</v>
      </c>
      <c r="E22" s="53">
        <v>2014</v>
      </c>
      <c r="F22" s="53">
        <v>2014</v>
      </c>
      <c r="G22" s="53">
        <v>2550</v>
      </c>
      <c r="H22" s="53" t="s">
        <v>122</v>
      </c>
      <c r="I22" s="53" t="s">
        <v>100</v>
      </c>
      <c r="J22" s="51" t="s">
        <v>93</v>
      </c>
      <c r="K22" s="54">
        <v>1</v>
      </c>
      <c r="L22" s="54">
        <v>0.26</v>
      </c>
      <c r="M22" s="54">
        <v>1.1599999999999999</v>
      </c>
      <c r="N22" s="54">
        <v>6.7</v>
      </c>
      <c r="O22" s="54">
        <v>0.08</v>
      </c>
      <c r="P22" s="72">
        <f t="shared" si="1"/>
        <v>8.2000000000000011</v>
      </c>
      <c r="Q22" s="55"/>
    </row>
    <row r="23" spans="1:17" ht="60" x14ac:dyDescent="0.25">
      <c r="A23" s="56" t="s">
        <v>42</v>
      </c>
      <c r="B23" s="57" t="s">
        <v>50</v>
      </c>
      <c r="C23" s="58">
        <v>731732.26</v>
      </c>
      <c r="D23" s="57" t="s">
        <v>59</v>
      </c>
      <c r="E23" s="59"/>
      <c r="F23" s="59"/>
      <c r="G23" s="59"/>
      <c r="H23" s="59"/>
      <c r="I23" s="59"/>
      <c r="J23" s="57" t="s">
        <v>108</v>
      </c>
      <c r="K23" s="60"/>
      <c r="L23" s="60"/>
      <c r="M23" s="60"/>
      <c r="N23" s="60"/>
      <c r="O23" s="60"/>
      <c r="P23" s="75"/>
      <c r="Q23" s="61"/>
    </row>
    <row r="24" spans="1:17" ht="60" x14ac:dyDescent="0.25">
      <c r="A24" s="50" t="s">
        <v>42</v>
      </c>
      <c r="B24" s="51" t="s">
        <v>50</v>
      </c>
      <c r="C24" s="52">
        <v>731732.26</v>
      </c>
      <c r="D24" s="51" t="s">
        <v>59</v>
      </c>
      <c r="E24" s="53">
        <v>2014</v>
      </c>
      <c r="F24" s="53">
        <v>2014</v>
      </c>
      <c r="G24" s="53">
        <v>2547</v>
      </c>
      <c r="H24" s="53" t="s">
        <v>120</v>
      </c>
      <c r="I24" s="53" t="s">
        <v>121</v>
      </c>
      <c r="J24" s="51" t="s">
        <v>6</v>
      </c>
      <c r="K24" s="54">
        <v>0.45</v>
      </c>
      <c r="L24" s="54">
        <v>39.6</v>
      </c>
      <c r="M24" s="54">
        <v>440.55</v>
      </c>
      <c r="N24" s="54"/>
      <c r="O24" s="54">
        <v>14.85</v>
      </c>
      <c r="P24" s="72">
        <f t="shared" si="1"/>
        <v>495.00000000000006</v>
      </c>
      <c r="Q24" s="55"/>
    </row>
    <row r="25" spans="1:17" ht="60" x14ac:dyDescent="0.25">
      <c r="A25" s="50" t="s">
        <v>42</v>
      </c>
      <c r="B25" s="51" t="s">
        <v>50</v>
      </c>
      <c r="C25" s="52">
        <v>731732.26</v>
      </c>
      <c r="D25" s="51" t="s">
        <v>59</v>
      </c>
      <c r="E25" s="53">
        <v>2014</v>
      </c>
      <c r="F25" s="53">
        <v>2014</v>
      </c>
      <c r="G25" s="53">
        <v>2547</v>
      </c>
      <c r="H25" s="53" t="s">
        <v>120</v>
      </c>
      <c r="I25" s="53" t="s">
        <v>121</v>
      </c>
      <c r="J25" s="51" t="s">
        <v>9</v>
      </c>
      <c r="K25" s="54">
        <v>2</v>
      </c>
      <c r="L25" s="54">
        <v>7.82</v>
      </c>
      <c r="M25" s="54">
        <v>21.02</v>
      </c>
      <c r="N25" s="54">
        <v>76.78</v>
      </c>
      <c r="O25" s="54">
        <v>1.06</v>
      </c>
      <c r="P25" s="72">
        <f t="shared" si="1"/>
        <v>106.68</v>
      </c>
      <c r="Q25" s="55"/>
    </row>
    <row r="26" spans="1:17" ht="60" x14ac:dyDescent="0.25">
      <c r="A26" s="56" t="s">
        <v>43</v>
      </c>
      <c r="B26" s="57" t="s">
        <v>51</v>
      </c>
      <c r="C26" s="58">
        <v>658836.5</v>
      </c>
      <c r="D26" s="57" t="s">
        <v>60</v>
      </c>
      <c r="E26" s="59"/>
      <c r="F26" s="59"/>
      <c r="G26" s="59"/>
      <c r="H26" s="59"/>
      <c r="I26" s="59"/>
      <c r="J26" s="57" t="s">
        <v>108</v>
      </c>
      <c r="K26" s="60"/>
      <c r="L26" s="60"/>
      <c r="M26" s="60"/>
      <c r="N26" s="60"/>
      <c r="O26" s="60"/>
      <c r="P26" s="75"/>
      <c r="Q26" s="61"/>
    </row>
    <row r="27" spans="1:17" ht="60" x14ac:dyDescent="0.25">
      <c r="A27" s="50" t="s">
        <v>43</v>
      </c>
      <c r="B27" s="51" t="s">
        <v>51</v>
      </c>
      <c r="C27" s="52">
        <v>658836.5</v>
      </c>
      <c r="D27" s="51" t="s">
        <v>60</v>
      </c>
      <c r="E27" s="53">
        <v>2014</v>
      </c>
      <c r="F27" s="53">
        <v>2014</v>
      </c>
      <c r="G27" s="53">
        <v>2547</v>
      </c>
      <c r="H27" s="53" t="s">
        <v>120</v>
      </c>
      <c r="I27" s="53" t="s">
        <v>121</v>
      </c>
      <c r="J27" s="51" t="s">
        <v>6</v>
      </c>
      <c r="K27" s="54">
        <v>0.5</v>
      </c>
      <c r="L27" s="54">
        <v>44</v>
      </c>
      <c r="M27" s="54">
        <v>489.5</v>
      </c>
      <c r="N27" s="54"/>
      <c r="O27" s="54">
        <v>16.5</v>
      </c>
      <c r="P27" s="72">
        <f t="shared" si="1"/>
        <v>550</v>
      </c>
      <c r="Q27" s="55"/>
    </row>
    <row r="28" spans="1:17" ht="60" x14ac:dyDescent="0.25">
      <c r="A28" s="50" t="s">
        <v>43</v>
      </c>
      <c r="B28" s="51" t="s">
        <v>51</v>
      </c>
      <c r="C28" s="52">
        <v>658836.5</v>
      </c>
      <c r="D28" s="51" t="s">
        <v>60</v>
      </c>
      <c r="E28" s="53">
        <v>2014</v>
      </c>
      <c r="F28" s="53">
        <v>2014</v>
      </c>
      <c r="G28" s="53">
        <v>2547</v>
      </c>
      <c r="H28" s="53" t="s">
        <v>120</v>
      </c>
      <c r="I28" s="53" t="s">
        <v>121</v>
      </c>
      <c r="J28" s="51" t="s">
        <v>9</v>
      </c>
      <c r="K28" s="54">
        <v>1</v>
      </c>
      <c r="L28" s="54">
        <v>3.91</v>
      </c>
      <c r="M28" s="54">
        <v>10.51</v>
      </c>
      <c r="N28" s="54">
        <v>38.39</v>
      </c>
      <c r="O28" s="54">
        <v>0.53</v>
      </c>
      <c r="P28" s="72">
        <f t="shared" si="1"/>
        <v>53.34</v>
      </c>
      <c r="Q28" s="55"/>
    </row>
  </sheetData>
  <autoFilter ref="A5:Q2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tabSelected="1" zoomScale="60" zoomScaleNormal="60" workbookViewId="0">
      <pane ySplit="5" topLeftCell="A6" activePane="bottomLeft" state="frozen"/>
      <selection pane="bottomLeft" activeCell="B7" sqref="B7"/>
    </sheetView>
  </sheetViews>
  <sheetFormatPr defaultRowHeight="15" x14ac:dyDescent="0.25"/>
  <cols>
    <col min="1" max="3" width="15.28515625" style="68" customWidth="1"/>
    <col min="4" max="4" width="22.85546875" style="68" customWidth="1"/>
    <col min="5" max="9" width="15.28515625" style="68" customWidth="1"/>
    <col min="10" max="10" width="28.5703125" style="68" customWidth="1"/>
    <col min="11" max="15" width="15.28515625" style="68" customWidth="1"/>
    <col min="16" max="16" width="15.28515625" style="73" customWidth="1"/>
    <col min="17" max="17" width="15.28515625" style="68" customWidth="1"/>
    <col min="18" max="16384" width="9.140625" style="68"/>
  </cols>
  <sheetData>
    <row r="1" spans="1:17" x14ac:dyDescent="0.25">
      <c r="A1" s="40"/>
      <c r="B1" s="41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2"/>
      <c r="Q1" s="43"/>
    </row>
    <row r="2" spans="1:17" ht="15.75" x14ac:dyDescent="0.25">
      <c r="A2" s="40"/>
      <c r="B2" s="41"/>
      <c r="C2" s="40"/>
      <c r="D2" s="40"/>
      <c r="E2" s="40"/>
      <c r="F2" s="40"/>
      <c r="G2" s="40"/>
      <c r="H2" s="40"/>
      <c r="I2" s="40"/>
      <c r="J2" s="40"/>
      <c r="K2" s="44">
        <f>SUM(K6:K24)</f>
        <v>26.5</v>
      </c>
      <c r="L2" s="44">
        <f t="shared" ref="L2:P2" si="0">SUM(L6:L24)</f>
        <v>580.726</v>
      </c>
      <c r="M2" s="44">
        <f t="shared" si="0"/>
        <v>5470.2430000000013</v>
      </c>
      <c r="N2" s="44">
        <f t="shared" si="0"/>
        <v>2016.42</v>
      </c>
      <c r="O2" s="44">
        <f t="shared" si="0"/>
        <v>402.29299999999995</v>
      </c>
      <c r="P2" s="44">
        <f t="shared" si="0"/>
        <v>8469.6820000000007</v>
      </c>
      <c r="Q2" s="44">
        <f>SUBTOTAL(9,Q21:Q267)</f>
        <v>0</v>
      </c>
    </row>
    <row r="3" spans="1:17" x14ac:dyDescent="0.25">
      <c r="A3" s="40"/>
      <c r="B3" s="41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70"/>
      <c r="Q3" s="43"/>
    </row>
    <row r="4" spans="1:17" ht="47.25" x14ac:dyDescent="0.25">
      <c r="A4" s="45" t="s">
        <v>0</v>
      </c>
      <c r="B4" s="46" t="s">
        <v>31</v>
      </c>
      <c r="C4" s="45" t="s">
        <v>33</v>
      </c>
      <c r="D4" s="45" t="s">
        <v>1</v>
      </c>
      <c r="E4" s="47" t="s">
        <v>111</v>
      </c>
      <c r="F4" s="47" t="s">
        <v>112</v>
      </c>
      <c r="G4" s="47" t="s">
        <v>113</v>
      </c>
      <c r="H4" s="47" t="s">
        <v>114</v>
      </c>
      <c r="I4" s="47" t="s">
        <v>115</v>
      </c>
      <c r="J4" s="45" t="s">
        <v>94</v>
      </c>
      <c r="K4" s="45" t="s">
        <v>116</v>
      </c>
      <c r="L4" s="48" t="s">
        <v>97</v>
      </c>
      <c r="M4" s="48" t="s">
        <v>98</v>
      </c>
      <c r="N4" s="48" t="s">
        <v>117</v>
      </c>
      <c r="O4" s="48" t="s">
        <v>100</v>
      </c>
      <c r="P4" s="71" t="s">
        <v>118</v>
      </c>
      <c r="Q4" s="49" t="s">
        <v>119</v>
      </c>
    </row>
    <row r="5" spans="1:17" ht="15.75" x14ac:dyDescent="0.25">
      <c r="A5" s="45"/>
      <c r="B5" s="46"/>
      <c r="C5" s="45"/>
      <c r="D5" s="45"/>
      <c r="E5" s="47"/>
      <c r="F5" s="47"/>
      <c r="G5" s="47"/>
      <c r="H5" s="47"/>
      <c r="I5" s="47"/>
      <c r="J5" s="45"/>
      <c r="K5" s="45"/>
      <c r="L5" s="48"/>
      <c r="M5" s="48"/>
      <c r="N5" s="48"/>
      <c r="O5" s="48"/>
      <c r="P5" s="71"/>
      <c r="Q5" s="49"/>
    </row>
    <row r="6" spans="1:17" ht="45" x14ac:dyDescent="0.25">
      <c r="A6" s="81" t="s">
        <v>37</v>
      </c>
      <c r="B6" s="82">
        <v>40795855</v>
      </c>
      <c r="C6" s="88">
        <v>7556535.7599999998</v>
      </c>
      <c r="D6" s="82" t="s">
        <v>54</v>
      </c>
      <c r="E6" s="83">
        <v>2014</v>
      </c>
      <c r="F6" s="83">
        <v>2014</v>
      </c>
      <c r="G6" s="83">
        <v>3285</v>
      </c>
      <c r="H6" s="83" t="s">
        <v>122</v>
      </c>
      <c r="I6" s="83" t="s">
        <v>100</v>
      </c>
      <c r="J6" s="82" t="s">
        <v>124</v>
      </c>
      <c r="K6" s="84">
        <v>1</v>
      </c>
      <c r="L6" s="84">
        <v>30.72</v>
      </c>
      <c r="M6" s="84">
        <v>67.64</v>
      </c>
      <c r="N6" s="84">
        <v>875.5</v>
      </c>
      <c r="O6" s="84">
        <v>60.26</v>
      </c>
      <c r="P6" s="85">
        <f t="shared" ref="P6" si="1">O6+N6+M6+L6</f>
        <v>1034.1199999999999</v>
      </c>
      <c r="Q6" s="49"/>
    </row>
    <row r="7" spans="1:17" s="86" customFormat="1" ht="90" x14ac:dyDescent="0.25">
      <c r="A7" s="56" t="s">
        <v>38</v>
      </c>
      <c r="B7" s="57" t="s">
        <v>46</v>
      </c>
      <c r="C7" s="89">
        <v>3612084</v>
      </c>
      <c r="D7" s="57" t="s">
        <v>55</v>
      </c>
      <c r="E7" s="59">
        <v>2014</v>
      </c>
      <c r="F7" s="59">
        <v>2014</v>
      </c>
      <c r="G7" s="59">
        <v>3285</v>
      </c>
      <c r="H7" s="59" t="s">
        <v>122</v>
      </c>
      <c r="I7" s="59" t="s">
        <v>100</v>
      </c>
      <c r="J7" s="57" t="s">
        <v>5</v>
      </c>
      <c r="K7" s="60">
        <v>2</v>
      </c>
      <c r="L7" s="60">
        <v>4.8</v>
      </c>
      <c r="M7" s="60">
        <v>39.4</v>
      </c>
      <c r="N7" s="60">
        <v>53</v>
      </c>
      <c r="O7" s="60">
        <v>6.4</v>
      </c>
      <c r="P7" s="75">
        <v>103.6</v>
      </c>
      <c r="Q7" s="61"/>
    </row>
    <row r="8" spans="1:17" ht="56.25" customHeight="1" x14ac:dyDescent="0.25">
      <c r="A8" s="81" t="s">
        <v>38</v>
      </c>
      <c r="B8" s="82" t="s">
        <v>46</v>
      </c>
      <c r="C8" s="88">
        <v>3612084</v>
      </c>
      <c r="D8" s="82" t="s">
        <v>55</v>
      </c>
      <c r="E8" s="83">
        <v>2014</v>
      </c>
      <c r="F8" s="83">
        <v>2014</v>
      </c>
      <c r="G8" s="83">
        <v>3285</v>
      </c>
      <c r="H8" s="83" t="s">
        <v>122</v>
      </c>
      <c r="I8" s="83" t="s">
        <v>100</v>
      </c>
      <c r="J8" s="82" t="s">
        <v>125</v>
      </c>
      <c r="K8" s="84">
        <v>2</v>
      </c>
      <c r="L8" s="84">
        <v>53</v>
      </c>
      <c r="M8" s="84">
        <v>96</v>
      </c>
      <c r="N8" s="84">
        <v>760</v>
      </c>
      <c r="O8" s="84">
        <v>151</v>
      </c>
      <c r="P8" s="85">
        <v>1060</v>
      </c>
      <c r="Q8" s="49"/>
    </row>
    <row r="9" spans="1:17" s="86" customFormat="1" ht="45" x14ac:dyDescent="0.25">
      <c r="A9" s="56" t="s">
        <v>39</v>
      </c>
      <c r="B9" s="57" t="s">
        <v>47</v>
      </c>
      <c r="C9" s="89">
        <v>146609.63</v>
      </c>
      <c r="D9" s="57" t="s">
        <v>56</v>
      </c>
      <c r="E9" s="59">
        <v>2014</v>
      </c>
      <c r="F9" s="59">
        <v>2014</v>
      </c>
      <c r="G9" s="59">
        <v>2550</v>
      </c>
      <c r="H9" s="59" t="s">
        <v>122</v>
      </c>
      <c r="I9" s="59" t="s">
        <v>100</v>
      </c>
      <c r="J9" s="57" t="s">
        <v>102</v>
      </c>
      <c r="K9" s="60">
        <v>2</v>
      </c>
      <c r="L9" s="60">
        <v>0.15</v>
      </c>
      <c r="M9" s="60">
        <v>3.26</v>
      </c>
      <c r="N9" s="60">
        <v>20.239999999999998</v>
      </c>
      <c r="O9" s="60">
        <v>1.35</v>
      </c>
      <c r="P9" s="75">
        <f t="shared" ref="P9:P10" si="2">O9+N9+M9+L9</f>
        <v>25</v>
      </c>
      <c r="Q9" s="61"/>
    </row>
    <row r="10" spans="1:17" ht="60" x14ac:dyDescent="0.25">
      <c r="A10" s="56" t="s">
        <v>41</v>
      </c>
      <c r="B10" s="57" t="s">
        <v>49</v>
      </c>
      <c r="C10" s="89">
        <v>13050.85</v>
      </c>
      <c r="D10" s="57" t="s">
        <v>58</v>
      </c>
      <c r="E10" s="59">
        <v>2014</v>
      </c>
      <c r="F10" s="59">
        <v>2014</v>
      </c>
      <c r="G10" s="59">
        <v>2550</v>
      </c>
      <c r="H10" s="59" t="s">
        <v>122</v>
      </c>
      <c r="I10" s="59" t="s">
        <v>100</v>
      </c>
      <c r="J10" s="57" t="s">
        <v>102</v>
      </c>
      <c r="K10" s="60">
        <v>1</v>
      </c>
      <c r="L10" s="60">
        <v>0.75</v>
      </c>
      <c r="M10" s="60">
        <v>1.63</v>
      </c>
      <c r="N10" s="60">
        <v>10.119999999999999</v>
      </c>
      <c r="O10" s="60"/>
      <c r="P10" s="75">
        <f t="shared" si="2"/>
        <v>12.5</v>
      </c>
      <c r="Q10" s="61"/>
    </row>
    <row r="11" spans="1:17" ht="45" x14ac:dyDescent="0.25">
      <c r="A11" s="56" t="s">
        <v>35</v>
      </c>
      <c r="B11" s="57" t="s">
        <v>44</v>
      </c>
      <c r="C11" s="89">
        <v>930.47</v>
      </c>
      <c r="D11" s="57" t="s">
        <v>52</v>
      </c>
      <c r="E11" s="59">
        <v>2014</v>
      </c>
      <c r="F11" s="59">
        <v>2014</v>
      </c>
      <c r="G11" s="59">
        <v>2550</v>
      </c>
      <c r="H11" s="59" t="s">
        <v>122</v>
      </c>
      <c r="I11" s="59" t="s">
        <v>100</v>
      </c>
      <c r="J11" s="57" t="s">
        <v>102</v>
      </c>
      <c r="K11" s="60">
        <v>1</v>
      </c>
      <c r="L11" s="60">
        <v>0.75</v>
      </c>
      <c r="M11" s="60">
        <v>1.63</v>
      </c>
      <c r="N11" s="60">
        <v>10.119999999999999</v>
      </c>
      <c r="O11" s="60"/>
      <c r="P11" s="75">
        <f>O11+N11+M11+L11</f>
        <v>12.5</v>
      </c>
      <c r="Q11" s="61"/>
    </row>
    <row r="12" spans="1:17" ht="55.5" customHeight="1" x14ac:dyDescent="0.25">
      <c r="A12" s="45" t="s">
        <v>38</v>
      </c>
      <c r="B12" s="46" t="s">
        <v>46</v>
      </c>
      <c r="C12" s="90">
        <v>3612084</v>
      </c>
      <c r="D12" s="45" t="s">
        <v>55</v>
      </c>
      <c r="E12" s="47">
        <v>2014</v>
      </c>
      <c r="F12" s="47">
        <v>2014</v>
      </c>
      <c r="G12" s="47">
        <v>3285</v>
      </c>
      <c r="H12" s="47" t="s">
        <v>122</v>
      </c>
      <c r="I12" s="47" t="s">
        <v>100</v>
      </c>
      <c r="J12" s="45" t="s">
        <v>132</v>
      </c>
      <c r="K12" s="45">
        <v>2</v>
      </c>
      <c r="L12" s="87">
        <v>3.34</v>
      </c>
      <c r="M12" s="87">
        <v>2.52</v>
      </c>
      <c r="N12" s="87">
        <v>37</v>
      </c>
      <c r="O12" s="87">
        <v>2.3200000000000003</v>
      </c>
      <c r="P12" s="85">
        <v>45.180000000000007</v>
      </c>
      <c r="Q12" s="49"/>
    </row>
    <row r="13" spans="1:17" ht="45" x14ac:dyDescent="0.25">
      <c r="A13" s="56" t="s">
        <v>37</v>
      </c>
      <c r="B13" s="57">
        <v>40795855</v>
      </c>
      <c r="C13" s="89">
        <v>7556535.7599999998</v>
      </c>
      <c r="D13" s="57" t="s">
        <v>54</v>
      </c>
      <c r="E13" s="59">
        <v>2014</v>
      </c>
      <c r="F13" s="59">
        <v>2014</v>
      </c>
      <c r="G13" s="59">
        <v>2547</v>
      </c>
      <c r="H13" s="59" t="s">
        <v>120</v>
      </c>
      <c r="I13" s="59" t="s">
        <v>121</v>
      </c>
      <c r="J13" s="57" t="s">
        <v>6</v>
      </c>
      <c r="K13" s="60">
        <v>5.45</v>
      </c>
      <c r="L13" s="60">
        <v>374.96</v>
      </c>
      <c r="M13" s="60">
        <v>4171.43</v>
      </c>
      <c r="N13" s="60"/>
      <c r="O13" s="60">
        <v>140.60999999999999</v>
      </c>
      <c r="P13" s="75">
        <f t="shared" ref="P13:P20" si="3">O13+N13+M13+L13</f>
        <v>4687</v>
      </c>
      <c r="Q13" s="61"/>
    </row>
    <row r="14" spans="1:17" ht="60" x14ac:dyDescent="0.25">
      <c r="A14" s="56" t="s">
        <v>40</v>
      </c>
      <c r="B14" s="57" t="s">
        <v>48</v>
      </c>
      <c r="C14" s="89">
        <v>152086.14000000001</v>
      </c>
      <c r="D14" s="57" t="s">
        <v>57</v>
      </c>
      <c r="E14" s="59">
        <v>2014</v>
      </c>
      <c r="F14" s="59">
        <v>2014</v>
      </c>
      <c r="G14" s="59">
        <v>2547</v>
      </c>
      <c r="H14" s="59" t="s">
        <v>120</v>
      </c>
      <c r="I14" s="59" t="s">
        <v>121</v>
      </c>
      <c r="J14" s="57" t="s">
        <v>128</v>
      </c>
      <c r="K14" s="60">
        <v>0.02</v>
      </c>
      <c r="L14" s="60">
        <v>1.76</v>
      </c>
      <c r="M14" s="60">
        <v>19.580000000000002</v>
      </c>
      <c r="N14" s="60"/>
      <c r="O14" s="60">
        <v>0.65999999999999992</v>
      </c>
      <c r="P14" s="75">
        <f t="shared" si="3"/>
        <v>22.000000000000004</v>
      </c>
      <c r="Q14" s="61"/>
    </row>
    <row r="15" spans="1:17" ht="45" x14ac:dyDescent="0.25">
      <c r="A15" s="56" t="s">
        <v>42</v>
      </c>
      <c r="B15" s="57" t="s">
        <v>50</v>
      </c>
      <c r="C15" s="89">
        <v>731732.26</v>
      </c>
      <c r="D15" s="57" t="s">
        <v>59</v>
      </c>
      <c r="E15" s="59">
        <v>2014</v>
      </c>
      <c r="F15" s="59">
        <v>2014</v>
      </c>
      <c r="G15" s="59">
        <v>2547</v>
      </c>
      <c r="H15" s="59" t="s">
        <v>120</v>
      </c>
      <c r="I15" s="59" t="s">
        <v>121</v>
      </c>
      <c r="J15" s="57" t="s">
        <v>6</v>
      </c>
      <c r="K15" s="60">
        <v>0.45</v>
      </c>
      <c r="L15" s="60">
        <v>39.6</v>
      </c>
      <c r="M15" s="60">
        <v>440.55</v>
      </c>
      <c r="N15" s="60"/>
      <c r="O15" s="60">
        <v>14.85</v>
      </c>
      <c r="P15" s="75">
        <f t="shared" si="3"/>
        <v>495.00000000000006</v>
      </c>
      <c r="Q15" s="61"/>
    </row>
    <row r="16" spans="1:17" ht="45" x14ac:dyDescent="0.25">
      <c r="A16" s="56" t="s">
        <v>43</v>
      </c>
      <c r="B16" s="57" t="s">
        <v>51</v>
      </c>
      <c r="C16" s="89">
        <v>658836.5</v>
      </c>
      <c r="D16" s="57" t="s">
        <v>60</v>
      </c>
      <c r="E16" s="59">
        <v>2014</v>
      </c>
      <c r="F16" s="59">
        <v>2014</v>
      </c>
      <c r="G16" s="59">
        <v>2547</v>
      </c>
      <c r="H16" s="59" t="s">
        <v>120</v>
      </c>
      <c r="I16" s="59" t="s">
        <v>121</v>
      </c>
      <c r="J16" s="57" t="s">
        <v>6</v>
      </c>
      <c r="K16" s="60">
        <v>0.5</v>
      </c>
      <c r="L16" s="60">
        <v>44</v>
      </c>
      <c r="M16" s="60">
        <v>489.5</v>
      </c>
      <c r="N16" s="60"/>
      <c r="O16" s="60">
        <v>16.5</v>
      </c>
      <c r="P16" s="75">
        <f t="shared" si="3"/>
        <v>550</v>
      </c>
      <c r="Q16" s="61"/>
    </row>
    <row r="17" spans="1:17" ht="45" x14ac:dyDescent="0.25">
      <c r="A17" s="81" t="s">
        <v>42</v>
      </c>
      <c r="B17" s="82" t="s">
        <v>50</v>
      </c>
      <c r="C17" s="88">
        <v>731732.26</v>
      </c>
      <c r="D17" s="82" t="s">
        <v>59</v>
      </c>
      <c r="E17" s="83">
        <v>2014</v>
      </c>
      <c r="F17" s="83">
        <v>2014</v>
      </c>
      <c r="G17" s="83">
        <v>2547</v>
      </c>
      <c r="H17" s="83" t="s">
        <v>120</v>
      </c>
      <c r="I17" s="83" t="s">
        <v>100</v>
      </c>
      <c r="J17" s="82" t="s">
        <v>127</v>
      </c>
      <c r="K17" s="84">
        <v>2</v>
      </c>
      <c r="L17" s="84">
        <v>7.82</v>
      </c>
      <c r="M17" s="84">
        <v>21.02</v>
      </c>
      <c r="N17" s="84">
        <v>76.78</v>
      </c>
      <c r="O17" s="84">
        <v>1.06</v>
      </c>
      <c r="P17" s="85">
        <f t="shared" si="3"/>
        <v>106.68</v>
      </c>
      <c r="Q17" s="49"/>
    </row>
    <row r="18" spans="1:17" ht="45" x14ac:dyDescent="0.25">
      <c r="A18" s="81" t="s">
        <v>43</v>
      </c>
      <c r="B18" s="82" t="s">
        <v>51</v>
      </c>
      <c r="C18" s="88">
        <v>658836.5</v>
      </c>
      <c r="D18" s="82" t="s">
        <v>60</v>
      </c>
      <c r="E18" s="83">
        <v>2014</v>
      </c>
      <c r="F18" s="83">
        <v>2014</v>
      </c>
      <c r="G18" s="83">
        <v>2547</v>
      </c>
      <c r="H18" s="83" t="s">
        <v>120</v>
      </c>
      <c r="I18" s="83" t="s">
        <v>100</v>
      </c>
      <c r="J18" s="82" t="s">
        <v>127</v>
      </c>
      <c r="K18" s="84">
        <v>1</v>
      </c>
      <c r="L18" s="84">
        <v>3.91</v>
      </c>
      <c r="M18" s="84">
        <v>10.51</v>
      </c>
      <c r="N18" s="84">
        <v>38.39</v>
      </c>
      <c r="O18" s="84">
        <v>0.53</v>
      </c>
      <c r="P18" s="85">
        <f t="shared" si="3"/>
        <v>53.34</v>
      </c>
      <c r="Q18" s="49"/>
    </row>
    <row r="19" spans="1:17" ht="60" x14ac:dyDescent="0.25">
      <c r="A19" s="81" t="s">
        <v>40</v>
      </c>
      <c r="B19" s="82" t="s">
        <v>48</v>
      </c>
      <c r="C19" s="88">
        <v>152086.14000000001</v>
      </c>
      <c r="D19" s="82" t="s">
        <v>57</v>
      </c>
      <c r="E19" s="83">
        <v>2014</v>
      </c>
      <c r="F19" s="83">
        <v>2014</v>
      </c>
      <c r="G19" s="83">
        <v>2547</v>
      </c>
      <c r="H19" s="83" t="s">
        <v>120</v>
      </c>
      <c r="I19" s="83" t="s">
        <v>100</v>
      </c>
      <c r="J19" s="82" t="s">
        <v>127</v>
      </c>
      <c r="K19" s="84">
        <v>1</v>
      </c>
      <c r="L19" s="84">
        <v>3.91</v>
      </c>
      <c r="M19" s="84">
        <v>10.51</v>
      </c>
      <c r="N19" s="84">
        <v>38.39</v>
      </c>
      <c r="O19" s="84">
        <v>0.53</v>
      </c>
      <c r="P19" s="85">
        <f t="shared" si="3"/>
        <v>53.34</v>
      </c>
      <c r="Q19" s="49"/>
    </row>
    <row r="20" spans="1:17" ht="45" x14ac:dyDescent="0.25">
      <c r="A20" s="81" t="s">
        <v>37</v>
      </c>
      <c r="B20" s="82">
        <v>40795855</v>
      </c>
      <c r="C20" s="88">
        <v>7556535.7599999998</v>
      </c>
      <c r="D20" s="82" t="s">
        <v>54</v>
      </c>
      <c r="E20" s="83">
        <v>2014</v>
      </c>
      <c r="F20" s="83">
        <v>2014</v>
      </c>
      <c r="G20" s="83">
        <v>2547</v>
      </c>
      <c r="H20" s="83" t="s">
        <v>120</v>
      </c>
      <c r="I20" s="83" t="s">
        <v>100</v>
      </c>
      <c r="J20" s="82" t="s">
        <v>127</v>
      </c>
      <c r="K20" s="84">
        <v>2</v>
      </c>
      <c r="L20" s="84">
        <v>3.9119999999999999</v>
      </c>
      <c r="M20" s="84">
        <v>21.02</v>
      </c>
      <c r="N20" s="84">
        <v>76.78</v>
      </c>
      <c r="O20" s="84">
        <v>1.06</v>
      </c>
      <c r="P20" s="85">
        <f t="shared" si="3"/>
        <v>102.77200000000001</v>
      </c>
      <c r="Q20" s="49"/>
    </row>
    <row r="21" spans="1:17" s="86" customFormat="1" ht="45" x14ac:dyDescent="0.25">
      <c r="A21" s="56" t="s">
        <v>36</v>
      </c>
      <c r="B21" s="57" t="s">
        <v>45</v>
      </c>
      <c r="C21" s="89">
        <v>96382.09</v>
      </c>
      <c r="D21" s="57" t="s">
        <v>53</v>
      </c>
      <c r="E21" s="59">
        <v>2014</v>
      </c>
      <c r="F21" s="59">
        <v>2014</v>
      </c>
      <c r="G21" s="59">
        <v>2549</v>
      </c>
      <c r="H21" s="59" t="s">
        <v>120</v>
      </c>
      <c r="I21" s="59" t="s">
        <v>121</v>
      </c>
      <c r="J21" s="57" t="s">
        <v>16</v>
      </c>
      <c r="K21" s="60">
        <v>3.5000000000000003E-2</v>
      </c>
      <c r="L21" s="60">
        <v>2.6040000000000005</v>
      </c>
      <c r="M21" s="60">
        <v>27.993000000000002</v>
      </c>
      <c r="N21" s="60"/>
      <c r="O21" s="60">
        <v>1.9530000000000003</v>
      </c>
      <c r="P21" s="75">
        <f t="shared" ref="P21:P22" si="4">O21+N21+M21+L21</f>
        <v>32.550000000000004</v>
      </c>
      <c r="Q21" s="61"/>
    </row>
    <row r="22" spans="1:17" s="86" customFormat="1" ht="45" x14ac:dyDescent="0.25">
      <c r="A22" s="56" t="s">
        <v>39</v>
      </c>
      <c r="B22" s="57" t="s">
        <v>47</v>
      </c>
      <c r="C22" s="89">
        <v>146609.63</v>
      </c>
      <c r="D22" s="57" t="s">
        <v>56</v>
      </c>
      <c r="E22" s="59">
        <v>2014</v>
      </c>
      <c r="F22" s="59">
        <v>2014</v>
      </c>
      <c r="G22" s="59">
        <v>2549</v>
      </c>
      <c r="H22" s="59" t="s">
        <v>120</v>
      </c>
      <c r="I22" s="59" t="s">
        <v>121</v>
      </c>
      <c r="J22" s="57" t="s">
        <v>129</v>
      </c>
      <c r="K22" s="60">
        <v>4.4999999999999998E-2</v>
      </c>
      <c r="L22" s="60">
        <v>3.96</v>
      </c>
      <c r="M22" s="60">
        <v>42.57</v>
      </c>
      <c r="N22" s="60"/>
      <c r="O22" s="60">
        <v>2.9699999999999998</v>
      </c>
      <c r="P22" s="75">
        <f t="shared" si="4"/>
        <v>49.5</v>
      </c>
      <c r="Q22" s="61"/>
    </row>
    <row r="23" spans="1:17" s="40" customFormat="1" ht="45" x14ac:dyDescent="0.25">
      <c r="A23" s="81" t="s">
        <v>39</v>
      </c>
      <c r="B23" s="82" t="s">
        <v>47</v>
      </c>
      <c r="C23" s="88">
        <v>146609.63</v>
      </c>
      <c r="D23" s="82" t="s">
        <v>56</v>
      </c>
      <c r="E23" s="83">
        <v>2014</v>
      </c>
      <c r="F23" s="83">
        <v>2014</v>
      </c>
      <c r="G23" s="83">
        <v>2550</v>
      </c>
      <c r="H23" s="83" t="s">
        <v>122</v>
      </c>
      <c r="I23" s="83" t="s">
        <v>126</v>
      </c>
      <c r="J23" s="82" t="s">
        <v>130</v>
      </c>
      <c r="K23" s="84">
        <v>2</v>
      </c>
      <c r="L23" s="84">
        <v>0.52</v>
      </c>
      <c r="M23" s="84">
        <v>2.3199999999999998</v>
      </c>
      <c r="N23" s="84">
        <v>13.4</v>
      </c>
      <c r="O23" s="84">
        <v>0.16</v>
      </c>
      <c r="P23" s="85">
        <f t="shared" ref="P23:P24" si="5">O23+N23+M23+L23</f>
        <v>16.400000000000002</v>
      </c>
      <c r="Q23" s="49"/>
    </row>
    <row r="24" spans="1:17" ht="60" x14ac:dyDescent="0.25">
      <c r="A24" s="56" t="s">
        <v>41</v>
      </c>
      <c r="B24" s="57" t="s">
        <v>49</v>
      </c>
      <c r="C24" s="89">
        <v>13050.85</v>
      </c>
      <c r="D24" s="57" t="s">
        <v>58</v>
      </c>
      <c r="E24" s="59">
        <v>2014</v>
      </c>
      <c r="F24" s="59">
        <v>2014</v>
      </c>
      <c r="G24" s="59">
        <v>2550</v>
      </c>
      <c r="H24" s="59" t="s">
        <v>122</v>
      </c>
      <c r="I24" s="59" t="s">
        <v>100</v>
      </c>
      <c r="J24" s="57" t="s">
        <v>131</v>
      </c>
      <c r="K24" s="60">
        <v>1</v>
      </c>
      <c r="L24" s="60">
        <v>0.26</v>
      </c>
      <c r="M24" s="60">
        <v>1.1599999999999999</v>
      </c>
      <c r="N24" s="60">
        <v>6.7</v>
      </c>
      <c r="O24" s="60">
        <v>0.08</v>
      </c>
      <c r="P24" s="75">
        <f t="shared" si="5"/>
        <v>8.2000000000000011</v>
      </c>
      <c r="Q24" s="61"/>
    </row>
  </sheetData>
  <autoFilter ref="A5:Q24"/>
  <pageMargins left="0.7" right="0.7" top="0.75" bottom="0.75" header="0.3" footer="0.3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25_лот_(НЕ_льготники)</vt:lpstr>
      <vt:lpstr>Лист1</vt:lpstr>
      <vt:lpstr>25 Лот не льготники</vt:lpstr>
      <vt:lpstr>'25_лот_(НЕ_льготники)'!Заголовки_для_печати</vt:lpstr>
      <vt:lpstr>'25_лот_(НЕ_льготники)'!Область_печати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2014-03-18T07:45:46Z</dcterms:modified>
</cp:coreProperties>
</file>