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50" yWindow="-60" windowWidth="19320" windowHeight="11115" tabRatio="730"/>
  </bookViews>
  <sheets>
    <sheet name="Укрупненный расчет 2013" sheetId="41" r:id="rId1"/>
  </sheets>
  <definedNames>
    <definedName name="_xlnm.Print_Area" localSheetId="0">'Укрупненный расчет 2013'!$A$1:$E$60</definedName>
  </definedNames>
  <calcPr calcId="145621" fullPrecision="0"/>
</workbook>
</file>

<file path=xl/calcChain.xml><?xml version="1.0" encoding="utf-8"?>
<calcChain xmlns="http://schemas.openxmlformats.org/spreadsheetml/2006/main">
  <c r="E42" i="41" l="1"/>
  <c r="E41" i="41"/>
  <c r="E46" i="41" l="1"/>
  <c r="D46" i="41"/>
  <c r="F25" i="41" l="1"/>
  <c r="E25" i="41" l="1"/>
  <c r="D25" i="41"/>
  <c r="B45" i="41" l="1"/>
  <c r="E27" i="41"/>
  <c r="E28" i="41"/>
  <c r="E29" i="41"/>
  <c r="E30" i="41"/>
  <c r="E31" i="41"/>
  <c r="E32" i="41"/>
  <c r="E33" i="41"/>
  <c r="E34" i="41" s="1"/>
  <c r="B34" i="41"/>
  <c r="B33" i="41"/>
  <c r="D32" i="41"/>
  <c r="B36" i="41"/>
  <c r="D27" i="41"/>
  <c r="D28" i="41"/>
  <c r="D29" i="41"/>
  <c r="D30" i="41"/>
  <c r="D31" i="41"/>
  <c r="E38" i="41" l="1"/>
  <c r="E40" i="41"/>
  <c r="D41" i="41"/>
  <c r="D37" i="41"/>
  <c r="E37" i="41"/>
  <c r="E39" i="41"/>
  <c r="D42" i="41"/>
  <c r="D40" i="41"/>
  <c r="D38" i="41"/>
  <c r="D39" i="41"/>
  <c r="E48" i="41" l="1"/>
  <c r="D48" i="41"/>
  <c r="E36" i="41"/>
  <c r="E47" i="41"/>
  <c r="D47" i="41"/>
  <c r="D51" i="41" l="1"/>
  <c r="E51" i="41"/>
  <c r="D50" i="41"/>
  <c r="E50" i="41"/>
  <c r="E49" i="41" s="1"/>
  <c r="E45" i="41" s="1"/>
  <c r="E52" i="41" s="1"/>
  <c r="E53" i="41" s="1"/>
  <c r="E54" i="41" s="1"/>
</calcChain>
</file>

<file path=xl/sharedStrings.xml><?xml version="1.0" encoding="utf-8"?>
<sst xmlns="http://schemas.openxmlformats.org/spreadsheetml/2006/main" count="84" uniqueCount="63">
  <si>
    <t>СОГЛАСОВАНО:</t>
  </si>
  <si>
    <t>УТВЕРЖДАЮ:</t>
  </si>
  <si>
    <t>Исполнитель:</t>
  </si>
  <si>
    <t>Составитель сметы:</t>
  </si>
  <si>
    <t>№ п.п.</t>
  </si>
  <si>
    <t xml:space="preserve">Наименование предприятия, здания, сооружения, стадия проектирования этапа, вида  </t>
  </si>
  <si>
    <r>
      <t>Всего с НДС</t>
    </r>
    <r>
      <rPr>
        <b/>
        <sz val="12"/>
        <rFont val="Arial Cyr"/>
        <charset val="204"/>
      </rPr>
      <t xml:space="preserve">: </t>
    </r>
  </si>
  <si>
    <t xml:space="preserve">Заместитель  директора по капитальному  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</si>
  <si>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</si>
  <si>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____________________</t>
  </si>
  <si>
    <r>
      <t>Наименование проектной организации:</t>
    </r>
    <r>
      <rPr>
        <sz val="14"/>
        <rFont val="Arial Cyr"/>
        <family val="2"/>
        <charset val="204"/>
      </rPr>
      <t xml:space="preserve"> </t>
    </r>
    <r>
      <rPr>
        <u/>
        <sz val="11"/>
        <rFont val="Arial Cyr"/>
        <family val="2"/>
        <charset val="204"/>
      </rPr>
      <t/>
    </r>
  </si>
  <si>
    <t>(сумма прописью)</t>
  </si>
  <si>
    <t>(подпись)</t>
  </si>
  <si>
    <t>(инициалы, фамилия)</t>
  </si>
  <si>
    <t>Стоимость, руб.</t>
  </si>
  <si>
    <r>
      <t>Всего</t>
    </r>
    <r>
      <rPr>
        <b/>
        <sz val="12"/>
        <rFont val="Arial Cyr"/>
        <charset val="204"/>
      </rPr>
      <t xml:space="preserve">: </t>
    </r>
  </si>
  <si>
    <r>
      <t>НДС</t>
    </r>
    <r>
      <rPr>
        <b/>
        <sz val="12"/>
        <rFont val="Arial Cyr"/>
        <charset val="204"/>
      </rPr>
      <t xml:space="preserve">: </t>
    </r>
  </si>
  <si>
    <t>Расчет стоимости:
(а + bx) х Ki,
или (объем СМР) х 
проц./100%
или кол-во х цену</t>
  </si>
  <si>
    <t>Характеристика предприятия, здания, сооружения
или виды работ</t>
  </si>
  <si>
    <t>Укрупненный расчет стоимости строительства</t>
  </si>
  <si>
    <t>С М Е Т А</t>
  </si>
  <si>
    <t>Проверил:</t>
  </si>
  <si>
    <t>Расчет в базовых ценах</t>
  </si>
  <si>
    <t>Сопутствующие затраты:</t>
  </si>
  <si>
    <t>1.1</t>
  </si>
  <si>
    <t>1.2</t>
  </si>
  <si>
    <t>временные здания 2,5%</t>
  </si>
  <si>
    <t>1.3</t>
  </si>
  <si>
    <t>ПИР 7,5%</t>
  </si>
  <si>
    <t>1.4</t>
  </si>
  <si>
    <t>Прочие работы и затраты 5%</t>
  </si>
  <si>
    <t>Непредвиденные затраты 3%</t>
  </si>
  <si>
    <t>приложение 5</t>
  </si>
  <si>
    <t>СМР</t>
  </si>
  <si>
    <t xml:space="preserve">Оборудование </t>
  </si>
  <si>
    <t>Пуско-наладочные работы</t>
  </si>
  <si>
    <t>Прочие затраты из них:</t>
  </si>
  <si>
    <t xml:space="preserve">Итого по смете: </t>
  </si>
  <si>
    <t xml:space="preserve"> "_____"  ________________ 2013 г.</t>
  </si>
  <si>
    <t>"______"  _______________2013 г.</t>
  </si>
  <si>
    <t xml:space="preserve"> строительству филиала ОАО "МРСК Центра"</t>
  </si>
  <si>
    <t>"Тамбовэнерго"</t>
  </si>
  <si>
    <t>_____________________К.А. Свирин</t>
  </si>
  <si>
    <t xml:space="preserve">Наименование организации Заказчика: </t>
  </si>
  <si>
    <t>Филиал ОАО "МРСК Центра" - "Тамбовэнерго"</t>
  </si>
  <si>
    <t>Пересчет в текущие цены</t>
  </si>
  <si>
    <t>к=3,86</t>
  </si>
  <si>
    <t>к=10</t>
  </si>
  <si>
    <t>к=3,58</t>
  </si>
  <si>
    <t>к=7,61</t>
  </si>
  <si>
    <t>СМР, ПИР поставка</t>
  </si>
  <si>
    <t>«СБОРНИК УКРУПНЕННЫХ ПОКАЗАТЕЛЕЙ СТОИМОСТИ СТРОИТЕЛЬСТВА (РЕКОНСТРУКЦИИ) ПОДСТАНЦИЙ И ЛИНИЙ ЭЛЕКТРОПЕРЕДАЧИ ДЛЯ НУЖД ОАО МРСК ЦЕНТРА» РК БП 11/02-01/2012</t>
  </si>
  <si>
    <t>Таблица 9</t>
  </si>
  <si>
    <t>п.6.3. ТЧ</t>
  </si>
  <si>
    <t>1.5</t>
  </si>
  <si>
    <t>благоустройство 1,5%</t>
  </si>
  <si>
    <t>"Переустройство КЛ-10кВ"</t>
  </si>
  <si>
    <t>ПИР 7%</t>
  </si>
  <si>
    <t>Прочие 10%</t>
  </si>
  <si>
    <t>к=4,56</t>
  </si>
  <si>
    <t>1.6</t>
  </si>
  <si>
    <t>Страхование 1%</t>
  </si>
  <si>
    <t>КЛ 10кВ =0,48км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</si>
</sst>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9" x14ac:knownFonts="1">
    <font>
      <sz val="10"/>
      <name val="Arial Cyr"/>
      <charset val="204"/>
    </font>
    <font>
      <sz val="14"/>
      <name val="Arial Cyr"/>
      <family val="2"/>
      <charset val="204"/>
    </font>
    <font>
      <b/>
      <sz val="10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u/>
      <sz val="11"/>
      <name val="Arial Cyr"/>
      <family val="2"/>
      <charset val="204"/>
    </font>
    <font>
      <b/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i/>
      <sz val="10"/>
      <name val="Arial Cyr"/>
      <family val="2"/>
      <charset val="204"/>
    </font>
    <font>
      <i/>
      <sz val="10"/>
      <name val="Arial Cyr"/>
      <charset val="204"/>
    </font>
    <font>
      <i/>
      <sz val="9"/>
      <name val="Arial Cyr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2" fillId="0" borderId="0">
      <alignment horizontal="left" vertical="center"/>
    </xf>
  </cellStyleXfs>
  <cellXfs count="83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Continuous" vertical="center" wrapText="1"/>
    </xf>
    <xf numFmtId="0" fontId="9" fillId="0" borderId="3" xfId="0" applyFont="1" applyBorder="1" applyAlignment="1">
      <alignment horizontal="centerContinuous" vertical="center" wrapText="1"/>
    </xf>
    <xf numFmtId="0" fontId="9" fillId="0" borderId="4" xfId="0" applyFont="1" applyBorder="1" applyAlignment="1">
      <alignment horizontal="centerContinuous"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1" fontId="9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left" vertical="center" wrapText="1"/>
    </xf>
    <xf numFmtId="1" fontId="15" fillId="2" borderId="1" xfId="0" applyNumberFormat="1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164" fontId="5" fillId="0" borderId="1" xfId="0" applyNumberFormat="1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left" vertical="center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center" wrapText="1"/>
    </xf>
    <xf numFmtId="0" fontId="17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5" fillId="0" borderId="0" xfId="0" applyNumberFormat="1" applyFont="1" applyAlignment="1">
      <alignment vertical="center" wrapText="1"/>
    </xf>
    <xf numFmtId="2" fontId="5" fillId="0" borderId="2" xfId="0" applyNumberFormat="1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0" xfId="0" quotePrefix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0" fillId="0" borderId="0" xfId="0" applyBorder="1" applyAlignment="1">
      <alignment vertical="center"/>
    </xf>
    <xf numFmtId="4" fontId="9" fillId="0" borderId="1" xfId="0" applyNumberFormat="1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9" fontId="16" fillId="0" borderId="1" xfId="0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61"/>
  <sheetViews>
    <sheetView tabSelected="1" view="pageBreakPreview" topLeftCell="A28" zoomScaleNormal="55" zoomScaleSheetLayoutView="100" workbookViewId="0">
      <selection activeCell="A43" sqref="A43:XFD61"/>
    </sheetView>
  </sheetViews>
  <sheetFormatPr defaultColWidth="9" defaultRowHeight="12.75" x14ac:dyDescent="0.2"/>
  <cols>
    <col min="1" max="1" width="3.85546875" style="27" customWidth="1"/>
    <col min="2" max="2" width="31.7109375" style="27" customWidth="1"/>
    <col min="3" max="3" width="37.5703125" style="27" customWidth="1"/>
    <col min="4" max="4" width="19.85546875" style="27" customWidth="1"/>
    <col min="5" max="5" width="12.5703125" style="27" customWidth="1"/>
    <col min="6" max="6" width="13.85546875" style="27" bestFit="1" customWidth="1"/>
    <col min="7" max="7" width="12.5703125" style="27" customWidth="1"/>
    <col min="8" max="16384" width="9" style="27"/>
  </cols>
  <sheetData>
    <row r="1" spans="1:7" s="62" customFormat="1" x14ac:dyDescent="0.2">
      <c r="E1" s="63"/>
    </row>
    <row r="2" spans="1:7" s="62" customFormat="1" ht="4.5" customHeight="1" x14ac:dyDescent="0.2">
      <c r="E2" s="63"/>
    </row>
    <row r="3" spans="1:7" s="62" customFormat="1" x14ac:dyDescent="0.2">
      <c r="A3" s="64" t="s">
        <v>0</v>
      </c>
      <c r="D3" s="65" t="s">
        <v>1</v>
      </c>
    </row>
    <row r="4" spans="1:7" s="62" customFormat="1" x14ac:dyDescent="0.2">
      <c r="A4" s="62" t="s">
        <v>2</v>
      </c>
      <c r="E4" s="63" t="s">
        <v>7</v>
      </c>
    </row>
    <row r="5" spans="1:7" s="62" customFormat="1" x14ac:dyDescent="0.2">
      <c r="C5" s="66"/>
      <c r="D5" s="66"/>
      <c r="E5" s="63" t="s">
        <v>40</v>
      </c>
    </row>
    <row r="6" spans="1:7" s="62" customFormat="1" x14ac:dyDescent="0.2">
      <c r="E6" s="63" t="s">
        <v>41</v>
      </c>
    </row>
    <row r="7" spans="1:7" s="62" customFormat="1" ht="3" customHeight="1" x14ac:dyDescent="0.2"/>
    <row r="8" spans="1:7" s="62" customFormat="1" x14ac:dyDescent="0.2">
      <c r="A8" s="62" t="s">
        <v>9</v>
      </c>
      <c r="E8" s="63" t="s">
        <v>42</v>
      </c>
    </row>
    <row r="9" spans="1:7" s="62" customFormat="1" x14ac:dyDescent="0.2">
      <c r="A9" s="62" t="s">
        <v>38</v>
      </c>
      <c r="E9" s="63" t="s">
        <v>39</v>
      </c>
    </row>
    <row r="10" spans="1:7" ht="2.4500000000000002" customHeight="1" x14ac:dyDescent="0.2">
      <c r="A10" s="29"/>
      <c r="B10" s="30"/>
      <c r="C10" s="29"/>
    </row>
    <row r="11" spans="1:7" hidden="1" x14ac:dyDescent="0.2"/>
    <row r="12" spans="1:7" hidden="1" x14ac:dyDescent="0.2"/>
    <row r="13" spans="1:7" ht="18" x14ac:dyDescent="0.2">
      <c r="A13" s="79" t="s">
        <v>20</v>
      </c>
      <c r="B13" s="79"/>
      <c r="C13" s="79"/>
      <c r="D13" s="79"/>
      <c r="E13" s="79"/>
    </row>
    <row r="14" spans="1:7" x14ac:dyDescent="0.2">
      <c r="A14" s="80" t="s">
        <v>19</v>
      </c>
      <c r="B14" s="80"/>
      <c r="C14" s="80"/>
      <c r="D14" s="80"/>
      <c r="E14" s="80"/>
    </row>
    <row r="15" spans="1:7" ht="12.95" customHeight="1" x14ac:dyDescent="0.2">
      <c r="A15" s="81"/>
      <c r="B15" s="81"/>
      <c r="C15" s="81"/>
      <c r="D15" s="81"/>
      <c r="E15" s="81"/>
    </row>
    <row r="16" spans="1:7" x14ac:dyDescent="0.2">
      <c r="A16" s="78" t="s">
        <v>5</v>
      </c>
      <c r="B16" s="78"/>
      <c r="C16" s="78"/>
      <c r="D16" s="78"/>
      <c r="E16" s="78"/>
      <c r="F16" s="31"/>
      <c r="G16" s="31"/>
    </row>
    <row r="17" spans="1:9" s="62" customFormat="1" ht="33.75" customHeight="1" x14ac:dyDescent="0.2">
      <c r="A17" s="22" t="s">
        <v>50</v>
      </c>
      <c r="C17" s="82" t="s">
        <v>56</v>
      </c>
      <c r="D17" s="82"/>
      <c r="E17" s="82"/>
    </row>
    <row r="18" spans="1:9" s="62" customFormat="1" ht="18" x14ac:dyDescent="0.2">
      <c r="A18" s="22" t="s">
        <v>10</v>
      </c>
      <c r="B18" s="22"/>
      <c r="C18" s="22"/>
      <c r="D18" s="22"/>
      <c r="E18" s="22"/>
      <c r="F18" s="22"/>
      <c r="G18" s="22"/>
    </row>
    <row r="19" spans="1:9" s="62" customFormat="1" x14ac:dyDescent="0.2">
      <c r="A19" s="22" t="s">
        <v>43</v>
      </c>
      <c r="B19" s="22"/>
      <c r="C19" s="22" t="s">
        <v>44</v>
      </c>
      <c r="D19" s="22"/>
      <c r="E19" s="22"/>
      <c r="F19" s="22"/>
      <c r="G19" s="22"/>
    </row>
    <row r="20" spans="1:9" ht="5.25" customHeight="1" x14ac:dyDescent="0.2">
      <c r="A20" s="31"/>
      <c r="B20" s="31"/>
      <c r="C20" s="31"/>
      <c r="D20" s="31"/>
      <c r="E20" s="31"/>
      <c r="F20" s="31"/>
      <c r="G20" s="31"/>
    </row>
    <row r="21" spans="1:9" ht="60" x14ac:dyDescent="0.2">
      <c r="A21" s="1" t="s">
        <v>4</v>
      </c>
      <c r="B21" s="2" t="s">
        <v>18</v>
      </c>
      <c r="C21" s="3" t="s">
        <v>8</v>
      </c>
      <c r="D21" s="3" t="s">
        <v>17</v>
      </c>
      <c r="E21" s="2" t="s">
        <v>14</v>
      </c>
    </row>
    <row r="22" spans="1:9" x14ac:dyDescent="0.2">
      <c r="A22" s="32">
        <v>1</v>
      </c>
      <c r="B22" s="32">
        <v>2</v>
      </c>
      <c r="C22" s="32">
        <v>3</v>
      </c>
      <c r="D22" s="32">
        <v>4</v>
      </c>
      <c r="E22" s="32">
        <v>5</v>
      </c>
    </row>
    <row r="23" spans="1:9" x14ac:dyDescent="0.2">
      <c r="A23" s="75" t="s">
        <v>22</v>
      </c>
      <c r="B23" s="76"/>
      <c r="C23" s="76"/>
      <c r="D23" s="76"/>
      <c r="E23" s="77"/>
      <c r="G23" s="33"/>
    </row>
    <row r="24" spans="1:9" ht="28.5" customHeight="1" x14ac:dyDescent="0.2">
      <c r="A24" s="75" t="s">
        <v>51</v>
      </c>
      <c r="B24" s="76"/>
      <c r="C24" s="76"/>
      <c r="D24" s="76"/>
      <c r="E24" s="77"/>
      <c r="F24" s="34"/>
    </row>
    <row r="25" spans="1:9" s="35" customFormat="1" ht="27.2" customHeight="1" x14ac:dyDescent="0.2">
      <c r="A25" s="21">
        <v>1</v>
      </c>
      <c r="B25" s="14" t="s">
        <v>62</v>
      </c>
      <c r="C25" s="15" t="s">
        <v>52</v>
      </c>
      <c r="D25" s="15" t="str">
        <f>""&amp;ROUND(F25,2)&amp;"*1000*497,8"</f>
        <v>0,48*1000*497,8</v>
      </c>
      <c r="E25" s="67">
        <f>F25*1000*497.8</f>
        <v>238944</v>
      </c>
      <c r="F25" s="35">
        <f>0.22+0.26</f>
        <v>0.48</v>
      </c>
      <c r="G25" s="36">
        <v>10</v>
      </c>
      <c r="I25" s="31"/>
    </row>
    <row r="26" spans="1:9" s="35" customFormat="1" x14ac:dyDescent="0.2">
      <c r="A26" s="23"/>
      <c r="B26" s="11" t="s">
        <v>23</v>
      </c>
      <c r="C26" s="15"/>
      <c r="D26" s="11"/>
      <c r="E26" s="61"/>
      <c r="G26" s="36"/>
      <c r="I26" s="31"/>
    </row>
    <row r="27" spans="1:9" s="35" customFormat="1" x14ac:dyDescent="0.2">
      <c r="A27" s="23" t="s">
        <v>24</v>
      </c>
      <c r="B27" s="12" t="s">
        <v>55</v>
      </c>
      <c r="C27" s="11" t="s">
        <v>53</v>
      </c>
      <c r="D27" s="13" t="str">
        <f>" "&amp;ROUND(E25,2)&amp;"*1,5% "</f>
        <v xml:space="preserve"> 238944*1,5% </v>
      </c>
      <c r="E27" s="61">
        <f>E25*0.015</f>
        <v>3584.16</v>
      </c>
      <c r="G27" s="36"/>
      <c r="I27" s="31"/>
    </row>
    <row r="28" spans="1:9" s="35" customFormat="1" x14ac:dyDescent="0.2">
      <c r="A28" s="23" t="s">
        <v>25</v>
      </c>
      <c r="B28" s="12" t="s">
        <v>26</v>
      </c>
      <c r="C28" s="11" t="s">
        <v>53</v>
      </c>
      <c r="D28" s="13" t="str">
        <f>" "&amp;ROUND(E25,2)&amp;"*2,5%*0,8 "</f>
        <v xml:space="preserve"> 238944*2,5%*0,8 </v>
      </c>
      <c r="E28" s="61">
        <f>E25*0.025*0.8</f>
        <v>4778.88</v>
      </c>
      <c r="G28" s="36"/>
      <c r="I28" s="31"/>
    </row>
    <row r="29" spans="1:9" s="35" customFormat="1" x14ac:dyDescent="0.2">
      <c r="A29" s="23" t="s">
        <v>27</v>
      </c>
      <c r="B29" s="12" t="s">
        <v>28</v>
      </c>
      <c r="C29" s="11" t="s">
        <v>53</v>
      </c>
      <c r="D29" s="13" t="str">
        <f>" "&amp;ROUND(E25,2)&amp;"*7,5% "</f>
        <v xml:space="preserve"> 238944*7,5% </v>
      </c>
      <c r="E29" s="61">
        <f>E25*0.075</f>
        <v>17920.8</v>
      </c>
      <c r="G29" s="36"/>
      <c r="I29" s="31"/>
    </row>
    <row r="30" spans="1:9" s="35" customFormat="1" x14ac:dyDescent="0.2">
      <c r="A30" s="23" t="s">
        <v>29</v>
      </c>
      <c r="B30" s="12" t="s">
        <v>30</v>
      </c>
      <c r="C30" s="11" t="s">
        <v>53</v>
      </c>
      <c r="D30" s="13" t="str">
        <f>" "&amp;ROUND(E25,2)&amp;"*5% "</f>
        <v xml:space="preserve"> 238944*5% </v>
      </c>
      <c r="E30" s="61">
        <f>E25*0.05</f>
        <v>11947.2</v>
      </c>
      <c r="G30" s="36"/>
      <c r="I30" s="31"/>
    </row>
    <row r="31" spans="1:9" s="35" customFormat="1" x14ac:dyDescent="0.2">
      <c r="A31" s="23" t="s">
        <v>54</v>
      </c>
      <c r="B31" s="12" t="s">
        <v>31</v>
      </c>
      <c r="C31" s="11" t="s">
        <v>53</v>
      </c>
      <c r="D31" s="13" t="str">
        <f>" "&amp;ROUND(E25,2)&amp;"*3% "</f>
        <v xml:space="preserve"> 238944*3% </v>
      </c>
      <c r="E31" s="61">
        <f>E25*0.03</f>
        <v>7168.32</v>
      </c>
      <c r="G31" s="36"/>
      <c r="I31" s="31"/>
    </row>
    <row r="32" spans="1:9" s="35" customFormat="1" x14ac:dyDescent="0.2">
      <c r="A32" s="23" t="s">
        <v>60</v>
      </c>
      <c r="B32" s="12" t="s">
        <v>61</v>
      </c>
      <c r="C32" s="11"/>
      <c r="D32" s="13" t="str">
        <f>" "&amp;ROUND(E25,2)&amp;"*1% "</f>
        <v xml:space="preserve"> 238944*1% </v>
      </c>
      <c r="E32" s="61">
        <f>E25*0.01</f>
        <v>2389.44</v>
      </c>
      <c r="G32" s="36"/>
      <c r="I32" s="31"/>
    </row>
    <row r="33" spans="1:9" s="35" customFormat="1" ht="25.5" x14ac:dyDescent="0.2">
      <c r="A33" s="24"/>
      <c r="B33" s="14" t="str">
        <f>"Итого сопутствующие затраты по КЛ  "&amp;G25&amp;"кВ "</f>
        <v xml:space="preserve">Итого сопутствующие затраты по КЛ  10кВ </v>
      </c>
      <c r="C33" s="11" t="s">
        <v>53</v>
      </c>
      <c r="D33" s="15"/>
      <c r="E33" s="67">
        <f>SUM(E27:E32)</f>
        <v>47788.800000000003</v>
      </c>
      <c r="I33" s="31"/>
    </row>
    <row r="34" spans="1:9" s="35" customFormat="1" x14ac:dyDescent="0.2">
      <c r="A34" s="25"/>
      <c r="B34" s="16" t="str">
        <f>"Итого по  КЛ "&amp;G25&amp;"кВ "</f>
        <v xml:space="preserve">Итого по  КЛ 10кВ </v>
      </c>
      <c r="C34" s="17"/>
      <c r="D34" s="17"/>
      <c r="E34" s="68">
        <f>E33+E25</f>
        <v>286732.79999999999</v>
      </c>
      <c r="G34" s="36"/>
      <c r="I34" s="31"/>
    </row>
    <row r="35" spans="1:9" s="41" customFormat="1" x14ac:dyDescent="0.2">
      <c r="A35" s="10"/>
      <c r="B35" s="18"/>
      <c r="C35" s="19"/>
      <c r="D35" s="19"/>
      <c r="E35" s="40"/>
      <c r="G35" s="42"/>
      <c r="I35" s="43"/>
    </row>
    <row r="36" spans="1:9" s="35" customFormat="1" ht="25.5" x14ac:dyDescent="0.2">
      <c r="A36" s="21">
        <v>2</v>
      </c>
      <c r="B36" s="20" t="str">
        <f>"Составляющие стоимости переустрйоства КЛ "&amp;G25&amp;"кВ "</f>
        <v xml:space="preserve">Составляющие стоимости переустрйоства КЛ 10кВ </v>
      </c>
      <c r="C36" s="11" t="s">
        <v>32</v>
      </c>
      <c r="D36" s="15"/>
      <c r="E36" s="69">
        <f>SUM(E37:E40)</f>
        <v>286732.79999999999</v>
      </c>
      <c r="G36" s="36"/>
      <c r="I36" s="31"/>
    </row>
    <row r="37" spans="1:9" s="35" customFormat="1" x14ac:dyDescent="0.2">
      <c r="A37" s="23" t="s">
        <v>24</v>
      </c>
      <c r="B37" s="12" t="s">
        <v>33</v>
      </c>
      <c r="C37" s="37">
        <v>0.82499999999999996</v>
      </c>
      <c r="D37" s="11" t="str">
        <f>" "&amp;ROUND(E34,2)&amp;"*82,5% "</f>
        <v xml:space="preserve"> 286732,8*82,5% </v>
      </c>
      <c r="E37" s="61">
        <f>E34*0.825</f>
        <v>236554.56</v>
      </c>
      <c r="G37" s="36"/>
      <c r="I37" s="31"/>
    </row>
    <row r="38" spans="1:9" s="35" customFormat="1" x14ac:dyDescent="0.2">
      <c r="A38" s="23" t="s">
        <v>25</v>
      </c>
      <c r="B38" s="12" t="s">
        <v>34</v>
      </c>
      <c r="C38" s="37">
        <v>0</v>
      </c>
      <c r="D38" s="11" t="str">
        <f>" "&amp;ROUND(E34,2)&amp;"*0% "</f>
        <v xml:space="preserve"> 286732,8*0% </v>
      </c>
      <c r="E38" s="61">
        <f>E34*0</f>
        <v>0</v>
      </c>
      <c r="G38" s="36"/>
      <c r="I38" s="31"/>
    </row>
    <row r="39" spans="1:9" s="35" customFormat="1" x14ac:dyDescent="0.2">
      <c r="A39" s="23" t="s">
        <v>27</v>
      </c>
      <c r="B39" s="12" t="s">
        <v>35</v>
      </c>
      <c r="C39" s="37">
        <v>5.0000000000000001E-3</v>
      </c>
      <c r="D39" s="11" t="str">
        <f>" "&amp;ROUND(E34,2)&amp;"*0,5% "</f>
        <v xml:space="preserve"> 286732,8*0,5% </v>
      </c>
      <c r="E39" s="61">
        <f>E34*0.005</f>
        <v>1433.66</v>
      </c>
      <c r="G39" s="36"/>
      <c r="I39" s="31"/>
    </row>
    <row r="40" spans="1:9" s="35" customFormat="1" x14ac:dyDescent="0.2">
      <c r="A40" s="23" t="s">
        <v>29</v>
      </c>
      <c r="B40" s="38" t="s">
        <v>36</v>
      </c>
      <c r="C40" s="37">
        <v>0.17</v>
      </c>
      <c r="D40" s="11" t="str">
        <f>" "&amp;ROUND(E34,2)&amp;"*17% "</f>
        <v xml:space="preserve"> 286732,8*17% </v>
      </c>
      <c r="E40" s="70">
        <f>E34*0.17</f>
        <v>48744.58</v>
      </c>
      <c r="G40" s="36"/>
      <c r="I40" s="31"/>
    </row>
    <row r="41" spans="1:9" s="35" customFormat="1" x14ac:dyDescent="0.2">
      <c r="A41" s="24"/>
      <c r="B41" s="71" t="s">
        <v>57</v>
      </c>
      <c r="C41" s="72"/>
      <c r="D41" s="73" t="str">
        <f>" "&amp;ROUND(E34,2)&amp;"*7% "</f>
        <v xml:space="preserve"> 286732,8*7% </v>
      </c>
      <c r="E41" s="74">
        <f>E34*0.07</f>
        <v>20071.3</v>
      </c>
      <c r="G41" s="36"/>
      <c r="I41" s="31"/>
    </row>
    <row r="42" spans="1:9" s="35" customFormat="1" ht="14.25" customHeight="1" x14ac:dyDescent="0.2">
      <c r="A42" s="24"/>
      <c r="B42" s="71" t="s">
        <v>58</v>
      </c>
      <c r="C42" s="72"/>
      <c r="D42" s="73" t="str">
        <f>" "&amp;ROUND(E34,2)&amp;"*10% "</f>
        <v xml:space="preserve"> 286732,8*10% </v>
      </c>
      <c r="E42" s="74">
        <f>E34*0.1</f>
        <v>28673.279999999999</v>
      </c>
      <c r="G42" s="36"/>
      <c r="I42" s="31"/>
    </row>
    <row r="43" spans="1:9" s="41" customFormat="1" hidden="1" x14ac:dyDescent="0.2">
      <c r="A43" s="10"/>
      <c r="B43" s="18"/>
      <c r="C43" s="19"/>
      <c r="D43" s="19"/>
      <c r="E43" s="40"/>
      <c r="G43" s="42"/>
      <c r="I43" s="43"/>
    </row>
    <row r="44" spans="1:9" hidden="1" x14ac:dyDescent="0.2">
      <c r="A44" s="7" t="s">
        <v>45</v>
      </c>
      <c r="B44" s="8"/>
      <c r="C44" s="8"/>
      <c r="D44" s="8"/>
      <c r="E44" s="9"/>
      <c r="F44" s="34"/>
    </row>
    <row r="45" spans="1:9" s="46" customFormat="1" ht="25.5" hidden="1" x14ac:dyDescent="0.2">
      <c r="A45" s="6">
        <v>3</v>
      </c>
      <c r="B45" s="20" t="str">
        <f>"Стоимость переустрйоства КЛ "&amp;G25&amp;"кВ "</f>
        <v xml:space="preserve">Стоимость переустрйоства КЛ 10кВ </v>
      </c>
      <c r="C45" s="44"/>
      <c r="D45" s="44"/>
      <c r="E45" s="69">
        <f>SUM(E46:E49)</f>
        <v>1316849.03</v>
      </c>
      <c r="F45" s="34"/>
      <c r="G45" s="45"/>
      <c r="I45" s="47"/>
    </row>
    <row r="46" spans="1:9" s="48" customFormat="1" hidden="1" x14ac:dyDescent="0.2">
      <c r="A46" s="5" t="s">
        <v>24</v>
      </c>
      <c r="B46" s="12" t="s">
        <v>33</v>
      </c>
      <c r="C46" s="12" t="s">
        <v>59</v>
      </c>
      <c r="D46" s="26" t="str">
        <f>""&amp;ROUND(E37,2)&amp;"*4,28"</f>
        <v>236554,56*4,28</v>
      </c>
      <c r="E46" s="61">
        <f>E37*4.28</f>
        <v>1012453.52</v>
      </c>
      <c r="G46" s="49"/>
      <c r="I46" s="50"/>
    </row>
    <row r="47" spans="1:9" s="48" customFormat="1" hidden="1" x14ac:dyDescent="0.2">
      <c r="A47" s="5" t="s">
        <v>25</v>
      </c>
      <c r="B47" s="12" t="s">
        <v>34</v>
      </c>
      <c r="C47" s="12" t="s">
        <v>46</v>
      </c>
      <c r="D47" s="26" t="str">
        <f>""&amp;ROUND(E38,2)&amp;"*3,86"</f>
        <v>0*3,86</v>
      </c>
      <c r="E47" s="61">
        <f>E38*3.86</f>
        <v>0</v>
      </c>
      <c r="G47" s="49"/>
      <c r="I47" s="50"/>
    </row>
    <row r="48" spans="1:9" s="48" customFormat="1" hidden="1" x14ac:dyDescent="0.2">
      <c r="A48" s="5" t="s">
        <v>27</v>
      </c>
      <c r="B48" s="12" t="s">
        <v>35</v>
      </c>
      <c r="C48" s="12" t="s">
        <v>47</v>
      </c>
      <c r="D48" s="26" t="str">
        <f>""&amp;ROUND(E39,2)&amp;"*10"</f>
        <v>1433,66*10</v>
      </c>
      <c r="E48" s="61">
        <f>E39*10</f>
        <v>14336.6</v>
      </c>
      <c r="G48" s="49"/>
      <c r="I48" s="50"/>
    </row>
    <row r="49" spans="1:9" s="34" customFormat="1" hidden="1" x14ac:dyDescent="0.2">
      <c r="A49" s="5" t="s">
        <v>29</v>
      </c>
      <c r="B49" s="12" t="s">
        <v>36</v>
      </c>
      <c r="C49" s="39"/>
      <c r="D49" s="26"/>
      <c r="E49" s="61">
        <f>SUM(E50:E51)</f>
        <v>290058.90999999997</v>
      </c>
      <c r="G49" s="33"/>
      <c r="I49" s="27"/>
    </row>
    <row r="50" spans="1:9" s="34" customFormat="1" hidden="1" x14ac:dyDescent="0.2">
      <c r="A50" s="4"/>
      <c r="B50" s="12" t="s">
        <v>57</v>
      </c>
      <c r="C50" s="39" t="s">
        <v>48</v>
      </c>
      <c r="D50" s="26" t="str">
        <f>""&amp;ROUND(E41,2)&amp;"*3,58"</f>
        <v>20071,3*3,58</v>
      </c>
      <c r="E50" s="61">
        <f>E41*3.58</f>
        <v>71855.25</v>
      </c>
      <c r="G50" s="33"/>
      <c r="I50" s="27"/>
    </row>
    <row r="51" spans="1:9" s="34" customFormat="1" hidden="1" x14ac:dyDescent="0.2">
      <c r="A51" s="4"/>
      <c r="B51" s="12" t="s">
        <v>58</v>
      </c>
      <c r="C51" s="39" t="s">
        <v>49</v>
      </c>
      <c r="D51" s="26" t="str">
        <f>""&amp;ROUND(E42,2)&amp;"*7,61"</f>
        <v>28673,28*7,61</v>
      </c>
      <c r="E51" s="61">
        <f>E42*7.61</f>
        <v>218203.66</v>
      </c>
      <c r="G51" s="33"/>
      <c r="I51" s="27"/>
    </row>
    <row r="52" spans="1:9" s="34" customFormat="1" ht="17.25" hidden="1" customHeight="1" x14ac:dyDescent="0.2">
      <c r="A52" s="52"/>
      <c r="B52" s="53" t="s">
        <v>15</v>
      </c>
      <c r="C52" s="54"/>
      <c r="D52" s="55"/>
      <c r="E52" s="67">
        <f>E45</f>
        <v>1316849.03</v>
      </c>
    </row>
    <row r="53" spans="1:9" s="34" customFormat="1" ht="17.25" hidden="1" customHeight="1" x14ac:dyDescent="0.2">
      <c r="A53" s="52"/>
      <c r="B53" s="53" t="s">
        <v>16</v>
      </c>
      <c r="C53" s="54"/>
      <c r="D53" s="55"/>
      <c r="E53" s="67">
        <f>E52*0.18</f>
        <v>237032.83</v>
      </c>
      <c r="G53" s="34" t="s">
        <v>37</v>
      </c>
    </row>
    <row r="54" spans="1:9" s="34" customFormat="1" ht="17.25" hidden="1" customHeight="1" x14ac:dyDescent="0.2">
      <c r="A54" s="52"/>
      <c r="B54" s="53" t="s">
        <v>6</v>
      </c>
      <c r="C54" s="54"/>
      <c r="D54" s="55"/>
      <c r="E54" s="67">
        <f>E53+E52</f>
        <v>1553881.86</v>
      </c>
      <c r="G54" s="51" t="e">
        <v>#NAME?</v>
      </c>
    </row>
    <row r="55" spans="1:9" hidden="1" x14ac:dyDescent="0.2">
      <c r="A55" s="56"/>
      <c r="B55" s="56"/>
      <c r="C55" s="57" t="s">
        <v>11</v>
      </c>
      <c r="D55" s="56"/>
      <c r="E55" s="56"/>
    </row>
    <row r="56" spans="1:9" ht="3" hidden="1" customHeight="1" x14ac:dyDescent="0.2"/>
    <row r="57" spans="1:9" hidden="1" x14ac:dyDescent="0.2">
      <c r="B57" s="28" t="s">
        <v>3</v>
      </c>
      <c r="C57" s="58"/>
      <c r="D57" s="58"/>
      <c r="E57" s="29"/>
      <c r="F57" s="28"/>
    </row>
    <row r="58" spans="1:9" hidden="1" x14ac:dyDescent="0.2">
      <c r="B58" s="59"/>
      <c r="C58" s="60" t="s">
        <v>12</v>
      </c>
      <c r="D58" s="60" t="s">
        <v>13</v>
      </c>
    </row>
    <row r="59" spans="1:9" hidden="1" x14ac:dyDescent="0.2">
      <c r="B59" s="28" t="s">
        <v>21</v>
      </c>
      <c r="C59" s="58"/>
      <c r="D59" s="58"/>
      <c r="E59" s="29"/>
      <c r="F59" s="28"/>
    </row>
    <row r="60" spans="1:9" hidden="1" x14ac:dyDescent="0.2">
      <c r="B60" s="59"/>
      <c r="C60" s="60" t="s">
        <v>12</v>
      </c>
      <c r="D60" s="60" t="s">
        <v>13</v>
      </c>
    </row>
    <row r="61" spans="1:9" hidden="1" x14ac:dyDescent="0.2"/>
  </sheetData>
  <mergeCells count="7">
    <mergeCell ref="A24:E24"/>
    <mergeCell ref="A16:E16"/>
    <mergeCell ref="A13:E13"/>
    <mergeCell ref="A14:E14"/>
    <mergeCell ref="A15:E15"/>
    <mergeCell ref="C17:E17"/>
    <mergeCell ref="A23:E23"/>
  </mergeCells>
  <pageMargins left="0.47244094488188981" right="0.19685039370078741" top="0.39370078740157483" bottom="0.39370078740157483" header="0.27559055118110237" footer="0.23622047244094491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Укрупненный расчет 2013</vt:lpstr>
      <vt:lpstr>'Укрупненный расчет 2013'!Область_печати</vt:lpstr>
    </vt:vector>
  </TitlesOfParts>
  <Company>Elproject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</dc:creator>
  <cp:lastModifiedBy>plotnikova_as</cp:lastModifiedBy>
  <cp:lastPrinted>2013-03-07T06:55:40Z</cp:lastPrinted>
  <dcterms:created xsi:type="dcterms:W3CDTF">2004-05-07T06:21:38Z</dcterms:created>
  <dcterms:modified xsi:type="dcterms:W3CDTF">2013-10-29T10:46:46Z</dcterms:modified>
</cp:coreProperties>
</file>