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drawings/drawing1.xml" ContentType="application/vnd.openxmlformats-officedocument.drawing+xml"/>
  <Override PartName="/xl/ctrlProps/ctrlProp1.xml" ContentType="application/vnd.ms-excel.controlproperties+xml"/>
  <Override PartName="/xl/charts/chart1.xml" ContentType="application/vnd.openxmlformats-officedocument.drawingml.chart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charts/colors1.xml" ContentType="application/vnd.ms-office.chartcolorstyle+xml"/>
  <Override PartName="/xl/charts/style1.xml" ContentType="application/vnd.ms-office.chartstyl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workbookProtection workbookAlgorithmName="SHA-512" workbookHashValue="iZb77i0m3TTK1DM24jXzvolXraXkuf7VeI8jwLjsSxpsa/BBnYQIncIGCAjDwhCJklrbfJN1vPvErz/bcxJPCg==" workbookSaltValue="8DBasw5qmC9OPQRZMbMnFg==" workbookSpinCount="100000" lockStructure="1"/>
  <bookViews>
    <workbookView xWindow="0" yWindow="0" windowWidth="25200" windowHeight="12570" activeTab="1"/>
  </bookViews>
  <sheets>
    <sheet name="калькулятор" sheetId="1" r:id="rId1"/>
    <sheet name="результат" sheetId="6" r:id="rId2"/>
    <sheet name="Прогноз ИПР" sheetId="10" r:id="rId3"/>
    <sheet name="Список" sheetId="2" state="hidden" r:id="rId4"/>
    <sheet name="индексы" sheetId="3" state="hidden" r:id="rId5"/>
    <sheet name="данные" sheetId="4" state="hidden" r:id="rId6"/>
    <sheet name="Цены -10%" sheetId="9" state="hidden" r:id="rId7"/>
  </sheets>
  <definedNames>
    <definedName name="D">Список!$D$1:$D$2</definedName>
    <definedName name="E">Список!$E$1:$E$2</definedName>
    <definedName name="F">Список!$F$1:$F$2</definedName>
    <definedName name="А">Список!$A$1:$A$5</definedName>
    <definedName name="В">Список!$B$1:$B$11</definedName>
    <definedName name="год">Список!$H$1:$H$5</definedName>
    <definedName name="ИПР">'Прогноз ИПР'!$B$3:$B$102</definedName>
  </definedNames>
  <calcPr calcId="145621"/>
</workbook>
</file>

<file path=xl/calcChain.xml><?xml version="1.0" encoding="utf-8"?>
<calcChain xmlns="http://schemas.openxmlformats.org/spreadsheetml/2006/main">
  <c r="Q20" i="10" l="1"/>
  <c r="R20" i="10"/>
  <c r="S20" i="10"/>
  <c r="T20" i="10"/>
  <c r="Q21" i="10"/>
  <c r="R21" i="10"/>
  <c r="S21" i="10"/>
  <c r="T21" i="10"/>
  <c r="Q22" i="10"/>
  <c r="R22" i="10"/>
  <c r="S22" i="10"/>
  <c r="T22" i="10"/>
  <c r="Q23" i="10"/>
  <c r="R23" i="10"/>
  <c r="S23" i="10"/>
  <c r="T23" i="10"/>
  <c r="Q24" i="10"/>
  <c r="R24" i="10"/>
  <c r="S24" i="10"/>
  <c r="T24" i="10"/>
  <c r="P24" i="10"/>
  <c r="P23" i="10"/>
  <c r="P22" i="10"/>
  <c r="P21" i="10"/>
  <c r="P20" i="10"/>
  <c r="D16" i="10" l="1"/>
  <c r="D107" i="1"/>
  <c r="N107" i="1"/>
  <c r="M107" i="1"/>
  <c r="L107" i="1"/>
  <c r="K107" i="1"/>
  <c r="J107" i="1"/>
  <c r="U13" i="10" l="1"/>
  <c r="U24" i="10" s="1"/>
  <c r="B6" i="10"/>
  <c r="A2" i="10"/>
  <c r="B2" i="10"/>
  <c r="C2" i="10"/>
  <c r="D2" i="10"/>
  <c r="E2" i="10"/>
  <c r="F2" i="10"/>
  <c r="G2" i="10"/>
  <c r="B3" i="10"/>
  <c r="C3" i="10"/>
  <c r="D3" i="10"/>
  <c r="E3" i="10"/>
  <c r="F3" i="10"/>
  <c r="G3" i="10"/>
  <c r="B4" i="10"/>
  <c r="C4" i="10"/>
  <c r="D4" i="10"/>
  <c r="E4" i="10"/>
  <c r="F4" i="10"/>
  <c r="G4" i="10"/>
  <c r="B5" i="10"/>
  <c r="C5" i="10"/>
  <c r="D5" i="10"/>
  <c r="E5" i="10"/>
  <c r="F5" i="10"/>
  <c r="G5" i="10"/>
  <c r="C6" i="10"/>
  <c r="D6" i="10"/>
  <c r="E6" i="10"/>
  <c r="F6" i="10"/>
  <c r="G6" i="10"/>
  <c r="B7" i="10"/>
  <c r="C7" i="10"/>
  <c r="D7" i="10"/>
  <c r="E7" i="10"/>
  <c r="F7" i="10"/>
  <c r="G7" i="10"/>
  <c r="B8" i="10"/>
  <c r="C8" i="10"/>
  <c r="D8" i="10"/>
  <c r="E8" i="10"/>
  <c r="F8" i="10"/>
  <c r="G8" i="10"/>
  <c r="B9" i="10"/>
  <c r="C9" i="10"/>
  <c r="D9" i="10"/>
  <c r="E9" i="10"/>
  <c r="F9" i="10"/>
  <c r="G9" i="10"/>
  <c r="B10" i="10"/>
  <c r="C10" i="10"/>
  <c r="D10" i="10"/>
  <c r="E10" i="10"/>
  <c r="F10" i="10"/>
  <c r="G10" i="10"/>
  <c r="B11" i="10"/>
  <c r="C11" i="10"/>
  <c r="D11" i="10"/>
  <c r="E11" i="10"/>
  <c r="F11" i="10"/>
  <c r="G11" i="10"/>
  <c r="B12" i="10"/>
  <c r="C12" i="10"/>
  <c r="D12" i="10"/>
  <c r="E12" i="10"/>
  <c r="F12" i="10"/>
  <c r="G12" i="10"/>
  <c r="B13" i="10"/>
  <c r="C13" i="10"/>
  <c r="D13" i="10"/>
  <c r="E13" i="10"/>
  <c r="F13" i="10"/>
  <c r="G13" i="10"/>
  <c r="B14" i="10"/>
  <c r="C14" i="10"/>
  <c r="D14" i="10"/>
  <c r="E14" i="10"/>
  <c r="F14" i="10"/>
  <c r="G14" i="10"/>
  <c r="B15" i="10"/>
  <c r="C15" i="10"/>
  <c r="D15" i="10"/>
  <c r="E15" i="10"/>
  <c r="F15" i="10"/>
  <c r="G15" i="10"/>
  <c r="B16" i="10"/>
  <c r="C16" i="10"/>
  <c r="E16" i="10"/>
  <c r="F16" i="10"/>
  <c r="G16" i="10"/>
  <c r="B17" i="10"/>
  <c r="C17" i="10"/>
  <c r="D17" i="10"/>
  <c r="E17" i="10"/>
  <c r="F17" i="10"/>
  <c r="G17" i="10"/>
  <c r="B18" i="10"/>
  <c r="C18" i="10"/>
  <c r="D18" i="10"/>
  <c r="E18" i="10"/>
  <c r="F18" i="10"/>
  <c r="G18" i="10"/>
  <c r="B19" i="10"/>
  <c r="C19" i="10"/>
  <c r="D19" i="10"/>
  <c r="E19" i="10"/>
  <c r="F19" i="10"/>
  <c r="G19" i="10"/>
  <c r="B20" i="10"/>
  <c r="C20" i="10"/>
  <c r="D20" i="10"/>
  <c r="E20" i="10"/>
  <c r="F20" i="10"/>
  <c r="G20" i="10"/>
  <c r="B21" i="10"/>
  <c r="C21" i="10"/>
  <c r="D21" i="10"/>
  <c r="E21" i="10"/>
  <c r="F21" i="10"/>
  <c r="G21" i="10"/>
  <c r="B22" i="10"/>
  <c r="C22" i="10"/>
  <c r="D22" i="10"/>
  <c r="E22" i="10"/>
  <c r="F22" i="10"/>
  <c r="G22" i="10"/>
  <c r="B23" i="10"/>
  <c r="C23" i="10"/>
  <c r="D23" i="10"/>
  <c r="E23" i="10"/>
  <c r="F23" i="10"/>
  <c r="G23" i="10"/>
  <c r="B24" i="10"/>
  <c r="C24" i="10"/>
  <c r="D24" i="10"/>
  <c r="E24" i="10"/>
  <c r="F24" i="10"/>
  <c r="G24" i="10"/>
  <c r="B25" i="10"/>
  <c r="C25" i="10"/>
  <c r="D25" i="10"/>
  <c r="E25" i="10"/>
  <c r="F25" i="10"/>
  <c r="G25" i="10"/>
  <c r="B26" i="10"/>
  <c r="C26" i="10"/>
  <c r="D26" i="10"/>
  <c r="E26" i="10"/>
  <c r="F26" i="10"/>
  <c r="G26" i="10"/>
  <c r="B27" i="10"/>
  <c r="C27" i="10"/>
  <c r="D27" i="10"/>
  <c r="E27" i="10"/>
  <c r="F27" i="10"/>
  <c r="G27" i="10"/>
  <c r="B28" i="10"/>
  <c r="C28" i="10"/>
  <c r="D28" i="10"/>
  <c r="E28" i="10"/>
  <c r="F28" i="10"/>
  <c r="G28" i="10"/>
  <c r="B29" i="10"/>
  <c r="C29" i="10"/>
  <c r="D29" i="10"/>
  <c r="E29" i="10"/>
  <c r="F29" i="10"/>
  <c r="G29" i="10"/>
  <c r="B30" i="10"/>
  <c r="C30" i="10"/>
  <c r="D30" i="10"/>
  <c r="E30" i="10"/>
  <c r="F30" i="10"/>
  <c r="G30" i="10"/>
  <c r="B31" i="10"/>
  <c r="C31" i="10"/>
  <c r="D31" i="10"/>
  <c r="E31" i="10"/>
  <c r="F31" i="10"/>
  <c r="G31" i="10"/>
  <c r="B32" i="10"/>
  <c r="C32" i="10"/>
  <c r="D32" i="10"/>
  <c r="E32" i="10"/>
  <c r="F32" i="10"/>
  <c r="G32" i="10"/>
  <c r="B33" i="10"/>
  <c r="C33" i="10"/>
  <c r="D33" i="10"/>
  <c r="E33" i="10"/>
  <c r="F33" i="10"/>
  <c r="G33" i="10"/>
  <c r="B34" i="10"/>
  <c r="C34" i="10"/>
  <c r="D34" i="10"/>
  <c r="E34" i="10"/>
  <c r="F34" i="10"/>
  <c r="G34" i="10"/>
  <c r="B35" i="10"/>
  <c r="C35" i="10"/>
  <c r="D35" i="10"/>
  <c r="E35" i="10"/>
  <c r="F35" i="10"/>
  <c r="G35" i="10"/>
  <c r="B36" i="10"/>
  <c r="C36" i="10"/>
  <c r="D36" i="10"/>
  <c r="E36" i="10"/>
  <c r="F36" i="10"/>
  <c r="G36" i="10"/>
  <c r="B37" i="10"/>
  <c r="C37" i="10"/>
  <c r="D37" i="10"/>
  <c r="E37" i="10"/>
  <c r="F37" i="10"/>
  <c r="G37" i="10"/>
  <c r="B38" i="10"/>
  <c r="C38" i="10"/>
  <c r="D38" i="10"/>
  <c r="E38" i="10"/>
  <c r="F38" i="10"/>
  <c r="G38" i="10"/>
  <c r="B39" i="10"/>
  <c r="C39" i="10"/>
  <c r="D39" i="10"/>
  <c r="E39" i="10"/>
  <c r="F39" i="10"/>
  <c r="G39" i="10"/>
  <c r="B40" i="10"/>
  <c r="C40" i="10"/>
  <c r="D40" i="10"/>
  <c r="E40" i="10"/>
  <c r="F40" i="10"/>
  <c r="G40" i="10"/>
  <c r="B41" i="10"/>
  <c r="C41" i="10"/>
  <c r="D41" i="10"/>
  <c r="E41" i="10"/>
  <c r="F41" i="10"/>
  <c r="G41" i="10"/>
  <c r="B42" i="10"/>
  <c r="C42" i="10"/>
  <c r="D42" i="10"/>
  <c r="E42" i="10"/>
  <c r="F42" i="10"/>
  <c r="G42" i="10"/>
  <c r="B43" i="10"/>
  <c r="C43" i="10"/>
  <c r="D43" i="10"/>
  <c r="E43" i="10"/>
  <c r="F43" i="10"/>
  <c r="G43" i="10"/>
  <c r="B44" i="10"/>
  <c r="C44" i="10"/>
  <c r="D44" i="10"/>
  <c r="E44" i="10"/>
  <c r="F44" i="10"/>
  <c r="G44" i="10"/>
  <c r="B45" i="10"/>
  <c r="C45" i="10"/>
  <c r="D45" i="10"/>
  <c r="E45" i="10"/>
  <c r="F45" i="10"/>
  <c r="G45" i="10"/>
  <c r="B46" i="10"/>
  <c r="C46" i="10"/>
  <c r="D46" i="10"/>
  <c r="E46" i="10"/>
  <c r="F46" i="10"/>
  <c r="G46" i="10"/>
  <c r="B47" i="10"/>
  <c r="C47" i="10"/>
  <c r="D47" i="10"/>
  <c r="E47" i="10"/>
  <c r="F47" i="10"/>
  <c r="G47" i="10"/>
  <c r="B48" i="10"/>
  <c r="C48" i="10"/>
  <c r="D48" i="10"/>
  <c r="E48" i="10"/>
  <c r="F48" i="10"/>
  <c r="G48" i="10"/>
  <c r="B49" i="10"/>
  <c r="C49" i="10"/>
  <c r="D49" i="10"/>
  <c r="E49" i="10"/>
  <c r="F49" i="10"/>
  <c r="G49" i="10"/>
  <c r="B50" i="10"/>
  <c r="C50" i="10"/>
  <c r="D50" i="10"/>
  <c r="E50" i="10"/>
  <c r="F50" i="10"/>
  <c r="G50" i="10"/>
  <c r="B51" i="10"/>
  <c r="C51" i="10"/>
  <c r="D51" i="10"/>
  <c r="E51" i="10"/>
  <c r="F51" i="10"/>
  <c r="G51" i="10"/>
  <c r="B52" i="10"/>
  <c r="C52" i="10"/>
  <c r="D52" i="10"/>
  <c r="E52" i="10"/>
  <c r="F52" i="10"/>
  <c r="G52" i="10"/>
  <c r="B53" i="10"/>
  <c r="C53" i="10"/>
  <c r="D53" i="10"/>
  <c r="E53" i="10"/>
  <c r="F53" i="10"/>
  <c r="G53" i="10"/>
  <c r="B54" i="10"/>
  <c r="C54" i="10"/>
  <c r="D54" i="10"/>
  <c r="E54" i="10"/>
  <c r="F54" i="10"/>
  <c r="G54" i="10"/>
  <c r="B55" i="10"/>
  <c r="C55" i="10"/>
  <c r="D55" i="10"/>
  <c r="E55" i="10"/>
  <c r="F55" i="10"/>
  <c r="G55" i="10"/>
  <c r="B56" i="10"/>
  <c r="C56" i="10"/>
  <c r="D56" i="10"/>
  <c r="E56" i="10"/>
  <c r="F56" i="10"/>
  <c r="G56" i="10"/>
  <c r="B57" i="10"/>
  <c r="C57" i="10"/>
  <c r="D57" i="10"/>
  <c r="E57" i="10"/>
  <c r="F57" i="10"/>
  <c r="G57" i="10"/>
  <c r="B58" i="10"/>
  <c r="C58" i="10"/>
  <c r="D58" i="10"/>
  <c r="E58" i="10"/>
  <c r="F58" i="10"/>
  <c r="G58" i="10"/>
  <c r="B59" i="10"/>
  <c r="C59" i="10"/>
  <c r="D59" i="10"/>
  <c r="E59" i="10"/>
  <c r="F59" i="10"/>
  <c r="G59" i="10"/>
  <c r="B60" i="10"/>
  <c r="C60" i="10"/>
  <c r="D60" i="10"/>
  <c r="E60" i="10"/>
  <c r="F60" i="10"/>
  <c r="G60" i="10"/>
  <c r="B61" i="10"/>
  <c r="C61" i="10"/>
  <c r="D61" i="10"/>
  <c r="E61" i="10"/>
  <c r="F61" i="10"/>
  <c r="G61" i="10"/>
  <c r="B62" i="10"/>
  <c r="C62" i="10"/>
  <c r="D62" i="10"/>
  <c r="E62" i="10"/>
  <c r="F62" i="10"/>
  <c r="G62" i="10"/>
  <c r="B63" i="10"/>
  <c r="C63" i="10"/>
  <c r="D63" i="10"/>
  <c r="E63" i="10"/>
  <c r="F63" i="10"/>
  <c r="G63" i="10"/>
  <c r="B64" i="10"/>
  <c r="C64" i="10"/>
  <c r="D64" i="10"/>
  <c r="E64" i="10"/>
  <c r="F64" i="10"/>
  <c r="G64" i="10"/>
  <c r="B65" i="10"/>
  <c r="C65" i="10"/>
  <c r="D65" i="10"/>
  <c r="E65" i="10"/>
  <c r="F65" i="10"/>
  <c r="G65" i="10"/>
  <c r="B66" i="10"/>
  <c r="C66" i="10"/>
  <c r="D66" i="10"/>
  <c r="E66" i="10"/>
  <c r="F66" i="10"/>
  <c r="G66" i="10"/>
  <c r="B67" i="10"/>
  <c r="C67" i="10"/>
  <c r="D67" i="10"/>
  <c r="E67" i="10"/>
  <c r="F67" i="10"/>
  <c r="G67" i="10"/>
  <c r="B68" i="10"/>
  <c r="C68" i="10"/>
  <c r="D68" i="10"/>
  <c r="E68" i="10"/>
  <c r="F68" i="10"/>
  <c r="G68" i="10"/>
  <c r="B69" i="10"/>
  <c r="C69" i="10"/>
  <c r="D69" i="10"/>
  <c r="E69" i="10"/>
  <c r="F69" i="10"/>
  <c r="G69" i="10"/>
  <c r="B70" i="10"/>
  <c r="C70" i="10"/>
  <c r="D70" i="10"/>
  <c r="E70" i="10"/>
  <c r="F70" i="10"/>
  <c r="G70" i="10"/>
  <c r="B71" i="10"/>
  <c r="C71" i="10"/>
  <c r="D71" i="10"/>
  <c r="E71" i="10"/>
  <c r="F71" i="10"/>
  <c r="G71" i="10"/>
  <c r="B72" i="10"/>
  <c r="C72" i="10"/>
  <c r="D72" i="10"/>
  <c r="E72" i="10"/>
  <c r="F72" i="10"/>
  <c r="G72" i="10"/>
  <c r="B73" i="10"/>
  <c r="C73" i="10"/>
  <c r="D73" i="10"/>
  <c r="E73" i="10"/>
  <c r="F73" i="10"/>
  <c r="G73" i="10"/>
  <c r="B74" i="10"/>
  <c r="C74" i="10"/>
  <c r="D74" i="10"/>
  <c r="E74" i="10"/>
  <c r="F74" i="10"/>
  <c r="G74" i="10"/>
  <c r="B75" i="10"/>
  <c r="C75" i="10"/>
  <c r="D75" i="10"/>
  <c r="E75" i="10"/>
  <c r="F75" i="10"/>
  <c r="G75" i="10"/>
  <c r="B76" i="10"/>
  <c r="C76" i="10"/>
  <c r="D76" i="10"/>
  <c r="E76" i="10"/>
  <c r="F76" i="10"/>
  <c r="G76" i="10"/>
  <c r="B77" i="10"/>
  <c r="C77" i="10"/>
  <c r="D77" i="10"/>
  <c r="E77" i="10"/>
  <c r="F77" i="10"/>
  <c r="G77" i="10"/>
  <c r="B78" i="10"/>
  <c r="C78" i="10"/>
  <c r="D78" i="10"/>
  <c r="E78" i="10"/>
  <c r="F78" i="10"/>
  <c r="G78" i="10"/>
  <c r="B79" i="10"/>
  <c r="C79" i="10"/>
  <c r="D79" i="10"/>
  <c r="E79" i="10"/>
  <c r="F79" i="10"/>
  <c r="G79" i="10"/>
  <c r="B80" i="10"/>
  <c r="C80" i="10"/>
  <c r="D80" i="10"/>
  <c r="E80" i="10"/>
  <c r="F80" i="10"/>
  <c r="G80" i="10"/>
  <c r="B81" i="10"/>
  <c r="C81" i="10"/>
  <c r="D81" i="10"/>
  <c r="E81" i="10"/>
  <c r="F81" i="10"/>
  <c r="G81" i="10"/>
  <c r="B82" i="10"/>
  <c r="C82" i="10"/>
  <c r="D82" i="10"/>
  <c r="E82" i="10"/>
  <c r="F82" i="10"/>
  <c r="G82" i="10"/>
  <c r="B83" i="10"/>
  <c r="C83" i="10"/>
  <c r="D83" i="10"/>
  <c r="E83" i="10"/>
  <c r="F83" i="10"/>
  <c r="G83" i="10"/>
  <c r="B84" i="10"/>
  <c r="C84" i="10"/>
  <c r="D84" i="10"/>
  <c r="E84" i="10"/>
  <c r="F84" i="10"/>
  <c r="G84" i="10"/>
  <c r="B85" i="10"/>
  <c r="C85" i="10"/>
  <c r="D85" i="10"/>
  <c r="E85" i="10"/>
  <c r="F85" i="10"/>
  <c r="G85" i="10"/>
  <c r="B86" i="10"/>
  <c r="C86" i="10"/>
  <c r="D86" i="10"/>
  <c r="E86" i="10"/>
  <c r="F86" i="10"/>
  <c r="G86" i="10"/>
  <c r="B87" i="10"/>
  <c r="C87" i="10"/>
  <c r="D87" i="10"/>
  <c r="E87" i="10"/>
  <c r="F87" i="10"/>
  <c r="G87" i="10"/>
  <c r="B88" i="10"/>
  <c r="C88" i="10"/>
  <c r="D88" i="10"/>
  <c r="E88" i="10"/>
  <c r="F88" i="10"/>
  <c r="G88" i="10"/>
  <c r="B89" i="10"/>
  <c r="C89" i="10"/>
  <c r="D89" i="10"/>
  <c r="E89" i="10"/>
  <c r="F89" i="10"/>
  <c r="G89" i="10"/>
  <c r="B90" i="10"/>
  <c r="C90" i="10"/>
  <c r="D90" i="10"/>
  <c r="E90" i="10"/>
  <c r="F90" i="10"/>
  <c r="G90" i="10"/>
  <c r="B91" i="10"/>
  <c r="C91" i="10"/>
  <c r="D91" i="10"/>
  <c r="E91" i="10"/>
  <c r="F91" i="10"/>
  <c r="G91" i="10"/>
  <c r="B92" i="10"/>
  <c r="C92" i="10"/>
  <c r="D92" i="10"/>
  <c r="E92" i="10"/>
  <c r="F92" i="10"/>
  <c r="G92" i="10"/>
  <c r="B93" i="10"/>
  <c r="C93" i="10"/>
  <c r="D93" i="10"/>
  <c r="E93" i="10"/>
  <c r="F93" i="10"/>
  <c r="G93" i="10"/>
  <c r="B94" i="10"/>
  <c r="C94" i="10"/>
  <c r="D94" i="10"/>
  <c r="E94" i="10"/>
  <c r="F94" i="10"/>
  <c r="G94" i="10"/>
  <c r="B95" i="10"/>
  <c r="C95" i="10"/>
  <c r="D95" i="10"/>
  <c r="E95" i="10"/>
  <c r="F95" i="10"/>
  <c r="G95" i="10"/>
  <c r="B96" i="10"/>
  <c r="C96" i="10"/>
  <c r="D96" i="10"/>
  <c r="E96" i="10"/>
  <c r="F96" i="10"/>
  <c r="G96" i="10"/>
  <c r="B97" i="10"/>
  <c r="C97" i="10"/>
  <c r="D97" i="10"/>
  <c r="E97" i="10"/>
  <c r="F97" i="10"/>
  <c r="G97" i="10"/>
  <c r="B98" i="10"/>
  <c r="C98" i="10"/>
  <c r="D98" i="10"/>
  <c r="E98" i="10"/>
  <c r="F98" i="10"/>
  <c r="G98" i="10"/>
  <c r="B99" i="10"/>
  <c r="C99" i="10"/>
  <c r="D99" i="10"/>
  <c r="E99" i="10"/>
  <c r="F99" i="10"/>
  <c r="G99" i="10"/>
  <c r="B100" i="10"/>
  <c r="C100" i="10"/>
  <c r="D100" i="10"/>
  <c r="E100" i="10"/>
  <c r="F100" i="10"/>
  <c r="G100" i="10"/>
  <c r="B101" i="10"/>
  <c r="C101" i="10"/>
  <c r="D101" i="10"/>
  <c r="E101" i="10"/>
  <c r="F101" i="10"/>
  <c r="G101" i="10"/>
  <c r="B102" i="10"/>
  <c r="C102" i="10"/>
  <c r="D102" i="10"/>
  <c r="E102" i="10"/>
  <c r="F102" i="10"/>
  <c r="G102" i="10"/>
  <c r="V2" i="10" l="1"/>
  <c r="E5" i="6"/>
  <c r="AM3" i="4" l="1"/>
  <c r="P4" i="3" l="1"/>
  <c r="P5" i="3"/>
  <c r="P6" i="3"/>
  <c r="P7" i="3"/>
  <c r="P8" i="3"/>
  <c r="P9" i="3"/>
  <c r="P10" i="3"/>
  <c r="P11" i="3"/>
  <c r="P12" i="3"/>
  <c r="P13" i="3"/>
  <c r="P14" i="3"/>
  <c r="P15" i="3"/>
  <c r="P16" i="3"/>
  <c r="P17" i="3"/>
  <c r="P18" i="3"/>
  <c r="P19" i="3"/>
  <c r="P20" i="3"/>
  <c r="P21" i="3"/>
  <c r="P22" i="3"/>
  <c r="P23" i="3"/>
  <c r="P24" i="3"/>
  <c r="P25" i="3"/>
  <c r="P26" i="3"/>
  <c r="P27" i="3"/>
  <c r="P28" i="3"/>
  <c r="P29" i="3"/>
  <c r="P30" i="3"/>
  <c r="P31" i="3"/>
  <c r="P32" i="3"/>
  <c r="P33" i="3"/>
  <c r="P34" i="3"/>
  <c r="P35" i="3"/>
  <c r="P36" i="3"/>
  <c r="P37" i="3"/>
  <c r="P38" i="3"/>
  <c r="P39" i="3"/>
  <c r="P40" i="3"/>
  <c r="P41" i="3"/>
  <c r="P42" i="3"/>
  <c r="P43" i="3"/>
  <c r="P44" i="3"/>
  <c r="P45" i="3"/>
  <c r="P46" i="3"/>
  <c r="P47" i="3"/>
  <c r="P48" i="3"/>
  <c r="P49" i="3"/>
  <c r="P50" i="3"/>
  <c r="P51" i="3"/>
  <c r="P52" i="3"/>
  <c r="P53" i="3"/>
  <c r="P54" i="3"/>
  <c r="P55" i="3"/>
  <c r="P56" i="3"/>
  <c r="P57" i="3"/>
  <c r="P58" i="3"/>
  <c r="P59" i="3"/>
  <c r="P60" i="3"/>
  <c r="P61" i="3"/>
  <c r="P62" i="3"/>
  <c r="P63" i="3"/>
  <c r="P64" i="3"/>
  <c r="P65" i="3"/>
  <c r="P66" i="3"/>
  <c r="P67" i="3"/>
  <c r="P68" i="3"/>
  <c r="P69" i="3"/>
  <c r="P70" i="3"/>
  <c r="P71" i="3"/>
  <c r="P72" i="3"/>
  <c r="P73" i="3"/>
  <c r="P74" i="3"/>
  <c r="P75" i="3"/>
  <c r="P76" i="3"/>
  <c r="P77" i="3"/>
  <c r="P78" i="3"/>
  <c r="P79" i="3"/>
  <c r="P80" i="3"/>
  <c r="P81" i="3"/>
  <c r="P82" i="3"/>
  <c r="P83" i="3"/>
  <c r="P84" i="3"/>
  <c r="P85" i="3"/>
  <c r="P86" i="3"/>
  <c r="P87" i="3"/>
  <c r="P88" i="3"/>
  <c r="P89" i="3"/>
  <c r="P90" i="3"/>
  <c r="P91" i="3"/>
  <c r="P92" i="3"/>
  <c r="P93" i="3"/>
  <c r="P94" i="3"/>
  <c r="P95" i="3"/>
  <c r="P96" i="3"/>
  <c r="P97" i="3"/>
  <c r="P98" i="3"/>
  <c r="P99" i="3"/>
  <c r="P100" i="3"/>
  <c r="P101" i="3"/>
  <c r="P102" i="3"/>
  <c r="P103" i="3"/>
  <c r="P104" i="3"/>
  <c r="P105" i="3"/>
  <c r="P106" i="3"/>
  <c r="P107" i="3"/>
  <c r="P108" i="3"/>
  <c r="P109" i="3"/>
  <c r="P110" i="3"/>
  <c r="P111" i="3"/>
  <c r="P112" i="3"/>
  <c r="P113" i="3"/>
  <c r="P114" i="3"/>
  <c r="P115" i="3"/>
  <c r="P116" i="3"/>
  <c r="P117" i="3"/>
  <c r="P118" i="3"/>
  <c r="P119" i="3"/>
  <c r="P120" i="3"/>
  <c r="P121" i="3"/>
  <c r="P122" i="3"/>
  <c r="P123" i="3"/>
  <c r="P124" i="3"/>
  <c r="P125" i="3"/>
  <c r="P126" i="3"/>
  <c r="P127" i="3"/>
  <c r="P128" i="3"/>
  <c r="P129" i="3"/>
  <c r="P130" i="3"/>
  <c r="P131" i="3"/>
  <c r="P132" i="3"/>
  <c r="P133" i="3"/>
  <c r="P134" i="3"/>
  <c r="P135" i="3"/>
  <c r="O4" i="3"/>
  <c r="O5" i="3"/>
  <c r="O6" i="3"/>
  <c r="O7" i="3"/>
  <c r="O8" i="3"/>
  <c r="O9" i="3"/>
  <c r="O10" i="3"/>
  <c r="O11" i="3"/>
  <c r="O12" i="3"/>
  <c r="O13" i="3"/>
  <c r="O14" i="3"/>
  <c r="O15" i="3"/>
  <c r="O16" i="3"/>
  <c r="O17" i="3"/>
  <c r="O18" i="3"/>
  <c r="O19" i="3"/>
  <c r="O20" i="3"/>
  <c r="O21" i="3"/>
  <c r="O22" i="3"/>
  <c r="O23" i="3"/>
  <c r="O24" i="3"/>
  <c r="O25" i="3"/>
  <c r="O26" i="3"/>
  <c r="O27" i="3"/>
  <c r="O28" i="3"/>
  <c r="O29" i="3"/>
  <c r="O30" i="3"/>
  <c r="O31" i="3"/>
  <c r="O32" i="3"/>
  <c r="O33" i="3"/>
  <c r="O34" i="3"/>
  <c r="O35" i="3"/>
  <c r="O36" i="3"/>
  <c r="O37" i="3"/>
  <c r="O38" i="3"/>
  <c r="O39" i="3"/>
  <c r="O40" i="3"/>
  <c r="O41" i="3"/>
  <c r="O42" i="3"/>
  <c r="O43" i="3"/>
  <c r="O44" i="3"/>
  <c r="O45" i="3"/>
  <c r="O46" i="3"/>
  <c r="O47" i="3"/>
  <c r="O48" i="3"/>
  <c r="O49" i="3"/>
  <c r="O50" i="3"/>
  <c r="O51" i="3"/>
  <c r="O52" i="3"/>
  <c r="O53" i="3"/>
  <c r="O54" i="3"/>
  <c r="O55" i="3"/>
  <c r="O56" i="3"/>
  <c r="O57" i="3"/>
  <c r="O58" i="3"/>
  <c r="O59" i="3"/>
  <c r="O60" i="3"/>
  <c r="O61" i="3"/>
  <c r="O62" i="3"/>
  <c r="O63" i="3"/>
  <c r="O64" i="3"/>
  <c r="O65" i="3"/>
  <c r="O66" i="3"/>
  <c r="O67" i="3"/>
  <c r="O68" i="3"/>
  <c r="O69" i="3"/>
  <c r="O70" i="3"/>
  <c r="O71" i="3"/>
  <c r="O72" i="3"/>
  <c r="O73" i="3"/>
  <c r="O74" i="3"/>
  <c r="O75" i="3"/>
  <c r="O76" i="3"/>
  <c r="O77" i="3"/>
  <c r="O78" i="3"/>
  <c r="O79" i="3"/>
  <c r="O80" i="3"/>
  <c r="O81" i="3"/>
  <c r="O82" i="3"/>
  <c r="O83" i="3"/>
  <c r="O84" i="3"/>
  <c r="O85" i="3"/>
  <c r="O86" i="3"/>
  <c r="O87" i="3"/>
  <c r="O88" i="3"/>
  <c r="O89" i="3"/>
  <c r="O90" i="3"/>
  <c r="O91" i="3"/>
  <c r="O92" i="3"/>
  <c r="O93" i="3"/>
  <c r="O94" i="3"/>
  <c r="O95" i="3"/>
  <c r="O96" i="3"/>
  <c r="O97" i="3"/>
  <c r="O98" i="3"/>
  <c r="O99" i="3"/>
  <c r="O100" i="3"/>
  <c r="O101" i="3"/>
  <c r="O102" i="3"/>
  <c r="O103" i="3"/>
  <c r="O104" i="3"/>
  <c r="O105" i="3"/>
  <c r="O106" i="3"/>
  <c r="O107" i="3"/>
  <c r="O108" i="3"/>
  <c r="O109" i="3"/>
  <c r="O110" i="3"/>
  <c r="O111" i="3"/>
  <c r="O112" i="3"/>
  <c r="O113" i="3"/>
  <c r="O114" i="3"/>
  <c r="O115" i="3"/>
  <c r="O116" i="3"/>
  <c r="O117" i="3"/>
  <c r="O118" i="3"/>
  <c r="O119" i="3"/>
  <c r="O120" i="3"/>
  <c r="O121" i="3"/>
  <c r="O122" i="3"/>
  <c r="O123" i="3"/>
  <c r="O124" i="3"/>
  <c r="O125" i="3"/>
  <c r="O126" i="3"/>
  <c r="O127" i="3"/>
  <c r="O128" i="3"/>
  <c r="O129" i="3"/>
  <c r="O130" i="3"/>
  <c r="O131" i="3"/>
  <c r="O132" i="3"/>
  <c r="O133" i="3"/>
  <c r="O134" i="3"/>
  <c r="O135" i="3"/>
  <c r="N4" i="3"/>
  <c r="N5" i="3"/>
  <c r="N6" i="3"/>
  <c r="N7" i="3"/>
  <c r="N8" i="3"/>
  <c r="N9" i="3"/>
  <c r="N10" i="3"/>
  <c r="N11" i="3"/>
  <c r="N12" i="3"/>
  <c r="N13" i="3"/>
  <c r="N14" i="3"/>
  <c r="N15" i="3"/>
  <c r="N16" i="3"/>
  <c r="N17" i="3"/>
  <c r="N18" i="3"/>
  <c r="N19" i="3"/>
  <c r="N20" i="3"/>
  <c r="N21" i="3"/>
  <c r="N22" i="3"/>
  <c r="N23" i="3"/>
  <c r="N24" i="3"/>
  <c r="N25" i="3"/>
  <c r="N26" i="3"/>
  <c r="N27" i="3"/>
  <c r="N28" i="3"/>
  <c r="N29" i="3"/>
  <c r="N30" i="3"/>
  <c r="N31" i="3"/>
  <c r="N32" i="3"/>
  <c r="N33" i="3"/>
  <c r="N34" i="3"/>
  <c r="N35" i="3"/>
  <c r="N36" i="3"/>
  <c r="N37" i="3"/>
  <c r="N38" i="3"/>
  <c r="N39" i="3"/>
  <c r="N40" i="3"/>
  <c r="N41" i="3"/>
  <c r="N42" i="3"/>
  <c r="N43" i="3"/>
  <c r="N44" i="3"/>
  <c r="N45" i="3"/>
  <c r="N46" i="3"/>
  <c r="N47" i="3"/>
  <c r="N48" i="3"/>
  <c r="N49" i="3"/>
  <c r="N50" i="3"/>
  <c r="N51" i="3"/>
  <c r="N52" i="3"/>
  <c r="N53" i="3"/>
  <c r="N54" i="3"/>
  <c r="N55" i="3"/>
  <c r="N56" i="3"/>
  <c r="N57" i="3"/>
  <c r="N58" i="3"/>
  <c r="N59" i="3"/>
  <c r="N60" i="3"/>
  <c r="N61" i="3"/>
  <c r="N62" i="3"/>
  <c r="N63" i="3"/>
  <c r="N64" i="3"/>
  <c r="N65" i="3"/>
  <c r="N66" i="3"/>
  <c r="N67" i="3"/>
  <c r="N68" i="3"/>
  <c r="N69" i="3"/>
  <c r="N70" i="3"/>
  <c r="N71" i="3"/>
  <c r="N72" i="3"/>
  <c r="N73" i="3"/>
  <c r="N74" i="3"/>
  <c r="N75" i="3"/>
  <c r="N76" i="3"/>
  <c r="N77" i="3"/>
  <c r="N78" i="3"/>
  <c r="N79" i="3"/>
  <c r="N80" i="3"/>
  <c r="N81" i="3"/>
  <c r="N82" i="3"/>
  <c r="N83" i="3"/>
  <c r="N84" i="3"/>
  <c r="N85" i="3"/>
  <c r="N86" i="3"/>
  <c r="N87" i="3"/>
  <c r="N88" i="3"/>
  <c r="N89" i="3"/>
  <c r="N90" i="3"/>
  <c r="N91" i="3"/>
  <c r="N92" i="3"/>
  <c r="N93" i="3"/>
  <c r="N94" i="3"/>
  <c r="N95" i="3"/>
  <c r="N96" i="3"/>
  <c r="N97" i="3"/>
  <c r="N98" i="3"/>
  <c r="N99" i="3"/>
  <c r="N100" i="3"/>
  <c r="N101" i="3"/>
  <c r="N102" i="3"/>
  <c r="N103" i="3"/>
  <c r="N104" i="3"/>
  <c r="N105" i="3"/>
  <c r="N106" i="3"/>
  <c r="N107" i="3"/>
  <c r="N108" i="3"/>
  <c r="N109" i="3"/>
  <c r="N110" i="3"/>
  <c r="N111" i="3"/>
  <c r="N112" i="3"/>
  <c r="N113" i="3"/>
  <c r="N114" i="3"/>
  <c r="N115" i="3"/>
  <c r="N116" i="3"/>
  <c r="N117" i="3"/>
  <c r="N118" i="3"/>
  <c r="N119" i="3"/>
  <c r="N120" i="3"/>
  <c r="N121" i="3"/>
  <c r="N122" i="3"/>
  <c r="N123" i="3"/>
  <c r="N124" i="3"/>
  <c r="N125" i="3"/>
  <c r="N126" i="3"/>
  <c r="N127" i="3"/>
  <c r="N128" i="3"/>
  <c r="N129" i="3"/>
  <c r="N130" i="3"/>
  <c r="N131" i="3"/>
  <c r="N132" i="3"/>
  <c r="N133" i="3"/>
  <c r="N134" i="3"/>
  <c r="N135" i="3"/>
  <c r="M4" i="3"/>
  <c r="M5" i="3"/>
  <c r="M6" i="3"/>
  <c r="M7" i="3"/>
  <c r="M8" i="3"/>
  <c r="M9" i="3"/>
  <c r="M10" i="3"/>
  <c r="M11" i="3"/>
  <c r="M12" i="3"/>
  <c r="M13" i="3"/>
  <c r="M14" i="3"/>
  <c r="M15" i="3"/>
  <c r="M16" i="3"/>
  <c r="M17" i="3"/>
  <c r="M18" i="3"/>
  <c r="M19" i="3"/>
  <c r="M20" i="3"/>
  <c r="M21" i="3"/>
  <c r="M22" i="3"/>
  <c r="M23" i="3"/>
  <c r="M24" i="3"/>
  <c r="M25" i="3"/>
  <c r="M26" i="3"/>
  <c r="M27" i="3"/>
  <c r="M28" i="3"/>
  <c r="M29" i="3"/>
  <c r="M30" i="3"/>
  <c r="M31" i="3"/>
  <c r="M32" i="3"/>
  <c r="M33" i="3"/>
  <c r="M34" i="3"/>
  <c r="M35" i="3"/>
  <c r="M36" i="3"/>
  <c r="M37" i="3"/>
  <c r="M38" i="3"/>
  <c r="M39" i="3"/>
  <c r="M40" i="3"/>
  <c r="M41" i="3"/>
  <c r="M42" i="3"/>
  <c r="M43" i="3"/>
  <c r="M44" i="3"/>
  <c r="M45" i="3"/>
  <c r="M46" i="3"/>
  <c r="M47" i="3"/>
  <c r="M48" i="3"/>
  <c r="M49" i="3"/>
  <c r="M50" i="3"/>
  <c r="M51" i="3"/>
  <c r="M52" i="3"/>
  <c r="M53" i="3"/>
  <c r="M54" i="3"/>
  <c r="M55" i="3"/>
  <c r="M56" i="3"/>
  <c r="M57" i="3"/>
  <c r="M58" i="3"/>
  <c r="M59" i="3"/>
  <c r="M60" i="3"/>
  <c r="M61" i="3"/>
  <c r="M62" i="3"/>
  <c r="M63" i="3"/>
  <c r="M64" i="3"/>
  <c r="M65" i="3"/>
  <c r="M66" i="3"/>
  <c r="M67" i="3"/>
  <c r="M68" i="3"/>
  <c r="M69" i="3"/>
  <c r="M70" i="3"/>
  <c r="M71" i="3"/>
  <c r="M72" i="3"/>
  <c r="M73" i="3"/>
  <c r="M74" i="3"/>
  <c r="M75" i="3"/>
  <c r="M76" i="3"/>
  <c r="M77" i="3"/>
  <c r="M78" i="3"/>
  <c r="M79" i="3"/>
  <c r="M80" i="3"/>
  <c r="M81" i="3"/>
  <c r="M82" i="3"/>
  <c r="M83" i="3"/>
  <c r="M84" i="3"/>
  <c r="M85" i="3"/>
  <c r="M86" i="3"/>
  <c r="M87" i="3"/>
  <c r="M88" i="3"/>
  <c r="M89" i="3"/>
  <c r="M90" i="3"/>
  <c r="M91" i="3"/>
  <c r="M92" i="3"/>
  <c r="M93" i="3"/>
  <c r="M94" i="3"/>
  <c r="M95" i="3"/>
  <c r="M96" i="3"/>
  <c r="M97" i="3"/>
  <c r="M98" i="3"/>
  <c r="M99" i="3"/>
  <c r="M100" i="3"/>
  <c r="M101" i="3"/>
  <c r="M102" i="3"/>
  <c r="M103" i="3"/>
  <c r="M104" i="3"/>
  <c r="M105" i="3"/>
  <c r="M106" i="3"/>
  <c r="M107" i="3"/>
  <c r="M108" i="3"/>
  <c r="M109" i="3"/>
  <c r="M110" i="3"/>
  <c r="M111" i="3"/>
  <c r="M112" i="3"/>
  <c r="M113" i="3"/>
  <c r="M114" i="3"/>
  <c r="M115" i="3"/>
  <c r="M116" i="3"/>
  <c r="M117" i="3"/>
  <c r="M118" i="3"/>
  <c r="M119" i="3"/>
  <c r="M120" i="3"/>
  <c r="M121" i="3"/>
  <c r="M122" i="3"/>
  <c r="M123" i="3"/>
  <c r="M124" i="3"/>
  <c r="M125" i="3"/>
  <c r="M126" i="3"/>
  <c r="M127" i="3"/>
  <c r="M128" i="3"/>
  <c r="M129" i="3"/>
  <c r="M130" i="3"/>
  <c r="M131" i="3"/>
  <c r="M132" i="3"/>
  <c r="M133" i="3"/>
  <c r="M134" i="3"/>
  <c r="M135" i="3"/>
  <c r="L4" i="3"/>
  <c r="L5" i="3"/>
  <c r="L6" i="3"/>
  <c r="L7" i="3"/>
  <c r="L8" i="3"/>
  <c r="L9" i="3"/>
  <c r="L10" i="3"/>
  <c r="L11" i="3"/>
  <c r="L12" i="3"/>
  <c r="L13" i="3"/>
  <c r="L14" i="3"/>
  <c r="L15" i="3"/>
  <c r="L16" i="3"/>
  <c r="L17" i="3"/>
  <c r="L18" i="3"/>
  <c r="L19" i="3"/>
  <c r="L20" i="3"/>
  <c r="L21" i="3"/>
  <c r="L22" i="3"/>
  <c r="L23" i="3"/>
  <c r="L24" i="3"/>
  <c r="L25" i="3"/>
  <c r="L26" i="3"/>
  <c r="L27" i="3"/>
  <c r="L28" i="3"/>
  <c r="L29" i="3"/>
  <c r="L30" i="3"/>
  <c r="L31" i="3"/>
  <c r="L32" i="3"/>
  <c r="L33" i="3"/>
  <c r="L34" i="3"/>
  <c r="L35" i="3"/>
  <c r="L36" i="3"/>
  <c r="L37" i="3"/>
  <c r="L38" i="3"/>
  <c r="L39" i="3"/>
  <c r="L40" i="3"/>
  <c r="L41" i="3"/>
  <c r="L42" i="3"/>
  <c r="L43" i="3"/>
  <c r="L44" i="3"/>
  <c r="L45" i="3"/>
  <c r="L46" i="3"/>
  <c r="L47" i="3"/>
  <c r="L48" i="3"/>
  <c r="L49" i="3"/>
  <c r="L50" i="3"/>
  <c r="L51" i="3"/>
  <c r="L52" i="3"/>
  <c r="L53" i="3"/>
  <c r="L54" i="3"/>
  <c r="L55" i="3"/>
  <c r="L56" i="3"/>
  <c r="L57" i="3"/>
  <c r="L58" i="3"/>
  <c r="L59" i="3"/>
  <c r="L60" i="3"/>
  <c r="L61" i="3"/>
  <c r="L62" i="3"/>
  <c r="L63" i="3"/>
  <c r="L64" i="3"/>
  <c r="L65" i="3"/>
  <c r="L66" i="3"/>
  <c r="L67" i="3"/>
  <c r="L68" i="3"/>
  <c r="L69" i="3"/>
  <c r="L70" i="3"/>
  <c r="L71" i="3"/>
  <c r="L72" i="3"/>
  <c r="L73" i="3"/>
  <c r="L74" i="3"/>
  <c r="L75" i="3"/>
  <c r="L76" i="3"/>
  <c r="L77" i="3"/>
  <c r="L78" i="3"/>
  <c r="L79" i="3"/>
  <c r="L80" i="3"/>
  <c r="L81" i="3"/>
  <c r="L82" i="3"/>
  <c r="L83" i="3"/>
  <c r="L84" i="3"/>
  <c r="L85" i="3"/>
  <c r="L86" i="3"/>
  <c r="L87" i="3"/>
  <c r="L88" i="3"/>
  <c r="L89" i="3"/>
  <c r="L90" i="3"/>
  <c r="L91" i="3"/>
  <c r="L92" i="3"/>
  <c r="L93" i="3"/>
  <c r="L94" i="3"/>
  <c r="L95" i="3"/>
  <c r="L96" i="3"/>
  <c r="L97" i="3"/>
  <c r="L98" i="3"/>
  <c r="L99" i="3"/>
  <c r="L100" i="3"/>
  <c r="L101" i="3"/>
  <c r="L102" i="3"/>
  <c r="L103" i="3"/>
  <c r="L104" i="3"/>
  <c r="L105" i="3"/>
  <c r="L106" i="3"/>
  <c r="L107" i="3"/>
  <c r="L108" i="3"/>
  <c r="L109" i="3"/>
  <c r="L110" i="3"/>
  <c r="L111" i="3"/>
  <c r="L112" i="3"/>
  <c r="L113" i="3"/>
  <c r="L114" i="3"/>
  <c r="L115" i="3"/>
  <c r="L116" i="3"/>
  <c r="L117" i="3"/>
  <c r="L118" i="3"/>
  <c r="L119" i="3"/>
  <c r="L120" i="3"/>
  <c r="L121" i="3"/>
  <c r="L122" i="3"/>
  <c r="L123" i="3"/>
  <c r="L124" i="3"/>
  <c r="L125" i="3"/>
  <c r="L126" i="3"/>
  <c r="L127" i="3"/>
  <c r="L128" i="3"/>
  <c r="L129" i="3"/>
  <c r="L130" i="3"/>
  <c r="L131" i="3"/>
  <c r="L132" i="3"/>
  <c r="L133" i="3"/>
  <c r="L134" i="3"/>
  <c r="L135" i="3"/>
  <c r="AN3" i="4" l="1"/>
  <c r="AQ3" i="4" l="1"/>
  <c r="AP3" i="4"/>
  <c r="AO3" i="4"/>
  <c r="K2" i="6"/>
  <c r="AT3" i="4" s="1"/>
  <c r="G7" i="9" l="1"/>
  <c r="G8" i="9"/>
  <c r="G9" i="9"/>
  <c r="G10" i="9"/>
  <c r="G11" i="9"/>
  <c r="G12" i="9"/>
  <c r="G13" i="9"/>
  <c r="G14" i="9"/>
  <c r="G15" i="9"/>
  <c r="G16" i="9"/>
  <c r="G17" i="9"/>
  <c r="G18" i="9"/>
  <c r="G19" i="9"/>
  <c r="G20" i="9"/>
  <c r="G21" i="9"/>
  <c r="G22" i="9"/>
  <c r="G23" i="9"/>
  <c r="G24" i="9"/>
  <c r="G25" i="9"/>
  <c r="G26" i="9"/>
  <c r="G27" i="9"/>
  <c r="G28" i="9"/>
  <c r="G29" i="9"/>
  <c r="G30" i="9"/>
  <c r="G31" i="9"/>
  <c r="G32" i="9"/>
  <c r="G33" i="9"/>
  <c r="G34" i="9"/>
  <c r="G35" i="9"/>
  <c r="G36" i="9"/>
  <c r="G37" i="9"/>
  <c r="G38" i="9"/>
  <c r="G39" i="9"/>
  <c r="G40" i="9"/>
  <c r="G41" i="9"/>
  <c r="G42" i="9"/>
  <c r="G43" i="9"/>
  <c r="G44" i="9"/>
  <c r="G45" i="9"/>
  <c r="G46" i="9"/>
  <c r="G47" i="9"/>
  <c r="G48" i="9"/>
  <c r="G49" i="9"/>
  <c r="G50" i="9"/>
  <c r="G51" i="9"/>
  <c r="G52" i="9"/>
  <c r="G53" i="9"/>
  <c r="G54" i="9"/>
  <c r="G55" i="9"/>
  <c r="G56" i="9"/>
  <c r="G57" i="9"/>
  <c r="G58" i="9"/>
  <c r="G59" i="9"/>
  <c r="G60" i="9"/>
  <c r="G61" i="9"/>
  <c r="G62" i="9"/>
  <c r="G63" i="9"/>
  <c r="G64" i="9"/>
  <c r="G65" i="9"/>
  <c r="G66" i="9"/>
  <c r="G67" i="9"/>
  <c r="G68" i="9"/>
  <c r="G69" i="9"/>
  <c r="G70" i="9"/>
  <c r="G71" i="9"/>
  <c r="G72" i="9"/>
  <c r="G73" i="9"/>
  <c r="G74" i="9"/>
  <c r="G75" i="9"/>
  <c r="G76" i="9"/>
  <c r="G77" i="9"/>
  <c r="G78" i="9"/>
  <c r="G79" i="9"/>
  <c r="G80" i="9"/>
  <c r="G81" i="9"/>
  <c r="G82" i="9"/>
  <c r="G83" i="9"/>
  <c r="G84" i="9"/>
  <c r="G85" i="9"/>
  <c r="G86" i="9"/>
  <c r="G87" i="9"/>
  <c r="G88" i="9"/>
  <c r="G89" i="9"/>
  <c r="G90" i="9"/>
  <c r="G91" i="9"/>
  <c r="G92" i="9"/>
  <c r="G93" i="9"/>
  <c r="G94" i="9"/>
  <c r="G95" i="9"/>
  <c r="G96" i="9"/>
  <c r="G97" i="9"/>
  <c r="G98" i="9"/>
  <c r="G99" i="9"/>
  <c r="G100" i="9"/>
  <c r="G101" i="9"/>
  <c r="G2" i="9"/>
  <c r="G3" i="9"/>
  <c r="G4" i="9"/>
  <c r="G5" i="9"/>
  <c r="O10" i="1"/>
  <c r="O11" i="1"/>
  <c r="O12" i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O34" i="1"/>
  <c r="O35" i="1"/>
  <c r="O36" i="1"/>
  <c r="O37" i="1"/>
  <c r="O38" i="1"/>
  <c r="O39" i="1"/>
  <c r="O40" i="1"/>
  <c r="O41" i="1"/>
  <c r="O42" i="1"/>
  <c r="O43" i="1"/>
  <c r="O44" i="1"/>
  <c r="O45" i="1"/>
  <c r="O46" i="1"/>
  <c r="O47" i="1"/>
  <c r="O48" i="1"/>
  <c r="O49" i="1"/>
  <c r="O50" i="1"/>
  <c r="O51" i="1"/>
  <c r="O52" i="1"/>
  <c r="O53" i="1"/>
  <c r="O54" i="1"/>
  <c r="O55" i="1"/>
  <c r="O56" i="1"/>
  <c r="O57" i="1"/>
  <c r="O58" i="1"/>
  <c r="O59" i="1"/>
  <c r="O60" i="1"/>
  <c r="O61" i="1"/>
  <c r="O62" i="1"/>
  <c r="O63" i="1"/>
  <c r="O64" i="1"/>
  <c r="O65" i="1"/>
  <c r="O66" i="1"/>
  <c r="O67" i="1"/>
  <c r="O68" i="1"/>
  <c r="O69" i="1"/>
  <c r="O70" i="1"/>
  <c r="O71" i="1"/>
  <c r="O72" i="1"/>
  <c r="O73" i="1"/>
  <c r="O74" i="1"/>
  <c r="O75" i="1"/>
  <c r="O76" i="1"/>
  <c r="O77" i="1"/>
  <c r="O78" i="1"/>
  <c r="O79" i="1"/>
  <c r="O80" i="1"/>
  <c r="O81" i="1"/>
  <c r="O82" i="1"/>
  <c r="O83" i="1"/>
  <c r="O84" i="1"/>
  <c r="O85" i="1"/>
  <c r="O86" i="1"/>
  <c r="O87" i="1"/>
  <c r="O88" i="1"/>
  <c r="O89" i="1"/>
  <c r="O90" i="1"/>
  <c r="O91" i="1"/>
  <c r="O92" i="1"/>
  <c r="O93" i="1"/>
  <c r="O94" i="1"/>
  <c r="O95" i="1"/>
  <c r="O96" i="1"/>
  <c r="O97" i="1"/>
  <c r="O98" i="1"/>
  <c r="O99" i="1"/>
  <c r="O100" i="1"/>
  <c r="O101" i="1"/>
  <c r="O102" i="1"/>
  <c r="O103" i="1"/>
  <c r="O104" i="1"/>
  <c r="O105" i="1"/>
  <c r="O106" i="1"/>
  <c r="A2" i="9"/>
  <c r="B2" i="9"/>
  <c r="C2" i="9"/>
  <c r="D2" i="9"/>
  <c r="E2" i="9"/>
  <c r="F2" i="9"/>
  <c r="A3" i="9"/>
  <c r="B3" i="9"/>
  <c r="C3" i="9"/>
  <c r="D3" i="9"/>
  <c r="E3" i="9"/>
  <c r="F3" i="9"/>
  <c r="A4" i="9"/>
  <c r="B4" i="9"/>
  <c r="C4" i="9"/>
  <c r="D4" i="9"/>
  <c r="E4" i="9"/>
  <c r="F4" i="9"/>
  <c r="A5" i="9"/>
  <c r="B5" i="9"/>
  <c r="C5" i="9"/>
  <c r="D5" i="9"/>
  <c r="E5" i="9"/>
  <c r="F5" i="9"/>
  <c r="A6" i="9"/>
  <c r="B6" i="9"/>
  <c r="C6" i="9"/>
  <c r="D6" i="9"/>
  <c r="E6" i="9"/>
  <c r="F6" i="9"/>
  <c r="G6" i="9"/>
  <c r="A7" i="9"/>
  <c r="B7" i="9"/>
  <c r="C7" i="9"/>
  <c r="D7" i="9"/>
  <c r="E7" i="9"/>
  <c r="F7" i="9"/>
  <c r="A8" i="9"/>
  <c r="B8" i="9"/>
  <c r="C8" i="9"/>
  <c r="D8" i="9"/>
  <c r="E8" i="9"/>
  <c r="F8" i="9"/>
  <c r="A9" i="9"/>
  <c r="B9" i="9"/>
  <c r="C9" i="9"/>
  <c r="D9" i="9"/>
  <c r="E9" i="9"/>
  <c r="F9" i="9"/>
  <c r="A10" i="9"/>
  <c r="B10" i="9"/>
  <c r="C10" i="9"/>
  <c r="D10" i="9"/>
  <c r="E10" i="9"/>
  <c r="F10" i="9"/>
  <c r="A11" i="9"/>
  <c r="B11" i="9"/>
  <c r="C11" i="9"/>
  <c r="D11" i="9"/>
  <c r="E11" i="9"/>
  <c r="F11" i="9"/>
  <c r="A12" i="9"/>
  <c r="B12" i="9"/>
  <c r="C12" i="9"/>
  <c r="D12" i="9"/>
  <c r="E12" i="9"/>
  <c r="F12" i="9"/>
  <c r="A13" i="9"/>
  <c r="B13" i="9"/>
  <c r="C13" i="9"/>
  <c r="D13" i="9"/>
  <c r="E13" i="9"/>
  <c r="F13" i="9"/>
  <c r="A14" i="9"/>
  <c r="B14" i="9"/>
  <c r="C14" i="9"/>
  <c r="D14" i="9"/>
  <c r="E14" i="9"/>
  <c r="F14" i="9"/>
  <c r="A15" i="9"/>
  <c r="B15" i="9"/>
  <c r="C15" i="9"/>
  <c r="D15" i="9"/>
  <c r="E15" i="9"/>
  <c r="F15" i="9"/>
  <c r="A16" i="9"/>
  <c r="B16" i="9"/>
  <c r="C16" i="9"/>
  <c r="D16" i="9"/>
  <c r="E16" i="9"/>
  <c r="F16" i="9"/>
  <c r="A17" i="9"/>
  <c r="B17" i="9"/>
  <c r="C17" i="9"/>
  <c r="D17" i="9"/>
  <c r="E17" i="9"/>
  <c r="F17" i="9"/>
  <c r="A18" i="9"/>
  <c r="B18" i="9"/>
  <c r="C18" i="9"/>
  <c r="D18" i="9"/>
  <c r="E18" i="9"/>
  <c r="F18" i="9"/>
  <c r="A19" i="9"/>
  <c r="B19" i="9"/>
  <c r="C19" i="9"/>
  <c r="D19" i="9"/>
  <c r="E19" i="9"/>
  <c r="F19" i="9"/>
  <c r="A20" i="9"/>
  <c r="B20" i="9"/>
  <c r="C20" i="9"/>
  <c r="D20" i="9"/>
  <c r="E20" i="9"/>
  <c r="F20" i="9"/>
  <c r="A21" i="9"/>
  <c r="B21" i="9"/>
  <c r="C21" i="9"/>
  <c r="D21" i="9"/>
  <c r="E21" i="9"/>
  <c r="F21" i="9"/>
  <c r="A22" i="9"/>
  <c r="B22" i="9"/>
  <c r="C22" i="9"/>
  <c r="D22" i="9"/>
  <c r="E22" i="9"/>
  <c r="F22" i="9"/>
  <c r="A23" i="9"/>
  <c r="B23" i="9"/>
  <c r="C23" i="9"/>
  <c r="D23" i="9"/>
  <c r="E23" i="9"/>
  <c r="F23" i="9"/>
  <c r="A24" i="9"/>
  <c r="B24" i="9"/>
  <c r="C24" i="9"/>
  <c r="D24" i="9"/>
  <c r="E24" i="9"/>
  <c r="F24" i="9"/>
  <c r="A25" i="9"/>
  <c r="B25" i="9"/>
  <c r="C25" i="9"/>
  <c r="D25" i="9"/>
  <c r="E25" i="9"/>
  <c r="F25" i="9"/>
  <c r="A26" i="9"/>
  <c r="B26" i="9"/>
  <c r="C26" i="9"/>
  <c r="D26" i="9"/>
  <c r="E26" i="9"/>
  <c r="F26" i="9"/>
  <c r="A27" i="9"/>
  <c r="B27" i="9"/>
  <c r="C27" i="9"/>
  <c r="D27" i="9"/>
  <c r="E27" i="9"/>
  <c r="F27" i="9"/>
  <c r="A28" i="9"/>
  <c r="B28" i="9"/>
  <c r="C28" i="9"/>
  <c r="D28" i="9"/>
  <c r="E28" i="9"/>
  <c r="F28" i="9"/>
  <c r="A29" i="9"/>
  <c r="B29" i="9"/>
  <c r="C29" i="9"/>
  <c r="D29" i="9"/>
  <c r="E29" i="9"/>
  <c r="F29" i="9"/>
  <c r="A30" i="9"/>
  <c r="B30" i="9"/>
  <c r="C30" i="9"/>
  <c r="D30" i="9"/>
  <c r="E30" i="9"/>
  <c r="F30" i="9"/>
  <c r="A31" i="9"/>
  <c r="B31" i="9"/>
  <c r="C31" i="9"/>
  <c r="D31" i="9"/>
  <c r="E31" i="9"/>
  <c r="F31" i="9"/>
  <c r="A32" i="9"/>
  <c r="B32" i="9"/>
  <c r="C32" i="9"/>
  <c r="D32" i="9"/>
  <c r="E32" i="9"/>
  <c r="F32" i="9"/>
  <c r="A33" i="9"/>
  <c r="B33" i="9"/>
  <c r="C33" i="9"/>
  <c r="D33" i="9"/>
  <c r="E33" i="9"/>
  <c r="F33" i="9"/>
  <c r="A34" i="9"/>
  <c r="B34" i="9"/>
  <c r="C34" i="9"/>
  <c r="D34" i="9"/>
  <c r="E34" i="9"/>
  <c r="F34" i="9"/>
  <c r="A35" i="9"/>
  <c r="B35" i="9"/>
  <c r="C35" i="9"/>
  <c r="D35" i="9"/>
  <c r="E35" i="9"/>
  <c r="F35" i="9"/>
  <c r="A36" i="9"/>
  <c r="B36" i="9"/>
  <c r="C36" i="9"/>
  <c r="D36" i="9"/>
  <c r="E36" i="9"/>
  <c r="F36" i="9"/>
  <c r="A37" i="9"/>
  <c r="B37" i="9"/>
  <c r="C37" i="9"/>
  <c r="D37" i="9"/>
  <c r="E37" i="9"/>
  <c r="F37" i="9"/>
  <c r="A38" i="9"/>
  <c r="B38" i="9"/>
  <c r="C38" i="9"/>
  <c r="D38" i="9"/>
  <c r="E38" i="9"/>
  <c r="F38" i="9"/>
  <c r="A39" i="9"/>
  <c r="B39" i="9"/>
  <c r="C39" i="9"/>
  <c r="D39" i="9"/>
  <c r="E39" i="9"/>
  <c r="F39" i="9"/>
  <c r="A40" i="9"/>
  <c r="B40" i="9"/>
  <c r="C40" i="9"/>
  <c r="D40" i="9"/>
  <c r="E40" i="9"/>
  <c r="F40" i="9"/>
  <c r="A41" i="9"/>
  <c r="B41" i="9"/>
  <c r="C41" i="9"/>
  <c r="D41" i="9"/>
  <c r="E41" i="9"/>
  <c r="F41" i="9"/>
  <c r="A42" i="9"/>
  <c r="B42" i="9"/>
  <c r="C42" i="9"/>
  <c r="D42" i="9"/>
  <c r="E42" i="9"/>
  <c r="F42" i="9"/>
  <c r="A43" i="9"/>
  <c r="B43" i="9"/>
  <c r="C43" i="9"/>
  <c r="D43" i="9"/>
  <c r="E43" i="9"/>
  <c r="F43" i="9"/>
  <c r="A44" i="9"/>
  <c r="B44" i="9"/>
  <c r="C44" i="9"/>
  <c r="D44" i="9"/>
  <c r="E44" i="9"/>
  <c r="F44" i="9"/>
  <c r="A45" i="9"/>
  <c r="B45" i="9"/>
  <c r="C45" i="9"/>
  <c r="D45" i="9"/>
  <c r="E45" i="9"/>
  <c r="F45" i="9"/>
  <c r="A46" i="9"/>
  <c r="B46" i="9"/>
  <c r="C46" i="9"/>
  <c r="D46" i="9"/>
  <c r="E46" i="9"/>
  <c r="F46" i="9"/>
  <c r="A47" i="9"/>
  <c r="B47" i="9"/>
  <c r="C47" i="9"/>
  <c r="D47" i="9"/>
  <c r="E47" i="9"/>
  <c r="F47" i="9"/>
  <c r="A48" i="9"/>
  <c r="B48" i="9"/>
  <c r="C48" i="9"/>
  <c r="D48" i="9"/>
  <c r="E48" i="9"/>
  <c r="F48" i="9"/>
  <c r="A49" i="9"/>
  <c r="B49" i="9"/>
  <c r="C49" i="9"/>
  <c r="D49" i="9"/>
  <c r="E49" i="9"/>
  <c r="F49" i="9"/>
  <c r="A50" i="9"/>
  <c r="B50" i="9"/>
  <c r="C50" i="9"/>
  <c r="D50" i="9"/>
  <c r="E50" i="9"/>
  <c r="F50" i="9"/>
  <c r="A51" i="9"/>
  <c r="B51" i="9"/>
  <c r="C51" i="9"/>
  <c r="D51" i="9"/>
  <c r="E51" i="9"/>
  <c r="F51" i="9"/>
  <c r="A52" i="9"/>
  <c r="B52" i="9"/>
  <c r="C52" i="9"/>
  <c r="D52" i="9"/>
  <c r="E52" i="9"/>
  <c r="F52" i="9"/>
  <c r="A53" i="9"/>
  <c r="B53" i="9"/>
  <c r="C53" i="9"/>
  <c r="D53" i="9"/>
  <c r="E53" i="9"/>
  <c r="F53" i="9"/>
  <c r="A54" i="9"/>
  <c r="B54" i="9"/>
  <c r="C54" i="9"/>
  <c r="D54" i="9"/>
  <c r="E54" i="9"/>
  <c r="F54" i="9"/>
  <c r="A55" i="9"/>
  <c r="B55" i="9"/>
  <c r="C55" i="9"/>
  <c r="D55" i="9"/>
  <c r="E55" i="9"/>
  <c r="F55" i="9"/>
  <c r="A56" i="9"/>
  <c r="B56" i="9"/>
  <c r="C56" i="9"/>
  <c r="D56" i="9"/>
  <c r="E56" i="9"/>
  <c r="F56" i="9"/>
  <c r="A57" i="9"/>
  <c r="B57" i="9"/>
  <c r="C57" i="9"/>
  <c r="D57" i="9"/>
  <c r="E57" i="9"/>
  <c r="F57" i="9"/>
  <c r="A58" i="9"/>
  <c r="B58" i="9"/>
  <c r="C58" i="9"/>
  <c r="D58" i="9"/>
  <c r="E58" i="9"/>
  <c r="F58" i="9"/>
  <c r="A59" i="9"/>
  <c r="B59" i="9"/>
  <c r="C59" i="9"/>
  <c r="D59" i="9"/>
  <c r="E59" i="9"/>
  <c r="F59" i="9"/>
  <c r="A60" i="9"/>
  <c r="B60" i="9"/>
  <c r="C60" i="9"/>
  <c r="D60" i="9"/>
  <c r="E60" i="9"/>
  <c r="F60" i="9"/>
  <c r="A61" i="9"/>
  <c r="B61" i="9"/>
  <c r="C61" i="9"/>
  <c r="D61" i="9"/>
  <c r="E61" i="9"/>
  <c r="F61" i="9"/>
  <c r="A62" i="9"/>
  <c r="B62" i="9"/>
  <c r="C62" i="9"/>
  <c r="D62" i="9"/>
  <c r="E62" i="9"/>
  <c r="F62" i="9"/>
  <c r="A63" i="9"/>
  <c r="B63" i="9"/>
  <c r="C63" i="9"/>
  <c r="D63" i="9"/>
  <c r="E63" i="9"/>
  <c r="F63" i="9"/>
  <c r="A64" i="9"/>
  <c r="B64" i="9"/>
  <c r="C64" i="9"/>
  <c r="D64" i="9"/>
  <c r="E64" i="9"/>
  <c r="F64" i="9"/>
  <c r="A65" i="9"/>
  <c r="B65" i="9"/>
  <c r="C65" i="9"/>
  <c r="D65" i="9"/>
  <c r="E65" i="9"/>
  <c r="F65" i="9"/>
  <c r="A66" i="9"/>
  <c r="B66" i="9"/>
  <c r="C66" i="9"/>
  <c r="D66" i="9"/>
  <c r="E66" i="9"/>
  <c r="F66" i="9"/>
  <c r="A67" i="9"/>
  <c r="B67" i="9"/>
  <c r="C67" i="9"/>
  <c r="D67" i="9"/>
  <c r="E67" i="9"/>
  <c r="F67" i="9"/>
  <c r="A68" i="9"/>
  <c r="B68" i="9"/>
  <c r="C68" i="9"/>
  <c r="D68" i="9"/>
  <c r="E68" i="9"/>
  <c r="F68" i="9"/>
  <c r="A69" i="9"/>
  <c r="B69" i="9"/>
  <c r="C69" i="9"/>
  <c r="D69" i="9"/>
  <c r="E69" i="9"/>
  <c r="F69" i="9"/>
  <c r="A70" i="9"/>
  <c r="B70" i="9"/>
  <c r="C70" i="9"/>
  <c r="D70" i="9"/>
  <c r="E70" i="9"/>
  <c r="F70" i="9"/>
  <c r="A71" i="9"/>
  <c r="B71" i="9"/>
  <c r="C71" i="9"/>
  <c r="D71" i="9"/>
  <c r="E71" i="9"/>
  <c r="F71" i="9"/>
  <c r="A72" i="9"/>
  <c r="B72" i="9"/>
  <c r="C72" i="9"/>
  <c r="D72" i="9"/>
  <c r="E72" i="9"/>
  <c r="F72" i="9"/>
  <c r="A73" i="9"/>
  <c r="B73" i="9"/>
  <c r="C73" i="9"/>
  <c r="D73" i="9"/>
  <c r="E73" i="9"/>
  <c r="F73" i="9"/>
  <c r="A74" i="9"/>
  <c r="B74" i="9"/>
  <c r="C74" i="9"/>
  <c r="D74" i="9"/>
  <c r="E74" i="9"/>
  <c r="F74" i="9"/>
  <c r="A75" i="9"/>
  <c r="B75" i="9"/>
  <c r="C75" i="9"/>
  <c r="D75" i="9"/>
  <c r="E75" i="9"/>
  <c r="F75" i="9"/>
  <c r="A76" i="9"/>
  <c r="B76" i="9"/>
  <c r="C76" i="9"/>
  <c r="D76" i="9"/>
  <c r="E76" i="9"/>
  <c r="F76" i="9"/>
  <c r="A77" i="9"/>
  <c r="B77" i="9"/>
  <c r="C77" i="9"/>
  <c r="D77" i="9"/>
  <c r="E77" i="9"/>
  <c r="F77" i="9"/>
  <c r="A78" i="9"/>
  <c r="B78" i="9"/>
  <c r="C78" i="9"/>
  <c r="D78" i="9"/>
  <c r="E78" i="9"/>
  <c r="F78" i="9"/>
  <c r="A79" i="9"/>
  <c r="B79" i="9"/>
  <c r="C79" i="9"/>
  <c r="D79" i="9"/>
  <c r="E79" i="9"/>
  <c r="F79" i="9"/>
  <c r="A80" i="9"/>
  <c r="B80" i="9"/>
  <c r="C80" i="9"/>
  <c r="D80" i="9"/>
  <c r="E80" i="9"/>
  <c r="F80" i="9"/>
  <c r="A81" i="9"/>
  <c r="B81" i="9"/>
  <c r="C81" i="9"/>
  <c r="D81" i="9"/>
  <c r="E81" i="9"/>
  <c r="F81" i="9"/>
  <c r="A82" i="9"/>
  <c r="B82" i="9"/>
  <c r="C82" i="9"/>
  <c r="D82" i="9"/>
  <c r="E82" i="9"/>
  <c r="F82" i="9"/>
  <c r="A83" i="9"/>
  <c r="B83" i="9"/>
  <c r="C83" i="9"/>
  <c r="D83" i="9"/>
  <c r="E83" i="9"/>
  <c r="F83" i="9"/>
  <c r="A84" i="9"/>
  <c r="B84" i="9"/>
  <c r="C84" i="9"/>
  <c r="D84" i="9"/>
  <c r="E84" i="9"/>
  <c r="F84" i="9"/>
  <c r="A85" i="9"/>
  <c r="B85" i="9"/>
  <c r="C85" i="9"/>
  <c r="D85" i="9"/>
  <c r="E85" i="9"/>
  <c r="F85" i="9"/>
  <c r="A86" i="9"/>
  <c r="B86" i="9"/>
  <c r="C86" i="9"/>
  <c r="D86" i="9"/>
  <c r="E86" i="9"/>
  <c r="F86" i="9"/>
  <c r="A87" i="9"/>
  <c r="B87" i="9"/>
  <c r="C87" i="9"/>
  <c r="D87" i="9"/>
  <c r="E87" i="9"/>
  <c r="F87" i="9"/>
  <c r="A88" i="9"/>
  <c r="B88" i="9"/>
  <c r="C88" i="9"/>
  <c r="D88" i="9"/>
  <c r="E88" i="9"/>
  <c r="F88" i="9"/>
  <c r="A89" i="9"/>
  <c r="B89" i="9"/>
  <c r="C89" i="9"/>
  <c r="D89" i="9"/>
  <c r="E89" i="9"/>
  <c r="F89" i="9"/>
  <c r="A90" i="9"/>
  <c r="B90" i="9"/>
  <c r="C90" i="9"/>
  <c r="D90" i="9"/>
  <c r="E90" i="9"/>
  <c r="F90" i="9"/>
  <c r="A91" i="9"/>
  <c r="B91" i="9"/>
  <c r="C91" i="9"/>
  <c r="D91" i="9"/>
  <c r="E91" i="9"/>
  <c r="F91" i="9"/>
  <c r="A92" i="9"/>
  <c r="B92" i="9"/>
  <c r="C92" i="9"/>
  <c r="D92" i="9"/>
  <c r="E92" i="9"/>
  <c r="F92" i="9"/>
  <c r="A93" i="9"/>
  <c r="B93" i="9"/>
  <c r="C93" i="9"/>
  <c r="D93" i="9"/>
  <c r="E93" i="9"/>
  <c r="F93" i="9"/>
  <c r="A94" i="9"/>
  <c r="B94" i="9"/>
  <c r="C94" i="9"/>
  <c r="D94" i="9"/>
  <c r="E94" i="9"/>
  <c r="F94" i="9"/>
  <c r="A95" i="9"/>
  <c r="B95" i="9"/>
  <c r="C95" i="9"/>
  <c r="D95" i="9"/>
  <c r="E95" i="9"/>
  <c r="F95" i="9"/>
  <c r="A96" i="9"/>
  <c r="B96" i="9"/>
  <c r="C96" i="9"/>
  <c r="D96" i="9"/>
  <c r="E96" i="9"/>
  <c r="F96" i="9"/>
  <c r="A97" i="9"/>
  <c r="B97" i="9"/>
  <c r="C97" i="9"/>
  <c r="D97" i="9"/>
  <c r="E97" i="9"/>
  <c r="F97" i="9"/>
  <c r="A98" i="9"/>
  <c r="B98" i="9"/>
  <c r="C98" i="9"/>
  <c r="D98" i="9"/>
  <c r="E98" i="9"/>
  <c r="F98" i="9"/>
  <c r="A99" i="9"/>
  <c r="B99" i="9"/>
  <c r="C99" i="9"/>
  <c r="D99" i="9"/>
  <c r="E99" i="9"/>
  <c r="F99" i="9"/>
  <c r="A100" i="9"/>
  <c r="B100" i="9"/>
  <c r="C100" i="9"/>
  <c r="D100" i="9"/>
  <c r="E100" i="9"/>
  <c r="F100" i="9"/>
  <c r="A101" i="9"/>
  <c r="B101" i="9"/>
  <c r="C101" i="9"/>
  <c r="D101" i="9"/>
  <c r="E101" i="9"/>
  <c r="F101" i="9"/>
  <c r="D43" i="4" l="1"/>
  <c r="E43" i="4"/>
  <c r="F43" i="4"/>
  <c r="G43" i="4"/>
  <c r="H43" i="4"/>
  <c r="D44" i="4"/>
  <c r="E44" i="4"/>
  <c r="F44" i="4"/>
  <c r="G44" i="4"/>
  <c r="H44" i="4"/>
  <c r="D45" i="4"/>
  <c r="E45" i="4"/>
  <c r="F45" i="4"/>
  <c r="G45" i="4"/>
  <c r="H45" i="4"/>
  <c r="D46" i="4"/>
  <c r="E46" i="4"/>
  <c r="F46" i="4"/>
  <c r="G46" i="4"/>
  <c r="H46" i="4"/>
  <c r="D47" i="4"/>
  <c r="E47" i="4"/>
  <c r="F47" i="4"/>
  <c r="G47" i="4"/>
  <c r="H47" i="4"/>
  <c r="D48" i="4"/>
  <c r="E48" i="4"/>
  <c r="F48" i="4"/>
  <c r="G48" i="4"/>
  <c r="H48" i="4"/>
  <c r="D49" i="4"/>
  <c r="E49" i="4"/>
  <c r="F49" i="4"/>
  <c r="G49" i="4"/>
  <c r="H49" i="4"/>
  <c r="D50" i="4"/>
  <c r="E50" i="4"/>
  <c r="F50" i="4"/>
  <c r="G50" i="4"/>
  <c r="H50" i="4"/>
  <c r="D51" i="4"/>
  <c r="E51" i="4"/>
  <c r="F51" i="4"/>
  <c r="G51" i="4"/>
  <c r="H51" i="4"/>
  <c r="D52" i="4"/>
  <c r="E52" i="4"/>
  <c r="F52" i="4"/>
  <c r="G52" i="4"/>
  <c r="H52" i="4"/>
  <c r="D53" i="4"/>
  <c r="E53" i="4"/>
  <c r="F53" i="4"/>
  <c r="G53" i="4"/>
  <c r="H53" i="4"/>
  <c r="D54" i="4"/>
  <c r="E54" i="4"/>
  <c r="F54" i="4"/>
  <c r="G54" i="4"/>
  <c r="H54" i="4"/>
  <c r="D55" i="4"/>
  <c r="E55" i="4"/>
  <c r="F55" i="4"/>
  <c r="G55" i="4"/>
  <c r="H55" i="4"/>
  <c r="D56" i="4"/>
  <c r="E56" i="4"/>
  <c r="F56" i="4"/>
  <c r="G56" i="4"/>
  <c r="H56" i="4"/>
  <c r="D57" i="4"/>
  <c r="E57" i="4"/>
  <c r="F57" i="4"/>
  <c r="G57" i="4"/>
  <c r="H57" i="4"/>
  <c r="D58" i="4"/>
  <c r="E58" i="4"/>
  <c r="F58" i="4"/>
  <c r="G58" i="4"/>
  <c r="H58" i="4"/>
  <c r="D59" i="4"/>
  <c r="E59" i="4"/>
  <c r="F59" i="4"/>
  <c r="G59" i="4"/>
  <c r="H59" i="4"/>
  <c r="D60" i="4"/>
  <c r="E60" i="4"/>
  <c r="F60" i="4"/>
  <c r="G60" i="4"/>
  <c r="H60" i="4"/>
  <c r="D61" i="4"/>
  <c r="E61" i="4"/>
  <c r="F61" i="4"/>
  <c r="G61" i="4"/>
  <c r="H61" i="4"/>
  <c r="D62" i="4"/>
  <c r="E62" i="4"/>
  <c r="F62" i="4"/>
  <c r="G62" i="4"/>
  <c r="H62" i="4"/>
  <c r="D63" i="4"/>
  <c r="E63" i="4"/>
  <c r="F63" i="4"/>
  <c r="G63" i="4"/>
  <c r="H63" i="4"/>
  <c r="D64" i="4"/>
  <c r="E64" i="4"/>
  <c r="F64" i="4"/>
  <c r="G64" i="4"/>
  <c r="H64" i="4"/>
  <c r="D65" i="4"/>
  <c r="E65" i="4"/>
  <c r="F65" i="4"/>
  <c r="G65" i="4"/>
  <c r="H65" i="4"/>
  <c r="D66" i="4"/>
  <c r="E66" i="4"/>
  <c r="F66" i="4"/>
  <c r="G66" i="4"/>
  <c r="H66" i="4"/>
  <c r="D67" i="4"/>
  <c r="E67" i="4"/>
  <c r="F67" i="4"/>
  <c r="G67" i="4"/>
  <c r="H67" i="4"/>
  <c r="D68" i="4"/>
  <c r="E68" i="4"/>
  <c r="F68" i="4"/>
  <c r="G68" i="4"/>
  <c r="H68" i="4"/>
  <c r="D69" i="4"/>
  <c r="E69" i="4"/>
  <c r="F69" i="4"/>
  <c r="G69" i="4"/>
  <c r="H69" i="4"/>
  <c r="D70" i="4"/>
  <c r="E70" i="4"/>
  <c r="F70" i="4"/>
  <c r="G70" i="4"/>
  <c r="H70" i="4"/>
  <c r="D71" i="4"/>
  <c r="E71" i="4"/>
  <c r="F71" i="4"/>
  <c r="G71" i="4"/>
  <c r="H71" i="4"/>
  <c r="D72" i="4"/>
  <c r="E72" i="4"/>
  <c r="F72" i="4"/>
  <c r="G72" i="4"/>
  <c r="H72" i="4"/>
  <c r="D73" i="4"/>
  <c r="E73" i="4"/>
  <c r="F73" i="4"/>
  <c r="G73" i="4"/>
  <c r="H73" i="4"/>
  <c r="D74" i="4"/>
  <c r="E74" i="4"/>
  <c r="F74" i="4"/>
  <c r="G74" i="4"/>
  <c r="H74" i="4"/>
  <c r="D75" i="4"/>
  <c r="E75" i="4"/>
  <c r="F75" i="4"/>
  <c r="G75" i="4"/>
  <c r="H75" i="4"/>
  <c r="D76" i="4"/>
  <c r="E76" i="4"/>
  <c r="F76" i="4"/>
  <c r="G76" i="4"/>
  <c r="H76" i="4"/>
  <c r="D77" i="4"/>
  <c r="E77" i="4"/>
  <c r="F77" i="4"/>
  <c r="G77" i="4"/>
  <c r="H77" i="4"/>
  <c r="D78" i="4"/>
  <c r="E78" i="4"/>
  <c r="F78" i="4"/>
  <c r="G78" i="4"/>
  <c r="H78" i="4"/>
  <c r="D79" i="4"/>
  <c r="E79" i="4"/>
  <c r="F79" i="4"/>
  <c r="G79" i="4"/>
  <c r="H79" i="4"/>
  <c r="D80" i="4"/>
  <c r="E80" i="4"/>
  <c r="F80" i="4"/>
  <c r="G80" i="4"/>
  <c r="H80" i="4"/>
  <c r="D81" i="4"/>
  <c r="E81" i="4"/>
  <c r="F81" i="4"/>
  <c r="G81" i="4"/>
  <c r="H81" i="4"/>
  <c r="D82" i="4"/>
  <c r="E82" i="4"/>
  <c r="F82" i="4"/>
  <c r="G82" i="4"/>
  <c r="H82" i="4"/>
  <c r="D83" i="4"/>
  <c r="E83" i="4"/>
  <c r="F83" i="4"/>
  <c r="G83" i="4"/>
  <c r="H83" i="4"/>
  <c r="D84" i="4"/>
  <c r="E84" i="4"/>
  <c r="F84" i="4"/>
  <c r="G84" i="4"/>
  <c r="H84" i="4"/>
  <c r="D85" i="4"/>
  <c r="E85" i="4"/>
  <c r="F85" i="4"/>
  <c r="G85" i="4"/>
  <c r="H85" i="4"/>
  <c r="D86" i="4"/>
  <c r="E86" i="4"/>
  <c r="F86" i="4"/>
  <c r="G86" i="4"/>
  <c r="H86" i="4"/>
  <c r="D87" i="4"/>
  <c r="E87" i="4"/>
  <c r="F87" i="4"/>
  <c r="G87" i="4"/>
  <c r="H87" i="4"/>
  <c r="D88" i="4"/>
  <c r="E88" i="4"/>
  <c r="F88" i="4"/>
  <c r="G88" i="4"/>
  <c r="H88" i="4"/>
  <c r="D89" i="4"/>
  <c r="E89" i="4"/>
  <c r="F89" i="4"/>
  <c r="G89" i="4"/>
  <c r="H89" i="4"/>
  <c r="D90" i="4"/>
  <c r="E90" i="4"/>
  <c r="F90" i="4"/>
  <c r="G90" i="4"/>
  <c r="H90" i="4"/>
  <c r="D91" i="4"/>
  <c r="E91" i="4"/>
  <c r="F91" i="4"/>
  <c r="G91" i="4"/>
  <c r="H91" i="4"/>
  <c r="D92" i="4"/>
  <c r="E92" i="4"/>
  <c r="F92" i="4"/>
  <c r="G92" i="4"/>
  <c r="H92" i="4"/>
  <c r="D93" i="4"/>
  <c r="E93" i="4"/>
  <c r="F93" i="4"/>
  <c r="G93" i="4"/>
  <c r="H93" i="4"/>
  <c r="D94" i="4"/>
  <c r="E94" i="4"/>
  <c r="F94" i="4"/>
  <c r="G94" i="4"/>
  <c r="H94" i="4"/>
  <c r="D95" i="4"/>
  <c r="E95" i="4"/>
  <c r="F95" i="4"/>
  <c r="G95" i="4"/>
  <c r="H95" i="4"/>
  <c r="D96" i="4"/>
  <c r="E96" i="4"/>
  <c r="F96" i="4"/>
  <c r="G96" i="4"/>
  <c r="H96" i="4"/>
  <c r="D97" i="4"/>
  <c r="E97" i="4"/>
  <c r="F97" i="4"/>
  <c r="G97" i="4"/>
  <c r="H97" i="4"/>
  <c r="D98" i="4"/>
  <c r="E98" i="4"/>
  <c r="F98" i="4"/>
  <c r="G98" i="4"/>
  <c r="H98" i="4"/>
  <c r="D99" i="4"/>
  <c r="E99" i="4"/>
  <c r="F99" i="4"/>
  <c r="G99" i="4"/>
  <c r="H99" i="4"/>
  <c r="D100" i="4"/>
  <c r="E100" i="4"/>
  <c r="F100" i="4"/>
  <c r="G100" i="4"/>
  <c r="H100" i="4"/>
  <c r="D101" i="4"/>
  <c r="E101" i="4"/>
  <c r="F101" i="4"/>
  <c r="G101" i="4"/>
  <c r="H101" i="4"/>
  <c r="D102" i="4"/>
  <c r="E102" i="4"/>
  <c r="F102" i="4"/>
  <c r="G102" i="4"/>
  <c r="H102" i="4"/>
  <c r="D103" i="4"/>
  <c r="E103" i="4"/>
  <c r="F103" i="4"/>
  <c r="G103" i="4"/>
  <c r="H103" i="4"/>
  <c r="D104" i="4"/>
  <c r="E104" i="4"/>
  <c r="F104" i="4"/>
  <c r="G104" i="4"/>
  <c r="H104" i="4"/>
  <c r="D105" i="4"/>
  <c r="E105" i="4"/>
  <c r="F105" i="4"/>
  <c r="G105" i="4"/>
  <c r="H105" i="4"/>
  <c r="D106" i="4"/>
  <c r="E106" i="4"/>
  <c r="F106" i="4"/>
  <c r="G106" i="4"/>
  <c r="H106" i="4"/>
  <c r="D107" i="4"/>
  <c r="E107" i="4"/>
  <c r="F107" i="4"/>
  <c r="G107" i="4"/>
  <c r="H107" i="4"/>
  <c r="D108" i="4"/>
  <c r="E108" i="4"/>
  <c r="F108" i="4"/>
  <c r="G108" i="4"/>
  <c r="H108" i="4"/>
  <c r="D109" i="4"/>
  <c r="E109" i="4"/>
  <c r="F109" i="4"/>
  <c r="G109" i="4"/>
  <c r="H109" i="4"/>
  <c r="D110" i="4"/>
  <c r="E110" i="4"/>
  <c r="F110" i="4"/>
  <c r="G110" i="4"/>
  <c r="H110" i="4"/>
  <c r="D111" i="4"/>
  <c r="E111" i="4"/>
  <c r="F111" i="4"/>
  <c r="G111" i="4"/>
  <c r="H111" i="4"/>
  <c r="D112" i="4"/>
  <c r="E112" i="4"/>
  <c r="F112" i="4"/>
  <c r="G112" i="4"/>
  <c r="H112" i="4"/>
  <c r="D113" i="4"/>
  <c r="E113" i="4"/>
  <c r="F113" i="4"/>
  <c r="G113" i="4"/>
  <c r="H113" i="4"/>
  <c r="D114" i="4"/>
  <c r="E114" i="4"/>
  <c r="F114" i="4"/>
  <c r="G114" i="4"/>
  <c r="H114" i="4"/>
  <c r="D115" i="4"/>
  <c r="E115" i="4"/>
  <c r="F115" i="4"/>
  <c r="G115" i="4"/>
  <c r="H115" i="4"/>
  <c r="D116" i="4"/>
  <c r="E116" i="4"/>
  <c r="F116" i="4"/>
  <c r="G116" i="4"/>
  <c r="H116" i="4"/>
  <c r="D117" i="4"/>
  <c r="E117" i="4"/>
  <c r="F117" i="4"/>
  <c r="G117" i="4"/>
  <c r="H117" i="4"/>
  <c r="D118" i="4"/>
  <c r="E118" i="4"/>
  <c r="F118" i="4"/>
  <c r="G118" i="4"/>
  <c r="H118" i="4"/>
  <c r="D119" i="4"/>
  <c r="E119" i="4"/>
  <c r="F119" i="4"/>
  <c r="G119" i="4"/>
  <c r="H119" i="4"/>
  <c r="D120" i="4"/>
  <c r="E120" i="4"/>
  <c r="F120" i="4"/>
  <c r="G120" i="4"/>
  <c r="H120" i="4"/>
  <c r="D121" i="4"/>
  <c r="E121" i="4"/>
  <c r="F121" i="4"/>
  <c r="G121" i="4"/>
  <c r="H121" i="4"/>
  <c r="D122" i="4"/>
  <c r="E122" i="4"/>
  <c r="F122" i="4"/>
  <c r="G122" i="4"/>
  <c r="H122" i="4"/>
  <c r="D123" i="4"/>
  <c r="E123" i="4"/>
  <c r="F123" i="4"/>
  <c r="G123" i="4"/>
  <c r="H123" i="4"/>
  <c r="D124" i="4"/>
  <c r="E124" i="4"/>
  <c r="F124" i="4"/>
  <c r="G124" i="4"/>
  <c r="H124" i="4"/>
  <c r="D125" i="4"/>
  <c r="E125" i="4"/>
  <c r="F125" i="4"/>
  <c r="G125" i="4"/>
  <c r="H125" i="4"/>
  <c r="D126" i="4"/>
  <c r="E126" i="4"/>
  <c r="F126" i="4"/>
  <c r="G126" i="4"/>
  <c r="H126" i="4"/>
  <c r="D127" i="4"/>
  <c r="E127" i="4"/>
  <c r="F127" i="4"/>
  <c r="G127" i="4"/>
  <c r="H127" i="4"/>
  <c r="D128" i="4"/>
  <c r="E128" i="4"/>
  <c r="F128" i="4"/>
  <c r="G128" i="4"/>
  <c r="H128" i="4"/>
  <c r="D129" i="4"/>
  <c r="E129" i="4"/>
  <c r="F129" i="4"/>
  <c r="G129" i="4"/>
  <c r="H129" i="4"/>
  <c r="D130" i="4"/>
  <c r="E130" i="4"/>
  <c r="F130" i="4"/>
  <c r="G130" i="4"/>
  <c r="H130" i="4"/>
  <c r="D131" i="4"/>
  <c r="E131" i="4"/>
  <c r="F131" i="4"/>
  <c r="G131" i="4"/>
  <c r="H131" i="4"/>
  <c r="D132" i="4"/>
  <c r="E132" i="4"/>
  <c r="F132" i="4"/>
  <c r="G132" i="4"/>
  <c r="H132" i="4"/>
  <c r="D133" i="4"/>
  <c r="E133" i="4"/>
  <c r="F133" i="4"/>
  <c r="G133" i="4"/>
  <c r="H133" i="4"/>
  <c r="D134" i="4"/>
  <c r="E134" i="4"/>
  <c r="F134" i="4"/>
  <c r="G134" i="4"/>
  <c r="H134" i="4"/>
  <c r="D135" i="4"/>
  <c r="E135" i="4"/>
  <c r="F135" i="4"/>
  <c r="G135" i="4"/>
  <c r="H135" i="4"/>
  <c r="D136" i="4"/>
  <c r="E136" i="4"/>
  <c r="F136" i="4"/>
  <c r="G136" i="4"/>
  <c r="H136" i="4"/>
  <c r="D137" i="4"/>
  <c r="E137" i="4"/>
  <c r="F137" i="4"/>
  <c r="G137" i="4"/>
  <c r="H137" i="4"/>
  <c r="D138" i="4"/>
  <c r="E138" i="4"/>
  <c r="F138" i="4"/>
  <c r="G138" i="4"/>
  <c r="H138" i="4"/>
  <c r="D139" i="4"/>
  <c r="E139" i="4"/>
  <c r="F139" i="4"/>
  <c r="G139" i="4"/>
  <c r="H139" i="4"/>
  <c r="D140" i="4"/>
  <c r="E140" i="4"/>
  <c r="F140" i="4"/>
  <c r="G140" i="4"/>
  <c r="H140" i="4"/>
  <c r="D141" i="4"/>
  <c r="E141" i="4"/>
  <c r="F141" i="4"/>
  <c r="G141" i="4"/>
  <c r="H141" i="4"/>
  <c r="D142" i="4"/>
  <c r="E142" i="4"/>
  <c r="F142" i="4"/>
  <c r="G142" i="4"/>
  <c r="H142" i="4"/>
  <c r="D143" i="4"/>
  <c r="E143" i="4"/>
  <c r="F143" i="4"/>
  <c r="G143" i="4"/>
  <c r="H143" i="4"/>
  <c r="D144" i="4"/>
  <c r="E144" i="4"/>
  <c r="F144" i="4"/>
  <c r="G144" i="4"/>
  <c r="H144" i="4"/>
  <c r="D145" i="4"/>
  <c r="E145" i="4"/>
  <c r="F145" i="4"/>
  <c r="G145" i="4"/>
  <c r="H145" i="4"/>
  <c r="D146" i="4"/>
  <c r="E146" i="4"/>
  <c r="F146" i="4"/>
  <c r="G146" i="4"/>
  <c r="H146" i="4"/>
  <c r="D147" i="4"/>
  <c r="E147" i="4"/>
  <c r="F147" i="4"/>
  <c r="G147" i="4"/>
  <c r="H147" i="4"/>
  <c r="D148" i="4"/>
  <c r="E148" i="4"/>
  <c r="F148" i="4"/>
  <c r="G148" i="4"/>
  <c r="H148" i="4"/>
  <c r="D149" i="4"/>
  <c r="E149" i="4"/>
  <c r="F149" i="4"/>
  <c r="G149" i="4"/>
  <c r="H149" i="4"/>
  <c r="D150" i="4"/>
  <c r="E150" i="4"/>
  <c r="F150" i="4"/>
  <c r="G150" i="4"/>
  <c r="H150" i="4"/>
  <c r="D151" i="4"/>
  <c r="E151" i="4"/>
  <c r="F151" i="4"/>
  <c r="G151" i="4"/>
  <c r="H151" i="4"/>
  <c r="D152" i="4"/>
  <c r="E152" i="4"/>
  <c r="F152" i="4"/>
  <c r="G152" i="4"/>
  <c r="H152" i="4"/>
  <c r="D153" i="4"/>
  <c r="E153" i="4"/>
  <c r="F153" i="4"/>
  <c r="G153" i="4"/>
  <c r="H153" i="4"/>
  <c r="D154" i="4"/>
  <c r="E154" i="4"/>
  <c r="F154" i="4"/>
  <c r="G154" i="4"/>
  <c r="H154" i="4"/>
  <c r="D155" i="4"/>
  <c r="E155" i="4"/>
  <c r="F155" i="4"/>
  <c r="G155" i="4"/>
  <c r="H155" i="4"/>
  <c r="D156" i="4"/>
  <c r="E156" i="4"/>
  <c r="F156" i="4"/>
  <c r="G156" i="4"/>
  <c r="H156" i="4"/>
  <c r="D157" i="4"/>
  <c r="E157" i="4"/>
  <c r="F157" i="4"/>
  <c r="G157" i="4"/>
  <c r="H157" i="4"/>
  <c r="D158" i="4"/>
  <c r="E158" i="4"/>
  <c r="F158" i="4"/>
  <c r="G158" i="4"/>
  <c r="H158" i="4"/>
  <c r="D159" i="4"/>
  <c r="E159" i="4"/>
  <c r="F159" i="4"/>
  <c r="G159" i="4"/>
  <c r="H159" i="4"/>
  <c r="D160" i="4"/>
  <c r="E160" i="4"/>
  <c r="F160" i="4"/>
  <c r="G160" i="4"/>
  <c r="H160" i="4"/>
  <c r="D161" i="4"/>
  <c r="E161" i="4"/>
  <c r="F161" i="4"/>
  <c r="G161" i="4"/>
  <c r="H161" i="4"/>
  <c r="D162" i="4"/>
  <c r="E162" i="4"/>
  <c r="F162" i="4"/>
  <c r="G162" i="4"/>
  <c r="H162" i="4"/>
  <c r="D163" i="4"/>
  <c r="E163" i="4"/>
  <c r="F163" i="4"/>
  <c r="G163" i="4"/>
  <c r="H163" i="4"/>
  <c r="D164" i="4"/>
  <c r="E164" i="4"/>
  <c r="F164" i="4"/>
  <c r="G164" i="4"/>
  <c r="H164" i="4"/>
  <c r="D165" i="4"/>
  <c r="E165" i="4"/>
  <c r="F165" i="4"/>
  <c r="G165" i="4"/>
  <c r="H165" i="4"/>
  <c r="D166" i="4"/>
  <c r="E166" i="4"/>
  <c r="F166" i="4"/>
  <c r="G166" i="4"/>
  <c r="H166" i="4"/>
  <c r="D167" i="4"/>
  <c r="E167" i="4"/>
  <c r="F167" i="4"/>
  <c r="G167" i="4"/>
  <c r="H167" i="4"/>
  <c r="D168" i="4"/>
  <c r="E168" i="4"/>
  <c r="F168" i="4"/>
  <c r="G168" i="4"/>
  <c r="H168" i="4"/>
  <c r="D169" i="4"/>
  <c r="E169" i="4"/>
  <c r="F169" i="4"/>
  <c r="G169" i="4"/>
  <c r="H169" i="4"/>
  <c r="D170" i="4"/>
  <c r="E170" i="4"/>
  <c r="F170" i="4"/>
  <c r="G170" i="4"/>
  <c r="H170" i="4"/>
  <c r="D171" i="4"/>
  <c r="E171" i="4"/>
  <c r="F171" i="4"/>
  <c r="G171" i="4"/>
  <c r="H171" i="4"/>
  <c r="D172" i="4"/>
  <c r="E172" i="4"/>
  <c r="F172" i="4"/>
  <c r="G172" i="4"/>
  <c r="H172" i="4"/>
  <c r="D173" i="4"/>
  <c r="E173" i="4"/>
  <c r="F173" i="4"/>
  <c r="G173" i="4"/>
  <c r="H173" i="4"/>
  <c r="D174" i="4"/>
  <c r="E174" i="4"/>
  <c r="F174" i="4"/>
  <c r="G174" i="4"/>
  <c r="H174" i="4"/>
  <c r="D175" i="4"/>
  <c r="E175" i="4"/>
  <c r="F175" i="4"/>
  <c r="G175" i="4"/>
  <c r="H175" i="4"/>
  <c r="D176" i="4"/>
  <c r="E176" i="4"/>
  <c r="F176" i="4"/>
  <c r="G176" i="4"/>
  <c r="H176" i="4"/>
  <c r="D177" i="4"/>
  <c r="E177" i="4"/>
  <c r="F177" i="4"/>
  <c r="G177" i="4"/>
  <c r="H177" i="4"/>
  <c r="D178" i="4"/>
  <c r="E178" i="4"/>
  <c r="F178" i="4"/>
  <c r="G178" i="4"/>
  <c r="H178" i="4"/>
  <c r="D179" i="4"/>
  <c r="E179" i="4"/>
  <c r="F179" i="4"/>
  <c r="G179" i="4"/>
  <c r="H179" i="4"/>
  <c r="D180" i="4"/>
  <c r="E180" i="4"/>
  <c r="F180" i="4"/>
  <c r="G180" i="4"/>
  <c r="H180" i="4"/>
  <c r="D181" i="4"/>
  <c r="E181" i="4"/>
  <c r="F181" i="4"/>
  <c r="G181" i="4"/>
  <c r="H181" i="4"/>
  <c r="D182" i="4"/>
  <c r="E182" i="4"/>
  <c r="F182" i="4"/>
  <c r="G182" i="4"/>
  <c r="H182" i="4"/>
  <c r="D183" i="4"/>
  <c r="E183" i="4"/>
  <c r="F183" i="4"/>
  <c r="G183" i="4"/>
  <c r="H183" i="4"/>
  <c r="D184" i="4"/>
  <c r="E184" i="4"/>
  <c r="F184" i="4"/>
  <c r="G184" i="4"/>
  <c r="H184" i="4"/>
  <c r="D185" i="4"/>
  <c r="E185" i="4"/>
  <c r="F185" i="4"/>
  <c r="G185" i="4"/>
  <c r="H185" i="4"/>
  <c r="D186" i="4"/>
  <c r="E186" i="4"/>
  <c r="F186" i="4"/>
  <c r="G186" i="4"/>
  <c r="H186" i="4"/>
  <c r="D187" i="4"/>
  <c r="E187" i="4"/>
  <c r="F187" i="4"/>
  <c r="G187" i="4"/>
  <c r="H187" i="4"/>
  <c r="D188" i="4"/>
  <c r="E188" i="4"/>
  <c r="F188" i="4"/>
  <c r="G188" i="4"/>
  <c r="H188" i="4"/>
  <c r="D189" i="4"/>
  <c r="E189" i="4"/>
  <c r="F189" i="4"/>
  <c r="G189" i="4"/>
  <c r="H189" i="4"/>
  <c r="D190" i="4"/>
  <c r="E190" i="4"/>
  <c r="F190" i="4"/>
  <c r="G190" i="4"/>
  <c r="H190" i="4"/>
  <c r="D191" i="4"/>
  <c r="E191" i="4"/>
  <c r="F191" i="4"/>
  <c r="G191" i="4"/>
  <c r="H191" i="4"/>
  <c r="D192" i="4"/>
  <c r="E192" i="4"/>
  <c r="F192" i="4"/>
  <c r="G192" i="4"/>
  <c r="H192" i="4"/>
  <c r="D193" i="4"/>
  <c r="E193" i="4"/>
  <c r="F193" i="4"/>
  <c r="G193" i="4"/>
  <c r="H193" i="4"/>
  <c r="D194" i="4"/>
  <c r="E194" i="4"/>
  <c r="F194" i="4"/>
  <c r="G194" i="4"/>
  <c r="H194" i="4"/>
  <c r="D195" i="4"/>
  <c r="E195" i="4"/>
  <c r="F195" i="4"/>
  <c r="G195" i="4"/>
  <c r="H195" i="4"/>
  <c r="D196" i="4"/>
  <c r="E196" i="4"/>
  <c r="F196" i="4"/>
  <c r="G196" i="4"/>
  <c r="H196" i="4"/>
  <c r="D197" i="4"/>
  <c r="E197" i="4"/>
  <c r="F197" i="4"/>
  <c r="G197" i="4"/>
  <c r="H197" i="4"/>
  <c r="D198" i="4"/>
  <c r="E198" i="4"/>
  <c r="F198" i="4"/>
  <c r="G198" i="4"/>
  <c r="H198" i="4"/>
  <c r="D199" i="4"/>
  <c r="E199" i="4"/>
  <c r="F199" i="4"/>
  <c r="G199" i="4"/>
  <c r="H199" i="4"/>
  <c r="D200" i="4"/>
  <c r="E200" i="4"/>
  <c r="F200" i="4"/>
  <c r="G200" i="4"/>
  <c r="H200" i="4"/>
  <c r="D201" i="4"/>
  <c r="E201" i="4"/>
  <c r="F201" i="4"/>
  <c r="G201" i="4"/>
  <c r="H201" i="4"/>
  <c r="D202" i="4"/>
  <c r="E202" i="4"/>
  <c r="F202" i="4"/>
  <c r="G202" i="4"/>
  <c r="H202" i="4"/>
  <c r="D203" i="4"/>
  <c r="E203" i="4"/>
  <c r="F203" i="4"/>
  <c r="G203" i="4"/>
  <c r="H203" i="4"/>
  <c r="D204" i="4"/>
  <c r="E204" i="4"/>
  <c r="F204" i="4"/>
  <c r="G204" i="4"/>
  <c r="H204" i="4"/>
  <c r="D205" i="4"/>
  <c r="E205" i="4"/>
  <c r="F205" i="4"/>
  <c r="G205" i="4"/>
  <c r="H205" i="4"/>
  <c r="D206" i="4"/>
  <c r="E206" i="4"/>
  <c r="F206" i="4"/>
  <c r="G206" i="4"/>
  <c r="H206" i="4"/>
  <c r="D207" i="4"/>
  <c r="E207" i="4"/>
  <c r="F207" i="4"/>
  <c r="G207" i="4"/>
  <c r="H207" i="4"/>
  <c r="D208" i="4"/>
  <c r="E208" i="4"/>
  <c r="F208" i="4"/>
  <c r="G208" i="4"/>
  <c r="H208" i="4"/>
  <c r="D209" i="4"/>
  <c r="E209" i="4"/>
  <c r="F209" i="4"/>
  <c r="G209" i="4"/>
  <c r="H209" i="4"/>
  <c r="D210" i="4"/>
  <c r="E210" i="4"/>
  <c r="F210" i="4"/>
  <c r="G210" i="4"/>
  <c r="H210" i="4"/>
  <c r="D211" i="4"/>
  <c r="E211" i="4"/>
  <c r="F211" i="4"/>
  <c r="G211" i="4"/>
  <c r="H211" i="4"/>
  <c r="D212" i="4"/>
  <c r="E212" i="4"/>
  <c r="F212" i="4"/>
  <c r="G212" i="4"/>
  <c r="H212" i="4"/>
  <c r="D213" i="4"/>
  <c r="E213" i="4"/>
  <c r="F213" i="4"/>
  <c r="G213" i="4"/>
  <c r="H213" i="4"/>
  <c r="D214" i="4"/>
  <c r="E214" i="4"/>
  <c r="F214" i="4"/>
  <c r="G214" i="4"/>
  <c r="H214" i="4"/>
  <c r="D215" i="4"/>
  <c r="E215" i="4"/>
  <c r="F215" i="4"/>
  <c r="G215" i="4"/>
  <c r="H215" i="4"/>
  <c r="D216" i="4"/>
  <c r="E216" i="4"/>
  <c r="F216" i="4"/>
  <c r="G216" i="4"/>
  <c r="H216" i="4"/>
  <c r="A103" i="6" l="1"/>
  <c r="A104" i="6"/>
  <c r="B103" i="6"/>
  <c r="B104" i="6"/>
  <c r="C103" i="6"/>
  <c r="C104" i="6"/>
  <c r="D103" i="6"/>
  <c r="D104" i="6"/>
  <c r="E103" i="6"/>
  <c r="E104" i="6"/>
  <c r="A91" i="6"/>
  <c r="A92" i="6"/>
  <c r="A93" i="6"/>
  <c r="A94" i="6"/>
  <c r="A95" i="6"/>
  <c r="A96" i="6"/>
  <c r="A97" i="6"/>
  <c r="A98" i="6"/>
  <c r="A99" i="6"/>
  <c r="A100" i="6"/>
  <c r="A101" i="6"/>
  <c r="A102" i="6"/>
  <c r="B91" i="6"/>
  <c r="B92" i="6"/>
  <c r="B93" i="6"/>
  <c r="B94" i="6"/>
  <c r="B95" i="6"/>
  <c r="B96" i="6"/>
  <c r="B97" i="6"/>
  <c r="B98" i="6"/>
  <c r="B99" i="6"/>
  <c r="B100" i="6"/>
  <c r="B101" i="6"/>
  <c r="B102" i="6"/>
  <c r="C91" i="6"/>
  <c r="C92" i="6"/>
  <c r="C93" i="6"/>
  <c r="C94" i="6"/>
  <c r="C95" i="6"/>
  <c r="C96" i="6"/>
  <c r="C97" i="6"/>
  <c r="C98" i="6"/>
  <c r="C99" i="6"/>
  <c r="C100" i="6"/>
  <c r="C101" i="6"/>
  <c r="C102" i="6"/>
  <c r="D91" i="6"/>
  <c r="D92" i="6"/>
  <c r="D93" i="6"/>
  <c r="D94" i="6"/>
  <c r="D95" i="6"/>
  <c r="D96" i="6"/>
  <c r="D97" i="6"/>
  <c r="D98" i="6"/>
  <c r="D99" i="6"/>
  <c r="D100" i="6"/>
  <c r="D101" i="6"/>
  <c r="D102" i="6"/>
  <c r="E91" i="6"/>
  <c r="E92" i="6"/>
  <c r="E93" i="6"/>
  <c r="E94" i="6"/>
  <c r="E95" i="6"/>
  <c r="E96" i="6"/>
  <c r="E97" i="6"/>
  <c r="E98" i="6"/>
  <c r="E99" i="6"/>
  <c r="E100" i="6"/>
  <c r="E101" i="6"/>
  <c r="E102" i="6"/>
  <c r="A82" i="6"/>
  <c r="A83" i="6"/>
  <c r="A84" i="6"/>
  <c r="A85" i="6"/>
  <c r="A86" i="6"/>
  <c r="A87" i="6"/>
  <c r="A88" i="6"/>
  <c r="A89" i="6"/>
  <c r="A90" i="6"/>
  <c r="B82" i="6"/>
  <c r="B83" i="6"/>
  <c r="B84" i="6"/>
  <c r="B85" i="6"/>
  <c r="B86" i="6"/>
  <c r="B87" i="6"/>
  <c r="B88" i="6"/>
  <c r="B89" i="6"/>
  <c r="B90" i="6"/>
  <c r="C82" i="6"/>
  <c r="C83" i="6"/>
  <c r="C84" i="6"/>
  <c r="C85" i="6"/>
  <c r="C86" i="6"/>
  <c r="C87" i="6"/>
  <c r="C88" i="6"/>
  <c r="C89" i="6"/>
  <c r="C90" i="6"/>
  <c r="D82" i="6"/>
  <c r="D83" i="6"/>
  <c r="D84" i="6"/>
  <c r="D85" i="6"/>
  <c r="D86" i="6"/>
  <c r="D87" i="6"/>
  <c r="D88" i="6"/>
  <c r="D89" i="6"/>
  <c r="D90" i="6"/>
  <c r="E82" i="6"/>
  <c r="E83" i="6"/>
  <c r="E84" i="6"/>
  <c r="E85" i="6"/>
  <c r="E86" i="6"/>
  <c r="E87" i="6"/>
  <c r="E88" i="6"/>
  <c r="E89" i="6"/>
  <c r="E90" i="6"/>
  <c r="A45" i="6"/>
  <c r="A46" i="6"/>
  <c r="A47" i="6"/>
  <c r="A48" i="6"/>
  <c r="A49" i="6"/>
  <c r="A50" i="6"/>
  <c r="A51" i="6"/>
  <c r="A52" i="6"/>
  <c r="A53" i="6"/>
  <c r="A54" i="6"/>
  <c r="A55" i="6"/>
  <c r="A56" i="6"/>
  <c r="A57" i="6"/>
  <c r="A58" i="6"/>
  <c r="A59" i="6"/>
  <c r="A60" i="6"/>
  <c r="A61" i="6"/>
  <c r="A62" i="6"/>
  <c r="A63" i="6"/>
  <c r="A64" i="6"/>
  <c r="A65" i="6"/>
  <c r="A66" i="6"/>
  <c r="A67" i="6"/>
  <c r="A68" i="6"/>
  <c r="A69" i="6"/>
  <c r="A70" i="6"/>
  <c r="A71" i="6"/>
  <c r="A72" i="6"/>
  <c r="A73" i="6"/>
  <c r="A74" i="6"/>
  <c r="A75" i="6"/>
  <c r="A76" i="6"/>
  <c r="A77" i="6"/>
  <c r="A78" i="6"/>
  <c r="A79" i="6"/>
  <c r="A80" i="6"/>
  <c r="A81" i="6"/>
  <c r="B45" i="6"/>
  <c r="B46" i="6"/>
  <c r="B47" i="6"/>
  <c r="B48" i="6"/>
  <c r="B49" i="6"/>
  <c r="B50" i="6"/>
  <c r="B51" i="6"/>
  <c r="B52" i="6"/>
  <c r="B53" i="6"/>
  <c r="B54" i="6"/>
  <c r="B55" i="6"/>
  <c r="B56" i="6"/>
  <c r="B57" i="6"/>
  <c r="B58" i="6"/>
  <c r="B59" i="6"/>
  <c r="B60" i="6"/>
  <c r="B61" i="6"/>
  <c r="B62" i="6"/>
  <c r="B63" i="6"/>
  <c r="B64" i="6"/>
  <c r="B65" i="6"/>
  <c r="B66" i="6"/>
  <c r="B67" i="6"/>
  <c r="B68" i="6"/>
  <c r="B69" i="6"/>
  <c r="B70" i="6"/>
  <c r="B71" i="6"/>
  <c r="B72" i="6"/>
  <c r="B73" i="6"/>
  <c r="B74" i="6"/>
  <c r="B75" i="6"/>
  <c r="B76" i="6"/>
  <c r="B77" i="6"/>
  <c r="B78" i="6"/>
  <c r="B79" i="6"/>
  <c r="B80" i="6"/>
  <c r="B81" i="6"/>
  <c r="C45" i="6"/>
  <c r="C46" i="6"/>
  <c r="C47" i="6"/>
  <c r="C48" i="6"/>
  <c r="C49" i="6"/>
  <c r="C50" i="6"/>
  <c r="C51" i="6"/>
  <c r="C52" i="6"/>
  <c r="C53" i="6"/>
  <c r="C54" i="6"/>
  <c r="C55" i="6"/>
  <c r="C56" i="6"/>
  <c r="C57" i="6"/>
  <c r="C58" i="6"/>
  <c r="C59" i="6"/>
  <c r="C60" i="6"/>
  <c r="C61" i="6"/>
  <c r="C62" i="6"/>
  <c r="C63" i="6"/>
  <c r="C64" i="6"/>
  <c r="C65" i="6"/>
  <c r="C66" i="6"/>
  <c r="C67" i="6"/>
  <c r="C68" i="6"/>
  <c r="C69" i="6"/>
  <c r="C70" i="6"/>
  <c r="C71" i="6"/>
  <c r="C72" i="6"/>
  <c r="C73" i="6"/>
  <c r="C74" i="6"/>
  <c r="C75" i="6"/>
  <c r="C76" i="6"/>
  <c r="C77" i="6"/>
  <c r="C78" i="6"/>
  <c r="C79" i="6"/>
  <c r="C80" i="6"/>
  <c r="C81" i="6"/>
  <c r="D45" i="6"/>
  <c r="D46" i="6"/>
  <c r="D47" i="6"/>
  <c r="D48" i="6"/>
  <c r="D49" i="6"/>
  <c r="D50" i="6"/>
  <c r="D51" i="6"/>
  <c r="D52" i="6"/>
  <c r="D53" i="6"/>
  <c r="D54" i="6"/>
  <c r="D55" i="6"/>
  <c r="D56" i="6"/>
  <c r="D57" i="6"/>
  <c r="D58" i="6"/>
  <c r="D59" i="6"/>
  <c r="D60" i="6"/>
  <c r="D61" i="6"/>
  <c r="D62" i="6"/>
  <c r="D63" i="6"/>
  <c r="D64" i="6"/>
  <c r="D65" i="6"/>
  <c r="D66" i="6"/>
  <c r="D67" i="6"/>
  <c r="D68" i="6"/>
  <c r="D69" i="6"/>
  <c r="D70" i="6"/>
  <c r="D71" i="6"/>
  <c r="D72" i="6"/>
  <c r="D73" i="6"/>
  <c r="D74" i="6"/>
  <c r="D75" i="6"/>
  <c r="D76" i="6"/>
  <c r="D77" i="6"/>
  <c r="D78" i="6"/>
  <c r="D79" i="6"/>
  <c r="D80" i="6"/>
  <c r="D81" i="6"/>
  <c r="E45" i="6"/>
  <c r="E46" i="6"/>
  <c r="E47" i="6"/>
  <c r="E48" i="6"/>
  <c r="E49" i="6"/>
  <c r="E50" i="6"/>
  <c r="E51" i="6"/>
  <c r="E52" i="6"/>
  <c r="E53" i="6"/>
  <c r="E54" i="6"/>
  <c r="E55" i="6"/>
  <c r="E56" i="6"/>
  <c r="E57" i="6"/>
  <c r="E58" i="6"/>
  <c r="E59" i="6"/>
  <c r="E60" i="6"/>
  <c r="E61" i="6"/>
  <c r="E62" i="6"/>
  <c r="E63" i="6"/>
  <c r="E64" i="6"/>
  <c r="E65" i="6"/>
  <c r="E66" i="6"/>
  <c r="E67" i="6"/>
  <c r="E68" i="6"/>
  <c r="E69" i="6"/>
  <c r="E70" i="6"/>
  <c r="E71" i="6"/>
  <c r="E72" i="6"/>
  <c r="E73" i="6"/>
  <c r="E74" i="6"/>
  <c r="E75" i="6"/>
  <c r="E76" i="6"/>
  <c r="E77" i="6"/>
  <c r="E78" i="6"/>
  <c r="E79" i="6"/>
  <c r="E80" i="6"/>
  <c r="E81" i="6"/>
  <c r="A14" i="6" l="1"/>
  <c r="B14" i="6"/>
  <c r="C14" i="6"/>
  <c r="D14" i="6"/>
  <c r="E14" i="6"/>
  <c r="A15" i="6"/>
  <c r="B15" i="6"/>
  <c r="C15" i="6"/>
  <c r="D15" i="6"/>
  <c r="E15" i="6"/>
  <c r="A16" i="6"/>
  <c r="B16" i="6"/>
  <c r="C16" i="6"/>
  <c r="D16" i="6"/>
  <c r="E16" i="6"/>
  <c r="A17" i="6"/>
  <c r="B17" i="6"/>
  <c r="C17" i="6"/>
  <c r="D17" i="6"/>
  <c r="E17" i="6"/>
  <c r="A18" i="6"/>
  <c r="B18" i="6"/>
  <c r="C18" i="6"/>
  <c r="D18" i="6"/>
  <c r="E18" i="6"/>
  <c r="A19" i="6"/>
  <c r="B19" i="6"/>
  <c r="C19" i="6"/>
  <c r="D19" i="6"/>
  <c r="E19" i="6"/>
  <c r="A20" i="6"/>
  <c r="B20" i="6"/>
  <c r="C20" i="6"/>
  <c r="D20" i="6"/>
  <c r="E20" i="6"/>
  <c r="A21" i="6"/>
  <c r="B21" i="6"/>
  <c r="C21" i="6"/>
  <c r="D21" i="6"/>
  <c r="E21" i="6"/>
  <c r="A22" i="6"/>
  <c r="B22" i="6"/>
  <c r="C22" i="6"/>
  <c r="D22" i="6"/>
  <c r="E22" i="6"/>
  <c r="A23" i="6"/>
  <c r="B23" i="6"/>
  <c r="C23" i="6"/>
  <c r="D23" i="6"/>
  <c r="E23" i="6"/>
  <c r="A24" i="6"/>
  <c r="B24" i="6"/>
  <c r="C24" i="6"/>
  <c r="D24" i="6"/>
  <c r="E24" i="6"/>
  <c r="A25" i="6"/>
  <c r="B25" i="6"/>
  <c r="C25" i="6"/>
  <c r="D25" i="6"/>
  <c r="E25" i="6"/>
  <c r="A26" i="6"/>
  <c r="B26" i="6"/>
  <c r="C26" i="6"/>
  <c r="D26" i="6"/>
  <c r="E26" i="6"/>
  <c r="A27" i="6"/>
  <c r="B27" i="6"/>
  <c r="C27" i="6"/>
  <c r="D27" i="6"/>
  <c r="E27" i="6"/>
  <c r="A28" i="6"/>
  <c r="B28" i="6"/>
  <c r="C28" i="6"/>
  <c r="D28" i="6"/>
  <c r="E28" i="6"/>
  <c r="A29" i="6"/>
  <c r="B29" i="6"/>
  <c r="C29" i="6"/>
  <c r="D29" i="6"/>
  <c r="E29" i="6"/>
  <c r="A30" i="6"/>
  <c r="B30" i="6"/>
  <c r="C30" i="6"/>
  <c r="D30" i="6"/>
  <c r="E30" i="6"/>
  <c r="A31" i="6"/>
  <c r="B31" i="6"/>
  <c r="C31" i="6"/>
  <c r="D31" i="6"/>
  <c r="E31" i="6"/>
  <c r="A32" i="6"/>
  <c r="B32" i="6"/>
  <c r="C32" i="6"/>
  <c r="D32" i="6"/>
  <c r="E32" i="6"/>
  <c r="A33" i="6"/>
  <c r="B33" i="6"/>
  <c r="C33" i="6"/>
  <c r="D33" i="6"/>
  <c r="E33" i="6"/>
  <c r="A34" i="6"/>
  <c r="B34" i="6"/>
  <c r="C34" i="6"/>
  <c r="D34" i="6"/>
  <c r="E34" i="6"/>
  <c r="A35" i="6"/>
  <c r="B35" i="6"/>
  <c r="C35" i="6"/>
  <c r="D35" i="6"/>
  <c r="E35" i="6"/>
  <c r="A36" i="6"/>
  <c r="B36" i="6"/>
  <c r="C36" i="6"/>
  <c r="D36" i="6"/>
  <c r="E36" i="6"/>
  <c r="A37" i="6"/>
  <c r="B37" i="6"/>
  <c r="C37" i="6"/>
  <c r="D37" i="6"/>
  <c r="E37" i="6"/>
  <c r="A38" i="6"/>
  <c r="B38" i="6"/>
  <c r="C38" i="6"/>
  <c r="D38" i="6"/>
  <c r="E38" i="6"/>
  <c r="A39" i="6"/>
  <c r="B39" i="6"/>
  <c r="C39" i="6"/>
  <c r="D39" i="6"/>
  <c r="E39" i="6"/>
  <c r="A40" i="6"/>
  <c r="B40" i="6"/>
  <c r="C40" i="6"/>
  <c r="D40" i="6"/>
  <c r="E40" i="6"/>
  <c r="A41" i="6"/>
  <c r="B41" i="6"/>
  <c r="C41" i="6"/>
  <c r="D41" i="6"/>
  <c r="E41" i="6"/>
  <c r="A42" i="6"/>
  <c r="B42" i="6"/>
  <c r="C42" i="6"/>
  <c r="D42" i="6"/>
  <c r="E42" i="6"/>
  <c r="A43" i="6"/>
  <c r="B43" i="6"/>
  <c r="C43" i="6"/>
  <c r="D43" i="6"/>
  <c r="E43" i="6"/>
  <c r="A44" i="6"/>
  <c r="B44" i="6"/>
  <c r="C44" i="6"/>
  <c r="D44" i="6"/>
  <c r="E44" i="6"/>
  <c r="A6" i="6"/>
  <c r="B6" i="6"/>
  <c r="C6" i="6"/>
  <c r="D6" i="6"/>
  <c r="E6" i="6"/>
  <c r="A7" i="6"/>
  <c r="B7" i="6"/>
  <c r="C7" i="6"/>
  <c r="D7" i="6"/>
  <c r="E7" i="6"/>
  <c r="A8" i="6"/>
  <c r="B8" i="6"/>
  <c r="C8" i="6"/>
  <c r="D8" i="6"/>
  <c r="E8" i="6"/>
  <c r="A9" i="6"/>
  <c r="B9" i="6"/>
  <c r="C9" i="6"/>
  <c r="D9" i="6"/>
  <c r="E9" i="6"/>
  <c r="A10" i="6"/>
  <c r="B10" i="6"/>
  <c r="C10" i="6"/>
  <c r="D10" i="6"/>
  <c r="E10" i="6"/>
  <c r="A11" i="6"/>
  <c r="B11" i="6"/>
  <c r="C11" i="6"/>
  <c r="D11" i="6"/>
  <c r="E11" i="6"/>
  <c r="A12" i="6"/>
  <c r="B12" i="6"/>
  <c r="C12" i="6"/>
  <c r="D12" i="6"/>
  <c r="E12" i="6"/>
  <c r="A13" i="6"/>
  <c r="B13" i="6"/>
  <c r="C13" i="6"/>
  <c r="D13" i="6"/>
  <c r="E13" i="6"/>
  <c r="B5" i="6"/>
  <c r="C5" i="6"/>
  <c r="D5" i="6"/>
  <c r="A5" i="6"/>
  <c r="O7" i="1"/>
  <c r="D13" i="4"/>
  <c r="D14" i="4"/>
  <c r="D15" i="4"/>
  <c r="D16" i="4"/>
  <c r="D17" i="4"/>
  <c r="D18" i="4"/>
  <c r="D19" i="4"/>
  <c r="D20" i="4"/>
  <c r="D21" i="4"/>
  <c r="D22" i="4"/>
  <c r="D23" i="4"/>
  <c r="D24" i="4"/>
  <c r="D25" i="4"/>
  <c r="D26" i="4"/>
  <c r="D27" i="4"/>
  <c r="D28" i="4"/>
  <c r="D29" i="4"/>
  <c r="D30" i="4"/>
  <c r="D31" i="4"/>
  <c r="D32" i="4"/>
  <c r="D33" i="4"/>
  <c r="D34" i="4"/>
  <c r="D35" i="4"/>
  <c r="D36" i="4"/>
  <c r="D37" i="4"/>
  <c r="D38" i="4"/>
  <c r="D39" i="4"/>
  <c r="D40" i="4"/>
  <c r="D41" i="4"/>
  <c r="D42" i="4"/>
  <c r="E13" i="4"/>
  <c r="E14" i="4"/>
  <c r="E15" i="4"/>
  <c r="E16" i="4"/>
  <c r="E17" i="4"/>
  <c r="E18" i="4"/>
  <c r="E19" i="4"/>
  <c r="E20" i="4"/>
  <c r="E21" i="4"/>
  <c r="E22" i="4"/>
  <c r="E23" i="4"/>
  <c r="E24" i="4"/>
  <c r="E25" i="4"/>
  <c r="E26" i="4"/>
  <c r="E27" i="4"/>
  <c r="E28" i="4"/>
  <c r="E29" i="4"/>
  <c r="E30" i="4"/>
  <c r="E31" i="4"/>
  <c r="E32" i="4"/>
  <c r="E33" i="4"/>
  <c r="E34" i="4"/>
  <c r="E35" i="4"/>
  <c r="E36" i="4"/>
  <c r="E37" i="4"/>
  <c r="E38" i="4"/>
  <c r="E39" i="4"/>
  <c r="E40" i="4"/>
  <c r="E41" i="4"/>
  <c r="E42" i="4"/>
  <c r="F13" i="4"/>
  <c r="F14" i="4"/>
  <c r="F15" i="4"/>
  <c r="F16" i="4"/>
  <c r="F17" i="4"/>
  <c r="F18" i="4"/>
  <c r="F19" i="4"/>
  <c r="F20" i="4"/>
  <c r="F21" i="4"/>
  <c r="F22" i="4"/>
  <c r="F23" i="4"/>
  <c r="F24" i="4"/>
  <c r="F25" i="4"/>
  <c r="F26" i="4"/>
  <c r="F27" i="4"/>
  <c r="F28" i="4"/>
  <c r="F29" i="4"/>
  <c r="F30" i="4"/>
  <c r="F31" i="4"/>
  <c r="F32" i="4"/>
  <c r="F33" i="4"/>
  <c r="F34" i="4"/>
  <c r="F35" i="4"/>
  <c r="F36" i="4"/>
  <c r="F37" i="4"/>
  <c r="F38" i="4"/>
  <c r="F39" i="4"/>
  <c r="F40" i="4"/>
  <c r="F41" i="4"/>
  <c r="F42" i="4"/>
  <c r="G13" i="4"/>
  <c r="G14" i="4"/>
  <c r="G15" i="4"/>
  <c r="G16" i="4"/>
  <c r="G17" i="4"/>
  <c r="G18" i="4"/>
  <c r="G19" i="4"/>
  <c r="G20" i="4"/>
  <c r="G21" i="4"/>
  <c r="G22" i="4"/>
  <c r="G23" i="4"/>
  <c r="G24" i="4"/>
  <c r="G25" i="4"/>
  <c r="G26" i="4"/>
  <c r="G27" i="4"/>
  <c r="G28" i="4"/>
  <c r="G29" i="4"/>
  <c r="G30" i="4"/>
  <c r="G31" i="4"/>
  <c r="G32" i="4"/>
  <c r="G33" i="4"/>
  <c r="G34" i="4"/>
  <c r="G35" i="4"/>
  <c r="G36" i="4"/>
  <c r="G37" i="4"/>
  <c r="G38" i="4"/>
  <c r="G39" i="4"/>
  <c r="G40" i="4"/>
  <c r="G41" i="4"/>
  <c r="G42" i="4"/>
  <c r="H13" i="4"/>
  <c r="H14" i="4"/>
  <c r="H15" i="4"/>
  <c r="H16" i="4"/>
  <c r="H17" i="4"/>
  <c r="H18" i="4"/>
  <c r="H19" i="4"/>
  <c r="H20" i="4"/>
  <c r="H21" i="4"/>
  <c r="H22" i="4"/>
  <c r="H23" i="4"/>
  <c r="H24" i="4"/>
  <c r="H25" i="4"/>
  <c r="H26" i="4"/>
  <c r="H27" i="4"/>
  <c r="H28" i="4"/>
  <c r="H29" i="4"/>
  <c r="H30" i="4"/>
  <c r="H31" i="4"/>
  <c r="H32" i="4"/>
  <c r="H33" i="4"/>
  <c r="H34" i="4"/>
  <c r="H35" i="4"/>
  <c r="H36" i="4"/>
  <c r="H37" i="4"/>
  <c r="H38" i="4"/>
  <c r="H39" i="4"/>
  <c r="H40" i="4"/>
  <c r="H41" i="4"/>
  <c r="H42" i="4"/>
  <c r="D4" i="4"/>
  <c r="E4" i="4"/>
  <c r="F4" i="4"/>
  <c r="G4" i="4"/>
  <c r="H4" i="4"/>
  <c r="D5" i="4"/>
  <c r="E5" i="4"/>
  <c r="F5" i="4"/>
  <c r="G5" i="4"/>
  <c r="H5" i="4"/>
  <c r="D6" i="4"/>
  <c r="E6" i="4"/>
  <c r="F6" i="4"/>
  <c r="G6" i="4"/>
  <c r="H6" i="4"/>
  <c r="D7" i="4"/>
  <c r="E7" i="4"/>
  <c r="F7" i="4"/>
  <c r="G7" i="4"/>
  <c r="H7" i="4"/>
  <c r="D8" i="4"/>
  <c r="E8" i="4"/>
  <c r="F8" i="4"/>
  <c r="G8" i="4"/>
  <c r="H8" i="4"/>
  <c r="D9" i="4"/>
  <c r="E9" i="4"/>
  <c r="F9" i="4"/>
  <c r="G9" i="4"/>
  <c r="H9" i="4"/>
  <c r="D10" i="4"/>
  <c r="E10" i="4"/>
  <c r="F10" i="4"/>
  <c r="G10" i="4"/>
  <c r="H10" i="4"/>
  <c r="D11" i="4"/>
  <c r="E11" i="4"/>
  <c r="F11" i="4"/>
  <c r="G11" i="4"/>
  <c r="H11" i="4"/>
  <c r="D12" i="4"/>
  <c r="E12" i="4"/>
  <c r="F12" i="4"/>
  <c r="G12" i="4"/>
  <c r="H12" i="4"/>
  <c r="H3" i="4"/>
  <c r="G3" i="4"/>
  <c r="F3" i="4"/>
  <c r="E3" i="4"/>
  <c r="D3" i="4"/>
  <c r="O107" i="1" l="1"/>
  <c r="B4" i="4" l="1"/>
  <c r="B3" i="4" l="1"/>
  <c r="B2" i="4"/>
  <c r="S3" i="4" l="1"/>
  <c r="X3" i="4" s="1"/>
  <c r="H3" i="10" s="1"/>
  <c r="N3" i="4" l="1"/>
  <c r="I3" i="4"/>
  <c r="AG3" i="4"/>
  <c r="U11" i="10" l="1"/>
  <c r="U22" i="10" s="1"/>
  <c r="Q14" i="10"/>
  <c r="P14" i="10"/>
  <c r="R14" i="10"/>
  <c r="V3" i="4" l="1"/>
  <c r="AA3" i="4" s="1"/>
  <c r="K3" i="10" s="1"/>
  <c r="U12" i="10"/>
  <c r="Q3" i="4" l="1"/>
  <c r="L3" i="4"/>
  <c r="AJ3" i="4"/>
  <c r="S14" i="10"/>
  <c r="U23" i="10"/>
  <c r="S17" i="4" l="1"/>
  <c r="X17" i="4" s="1"/>
  <c r="S76" i="4"/>
  <c r="X76" i="4" s="1"/>
  <c r="U9" i="10"/>
  <c r="U20" i="10" s="1"/>
  <c r="H76" i="10" l="1"/>
  <c r="H17" i="10"/>
  <c r="U77" i="4"/>
  <c r="Z77" i="4" s="1"/>
  <c r="J77" i="10" s="1"/>
  <c r="AG17" i="4"/>
  <c r="I17" i="4"/>
  <c r="N17" i="4"/>
  <c r="U10" i="4"/>
  <c r="Z10" i="4" s="1"/>
  <c r="J10" i="10" s="1"/>
  <c r="N76" i="4"/>
  <c r="I76" i="4"/>
  <c r="AG76" i="4"/>
  <c r="T14" i="10"/>
  <c r="U10" i="10"/>
  <c r="AI10" i="4" l="1"/>
  <c r="P10" i="4"/>
  <c r="K10" i="4"/>
  <c r="AI77" i="4"/>
  <c r="P77" i="4"/>
  <c r="K77" i="4"/>
  <c r="U21" i="10"/>
  <c r="U14" i="10"/>
  <c r="T183" i="4" l="1"/>
  <c r="W183" i="4"/>
  <c r="AK183" i="4" s="1"/>
  <c r="AH183" i="4"/>
  <c r="Y183" i="4"/>
  <c r="V180" i="4"/>
  <c r="AA180" i="4" s="1"/>
  <c r="U173" i="4"/>
  <c r="Z173" i="4" s="1"/>
  <c r="S127" i="4"/>
  <c r="U127" i="4"/>
  <c r="Z127" i="4" s="1"/>
  <c r="W127" i="4"/>
  <c r="R127" i="4" s="1"/>
  <c r="X127" i="4"/>
  <c r="AB127" i="4"/>
  <c r="T170" i="4"/>
  <c r="O170" i="4" s="1"/>
  <c r="S178" i="4"/>
  <c r="N178" i="4" s="1"/>
  <c r="U156" i="4"/>
  <c r="P156" i="4" s="1"/>
  <c r="T139" i="4"/>
  <c r="O139" i="4" s="1"/>
  <c r="S131" i="4"/>
  <c r="N131" i="4" s="1"/>
  <c r="U131" i="4"/>
  <c r="P131" i="4" s="1"/>
  <c r="W131" i="4"/>
  <c r="R131" i="4" s="1"/>
  <c r="Z131" i="4"/>
  <c r="T165" i="4"/>
  <c r="O165" i="4" s="1"/>
  <c r="U129" i="4"/>
  <c r="P129" i="4" s="1"/>
  <c r="AK127" i="4"/>
  <c r="M127" i="4"/>
  <c r="AH139" i="4"/>
  <c r="J170" i="4"/>
  <c r="AG131" i="4"/>
  <c r="AI131" i="4"/>
  <c r="AK131" i="4"/>
  <c r="K131" i="4"/>
  <c r="AG178" i="4"/>
  <c r="AI129" i="4"/>
  <c r="K156" i="4"/>
  <c r="U153" i="4"/>
  <c r="P153" i="4" s="1"/>
  <c r="K153" i="4"/>
  <c r="T104" i="4"/>
  <c r="O104" i="4" s="1"/>
  <c r="Y104" i="4"/>
  <c r="W189" i="4"/>
  <c r="R189" i="4" s="1"/>
  <c r="AB189" i="4"/>
  <c r="AK189" i="4"/>
  <c r="M189" i="4"/>
  <c r="Z153" i="4" l="1"/>
  <c r="AI156" i="4"/>
  <c r="K129" i="4"/>
  <c r="I178" i="4"/>
  <c r="M131" i="4"/>
  <c r="I131" i="4"/>
  <c r="AH170" i="4"/>
  <c r="K173" i="4"/>
  <c r="Z129" i="4"/>
  <c r="Y165" i="4"/>
  <c r="AB131" i="4"/>
  <c r="X131" i="4"/>
  <c r="Y139" i="4"/>
  <c r="Z156" i="4"/>
  <c r="X178" i="4"/>
  <c r="Y170" i="4"/>
  <c r="AB183" i="4"/>
  <c r="S59" i="4"/>
  <c r="S20" i="4"/>
  <c r="I20" i="4" s="1"/>
  <c r="V48" i="4"/>
  <c r="AA48" i="4" s="1"/>
  <c r="K48" i="10" s="1"/>
  <c r="S48" i="4"/>
  <c r="W34" i="4"/>
  <c r="U34" i="4"/>
  <c r="P34" i="4" s="1"/>
  <c r="V25" i="4"/>
  <c r="T25" i="4"/>
  <c r="Y25" i="4" s="1"/>
  <c r="I25" i="10" s="1"/>
  <c r="W73" i="4"/>
  <c r="AB73" i="4" s="1"/>
  <c r="L73" i="10" s="1"/>
  <c r="AI173" i="4"/>
  <c r="P173" i="4"/>
  <c r="S87" i="4"/>
  <c r="AG87" i="4" s="1"/>
  <c r="S32" i="4"/>
  <c r="V31" i="4"/>
  <c r="L31" i="4" s="1"/>
  <c r="W48" i="4"/>
  <c r="T48" i="4"/>
  <c r="J48" i="4" s="1"/>
  <c r="S193" i="4"/>
  <c r="X193" i="4" s="1"/>
  <c r="S158" i="4"/>
  <c r="X158" i="4" s="1"/>
  <c r="T174" i="4"/>
  <c r="Y174" i="4" s="1"/>
  <c r="S194" i="4"/>
  <c r="X194" i="4" s="1"/>
  <c r="S206" i="4"/>
  <c r="X206" i="4" s="1"/>
  <c r="S104" i="4"/>
  <c r="X104" i="4" s="1"/>
  <c r="T184" i="4"/>
  <c r="T196" i="4"/>
  <c r="Y196" i="4" s="1"/>
  <c r="S153" i="4"/>
  <c r="X153" i="4" s="1"/>
  <c r="S190" i="4"/>
  <c r="X190" i="4" s="1"/>
  <c r="AH104" i="4"/>
  <c r="J104" i="4"/>
  <c r="S122" i="4"/>
  <c r="X122" i="4" s="1"/>
  <c r="T150" i="4"/>
  <c r="Y150" i="4" s="1"/>
  <c r="S105" i="4"/>
  <c r="X105" i="4" s="1"/>
  <c r="S155" i="4"/>
  <c r="X155" i="4" s="1"/>
  <c r="S148" i="4"/>
  <c r="X148" i="4" s="1"/>
  <c r="T145" i="4"/>
  <c r="Y145" i="4" s="1"/>
  <c r="S149" i="4"/>
  <c r="X149" i="4" s="1"/>
  <c r="AI153" i="4"/>
  <c r="S162" i="4"/>
  <c r="X162" i="4" s="1"/>
  <c r="S187" i="4"/>
  <c r="X187" i="4" s="1"/>
  <c r="S151" i="4"/>
  <c r="X151" i="4" s="1"/>
  <c r="S129" i="4"/>
  <c r="X129" i="4" s="1"/>
  <c r="T157" i="4"/>
  <c r="Y157" i="4" s="1"/>
  <c r="T203" i="4"/>
  <c r="Y203" i="4" s="1"/>
  <c r="S156" i="4"/>
  <c r="X156" i="4" s="1"/>
  <c r="T173" i="4"/>
  <c r="Y173" i="4" s="1"/>
  <c r="S80" i="4"/>
  <c r="X80" i="4" s="1"/>
  <c r="U68" i="4"/>
  <c r="Z68" i="4" s="1"/>
  <c r="J68" i="10" s="1"/>
  <c r="S66" i="4"/>
  <c r="X66" i="4" s="1"/>
  <c r="U58" i="4"/>
  <c r="Z58" i="4" s="1"/>
  <c r="J58" i="10" s="1"/>
  <c r="U57" i="4"/>
  <c r="Z57" i="4" s="1"/>
  <c r="J57" i="10" s="1"/>
  <c r="U56" i="4"/>
  <c r="Z56" i="4" s="1"/>
  <c r="J56" i="10" s="1"/>
  <c r="S55" i="4"/>
  <c r="X55" i="4" s="1"/>
  <c r="U26" i="4"/>
  <c r="Z26" i="4" s="1"/>
  <c r="J26" i="10" s="1"/>
  <c r="S24" i="4"/>
  <c r="X24" i="4" s="1"/>
  <c r="U8" i="4"/>
  <c r="Z8" i="4" s="1"/>
  <c r="J8" i="10" s="1"/>
  <c r="S7" i="4"/>
  <c r="X7" i="4" s="1"/>
  <c r="L180" i="4"/>
  <c r="Q180" i="4"/>
  <c r="AJ180" i="4"/>
  <c r="V42" i="4"/>
  <c r="AA42" i="4" s="1"/>
  <c r="K42" i="10" s="1"/>
  <c r="T103" i="4"/>
  <c r="Y103" i="4" s="1"/>
  <c r="J165" i="4"/>
  <c r="AH165" i="4"/>
  <c r="J139" i="4"/>
  <c r="T205" i="4"/>
  <c r="Y205" i="4" s="1"/>
  <c r="S139" i="4"/>
  <c r="X139" i="4" s="1"/>
  <c r="T195" i="4"/>
  <c r="Y195" i="4" s="1"/>
  <c r="S199" i="4"/>
  <c r="X199" i="4" s="1"/>
  <c r="T188" i="4"/>
  <c r="Y188" i="4" s="1"/>
  <c r="S154" i="4"/>
  <c r="X154" i="4" s="1"/>
  <c r="T168" i="4"/>
  <c r="Y168" i="4" s="1"/>
  <c r="P127" i="4"/>
  <c r="AI127" i="4"/>
  <c r="K127" i="4"/>
  <c r="N127" i="4"/>
  <c r="AG127" i="4"/>
  <c r="I127" i="4"/>
  <c r="S97" i="4"/>
  <c r="X97" i="4" s="1"/>
  <c r="U86" i="4"/>
  <c r="Z86" i="4" s="1"/>
  <c r="J86" i="10" s="1"/>
  <c r="U85" i="4"/>
  <c r="Z85" i="4" s="1"/>
  <c r="J85" i="10" s="1"/>
  <c r="U84" i="4"/>
  <c r="Z84" i="4" s="1"/>
  <c r="J84" i="10" s="1"/>
  <c r="S83" i="4"/>
  <c r="X83" i="4" s="1"/>
  <c r="U51" i="4"/>
  <c r="Z51" i="4" s="1"/>
  <c r="J51" i="10" s="1"/>
  <c r="U44" i="4"/>
  <c r="Z44" i="4" s="1"/>
  <c r="J44" i="10" s="1"/>
  <c r="S43" i="4"/>
  <c r="X43" i="4" s="1"/>
  <c r="S31" i="4"/>
  <c r="X31" i="4" s="1"/>
  <c r="U18" i="4"/>
  <c r="Z18" i="4" s="1"/>
  <c r="J18" i="10" s="1"/>
  <c r="S15" i="4"/>
  <c r="X15" i="4" s="1"/>
  <c r="S4" i="4"/>
  <c r="X4" i="4" s="1"/>
  <c r="T180" i="4"/>
  <c r="Y180" i="4" s="1"/>
  <c r="V35" i="4"/>
  <c r="AA35" i="4" s="1"/>
  <c r="K35" i="10" s="1"/>
  <c r="T35" i="4"/>
  <c r="Y35" i="4" s="1"/>
  <c r="I35" i="10" s="1"/>
  <c r="V81" i="4"/>
  <c r="AA81" i="4" s="1"/>
  <c r="K81" i="10" s="1"/>
  <c r="V49" i="4"/>
  <c r="AA49" i="4" s="1"/>
  <c r="K49" i="10" s="1"/>
  <c r="S49" i="4"/>
  <c r="X49" i="4" s="1"/>
  <c r="V144" i="4"/>
  <c r="AA144" i="4" s="1"/>
  <c r="T197" i="4"/>
  <c r="Y197" i="4" s="1"/>
  <c r="U95" i="4"/>
  <c r="Z95" i="4" s="1"/>
  <c r="J95" i="10" s="1"/>
  <c r="U94" i="4"/>
  <c r="Z94" i="4" s="1"/>
  <c r="J94" i="10" s="1"/>
  <c r="U93" i="4"/>
  <c r="Z93" i="4" s="1"/>
  <c r="J93" i="10" s="1"/>
  <c r="U92" i="4"/>
  <c r="Z92" i="4" s="1"/>
  <c r="J92" i="10" s="1"/>
  <c r="U91" i="4"/>
  <c r="Z91" i="4" s="1"/>
  <c r="J91" i="10" s="1"/>
  <c r="U90" i="4"/>
  <c r="Z90" i="4" s="1"/>
  <c r="J90" i="10" s="1"/>
  <c r="I87" i="4"/>
  <c r="U78" i="4"/>
  <c r="Z78" i="4" s="1"/>
  <c r="J78" i="10" s="1"/>
  <c r="U75" i="4"/>
  <c r="Z75" i="4" s="1"/>
  <c r="J75" i="10" s="1"/>
  <c r="U74" i="4"/>
  <c r="Z74" i="4" s="1"/>
  <c r="J74" i="10" s="1"/>
  <c r="U71" i="4"/>
  <c r="Z71" i="4" s="1"/>
  <c r="J71" i="10" s="1"/>
  <c r="S70" i="4"/>
  <c r="X70" i="4" s="1"/>
  <c r="AG59" i="4"/>
  <c r="I59" i="4"/>
  <c r="AG32" i="4"/>
  <c r="I32" i="4"/>
  <c r="AJ31" i="4"/>
  <c r="AG20" i="4"/>
  <c r="W42" i="4"/>
  <c r="AB42" i="4" s="1"/>
  <c r="L42" i="10" s="1"/>
  <c r="S42" i="4"/>
  <c r="X42" i="4" s="1"/>
  <c r="H42" i="10" s="1"/>
  <c r="AK48" i="4"/>
  <c r="M48" i="4"/>
  <c r="AH48" i="4"/>
  <c r="AG48" i="4"/>
  <c r="W81" i="4"/>
  <c r="AB81" i="4" s="1"/>
  <c r="L81" i="10" s="1"/>
  <c r="S81" i="4"/>
  <c r="X81" i="4" s="1"/>
  <c r="S21" i="4"/>
  <c r="X21" i="4" s="1"/>
  <c r="AJ25" i="4"/>
  <c r="L25" i="4"/>
  <c r="AH25" i="4"/>
  <c r="O25" i="4"/>
  <c r="W38" i="4"/>
  <c r="AB38" i="4" s="1"/>
  <c r="L38" i="10" s="1"/>
  <c r="S38" i="4"/>
  <c r="X38" i="4" s="1"/>
  <c r="H38" i="10" s="1"/>
  <c r="V89" i="4"/>
  <c r="AA89" i="4" s="1"/>
  <c r="K89" i="10" s="1"/>
  <c r="S89" i="4"/>
  <c r="X89" i="4" s="1"/>
  <c r="M183" i="4"/>
  <c r="R183" i="4"/>
  <c r="J183" i="4"/>
  <c r="O183" i="4"/>
  <c r="W61" i="4"/>
  <c r="AB61" i="4" s="1"/>
  <c r="L61" i="10" s="1"/>
  <c r="V72" i="4"/>
  <c r="AA72" i="4" s="1"/>
  <c r="K72" i="10" s="1"/>
  <c r="W41" i="4"/>
  <c r="AB41" i="4" s="1"/>
  <c r="L41" i="10" s="1"/>
  <c r="S41" i="4"/>
  <c r="X41" i="4" s="1"/>
  <c r="T27" i="4"/>
  <c r="Y27" i="4" s="1"/>
  <c r="I27" i="10" s="1"/>
  <c r="U76" i="4"/>
  <c r="Z76" i="4" s="1"/>
  <c r="J76" i="10" s="1"/>
  <c r="I48" i="4"/>
  <c r="V45" i="4"/>
  <c r="AA45" i="4" s="1"/>
  <c r="K45" i="10" s="1"/>
  <c r="W89" i="4"/>
  <c r="AB89" i="4" s="1"/>
  <c r="L89" i="10" s="1"/>
  <c r="T89" i="4"/>
  <c r="Y89" i="4" s="1"/>
  <c r="I89" i="10" s="1"/>
  <c r="V61" i="4"/>
  <c r="AA61" i="4" s="1"/>
  <c r="K61" i="10" s="1"/>
  <c r="T3" i="4"/>
  <c r="Y3" i="4" s="1"/>
  <c r="L48" i="4"/>
  <c r="W35" i="4"/>
  <c r="AB35" i="4" s="1"/>
  <c r="L35" i="10" s="1"/>
  <c r="U35" i="4"/>
  <c r="Z35" i="4" s="1"/>
  <c r="J35" i="10" s="1"/>
  <c r="W49" i="4"/>
  <c r="AB49" i="4" s="1"/>
  <c r="L49" i="10" s="1"/>
  <c r="T49" i="4"/>
  <c r="Y49" i="4" s="1"/>
  <c r="I49" i="10" s="1"/>
  <c r="R34" i="4"/>
  <c r="T54" i="4"/>
  <c r="Y54" i="4" s="1"/>
  <c r="I54" i="10" s="1"/>
  <c r="S45" i="4"/>
  <c r="X45" i="4" s="1"/>
  <c r="U33" i="4"/>
  <c r="Z33" i="4" s="1"/>
  <c r="J33" i="10" s="1"/>
  <c r="S9" i="4"/>
  <c r="X9" i="4" s="1"/>
  <c r="U25" i="4"/>
  <c r="Z25" i="4" s="1"/>
  <c r="J25" i="10" s="1"/>
  <c r="R73" i="4"/>
  <c r="S123" i="4"/>
  <c r="X123" i="4" s="1"/>
  <c r="T118" i="4"/>
  <c r="Y118" i="4" s="1"/>
  <c r="V38" i="4"/>
  <c r="AA38" i="4" s="1"/>
  <c r="K38" i="10" s="1"/>
  <c r="W72" i="4"/>
  <c r="AB72" i="4" s="1"/>
  <c r="L72" i="10" s="1"/>
  <c r="T72" i="4"/>
  <c r="Y72" i="4" s="1"/>
  <c r="I72" i="10" s="1"/>
  <c r="V41" i="4"/>
  <c r="AA41" i="4" s="1"/>
  <c r="K41" i="10" s="1"/>
  <c r="M34" i="4"/>
  <c r="K34" i="4"/>
  <c r="S10" i="4"/>
  <c r="X10" i="4" s="1"/>
  <c r="T82" i="4"/>
  <c r="Y82" i="4" s="1"/>
  <c r="I82" i="10" s="1"/>
  <c r="W6" i="4"/>
  <c r="AB6" i="4" s="1"/>
  <c r="L6" i="10" s="1"/>
  <c r="T6" i="4"/>
  <c r="Y6" i="4" s="1"/>
  <c r="I6" i="10" s="1"/>
  <c r="S40" i="4"/>
  <c r="X40" i="4" s="1"/>
  <c r="T36" i="4"/>
  <c r="Y36" i="4" s="1"/>
  <c r="I36" i="10" s="1"/>
  <c r="S88" i="4"/>
  <c r="X88" i="4" s="1"/>
  <c r="AG151" i="4"/>
  <c r="J25" i="4" l="1"/>
  <c r="H88" i="10"/>
  <c r="H21" i="10"/>
  <c r="H81" i="10"/>
  <c r="H40" i="10"/>
  <c r="H10" i="10"/>
  <c r="H9" i="10"/>
  <c r="H45" i="10"/>
  <c r="I3" i="10"/>
  <c r="H41" i="10"/>
  <c r="H89" i="10"/>
  <c r="H70" i="10"/>
  <c r="H15" i="10"/>
  <c r="H83" i="10"/>
  <c r="H97" i="10"/>
  <c r="H24" i="10"/>
  <c r="H66" i="10"/>
  <c r="H80" i="10"/>
  <c r="O48" i="4"/>
  <c r="Y48" i="4"/>
  <c r="I48" i="10" s="1"/>
  <c r="R48" i="4"/>
  <c r="AB48" i="4"/>
  <c r="L48" i="10" s="1"/>
  <c r="Q31" i="4"/>
  <c r="AA31" i="4"/>
  <c r="K31" i="10" s="1"/>
  <c r="N32" i="4"/>
  <c r="X32" i="4"/>
  <c r="N87" i="4"/>
  <c r="X87" i="4"/>
  <c r="Q25" i="4"/>
  <c r="AA25" i="4"/>
  <c r="K25" i="10" s="1"/>
  <c r="AI34" i="4"/>
  <c r="Z34" i="4"/>
  <c r="J34" i="10" s="1"/>
  <c r="AK34" i="4"/>
  <c r="AB34" i="4"/>
  <c r="L34" i="10" s="1"/>
  <c r="H49" i="10"/>
  <c r="H4" i="10"/>
  <c r="H31" i="10"/>
  <c r="H43" i="10"/>
  <c r="H7" i="10"/>
  <c r="H55" i="10"/>
  <c r="Y184" i="4"/>
  <c r="N48" i="4"/>
  <c r="X48" i="4"/>
  <c r="N20" i="4"/>
  <c r="X20" i="4"/>
  <c r="N59" i="4"/>
  <c r="X59" i="4"/>
  <c r="AJ48" i="4"/>
  <c r="Q48" i="4"/>
  <c r="AK73" i="4"/>
  <c r="M73" i="4"/>
  <c r="U177" i="4"/>
  <c r="Z177" i="4" s="1"/>
  <c r="T146" i="4"/>
  <c r="Y146" i="4" s="1"/>
  <c r="U46" i="4"/>
  <c r="Z46" i="4" s="1"/>
  <c r="J46" i="10" s="1"/>
  <c r="T108" i="4"/>
  <c r="Y108" i="4" s="1"/>
  <c r="T124" i="4"/>
  <c r="Y124" i="4" s="1"/>
  <c r="U181" i="4"/>
  <c r="Z181" i="4" s="1"/>
  <c r="T191" i="4"/>
  <c r="Y191" i="4" s="1"/>
  <c r="T163" i="4"/>
  <c r="Y163" i="4" s="1"/>
  <c r="AH72" i="4"/>
  <c r="J72" i="4"/>
  <c r="O72" i="4"/>
  <c r="AK72" i="4"/>
  <c r="M72" i="4"/>
  <c r="R72" i="4"/>
  <c r="AH118" i="4"/>
  <c r="O118" i="4"/>
  <c r="J118" i="4"/>
  <c r="AI25" i="4"/>
  <c r="K25" i="4"/>
  <c r="P25" i="4"/>
  <c r="AG9" i="4"/>
  <c r="I9" i="4"/>
  <c r="N9" i="4"/>
  <c r="AH54" i="4"/>
  <c r="J54" i="4"/>
  <c r="O54" i="4"/>
  <c r="AH3" i="4"/>
  <c r="J3" i="4"/>
  <c r="O3" i="4"/>
  <c r="AH89" i="4"/>
  <c r="J89" i="4"/>
  <c r="O89" i="4"/>
  <c r="AK89" i="4"/>
  <c r="M89" i="4"/>
  <c r="R89" i="4"/>
  <c r="AJ45" i="4"/>
  <c r="L45" i="4"/>
  <c r="Q45" i="4"/>
  <c r="AG41" i="4"/>
  <c r="I41" i="4"/>
  <c r="N41" i="4"/>
  <c r="AK41" i="4"/>
  <c r="M41" i="4"/>
  <c r="R41" i="4"/>
  <c r="AG89" i="4"/>
  <c r="N89" i="4"/>
  <c r="I89" i="4"/>
  <c r="AJ89" i="4"/>
  <c r="Q89" i="4"/>
  <c r="L89" i="4"/>
  <c r="AG38" i="4"/>
  <c r="I38" i="4"/>
  <c r="N38" i="4"/>
  <c r="AK38" i="4"/>
  <c r="M38" i="4"/>
  <c r="R38" i="4"/>
  <c r="AG21" i="4"/>
  <c r="I21" i="4"/>
  <c r="N21" i="4"/>
  <c r="AG81" i="4"/>
  <c r="I81" i="4"/>
  <c r="N81" i="4"/>
  <c r="AK81" i="4"/>
  <c r="M81" i="4"/>
  <c r="R81" i="4"/>
  <c r="AI74" i="4"/>
  <c r="K74" i="4"/>
  <c r="P74" i="4"/>
  <c r="AI75" i="4"/>
  <c r="K75" i="4"/>
  <c r="P75" i="4"/>
  <c r="AJ144" i="4"/>
  <c r="Q144" i="4"/>
  <c r="L144" i="4"/>
  <c r="AG4" i="4"/>
  <c r="I4" i="4"/>
  <c r="N4" i="4"/>
  <c r="AG43" i="4"/>
  <c r="I43" i="4"/>
  <c r="N43" i="4"/>
  <c r="AI44" i="4"/>
  <c r="K44" i="4"/>
  <c r="P44" i="4"/>
  <c r="AI51" i="4"/>
  <c r="K51" i="4"/>
  <c r="P51" i="4"/>
  <c r="AG97" i="4"/>
  <c r="I97" i="4"/>
  <c r="N97" i="4"/>
  <c r="O168" i="4"/>
  <c r="J168" i="4"/>
  <c r="AH168" i="4"/>
  <c r="J188" i="4"/>
  <c r="AH188" i="4"/>
  <c r="O188" i="4"/>
  <c r="N199" i="4"/>
  <c r="I199" i="4"/>
  <c r="AG199" i="4"/>
  <c r="AH195" i="4"/>
  <c r="O195" i="4"/>
  <c r="J195" i="4"/>
  <c r="AH205" i="4"/>
  <c r="J205" i="4"/>
  <c r="O205" i="4"/>
  <c r="O103" i="4"/>
  <c r="J103" i="4"/>
  <c r="AH103" i="4"/>
  <c r="AJ42" i="4"/>
  <c r="L42" i="4"/>
  <c r="Q42" i="4"/>
  <c r="AG7" i="4"/>
  <c r="I7" i="4"/>
  <c r="N7" i="4"/>
  <c r="AI8" i="4"/>
  <c r="K8" i="4"/>
  <c r="P8" i="4"/>
  <c r="AG24" i="4"/>
  <c r="I24" i="4"/>
  <c r="N24" i="4"/>
  <c r="AI26" i="4"/>
  <c r="K26" i="4"/>
  <c r="P26" i="4"/>
  <c r="AG55" i="4"/>
  <c r="I55" i="4"/>
  <c r="N55" i="4"/>
  <c r="AI56" i="4"/>
  <c r="K56" i="4"/>
  <c r="P56" i="4"/>
  <c r="AI57" i="4"/>
  <c r="K57" i="4"/>
  <c r="P57" i="4"/>
  <c r="AI58" i="4"/>
  <c r="K58" i="4"/>
  <c r="P58" i="4"/>
  <c r="AG66" i="4"/>
  <c r="I66" i="4"/>
  <c r="N66" i="4"/>
  <c r="AI68" i="4"/>
  <c r="K68" i="4"/>
  <c r="P68" i="4"/>
  <c r="AH173" i="4"/>
  <c r="O173" i="4"/>
  <c r="J173" i="4"/>
  <c r="O203" i="4"/>
  <c r="J203" i="4"/>
  <c r="AH203" i="4"/>
  <c r="AG187" i="4"/>
  <c r="I187" i="4"/>
  <c r="N187" i="4"/>
  <c r="AG162" i="4"/>
  <c r="I162" i="4"/>
  <c r="N162" i="4"/>
  <c r="AH145" i="4"/>
  <c r="J145" i="4"/>
  <c r="O145" i="4"/>
  <c r="I148" i="4"/>
  <c r="AG148" i="4"/>
  <c r="N148" i="4"/>
  <c r="AH150" i="4"/>
  <c r="J150" i="4"/>
  <c r="O150" i="4"/>
  <c r="J196" i="4"/>
  <c r="O196" i="4"/>
  <c r="AH196" i="4"/>
  <c r="N104" i="4"/>
  <c r="I104" i="4"/>
  <c r="AG104" i="4"/>
  <c r="I194" i="4"/>
  <c r="AG194" i="4"/>
  <c r="N194" i="4"/>
  <c r="J174" i="4"/>
  <c r="AH174" i="4"/>
  <c r="O174" i="4"/>
  <c r="AG158" i="4"/>
  <c r="I158" i="4"/>
  <c r="N158" i="4"/>
  <c r="AG193" i="4"/>
  <c r="N193" i="4"/>
  <c r="I193" i="4"/>
  <c r="T140" i="4"/>
  <c r="Y140" i="4" s="1"/>
  <c r="U216" i="4"/>
  <c r="Z216" i="4" s="1"/>
  <c r="U192" i="4"/>
  <c r="Z192" i="4" s="1"/>
  <c r="T138" i="4"/>
  <c r="Y138" i="4" s="1"/>
  <c r="T215" i="4"/>
  <c r="Y215" i="4" s="1"/>
  <c r="T189" i="4"/>
  <c r="Y189" i="4" s="1"/>
  <c r="T152" i="4"/>
  <c r="Y152" i="4" s="1"/>
  <c r="N88" i="4"/>
  <c r="AG88" i="4"/>
  <c r="I88" i="4"/>
  <c r="AH36" i="4"/>
  <c r="O36" i="4"/>
  <c r="J36" i="4"/>
  <c r="AG40" i="4"/>
  <c r="N40" i="4"/>
  <c r="I40" i="4"/>
  <c r="O6" i="4"/>
  <c r="J6" i="4"/>
  <c r="AH6" i="4"/>
  <c r="AK6" i="4"/>
  <c r="R6" i="4"/>
  <c r="M6" i="4"/>
  <c r="AH82" i="4"/>
  <c r="O82" i="4"/>
  <c r="J82" i="4"/>
  <c r="AG10" i="4"/>
  <c r="N10" i="4"/>
  <c r="I10" i="4"/>
  <c r="AJ41" i="4"/>
  <c r="L41" i="4"/>
  <c r="Q41" i="4"/>
  <c r="AJ38" i="4"/>
  <c r="L38" i="4"/>
  <c r="Q38" i="4"/>
  <c r="N123" i="4"/>
  <c r="AG123" i="4"/>
  <c r="I123" i="4"/>
  <c r="AI33" i="4"/>
  <c r="K33" i="4"/>
  <c r="P33" i="4"/>
  <c r="AG45" i="4"/>
  <c r="I45" i="4"/>
  <c r="N45" i="4"/>
  <c r="AH49" i="4"/>
  <c r="J49" i="4"/>
  <c r="O49" i="4"/>
  <c r="AK49" i="4"/>
  <c r="M49" i="4"/>
  <c r="R49" i="4"/>
  <c r="AI35" i="4"/>
  <c r="K35" i="4"/>
  <c r="P35" i="4"/>
  <c r="AK35" i="4"/>
  <c r="M35" i="4"/>
  <c r="R35" i="4"/>
  <c r="AJ61" i="4"/>
  <c r="L61" i="4"/>
  <c r="Q61" i="4"/>
  <c r="AI76" i="4"/>
  <c r="K76" i="4"/>
  <c r="P76" i="4"/>
  <c r="AH27" i="4"/>
  <c r="J27" i="4"/>
  <c r="O27" i="4"/>
  <c r="AJ72" i="4"/>
  <c r="Q72" i="4"/>
  <c r="L72" i="4"/>
  <c r="AK61" i="4"/>
  <c r="M61" i="4"/>
  <c r="R61" i="4"/>
  <c r="AG42" i="4"/>
  <c r="I42" i="4"/>
  <c r="N42" i="4"/>
  <c r="AK42" i="4"/>
  <c r="M42" i="4"/>
  <c r="R42" i="4"/>
  <c r="AG70" i="4"/>
  <c r="I70" i="4"/>
  <c r="N70" i="4"/>
  <c r="AI71" i="4"/>
  <c r="K71" i="4"/>
  <c r="P71" i="4"/>
  <c r="AI78" i="4"/>
  <c r="K78" i="4"/>
  <c r="P78" i="4"/>
  <c r="AI90" i="4"/>
  <c r="K90" i="4"/>
  <c r="P90" i="4"/>
  <c r="AI91" i="4"/>
  <c r="K91" i="4"/>
  <c r="P91" i="4"/>
  <c r="AI92" i="4"/>
  <c r="K92" i="4"/>
  <c r="P92" i="4"/>
  <c r="AI93" i="4"/>
  <c r="K93" i="4"/>
  <c r="P93" i="4"/>
  <c r="AI94" i="4"/>
  <c r="K94" i="4"/>
  <c r="P94" i="4"/>
  <c r="AI95" i="4"/>
  <c r="K95" i="4"/>
  <c r="P95" i="4"/>
  <c r="AH197" i="4"/>
  <c r="J197" i="4"/>
  <c r="O197" i="4"/>
  <c r="AG49" i="4"/>
  <c r="I49" i="4"/>
  <c r="N49" i="4"/>
  <c r="AJ49" i="4"/>
  <c r="L49" i="4"/>
  <c r="Q49" i="4"/>
  <c r="AJ81" i="4"/>
  <c r="L81" i="4"/>
  <c r="Q81" i="4"/>
  <c r="AH35" i="4"/>
  <c r="J35" i="4"/>
  <c r="O35" i="4"/>
  <c r="AJ35" i="4"/>
  <c r="L35" i="4"/>
  <c r="Q35" i="4"/>
  <c r="J180" i="4"/>
  <c r="O180" i="4"/>
  <c r="AH180" i="4"/>
  <c r="AG15" i="4"/>
  <c r="I15" i="4"/>
  <c r="N15" i="4"/>
  <c r="AI18" i="4"/>
  <c r="K18" i="4"/>
  <c r="P18" i="4"/>
  <c r="AG31" i="4"/>
  <c r="I31" i="4"/>
  <c r="N31" i="4"/>
  <c r="AG83" i="4"/>
  <c r="I83" i="4"/>
  <c r="N83" i="4"/>
  <c r="AI84" i="4"/>
  <c r="K84" i="4"/>
  <c r="P84" i="4"/>
  <c r="AI85" i="4"/>
  <c r="K85" i="4"/>
  <c r="P85" i="4"/>
  <c r="AI86" i="4"/>
  <c r="K86" i="4"/>
  <c r="P86" i="4"/>
  <c r="N154" i="4"/>
  <c r="I154" i="4"/>
  <c r="AG154" i="4"/>
  <c r="N139" i="4"/>
  <c r="I139" i="4"/>
  <c r="AG139" i="4"/>
  <c r="AG80" i="4"/>
  <c r="I80" i="4"/>
  <c r="N80" i="4"/>
  <c r="N156" i="4"/>
  <c r="AG156" i="4"/>
  <c r="I156" i="4"/>
  <c r="O157" i="4"/>
  <c r="AH157" i="4"/>
  <c r="J157" i="4"/>
  <c r="N129" i="4"/>
  <c r="AG129" i="4"/>
  <c r="I129" i="4"/>
  <c r="I151" i="4"/>
  <c r="N151" i="4"/>
  <c r="I149" i="4"/>
  <c r="N149" i="4"/>
  <c r="AG149" i="4"/>
  <c r="AG155" i="4"/>
  <c r="N155" i="4"/>
  <c r="I155" i="4"/>
  <c r="AG105" i="4"/>
  <c r="N105" i="4"/>
  <c r="I105" i="4"/>
  <c r="I122" i="4"/>
  <c r="N122" i="4"/>
  <c r="AG122" i="4"/>
  <c r="AG190" i="4"/>
  <c r="I190" i="4"/>
  <c r="N190" i="4"/>
  <c r="N153" i="4"/>
  <c r="I153" i="4"/>
  <c r="AG153" i="4"/>
  <c r="AH184" i="4"/>
  <c r="O184" i="4"/>
  <c r="J184" i="4"/>
  <c r="N206" i="4"/>
  <c r="AG206" i="4"/>
  <c r="I206" i="4"/>
  <c r="H87" i="10" l="1"/>
  <c r="H32" i="10"/>
  <c r="H59" i="10"/>
  <c r="H20" i="10"/>
  <c r="H48" i="10"/>
  <c r="O189" i="4"/>
  <c r="AH189" i="4"/>
  <c r="J189" i="4"/>
  <c r="O215" i="4"/>
  <c r="J215" i="4"/>
  <c r="AH215" i="4"/>
  <c r="O138" i="4"/>
  <c r="J138" i="4"/>
  <c r="AH138" i="4"/>
  <c r="O163" i="4"/>
  <c r="AH163" i="4"/>
  <c r="J163" i="4"/>
  <c r="O191" i="4"/>
  <c r="AH191" i="4"/>
  <c r="J191" i="4"/>
  <c r="O124" i="4"/>
  <c r="J124" i="4"/>
  <c r="AH124" i="4"/>
  <c r="O108" i="4"/>
  <c r="AH108" i="4"/>
  <c r="J108" i="4"/>
  <c r="O146" i="4"/>
  <c r="AH146" i="4"/>
  <c r="J146" i="4"/>
  <c r="J152" i="4"/>
  <c r="O152" i="4"/>
  <c r="AH152" i="4"/>
  <c r="P192" i="4"/>
  <c r="K192" i="4"/>
  <c r="AI192" i="4"/>
  <c r="P216" i="4"/>
  <c r="AI216" i="4"/>
  <c r="K216" i="4"/>
  <c r="O140" i="4"/>
  <c r="AH140" i="4"/>
  <c r="J140" i="4"/>
  <c r="AI181" i="4"/>
  <c r="K181" i="4"/>
  <c r="P181" i="4"/>
  <c r="AI46" i="4"/>
  <c r="K46" i="4"/>
  <c r="P46" i="4"/>
  <c r="P177" i="4"/>
  <c r="K177" i="4"/>
  <c r="AI177" i="4"/>
  <c r="S23" i="4" l="1"/>
  <c r="AG23" i="4" s="1"/>
  <c r="W23" i="4"/>
  <c r="AK23" i="4" s="1"/>
  <c r="R23" i="4"/>
  <c r="V4" i="4"/>
  <c r="AA4" i="4" s="1"/>
  <c r="K4" i="10" s="1"/>
  <c r="U5" i="4"/>
  <c r="Z5" i="4" s="1"/>
  <c r="J5" i="10" s="1"/>
  <c r="W5" i="4"/>
  <c r="AB5" i="4" s="1"/>
  <c r="L5" i="10" s="1"/>
  <c r="U6" i="4"/>
  <c r="Z6" i="4" s="1"/>
  <c r="J6" i="10" s="1"/>
  <c r="T9" i="4"/>
  <c r="Y9" i="4" s="1"/>
  <c r="I9" i="10" s="1"/>
  <c r="T11" i="4"/>
  <c r="Y11" i="4" s="1"/>
  <c r="I11" i="10" s="1"/>
  <c r="S14" i="4"/>
  <c r="X14" i="4" s="1"/>
  <c r="S19" i="4"/>
  <c r="X19" i="4" s="1"/>
  <c r="S26" i="4"/>
  <c r="X26" i="4" s="1"/>
  <c r="H26" i="10" s="1"/>
  <c r="S29" i="4"/>
  <c r="X29" i="4" s="1"/>
  <c r="H29" i="10" s="1"/>
  <c r="U30" i="4"/>
  <c r="Z30" i="4" s="1"/>
  <c r="J30" i="10" s="1"/>
  <c r="U31" i="4"/>
  <c r="Z31" i="4" s="1"/>
  <c r="J31" i="10" s="1"/>
  <c r="T33" i="4"/>
  <c r="Y33" i="4" s="1"/>
  <c r="I33" i="10" s="1"/>
  <c r="W36" i="4"/>
  <c r="R36" i="4" s="1"/>
  <c r="T38" i="4"/>
  <c r="Y38" i="4" s="1"/>
  <c r="I38" i="10" s="1"/>
  <c r="W39" i="4"/>
  <c r="AB39" i="4" s="1"/>
  <c r="L39" i="10" s="1"/>
  <c r="T40" i="4"/>
  <c r="Y40" i="4" s="1"/>
  <c r="T42" i="4"/>
  <c r="Y42" i="4" s="1"/>
  <c r="U45" i="4"/>
  <c r="P45" i="4" s="1"/>
  <c r="W46" i="4"/>
  <c r="AB46" i="4" s="1"/>
  <c r="L46" i="10" s="1"/>
  <c r="T47" i="4"/>
  <c r="Y47" i="4" s="1"/>
  <c r="I47" i="10" s="1"/>
  <c r="S51" i="4"/>
  <c r="N51" i="4" s="1"/>
  <c r="S54" i="4"/>
  <c r="X54" i="4" s="1"/>
  <c r="S57" i="4"/>
  <c r="X57" i="4" s="1"/>
  <c r="S60" i="4"/>
  <c r="N60" i="4" s="1"/>
  <c r="T61" i="4"/>
  <c r="Y61" i="4" s="1"/>
  <c r="I61" i="10" s="1"/>
  <c r="T62" i="4"/>
  <c r="O62" i="4" s="1"/>
  <c r="T63" i="4"/>
  <c r="AH63" i="4" s="1"/>
  <c r="S64" i="4"/>
  <c r="N64" i="4" s="1"/>
  <c r="S67" i="4"/>
  <c r="X67" i="4" s="1"/>
  <c r="S71" i="4"/>
  <c r="N71" i="4" s="1"/>
  <c r="S73" i="4"/>
  <c r="X73" i="4" s="1"/>
  <c r="V73" i="4"/>
  <c r="AJ73" i="4" s="1"/>
  <c r="S75" i="4"/>
  <c r="AG75" i="4" s="1"/>
  <c r="T77" i="4"/>
  <c r="AH77" i="4" s="1"/>
  <c r="T79" i="4"/>
  <c r="AH79" i="4" s="1"/>
  <c r="S82" i="4"/>
  <c r="X82" i="4" s="1"/>
  <c r="S85" i="4"/>
  <c r="X85" i="4" s="1"/>
  <c r="T88" i="4"/>
  <c r="Y88" i="4" s="1"/>
  <c r="T90" i="4"/>
  <c r="Y90" i="4" s="1"/>
  <c r="I90" i="10" s="1"/>
  <c r="S91" i="4"/>
  <c r="X91" i="4" s="1"/>
  <c r="H91" i="10" s="1"/>
  <c r="T93" i="4"/>
  <c r="Y93" i="4" s="1"/>
  <c r="I93" i="10" s="1"/>
  <c r="S95" i="4"/>
  <c r="X95" i="4" s="1"/>
  <c r="H95" i="10" s="1"/>
  <c r="S98" i="4"/>
  <c r="X98" i="4" s="1"/>
  <c r="H98" i="10" s="1"/>
  <c r="S100" i="4"/>
  <c r="X100" i="4" s="1"/>
  <c r="H100" i="10" s="1"/>
  <c r="S102" i="4"/>
  <c r="X102" i="4" s="1"/>
  <c r="V140" i="4"/>
  <c r="AA140" i="4" s="1"/>
  <c r="S192" i="4"/>
  <c r="AG192" i="4" s="1"/>
  <c r="J38" i="4"/>
  <c r="I51" i="4"/>
  <c r="J40" i="4"/>
  <c r="J61" i="4"/>
  <c r="K31" i="4"/>
  <c r="L4" i="4"/>
  <c r="V162" i="4"/>
  <c r="AJ162" i="4" s="1"/>
  <c r="K6" i="4"/>
  <c r="T129" i="4"/>
  <c r="J129" i="4" s="1"/>
  <c r="T190" i="4"/>
  <c r="AH190" i="4" s="1"/>
  <c r="T153" i="4"/>
  <c r="J153" i="4" s="1"/>
  <c r="U180" i="4"/>
  <c r="AI180" i="4" s="1"/>
  <c r="V113" i="4"/>
  <c r="AA113" i="4" s="1"/>
  <c r="M46" i="4"/>
  <c r="U164" i="4"/>
  <c r="AI164" i="4" s="1"/>
  <c r="S186" i="4"/>
  <c r="I186" i="4" s="1"/>
  <c r="J9" i="4"/>
  <c r="M36" i="4"/>
  <c r="I71" i="4"/>
  <c r="S103" i="4"/>
  <c r="I103" i="4" s="1"/>
  <c r="I26" i="4"/>
  <c r="Q162" i="4"/>
  <c r="J42" i="4"/>
  <c r="J190" i="4"/>
  <c r="K180" i="4"/>
  <c r="S133" i="4"/>
  <c r="AG133" i="4" s="1"/>
  <c r="T161" i="4"/>
  <c r="Y161" i="4" s="1"/>
  <c r="T185" i="4"/>
  <c r="J185" i="4" s="1"/>
  <c r="W198" i="4"/>
  <c r="AK198" i="4" s="1"/>
  <c r="I60" i="4"/>
  <c r="I29" i="4"/>
  <c r="I192" i="4"/>
  <c r="K5" i="4"/>
  <c r="M5" i="4"/>
  <c r="J11" i="4"/>
  <c r="I14" i="4"/>
  <c r="I19" i="4"/>
  <c r="I23" i="4"/>
  <c r="M23" i="4"/>
  <c r="K30" i="4"/>
  <c r="J33" i="4"/>
  <c r="M39" i="4"/>
  <c r="I57" i="4"/>
  <c r="J62" i="4"/>
  <c r="J63" i="4"/>
  <c r="I64" i="4"/>
  <c r="I67" i="4"/>
  <c r="I73" i="4"/>
  <c r="L73" i="4"/>
  <c r="I75" i="4"/>
  <c r="J79" i="4"/>
  <c r="I85" i="4"/>
  <c r="J90" i="4"/>
  <c r="I91" i="4"/>
  <c r="J93" i="4"/>
  <c r="I95" i="4"/>
  <c r="I98" i="4"/>
  <c r="I100" i="4"/>
  <c r="I102" i="4"/>
  <c r="S109" i="4"/>
  <c r="AG109" i="4" s="1"/>
  <c r="U167" i="4"/>
  <c r="K167" i="4" s="1"/>
  <c r="T202" i="4"/>
  <c r="O202" i="4" s="1"/>
  <c r="L162" i="4"/>
  <c r="N192" i="4"/>
  <c r="Q113" i="4"/>
  <c r="P164" i="4"/>
  <c r="T142" i="4"/>
  <c r="AH142" i="4" s="1"/>
  <c r="T125" i="4"/>
  <c r="AH125" i="4" s="1"/>
  <c r="W211" i="4"/>
  <c r="M211" i="4" s="1"/>
  <c r="U170" i="4"/>
  <c r="K170" i="4" s="1"/>
  <c r="M198" i="4"/>
  <c r="U204" i="4"/>
  <c r="AI204" i="4" s="1"/>
  <c r="P180" i="4"/>
  <c r="U183" i="4"/>
  <c r="K183" i="4" s="1"/>
  <c r="T136" i="4"/>
  <c r="AH136" i="4" s="1"/>
  <c r="U175" i="4"/>
  <c r="K175" i="4" s="1"/>
  <c r="R198" i="4"/>
  <c r="P167" i="4"/>
  <c r="T144" i="4"/>
  <c r="J144" i="4" s="1"/>
  <c r="AG103" i="4"/>
  <c r="S107" i="4"/>
  <c r="I107" i="4" s="1"/>
  <c r="P175" i="4"/>
  <c r="AI175" i="4"/>
  <c r="T213" i="4"/>
  <c r="O213" i="4" s="1"/>
  <c r="S134" i="4"/>
  <c r="I134" i="4" s="1"/>
  <c r="AI167" i="4"/>
  <c r="T209" i="4"/>
  <c r="O209" i="4" s="1"/>
  <c r="I133" i="4"/>
  <c r="J209" i="4"/>
  <c r="N103" i="4"/>
  <c r="J202" i="4"/>
  <c r="N102" i="4" l="1"/>
  <c r="N95" i="4"/>
  <c r="AG107" i="4"/>
  <c r="Y213" i="4"/>
  <c r="P183" i="4"/>
  <c r="Z175" i="4"/>
  <c r="Y136" i="4"/>
  <c r="Z183" i="4"/>
  <c r="AB198" i="4"/>
  <c r="Q73" i="4"/>
  <c r="O144" i="4"/>
  <c r="AH202" i="4"/>
  <c r="AH144" i="4"/>
  <c r="Y144" i="4"/>
  <c r="K204" i="4"/>
  <c r="Z170" i="4"/>
  <c r="AB211" i="4"/>
  <c r="Y125" i="4"/>
  <c r="Y142" i="4"/>
  <c r="Y202" i="4"/>
  <c r="Z167" i="4"/>
  <c r="AH153" i="4"/>
  <c r="O153" i="4"/>
  <c r="Y153" i="4"/>
  <c r="X75" i="4"/>
  <c r="H75" i="10" s="1"/>
  <c r="N73" i="4"/>
  <c r="AA73" i="4"/>
  <c r="K73" i="10" s="1"/>
  <c r="Y63" i="4"/>
  <c r="I63" i="10" s="1"/>
  <c r="O33" i="4"/>
  <c r="N29" i="4"/>
  <c r="N23" i="4"/>
  <c r="AB23" i="4"/>
  <c r="L23" i="10" s="1"/>
  <c r="AH209" i="4"/>
  <c r="P204" i="4"/>
  <c r="X107" i="4"/>
  <c r="Z204" i="4"/>
  <c r="O129" i="4"/>
  <c r="J88" i="4"/>
  <c r="K164" i="4"/>
  <c r="AH129" i="4"/>
  <c r="AA162" i="4"/>
  <c r="X192" i="4"/>
  <c r="N98" i="4"/>
  <c r="N91" i="4"/>
  <c r="O38" i="4"/>
  <c r="AB36" i="4"/>
  <c r="L36" i="10" s="1"/>
  <c r="O11" i="4"/>
  <c r="H85" i="10"/>
  <c r="H67" i="10"/>
  <c r="H57" i="10"/>
  <c r="I40" i="10"/>
  <c r="I88" i="10"/>
  <c r="H82" i="10"/>
  <c r="H54" i="10"/>
  <c r="I42" i="10"/>
  <c r="H14" i="10"/>
  <c r="H73" i="10"/>
  <c r="H19" i="10"/>
  <c r="N133" i="4"/>
  <c r="N109" i="4"/>
  <c r="H102" i="10"/>
  <c r="Y209" i="4"/>
  <c r="I109" i="4"/>
  <c r="AH185" i="4"/>
  <c r="X134" i="4"/>
  <c r="O161" i="4"/>
  <c r="O185" i="4"/>
  <c r="N186" i="4"/>
  <c r="X109" i="4"/>
  <c r="I82" i="4"/>
  <c r="J77" i="4"/>
  <c r="Y185" i="4"/>
  <c r="X133" i="4"/>
  <c r="AG186" i="4"/>
  <c r="K45" i="4"/>
  <c r="X103" i="4"/>
  <c r="J47" i="4"/>
  <c r="O190" i="4"/>
  <c r="X186" i="4"/>
  <c r="Z164" i="4"/>
  <c r="Z180" i="4"/>
  <c r="Y190" i="4"/>
  <c r="Y129" i="4"/>
  <c r="I54" i="4"/>
  <c r="N85" i="4"/>
  <c r="Y79" i="4"/>
  <c r="I79" i="10" s="1"/>
  <c r="O77" i="4"/>
  <c r="Y77" i="4"/>
  <c r="I77" i="10" s="1"/>
  <c r="X71" i="4"/>
  <c r="N67" i="4"/>
  <c r="X64" i="4"/>
  <c r="Y62" i="4"/>
  <c r="I62" i="10" s="1"/>
  <c r="X60" i="4"/>
  <c r="N57" i="4"/>
  <c r="X51" i="4"/>
  <c r="Z45" i="4"/>
  <c r="J45" i="10" s="1"/>
  <c r="O42" i="4"/>
  <c r="X23" i="4"/>
  <c r="T4" i="4"/>
  <c r="N134" i="4"/>
  <c r="N107" i="4"/>
  <c r="J213" i="4"/>
  <c r="AG134" i="4"/>
  <c r="AI183" i="4"/>
  <c r="O142" i="4"/>
  <c r="J136" i="4"/>
  <c r="AH213" i="4"/>
  <c r="O136" i="4"/>
  <c r="AI170" i="4"/>
  <c r="J125" i="4"/>
  <c r="J142" i="4"/>
  <c r="O125" i="4"/>
  <c r="R211" i="4"/>
  <c r="P170" i="4"/>
  <c r="AK211" i="4"/>
  <c r="S119" i="4"/>
  <c r="X119" i="4" s="1"/>
  <c r="T137" i="4"/>
  <c r="Y137" i="4" s="1"/>
  <c r="J161" i="4"/>
  <c r="AH161" i="4"/>
  <c r="V202" i="4"/>
  <c r="AA202" i="4" s="1"/>
  <c r="AG100" i="4"/>
  <c r="S99" i="4"/>
  <c r="X99" i="4" s="1"/>
  <c r="AH93" i="4"/>
  <c r="S92" i="4"/>
  <c r="X92" i="4" s="1"/>
  <c r="S90" i="4"/>
  <c r="X90" i="4" s="1"/>
  <c r="AH88" i="4"/>
  <c r="O88" i="4"/>
  <c r="S86" i="4"/>
  <c r="X86" i="4" s="1"/>
  <c r="V82" i="4"/>
  <c r="AA82" i="4" s="1"/>
  <c r="K82" i="10" s="1"/>
  <c r="AJ113" i="4"/>
  <c r="L113" i="4"/>
  <c r="AJ140" i="4"/>
  <c r="Q140" i="4"/>
  <c r="L140" i="4"/>
  <c r="AG102" i="4"/>
  <c r="T101" i="4"/>
  <c r="Y101" i="4" s="1"/>
  <c r="I101" i="10" s="1"/>
  <c r="N100" i="4"/>
  <c r="AG98" i="4"/>
  <c r="AG95" i="4"/>
  <c r="S94" i="4"/>
  <c r="X94" i="4" s="1"/>
  <c r="O93" i="4"/>
  <c r="AG91" i="4"/>
  <c r="AH90" i="4"/>
  <c r="O90" i="4"/>
  <c r="U88" i="4"/>
  <c r="Z88" i="4" s="1"/>
  <c r="J88" i="10" s="1"/>
  <c r="AG85" i="4"/>
  <c r="S84" i="4"/>
  <c r="X84" i="4" s="1"/>
  <c r="AG82" i="4"/>
  <c r="N82" i="4"/>
  <c r="O79" i="4"/>
  <c r="N75" i="4"/>
  <c r="AG73" i="4"/>
  <c r="U72" i="4"/>
  <c r="Z72" i="4" s="1"/>
  <c r="J72" i="10" s="1"/>
  <c r="AG67" i="4"/>
  <c r="S65" i="4"/>
  <c r="X65" i="4" s="1"/>
  <c r="O63" i="4"/>
  <c r="S63" i="4"/>
  <c r="X63" i="4" s="1"/>
  <c r="S61" i="4"/>
  <c r="X61" i="4" s="1"/>
  <c r="AG57" i="4"/>
  <c r="S56" i="4"/>
  <c r="X56" i="4" s="1"/>
  <c r="AG54" i="4"/>
  <c r="N54" i="4"/>
  <c r="S53" i="4"/>
  <c r="X53" i="4" s="1"/>
  <c r="U47" i="4"/>
  <c r="Z47" i="4" s="1"/>
  <c r="J47" i="10" s="1"/>
  <c r="T46" i="4"/>
  <c r="Y46" i="4" s="1"/>
  <c r="I46" i="10" s="1"/>
  <c r="AH42" i="4"/>
  <c r="U41" i="4"/>
  <c r="Z41" i="4" s="1"/>
  <c r="J41" i="10" s="1"/>
  <c r="AH40" i="4"/>
  <c r="O40" i="4"/>
  <c r="AK39" i="4"/>
  <c r="R39" i="4"/>
  <c r="AH38" i="4"/>
  <c r="S37" i="4"/>
  <c r="X37" i="4" s="1"/>
  <c r="AH33" i="4"/>
  <c r="AI31" i="4"/>
  <c r="P31" i="4"/>
  <c r="S30" i="4"/>
  <c r="X30" i="4" s="1"/>
  <c r="AG19" i="4"/>
  <c r="N19" i="4"/>
  <c r="S18" i="4"/>
  <c r="X18" i="4" s="1"/>
  <c r="U9" i="4"/>
  <c r="Z9" i="4" s="1"/>
  <c r="J9" i="10" s="1"/>
  <c r="S74" i="4"/>
  <c r="X74" i="4" s="1"/>
  <c r="T73" i="4"/>
  <c r="Y73" i="4" s="1"/>
  <c r="AG71" i="4"/>
  <c r="S68" i="4"/>
  <c r="X68" i="4" s="1"/>
  <c r="AG64" i="4"/>
  <c r="AH62" i="4"/>
  <c r="AH61" i="4"/>
  <c r="O61" i="4"/>
  <c r="AG60" i="4"/>
  <c r="S58" i="4"/>
  <c r="X58" i="4" s="1"/>
  <c r="U54" i="4"/>
  <c r="AG51" i="4"/>
  <c r="U50" i="4"/>
  <c r="Z50" i="4" s="1"/>
  <c r="J50" i="10" s="1"/>
  <c r="AH47" i="4"/>
  <c r="O47" i="4"/>
  <c r="AK46" i="4"/>
  <c r="R46" i="4"/>
  <c r="AI45" i="4"/>
  <c r="S44" i="4"/>
  <c r="X44" i="4" s="1"/>
  <c r="U40" i="4"/>
  <c r="T39" i="4"/>
  <c r="Y39" i="4" s="1"/>
  <c r="AK36" i="4"/>
  <c r="T34" i="4"/>
  <c r="Y34" i="4" s="1"/>
  <c r="I34" i="10" s="1"/>
  <c r="T31" i="4"/>
  <c r="Y31" i="4" s="1"/>
  <c r="AG26" i="4"/>
  <c r="N26" i="4"/>
  <c r="S22" i="4"/>
  <c r="X22" i="4" s="1"/>
  <c r="AG14" i="4"/>
  <c r="N14" i="4"/>
  <c r="S13" i="4"/>
  <c r="X13" i="4" s="1"/>
  <c r="AI6" i="4"/>
  <c r="P6" i="4"/>
  <c r="AK5" i="4"/>
  <c r="R5" i="4"/>
  <c r="AI30" i="4"/>
  <c r="P30" i="4"/>
  <c r="AG29" i="4"/>
  <c r="U27" i="4"/>
  <c r="Z27" i="4" s="1"/>
  <c r="J27" i="10" s="1"/>
  <c r="U19" i="4"/>
  <c r="Z19" i="4" s="1"/>
  <c r="J19" i="10" s="1"/>
  <c r="U14" i="4"/>
  <c r="AH11" i="4"/>
  <c r="T10" i="4"/>
  <c r="Y10" i="4" s="1"/>
  <c r="AH9" i="4"/>
  <c r="O9" i="4"/>
  <c r="S8" i="4"/>
  <c r="X8" i="4" s="1"/>
  <c r="AJ4" i="4"/>
  <c r="Q4" i="4"/>
  <c r="AH4" i="4"/>
  <c r="O4" i="4"/>
  <c r="U23" i="4"/>
  <c r="Z23" i="4" s="1"/>
  <c r="J23" i="10" s="1"/>
  <c r="AI5" i="4"/>
  <c r="P5" i="4"/>
  <c r="U4" i="4"/>
  <c r="Z4" i="4" s="1"/>
  <c r="J4" i="10" s="1"/>
  <c r="I10" i="10" l="1"/>
  <c r="Z14" i="4"/>
  <c r="J14" i="10" s="1"/>
  <c r="H13" i="10"/>
  <c r="H22" i="10"/>
  <c r="H44" i="10"/>
  <c r="H58" i="10"/>
  <c r="H65" i="10"/>
  <c r="H86" i="10"/>
  <c r="H90" i="10"/>
  <c r="H23" i="10"/>
  <c r="H8" i="10"/>
  <c r="I31" i="10"/>
  <c r="I39" i="10"/>
  <c r="Z40" i="4"/>
  <c r="Z54" i="4"/>
  <c r="H68" i="10"/>
  <c r="I73" i="10"/>
  <c r="H74" i="10"/>
  <c r="H18" i="10"/>
  <c r="H30" i="10"/>
  <c r="H37" i="10"/>
  <c r="H53" i="10"/>
  <c r="H56" i="10"/>
  <c r="H61" i="10"/>
  <c r="H63" i="10"/>
  <c r="H84" i="10"/>
  <c r="H94" i="10"/>
  <c r="H92" i="10"/>
  <c r="H99" i="10"/>
  <c r="J4" i="4"/>
  <c r="Y4" i="4"/>
  <c r="H51" i="10"/>
  <c r="H60" i="10"/>
  <c r="H64" i="10"/>
  <c r="H71" i="10"/>
  <c r="P23" i="4"/>
  <c r="AI23" i="4"/>
  <c r="K23" i="4"/>
  <c r="N8" i="4"/>
  <c r="AG8" i="4"/>
  <c r="I8" i="4"/>
  <c r="N22" i="4"/>
  <c r="AG22" i="4"/>
  <c r="I22" i="4"/>
  <c r="O34" i="4"/>
  <c r="AH34" i="4"/>
  <c r="J34" i="4"/>
  <c r="N44" i="4"/>
  <c r="AG44" i="4"/>
  <c r="I44" i="4"/>
  <c r="N58" i="4"/>
  <c r="AG58" i="4"/>
  <c r="I58" i="4"/>
  <c r="N74" i="4"/>
  <c r="AG74" i="4"/>
  <c r="I74" i="4"/>
  <c r="N18" i="4"/>
  <c r="AG18" i="4"/>
  <c r="I18" i="4"/>
  <c r="P41" i="4"/>
  <c r="AI41" i="4"/>
  <c r="K41" i="4"/>
  <c r="AH46" i="4"/>
  <c r="O46" i="4"/>
  <c r="J46" i="4"/>
  <c r="AI47" i="4"/>
  <c r="P47" i="4"/>
  <c r="K47" i="4"/>
  <c r="N56" i="4"/>
  <c r="AG56" i="4"/>
  <c r="I56" i="4"/>
  <c r="P72" i="4"/>
  <c r="AI72" i="4"/>
  <c r="K72" i="4"/>
  <c r="O101" i="4"/>
  <c r="J101" i="4"/>
  <c r="AH101" i="4"/>
  <c r="N86" i="4"/>
  <c r="AG86" i="4"/>
  <c r="I86" i="4"/>
  <c r="N92" i="4"/>
  <c r="AG92" i="4"/>
  <c r="I92" i="4"/>
  <c r="N99" i="4"/>
  <c r="AG99" i="4"/>
  <c r="I99" i="4"/>
  <c r="AH137" i="4"/>
  <c r="O137" i="4"/>
  <c r="J137" i="4"/>
  <c r="N119" i="4"/>
  <c r="I119" i="4"/>
  <c r="AG119" i="4"/>
  <c r="P4" i="4"/>
  <c r="AI4" i="4"/>
  <c r="K4" i="4"/>
  <c r="O10" i="4"/>
  <c r="AH10" i="4"/>
  <c r="J10" i="4"/>
  <c r="P14" i="4"/>
  <c r="AI14" i="4"/>
  <c r="K14" i="4"/>
  <c r="P19" i="4"/>
  <c r="AI19" i="4"/>
  <c r="K19" i="4"/>
  <c r="P27" i="4"/>
  <c r="AI27" i="4"/>
  <c r="K27" i="4"/>
  <c r="N13" i="4"/>
  <c r="AG13" i="4"/>
  <c r="I13" i="4"/>
  <c r="O31" i="4"/>
  <c r="AH31" i="4"/>
  <c r="J31" i="4"/>
  <c r="O39" i="4"/>
  <c r="AH39" i="4"/>
  <c r="J39" i="4"/>
  <c r="P40" i="4"/>
  <c r="AI40" i="4"/>
  <c r="K40" i="4"/>
  <c r="P50" i="4"/>
  <c r="AI50" i="4"/>
  <c r="K50" i="4"/>
  <c r="P54" i="4"/>
  <c r="AI54" i="4"/>
  <c r="K54" i="4"/>
  <c r="N68" i="4"/>
  <c r="AG68" i="4"/>
  <c r="I68" i="4"/>
  <c r="O73" i="4"/>
  <c r="AH73" i="4"/>
  <c r="J73" i="4"/>
  <c r="AI9" i="4"/>
  <c r="P9" i="4"/>
  <c r="K9" i="4"/>
  <c r="AG30" i="4"/>
  <c r="N30" i="4"/>
  <c r="I30" i="4"/>
  <c r="N37" i="4"/>
  <c r="AG37" i="4"/>
  <c r="I37" i="4"/>
  <c r="N53" i="4"/>
  <c r="AG53" i="4"/>
  <c r="I53" i="4"/>
  <c r="AG61" i="4"/>
  <c r="N61" i="4"/>
  <c r="I61" i="4"/>
  <c r="N63" i="4"/>
  <c r="AG63" i="4"/>
  <c r="I63" i="4"/>
  <c r="N65" i="4"/>
  <c r="AG65" i="4"/>
  <c r="I65" i="4"/>
  <c r="N84" i="4"/>
  <c r="I84" i="4"/>
  <c r="AG84" i="4"/>
  <c r="P88" i="4"/>
  <c r="AI88" i="4"/>
  <c r="K88" i="4"/>
  <c r="N94" i="4"/>
  <c r="I94" i="4"/>
  <c r="AG94" i="4"/>
  <c r="AJ82" i="4"/>
  <c r="Q82" i="4"/>
  <c r="L82" i="4"/>
  <c r="AG90" i="4"/>
  <c r="N90" i="4"/>
  <c r="I90" i="4"/>
  <c r="L202" i="4"/>
  <c r="Q202" i="4"/>
  <c r="AJ202" i="4"/>
  <c r="I4" i="10" l="1"/>
  <c r="J54" i="10"/>
  <c r="J40" i="10"/>
  <c r="U3" i="4" l="1"/>
  <c r="AI3" i="4" s="1"/>
  <c r="W3" i="4"/>
  <c r="AK3" i="4" s="1"/>
  <c r="W4" i="4"/>
  <c r="AK4" i="4" s="1"/>
  <c r="S5" i="4"/>
  <c r="AG5" i="4" s="1"/>
  <c r="T5" i="4"/>
  <c r="AH5" i="4" s="1"/>
  <c r="V5" i="4"/>
  <c r="AJ5" i="4"/>
  <c r="S6" i="4"/>
  <c r="AG6" i="4" s="1"/>
  <c r="V6" i="4"/>
  <c r="AJ6" i="4" s="1"/>
  <c r="T7" i="4"/>
  <c r="AH7" i="4" s="1"/>
  <c r="U7" i="4"/>
  <c r="AI7" i="4" s="1"/>
  <c r="V7" i="4"/>
  <c r="AJ7" i="4"/>
  <c r="W7" i="4"/>
  <c r="AK7" i="4" s="1"/>
  <c r="T8" i="4"/>
  <c r="AH8" i="4" s="1"/>
  <c r="V8" i="4"/>
  <c r="AJ8" i="4" s="1"/>
  <c r="W8" i="4"/>
  <c r="AK8" i="4" s="1"/>
  <c r="V9" i="4"/>
  <c r="AJ9" i="4" s="1"/>
  <c r="W9" i="4"/>
  <c r="AK9" i="4" s="1"/>
  <c r="V10" i="4"/>
  <c r="AJ10" i="4" s="1"/>
  <c r="W10" i="4"/>
  <c r="AK10" i="4" s="1"/>
  <c r="S11" i="4"/>
  <c r="AG11" i="4" s="1"/>
  <c r="U11" i="4"/>
  <c r="AI11" i="4" s="1"/>
  <c r="V11" i="4"/>
  <c r="AJ11" i="4" s="1"/>
  <c r="W11" i="4"/>
  <c r="AK11" i="4" s="1"/>
  <c r="S12" i="4"/>
  <c r="AG12" i="4" s="1"/>
  <c r="T12" i="4"/>
  <c r="AH12" i="4" s="1"/>
  <c r="U12" i="4"/>
  <c r="AI12" i="4" s="1"/>
  <c r="V12" i="4"/>
  <c r="AJ12" i="4" s="1"/>
  <c r="W12" i="4"/>
  <c r="AK12" i="4" s="1"/>
  <c r="T13" i="4"/>
  <c r="AH13" i="4" s="1"/>
  <c r="U13" i="4"/>
  <c r="AI13" i="4" s="1"/>
  <c r="V13" i="4"/>
  <c r="AJ13" i="4" s="1"/>
  <c r="W13" i="4"/>
  <c r="AK13" i="4" s="1"/>
  <c r="T14" i="4"/>
  <c r="AH14" i="4" s="1"/>
  <c r="V14" i="4"/>
  <c r="AJ14" i="4" s="1"/>
  <c r="W14" i="4"/>
  <c r="AK14" i="4" s="1"/>
  <c r="T15" i="4"/>
  <c r="AH15" i="4" s="1"/>
  <c r="U15" i="4"/>
  <c r="AI15" i="4" s="1"/>
  <c r="V15" i="4"/>
  <c r="AJ15" i="4" s="1"/>
  <c r="W15" i="4"/>
  <c r="AK15" i="4" s="1"/>
  <c r="S16" i="4"/>
  <c r="AG16" i="4" s="1"/>
  <c r="T16" i="4"/>
  <c r="AH16" i="4" s="1"/>
  <c r="U16" i="4"/>
  <c r="AI16" i="4" s="1"/>
  <c r="V16" i="4"/>
  <c r="AJ16" i="4" s="1"/>
  <c r="W16" i="4"/>
  <c r="AK16" i="4" s="1"/>
  <c r="T17" i="4"/>
  <c r="AH17" i="4" s="1"/>
  <c r="U17" i="4"/>
  <c r="AI17" i="4" s="1"/>
  <c r="V17" i="4"/>
  <c r="AJ17" i="4" s="1"/>
  <c r="W17" i="4"/>
  <c r="AK17" i="4" s="1"/>
  <c r="T18" i="4"/>
  <c r="AH18" i="4" s="1"/>
  <c r="V18" i="4"/>
  <c r="AJ18" i="4" s="1"/>
  <c r="W18" i="4"/>
  <c r="AK18" i="4" s="1"/>
  <c r="T19" i="4"/>
  <c r="AH19" i="4" s="1"/>
  <c r="V19" i="4"/>
  <c r="AJ19" i="4" s="1"/>
  <c r="W19" i="4"/>
  <c r="AK19" i="4" s="1"/>
  <c r="T20" i="4"/>
  <c r="AH20" i="4" s="1"/>
  <c r="U20" i="4"/>
  <c r="AI20" i="4" s="1"/>
  <c r="V20" i="4"/>
  <c r="AJ20" i="4" s="1"/>
  <c r="W20" i="4"/>
  <c r="AK20" i="4" s="1"/>
  <c r="T21" i="4"/>
  <c r="AH21" i="4" s="1"/>
  <c r="U21" i="4"/>
  <c r="AI21" i="4" s="1"/>
  <c r="V21" i="4"/>
  <c r="AJ21" i="4" s="1"/>
  <c r="W21" i="4"/>
  <c r="AK21" i="4" s="1"/>
  <c r="T22" i="4"/>
  <c r="AH22" i="4" s="1"/>
  <c r="U22" i="4"/>
  <c r="AI22" i="4" s="1"/>
  <c r="V22" i="4"/>
  <c r="AJ22" i="4" s="1"/>
  <c r="W22" i="4"/>
  <c r="AK22" i="4" s="1"/>
  <c r="T23" i="4"/>
  <c r="AH23" i="4" s="1"/>
  <c r="V23" i="4"/>
  <c r="AJ23" i="4" s="1"/>
  <c r="T24" i="4"/>
  <c r="AH24" i="4" s="1"/>
  <c r="U24" i="4"/>
  <c r="AI24" i="4" s="1"/>
  <c r="V24" i="4"/>
  <c r="AJ24" i="4" s="1"/>
  <c r="W24" i="4"/>
  <c r="AK24" i="4" s="1"/>
  <c r="S25" i="4"/>
  <c r="AG25" i="4" s="1"/>
  <c r="W25" i="4"/>
  <c r="AK25" i="4" s="1"/>
  <c r="T26" i="4"/>
  <c r="AH26" i="4" s="1"/>
  <c r="V26" i="4"/>
  <c r="AJ26" i="4" s="1"/>
  <c r="W26" i="4"/>
  <c r="AK26" i="4" s="1"/>
  <c r="S27" i="4"/>
  <c r="AG27" i="4" s="1"/>
  <c r="V27" i="4"/>
  <c r="AJ27" i="4" s="1"/>
  <c r="W27" i="4"/>
  <c r="AK27" i="4" s="1"/>
  <c r="S28" i="4"/>
  <c r="AG28" i="4" s="1"/>
  <c r="T28" i="4"/>
  <c r="AH28" i="4" s="1"/>
  <c r="U28" i="4"/>
  <c r="AI28" i="4" s="1"/>
  <c r="V28" i="4"/>
  <c r="AJ28" i="4" s="1"/>
  <c r="W28" i="4"/>
  <c r="AK28" i="4" s="1"/>
  <c r="T29" i="4"/>
  <c r="AH29" i="4" s="1"/>
  <c r="U29" i="4"/>
  <c r="AI29" i="4" s="1"/>
  <c r="V29" i="4"/>
  <c r="AJ29" i="4" s="1"/>
  <c r="W29" i="4"/>
  <c r="AK29" i="4" s="1"/>
  <c r="T30" i="4"/>
  <c r="AH30" i="4" s="1"/>
  <c r="V30" i="4"/>
  <c r="AJ30" i="4" s="1"/>
  <c r="W30" i="4"/>
  <c r="AK30" i="4" s="1"/>
  <c r="W31" i="4"/>
  <c r="AK31" i="4" s="1"/>
  <c r="T32" i="4"/>
  <c r="AH32" i="4" s="1"/>
  <c r="U32" i="4"/>
  <c r="AI32" i="4" s="1"/>
  <c r="V32" i="4"/>
  <c r="AJ32" i="4" s="1"/>
  <c r="W32" i="4"/>
  <c r="AK32" i="4" s="1"/>
  <c r="S33" i="4"/>
  <c r="AG33" i="4" s="1"/>
  <c r="V33" i="4"/>
  <c r="AJ33" i="4" s="1"/>
  <c r="W33" i="4"/>
  <c r="AK33" i="4"/>
  <c r="S34" i="4"/>
  <c r="AG34" i="4"/>
  <c r="V34" i="4"/>
  <c r="AJ34" i="4"/>
  <c r="S35" i="4"/>
  <c r="AG35" i="4" s="1"/>
  <c r="S36" i="4"/>
  <c r="AG36" i="4" s="1"/>
  <c r="U36" i="4"/>
  <c r="AI36" i="4"/>
  <c r="V36" i="4"/>
  <c r="AJ36" i="4" s="1"/>
  <c r="T37" i="4"/>
  <c r="AH37" i="4" s="1"/>
  <c r="U37" i="4"/>
  <c r="AI37" i="4" s="1"/>
  <c r="V37" i="4"/>
  <c r="AJ37" i="4" s="1"/>
  <c r="W37" i="4"/>
  <c r="AK37" i="4" s="1"/>
  <c r="U38" i="4"/>
  <c r="AI38" i="4" s="1"/>
  <c r="S39" i="4"/>
  <c r="AG39" i="4" s="1"/>
  <c r="U39" i="4"/>
  <c r="AI39" i="4" s="1"/>
  <c r="V39" i="4"/>
  <c r="AJ39" i="4" s="1"/>
  <c r="V40" i="4"/>
  <c r="AJ40" i="4" s="1"/>
  <c r="W40" i="4"/>
  <c r="AK40" i="4" s="1"/>
  <c r="T41" i="4"/>
  <c r="AH41" i="4" s="1"/>
  <c r="U42" i="4"/>
  <c r="AI42" i="4" s="1"/>
  <c r="T43" i="4"/>
  <c r="AH43" i="4" s="1"/>
  <c r="U43" i="4"/>
  <c r="AI43" i="4"/>
  <c r="V43" i="4"/>
  <c r="AJ43" i="4" s="1"/>
  <c r="W43" i="4"/>
  <c r="AK43" i="4" s="1"/>
  <c r="T44" i="4"/>
  <c r="AH44" i="4" s="1"/>
  <c r="V44" i="4"/>
  <c r="AJ44" i="4" s="1"/>
  <c r="W44" i="4"/>
  <c r="AK44" i="4" s="1"/>
  <c r="T45" i="4"/>
  <c r="AH45" i="4" s="1"/>
  <c r="W45" i="4"/>
  <c r="AK45" i="4" s="1"/>
  <c r="S46" i="4"/>
  <c r="AG46" i="4" s="1"/>
  <c r="V46" i="4"/>
  <c r="AJ46" i="4" s="1"/>
  <c r="S47" i="4"/>
  <c r="AG47" i="4" s="1"/>
  <c r="V47" i="4"/>
  <c r="AJ47" i="4" s="1"/>
  <c r="W47" i="4"/>
  <c r="AK47" i="4" s="1"/>
  <c r="U48" i="4"/>
  <c r="AI48" i="4" s="1"/>
  <c r="U49" i="4"/>
  <c r="AI49" i="4" s="1"/>
  <c r="S50" i="4"/>
  <c r="AG50" i="4" s="1"/>
  <c r="T50" i="4"/>
  <c r="AH50" i="4" s="1"/>
  <c r="V50" i="4"/>
  <c r="AJ50" i="4" s="1"/>
  <c r="W50" i="4"/>
  <c r="AK50" i="4" s="1"/>
  <c r="T51" i="4"/>
  <c r="AH51" i="4" s="1"/>
  <c r="V51" i="4"/>
  <c r="AJ51" i="4" s="1"/>
  <c r="W51" i="4"/>
  <c r="AK51" i="4" s="1"/>
  <c r="S52" i="4"/>
  <c r="AG52" i="4" s="1"/>
  <c r="T52" i="4"/>
  <c r="AH52" i="4" s="1"/>
  <c r="U52" i="4"/>
  <c r="AI52" i="4" s="1"/>
  <c r="V52" i="4"/>
  <c r="AJ52" i="4" s="1"/>
  <c r="W52" i="4"/>
  <c r="AK52" i="4" s="1"/>
  <c r="T53" i="4"/>
  <c r="AH53" i="4" s="1"/>
  <c r="U53" i="4"/>
  <c r="AI53" i="4" s="1"/>
  <c r="V53" i="4"/>
  <c r="AJ53" i="4" s="1"/>
  <c r="W53" i="4"/>
  <c r="AK53" i="4" s="1"/>
  <c r="V54" i="4"/>
  <c r="AJ54" i="4" s="1"/>
  <c r="W54" i="4"/>
  <c r="AK54" i="4" s="1"/>
  <c r="T55" i="4"/>
  <c r="AH55" i="4" s="1"/>
  <c r="U55" i="4"/>
  <c r="AI55" i="4" s="1"/>
  <c r="V55" i="4"/>
  <c r="AJ55" i="4" s="1"/>
  <c r="W55" i="4"/>
  <c r="AK55" i="4" s="1"/>
  <c r="T56" i="4"/>
  <c r="AH56" i="4" s="1"/>
  <c r="V56" i="4"/>
  <c r="AJ56" i="4" s="1"/>
  <c r="W56" i="4"/>
  <c r="AK56" i="4" s="1"/>
  <c r="T57" i="4"/>
  <c r="AH57" i="4" s="1"/>
  <c r="V57" i="4"/>
  <c r="AJ57" i="4" s="1"/>
  <c r="W57" i="4"/>
  <c r="AK57" i="4" s="1"/>
  <c r="T58" i="4"/>
  <c r="AH58" i="4" s="1"/>
  <c r="V58" i="4"/>
  <c r="AJ58" i="4" s="1"/>
  <c r="W58" i="4"/>
  <c r="AK58" i="4" s="1"/>
  <c r="T59" i="4"/>
  <c r="AH59" i="4" s="1"/>
  <c r="U59" i="4"/>
  <c r="AI59" i="4" s="1"/>
  <c r="V59" i="4"/>
  <c r="AJ59" i="4" s="1"/>
  <c r="W59" i="4"/>
  <c r="AK59" i="4" s="1"/>
  <c r="T60" i="4"/>
  <c r="AH60" i="4" s="1"/>
  <c r="U60" i="4"/>
  <c r="AI60" i="4" s="1"/>
  <c r="V60" i="4"/>
  <c r="AJ60" i="4" s="1"/>
  <c r="W60" i="4"/>
  <c r="AK60" i="4" s="1"/>
  <c r="U61" i="4"/>
  <c r="AI61" i="4" s="1"/>
  <c r="S62" i="4"/>
  <c r="AG62" i="4" s="1"/>
  <c r="U62" i="4"/>
  <c r="AI62" i="4" s="1"/>
  <c r="V62" i="4"/>
  <c r="AJ62" i="4" s="1"/>
  <c r="W62" i="4"/>
  <c r="AK62" i="4" s="1"/>
  <c r="U63" i="4"/>
  <c r="AI63" i="4" s="1"/>
  <c r="V63" i="4"/>
  <c r="AJ63" i="4" s="1"/>
  <c r="W63" i="4"/>
  <c r="AK63" i="4" s="1"/>
  <c r="T64" i="4"/>
  <c r="AH64" i="4" s="1"/>
  <c r="U64" i="4"/>
  <c r="AI64" i="4" s="1"/>
  <c r="V64" i="4"/>
  <c r="AJ64" i="4" s="1"/>
  <c r="W64" i="4"/>
  <c r="AK64" i="4" s="1"/>
  <c r="T65" i="4"/>
  <c r="AH65" i="4" s="1"/>
  <c r="U65" i="4"/>
  <c r="AI65" i="4" s="1"/>
  <c r="V65" i="4"/>
  <c r="AJ65" i="4" s="1"/>
  <c r="W65" i="4"/>
  <c r="T66" i="4"/>
  <c r="AH66" i="4" s="1"/>
  <c r="U66" i="4"/>
  <c r="AI66" i="4" s="1"/>
  <c r="V66" i="4"/>
  <c r="AJ66" i="4" s="1"/>
  <c r="W66" i="4"/>
  <c r="AK66" i="4" s="1"/>
  <c r="T67" i="4"/>
  <c r="AH67" i="4" s="1"/>
  <c r="U67" i="4"/>
  <c r="AI67" i="4" s="1"/>
  <c r="V67" i="4"/>
  <c r="AJ67" i="4" s="1"/>
  <c r="W67" i="4"/>
  <c r="AK67" i="4" s="1"/>
  <c r="T68" i="4"/>
  <c r="AH68" i="4" s="1"/>
  <c r="V68" i="4"/>
  <c r="AJ68" i="4" s="1"/>
  <c r="W68" i="4"/>
  <c r="AK68" i="4" s="1"/>
  <c r="S69" i="4"/>
  <c r="AG69" i="4" s="1"/>
  <c r="T69" i="4"/>
  <c r="AH69" i="4" s="1"/>
  <c r="U69" i="4"/>
  <c r="AI69" i="4" s="1"/>
  <c r="V69" i="4"/>
  <c r="AJ69" i="4" s="1"/>
  <c r="W69" i="4"/>
  <c r="AK69" i="4" s="1"/>
  <c r="T70" i="4"/>
  <c r="AH70" i="4" s="1"/>
  <c r="U70" i="4"/>
  <c r="AI70" i="4" s="1"/>
  <c r="V70" i="4"/>
  <c r="AJ70" i="4" s="1"/>
  <c r="W70" i="4"/>
  <c r="AK70" i="4" s="1"/>
  <c r="T71" i="4"/>
  <c r="AH71" i="4" s="1"/>
  <c r="V71" i="4"/>
  <c r="AJ71" i="4" s="1"/>
  <c r="W71" i="4"/>
  <c r="AK71" i="4" s="1"/>
  <c r="S72" i="4"/>
  <c r="AG72" i="4" s="1"/>
  <c r="U73" i="4"/>
  <c r="AI73" i="4" s="1"/>
  <c r="T74" i="4"/>
  <c r="AH74" i="4" s="1"/>
  <c r="V74" i="4"/>
  <c r="AJ74" i="4" s="1"/>
  <c r="W74" i="4"/>
  <c r="AK74" i="4" s="1"/>
  <c r="T75" i="4"/>
  <c r="AH75" i="4" s="1"/>
  <c r="V75" i="4"/>
  <c r="AJ75" i="4" s="1"/>
  <c r="W75" i="4"/>
  <c r="AK75" i="4" s="1"/>
  <c r="T76" i="4"/>
  <c r="AH76" i="4" s="1"/>
  <c r="V76" i="4"/>
  <c r="AJ76" i="4" s="1"/>
  <c r="W76" i="4"/>
  <c r="AK76" i="4" s="1"/>
  <c r="S77" i="4"/>
  <c r="AG77" i="4" s="1"/>
  <c r="V77" i="4"/>
  <c r="AJ77" i="4" s="1"/>
  <c r="W77" i="4"/>
  <c r="AK77" i="4" s="1"/>
  <c r="S78" i="4"/>
  <c r="AG78" i="4" s="1"/>
  <c r="T78" i="4"/>
  <c r="AH78" i="4" s="1"/>
  <c r="V78" i="4"/>
  <c r="AJ78" i="4" s="1"/>
  <c r="W78" i="4"/>
  <c r="AK78" i="4" s="1"/>
  <c r="S79" i="4"/>
  <c r="AG79" i="4" s="1"/>
  <c r="U79" i="4"/>
  <c r="AI79" i="4" s="1"/>
  <c r="V79" i="4"/>
  <c r="AJ79" i="4" s="1"/>
  <c r="W79" i="4"/>
  <c r="AK79" i="4" s="1"/>
  <c r="T80" i="4"/>
  <c r="AH80" i="4" s="1"/>
  <c r="U80" i="4"/>
  <c r="AI80" i="4" s="1"/>
  <c r="V80" i="4"/>
  <c r="AJ80" i="4" s="1"/>
  <c r="W80" i="4"/>
  <c r="AK80" i="4" s="1"/>
  <c r="T81" i="4"/>
  <c r="AH81" i="4" s="1"/>
  <c r="U81" i="4"/>
  <c r="AI81" i="4" s="1"/>
  <c r="U82" i="4"/>
  <c r="AI82" i="4" s="1"/>
  <c r="W82" i="4"/>
  <c r="AK82" i="4" s="1"/>
  <c r="T83" i="4"/>
  <c r="AH83" i="4" s="1"/>
  <c r="U83" i="4"/>
  <c r="AI83" i="4" s="1"/>
  <c r="V83" i="4"/>
  <c r="AJ83" i="4" s="1"/>
  <c r="W83" i="4"/>
  <c r="AK83" i="4" s="1"/>
  <c r="T84" i="4"/>
  <c r="AH84" i="4" s="1"/>
  <c r="V84" i="4"/>
  <c r="AJ84" i="4" s="1"/>
  <c r="W84" i="4"/>
  <c r="AK84" i="4" s="1"/>
  <c r="T85" i="4"/>
  <c r="AH85" i="4" s="1"/>
  <c r="V85" i="4"/>
  <c r="AJ85" i="4" s="1"/>
  <c r="W85" i="4"/>
  <c r="AK85" i="4" s="1"/>
  <c r="T86" i="4"/>
  <c r="AH86" i="4" s="1"/>
  <c r="V86" i="4"/>
  <c r="AJ86" i="4" s="1"/>
  <c r="W86" i="4"/>
  <c r="AK86" i="4" s="1"/>
  <c r="T87" i="4"/>
  <c r="AH87" i="4" s="1"/>
  <c r="U87" i="4"/>
  <c r="AI87" i="4" s="1"/>
  <c r="V87" i="4"/>
  <c r="AJ87" i="4" s="1"/>
  <c r="W87" i="4"/>
  <c r="AK87" i="4" s="1"/>
  <c r="V88" i="4"/>
  <c r="AJ88" i="4" s="1"/>
  <c r="W88" i="4"/>
  <c r="AK88" i="4" s="1"/>
  <c r="U89" i="4"/>
  <c r="AI89" i="4" s="1"/>
  <c r="V90" i="4"/>
  <c r="W90" i="4"/>
  <c r="AK90" i="4" s="1"/>
  <c r="T91" i="4"/>
  <c r="AH91" i="4" s="1"/>
  <c r="V91" i="4"/>
  <c r="AJ91" i="4" s="1"/>
  <c r="W91" i="4"/>
  <c r="AK91" i="4" s="1"/>
  <c r="T92" i="4"/>
  <c r="AH92" i="4" s="1"/>
  <c r="V92" i="4"/>
  <c r="AJ92" i="4" s="1"/>
  <c r="W92" i="4"/>
  <c r="AK92" i="4" s="1"/>
  <c r="S93" i="4"/>
  <c r="AG93" i="4" s="1"/>
  <c r="V93" i="4"/>
  <c r="AJ93" i="4" s="1"/>
  <c r="W93" i="4"/>
  <c r="AK93" i="4" s="1"/>
  <c r="T94" i="4"/>
  <c r="AH94" i="4" s="1"/>
  <c r="V94" i="4"/>
  <c r="AJ94" i="4" s="1"/>
  <c r="W94" i="4"/>
  <c r="AK94" i="4" s="1"/>
  <c r="I96" i="6" s="1"/>
  <c r="T95" i="4"/>
  <c r="AH95" i="4" s="1"/>
  <c r="V95" i="4"/>
  <c r="AJ95" i="4" s="1"/>
  <c r="W95" i="4"/>
  <c r="AK95" i="4" s="1"/>
  <c r="S96" i="4"/>
  <c r="AG96" i="4" s="1"/>
  <c r="T96" i="4"/>
  <c r="AH96" i="4" s="1"/>
  <c r="U96" i="4"/>
  <c r="AI96" i="4" s="1"/>
  <c r="V96" i="4"/>
  <c r="AJ96" i="4" s="1"/>
  <c r="W96" i="4"/>
  <c r="AK96" i="4" s="1"/>
  <c r="T97" i="4"/>
  <c r="AH97" i="4" s="1"/>
  <c r="U97" i="4"/>
  <c r="AI97" i="4" s="1"/>
  <c r="V97" i="4"/>
  <c r="AJ97" i="4" s="1"/>
  <c r="W97" i="4"/>
  <c r="AK97" i="4" s="1"/>
  <c r="T98" i="4"/>
  <c r="AH98" i="4" s="1"/>
  <c r="U98" i="4"/>
  <c r="AI98" i="4" s="1"/>
  <c r="V98" i="4"/>
  <c r="AJ98" i="4" s="1"/>
  <c r="W98" i="4"/>
  <c r="AK98" i="4" s="1"/>
  <c r="T99" i="4"/>
  <c r="AH99" i="4" s="1"/>
  <c r="U99" i="4"/>
  <c r="AI99" i="4" s="1"/>
  <c r="V99" i="4"/>
  <c r="AJ99" i="4" s="1"/>
  <c r="W99" i="4"/>
  <c r="AK99" i="4" s="1"/>
  <c r="T100" i="4"/>
  <c r="AH100" i="4" s="1"/>
  <c r="U100" i="4"/>
  <c r="AI100" i="4" s="1"/>
  <c r="V100" i="4"/>
  <c r="AJ100" i="4" s="1"/>
  <c r="W100" i="4"/>
  <c r="AK100" i="4" s="1"/>
  <c r="S101" i="4"/>
  <c r="AG101" i="4" s="1"/>
  <c r="U101" i="4"/>
  <c r="AI101" i="4" s="1"/>
  <c r="V101" i="4"/>
  <c r="AJ101" i="4" s="1"/>
  <c r="W101" i="4"/>
  <c r="AK101" i="4" s="1"/>
  <c r="T102" i="4"/>
  <c r="AH102" i="4" s="1"/>
  <c r="U102" i="4"/>
  <c r="AI102" i="4" s="1"/>
  <c r="V102" i="4"/>
  <c r="AJ102" i="4" s="1"/>
  <c r="W102" i="4"/>
  <c r="AK102" i="4" s="1"/>
  <c r="R90" i="4"/>
  <c r="AB90" i="4"/>
  <c r="O65" i="4"/>
  <c r="P65" i="4"/>
  <c r="Q65" i="4"/>
  <c r="Y65" i="4"/>
  <c r="Z65" i="4"/>
  <c r="AA65" i="4"/>
  <c r="O14" i="4"/>
  <c r="Q14" i="4"/>
  <c r="R14" i="4"/>
  <c r="Y14" i="4"/>
  <c r="AA14" i="4"/>
  <c r="AB14" i="4"/>
  <c r="Q10" i="4"/>
  <c r="R10" i="4"/>
  <c r="AA10" i="4"/>
  <c r="AB10" i="4"/>
  <c r="AF10" i="4" s="1"/>
  <c r="P99" i="4"/>
  <c r="R99" i="4"/>
  <c r="Y99" i="4"/>
  <c r="Z99" i="4"/>
  <c r="AB99" i="4"/>
  <c r="N47" i="4"/>
  <c r="Q47" i="4"/>
  <c r="R47" i="4"/>
  <c r="X47" i="4"/>
  <c r="AA47" i="4"/>
  <c r="AB47" i="4"/>
  <c r="O68" i="4"/>
  <c r="Q68" i="4"/>
  <c r="R68" i="4"/>
  <c r="Y68" i="4"/>
  <c r="AA68" i="4"/>
  <c r="AB68" i="4"/>
  <c r="O86" i="4"/>
  <c r="Q86" i="4"/>
  <c r="R86" i="4"/>
  <c r="Y86" i="4"/>
  <c r="AF86" i="4" s="1"/>
  <c r="AA86" i="4"/>
  <c r="AB86" i="4"/>
  <c r="N72" i="4"/>
  <c r="X72" i="4"/>
  <c r="AF72" i="4" s="1"/>
  <c r="G74" i="6" s="1"/>
  <c r="O18" i="4"/>
  <c r="Q18" i="4"/>
  <c r="R18" i="4"/>
  <c r="Y18" i="4"/>
  <c r="AA18" i="4"/>
  <c r="AB18" i="4"/>
  <c r="O94" i="4"/>
  <c r="R94" i="4"/>
  <c r="Y94" i="4"/>
  <c r="AA94" i="4"/>
  <c r="AB94" i="4"/>
  <c r="P61" i="4"/>
  <c r="Z61" i="4"/>
  <c r="AF61" i="4" s="1"/>
  <c r="N39" i="4"/>
  <c r="P39" i="4"/>
  <c r="Q39" i="4"/>
  <c r="X39" i="4"/>
  <c r="Z39" i="4"/>
  <c r="AA39" i="4"/>
  <c r="P82" i="4"/>
  <c r="R82" i="4"/>
  <c r="Z82" i="4"/>
  <c r="AB82" i="4"/>
  <c r="O56" i="4"/>
  <c r="Q56" i="4"/>
  <c r="R56" i="4"/>
  <c r="Y56" i="4"/>
  <c r="AA56" i="4"/>
  <c r="AB56" i="4"/>
  <c r="R4" i="4"/>
  <c r="AB4" i="4"/>
  <c r="AF4" i="4" s="1"/>
  <c r="O23" i="4"/>
  <c r="Q23" i="4"/>
  <c r="Y23" i="4"/>
  <c r="AA23" i="4"/>
  <c r="AA40" i="4"/>
  <c r="K40" i="10" s="1"/>
  <c r="AB40" i="4"/>
  <c r="L40" i="10" s="1"/>
  <c r="P73" i="4"/>
  <c r="Z73" i="4"/>
  <c r="AF73" i="4" s="1"/>
  <c r="G75" i="6" s="1"/>
  <c r="O13" i="4"/>
  <c r="P13" i="4"/>
  <c r="Q13" i="4"/>
  <c r="R13" i="4"/>
  <c r="Y13" i="4"/>
  <c r="Z13" i="4"/>
  <c r="AA13" i="4"/>
  <c r="AB13" i="4"/>
  <c r="N96" i="4"/>
  <c r="O96" i="4"/>
  <c r="P96" i="4"/>
  <c r="Q96" i="4"/>
  <c r="R96" i="4"/>
  <c r="X96" i="4"/>
  <c r="Y96" i="4"/>
  <c r="Z96" i="4"/>
  <c r="AA96" i="4"/>
  <c r="AB96" i="4"/>
  <c r="O41" i="4"/>
  <c r="Y41" i="4"/>
  <c r="AF41" i="4" s="1"/>
  <c r="G43" i="6" s="1"/>
  <c r="O58" i="4"/>
  <c r="Q58" i="4"/>
  <c r="R58" i="4"/>
  <c r="Y58" i="4"/>
  <c r="AA58" i="4"/>
  <c r="AB58" i="4"/>
  <c r="L58" i="10" s="1"/>
  <c r="N46" i="4"/>
  <c r="Q46" i="4"/>
  <c r="X46" i="4"/>
  <c r="AA46" i="4"/>
  <c r="O19" i="4"/>
  <c r="Q19" i="4"/>
  <c r="R19" i="4"/>
  <c r="Y19" i="4"/>
  <c r="AA19" i="4"/>
  <c r="AB19" i="4"/>
  <c r="O74" i="4"/>
  <c r="Q74" i="4"/>
  <c r="R74" i="4"/>
  <c r="Y74" i="4"/>
  <c r="AA74" i="4"/>
  <c r="AB74" i="4"/>
  <c r="P63" i="4"/>
  <c r="Q63" i="4"/>
  <c r="R63" i="4"/>
  <c r="Z63" i="4"/>
  <c r="AA63" i="4"/>
  <c r="AB63" i="4"/>
  <c r="O30" i="4"/>
  <c r="Q30" i="4"/>
  <c r="R30" i="4"/>
  <c r="Y30" i="4"/>
  <c r="I30" i="10" s="1"/>
  <c r="AA30" i="4"/>
  <c r="AB30" i="4"/>
  <c r="L30" i="10" s="1"/>
  <c r="O92" i="4"/>
  <c r="Q92" i="4"/>
  <c r="R92" i="4"/>
  <c r="Y92" i="4"/>
  <c r="AA92" i="4"/>
  <c r="AB92" i="4"/>
  <c r="AA54" i="4"/>
  <c r="K54" i="10" s="1"/>
  <c r="AB54" i="4"/>
  <c r="L54" i="10" s="1"/>
  <c r="L4" i="10"/>
  <c r="M4" i="10" s="1"/>
  <c r="Q54" i="4"/>
  <c r="R54" i="4"/>
  <c r="O26" i="4"/>
  <c r="Q26" i="4"/>
  <c r="R26" i="4"/>
  <c r="Y26" i="4"/>
  <c r="AA26" i="4"/>
  <c r="AB26" i="4"/>
  <c r="N93" i="4"/>
  <c r="Q93" i="4"/>
  <c r="R93" i="4"/>
  <c r="X93" i="4"/>
  <c r="AA93" i="4"/>
  <c r="AB93" i="4"/>
  <c r="K58" i="10"/>
  <c r="Q9" i="4"/>
  <c r="R9" i="4"/>
  <c r="I68" i="10"/>
  <c r="K68" i="10"/>
  <c r="L68" i="10"/>
  <c r="Y53" i="4"/>
  <c r="I53" i="10" s="1"/>
  <c r="Z53" i="4"/>
  <c r="J53" i="10" s="1"/>
  <c r="AA53" i="4"/>
  <c r="K53" i="10" s="1"/>
  <c r="AB53" i="4"/>
  <c r="L53" i="10" s="1"/>
  <c r="I94" i="10"/>
  <c r="K94" i="10"/>
  <c r="L94" i="10"/>
  <c r="Y51" i="4"/>
  <c r="I51" i="10" s="1"/>
  <c r="AA51" i="4"/>
  <c r="K51" i="10" s="1"/>
  <c r="AB51" i="4"/>
  <c r="L51" i="10" s="1"/>
  <c r="J23" i="4"/>
  <c r="L23" i="4"/>
  <c r="AC23" i="4" s="1"/>
  <c r="H25" i="6" s="1"/>
  <c r="J22" i="4"/>
  <c r="K22" i="4"/>
  <c r="L22" i="4"/>
  <c r="M22" i="4"/>
  <c r="I46" i="4"/>
  <c r="L46" i="4"/>
  <c r="S137" i="4"/>
  <c r="AG137" i="4" s="1"/>
  <c r="U137" i="4"/>
  <c r="AI137" i="4" s="1"/>
  <c r="V137" i="4"/>
  <c r="AJ137" i="4" s="1"/>
  <c r="W137" i="4"/>
  <c r="AK137" i="4" s="1"/>
  <c r="M4" i="4"/>
  <c r="AC4" i="4" s="1"/>
  <c r="H6" i="6" s="1"/>
  <c r="J13" i="4"/>
  <c r="K13" i="4"/>
  <c r="L13" i="4"/>
  <c r="M13" i="4"/>
  <c r="L40" i="4"/>
  <c r="M40" i="4"/>
  <c r="AC40" i="4" s="1"/>
  <c r="H42" i="6" s="1"/>
  <c r="L54" i="4"/>
  <c r="M54" i="4"/>
  <c r="L90" i="4"/>
  <c r="M90" i="4"/>
  <c r="K10" i="10"/>
  <c r="L10" i="10"/>
  <c r="Y22" i="4"/>
  <c r="I22" i="10" s="1"/>
  <c r="Z22" i="4"/>
  <c r="J22" i="10" s="1"/>
  <c r="AA22" i="4"/>
  <c r="K22" i="10" s="1"/>
  <c r="AB22" i="4"/>
  <c r="L22" i="10" s="1"/>
  <c r="I65" i="10"/>
  <c r="J65" i="10"/>
  <c r="K65" i="10"/>
  <c r="L90" i="10"/>
  <c r="I74" i="10"/>
  <c r="K74" i="10"/>
  <c r="L74" i="10"/>
  <c r="K30" i="10"/>
  <c r="J61" i="10"/>
  <c r="M61" i="10" s="1"/>
  <c r="Q88" i="4"/>
  <c r="R88" i="4"/>
  <c r="R90" i="6" s="1"/>
  <c r="Y64" i="4"/>
  <c r="I64" i="10" s="1"/>
  <c r="Z64" i="4"/>
  <c r="J64" i="10" s="1"/>
  <c r="AA64" i="4"/>
  <c r="K64" i="10" s="1"/>
  <c r="AB64" i="4"/>
  <c r="L64" i="10" s="1"/>
  <c r="J44" i="4"/>
  <c r="L44" i="4"/>
  <c r="M44" i="4"/>
  <c r="J74" i="4"/>
  <c r="L74" i="4"/>
  <c r="M74" i="4"/>
  <c r="J41" i="4"/>
  <c r="AC41" i="4" s="1"/>
  <c r="H43" i="6" s="1"/>
  <c r="J56" i="4"/>
  <c r="L56" i="4"/>
  <c r="M56" i="4"/>
  <c r="J99" i="4"/>
  <c r="K99" i="4"/>
  <c r="AC99" i="4" s="1"/>
  <c r="H101" i="6" s="1"/>
  <c r="L99" i="4"/>
  <c r="M99" i="4"/>
  <c r="T119" i="4"/>
  <c r="AH119" i="4" s="1"/>
  <c r="U119" i="4"/>
  <c r="AI119" i="4" s="1"/>
  <c r="V119" i="4"/>
  <c r="AJ119" i="4" s="1"/>
  <c r="W119" i="4"/>
  <c r="AK119" i="4" s="1"/>
  <c r="J19" i="4"/>
  <c r="AC19" i="4" s="1"/>
  <c r="H21" i="6" s="1"/>
  <c r="L19" i="4"/>
  <c r="M19" i="4"/>
  <c r="I39" i="4"/>
  <c r="K39" i="4"/>
  <c r="L39" i="4"/>
  <c r="L9" i="4"/>
  <c r="M9" i="4"/>
  <c r="J53" i="4"/>
  <c r="K53" i="4"/>
  <c r="L53" i="4"/>
  <c r="M53" i="4"/>
  <c r="J65" i="4"/>
  <c r="K65" i="4"/>
  <c r="L65" i="4"/>
  <c r="M65" i="4"/>
  <c r="J84" i="4"/>
  <c r="L84" i="4"/>
  <c r="M84" i="4"/>
  <c r="L88" i="4"/>
  <c r="M88" i="4"/>
  <c r="J94" i="4"/>
  <c r="L94" i="4"/>
  <c r="M94" i="4"/>
  <c r="J37" i="4"/>
  <c r="K37" i="4"/>
  <c r="L37" i="4"/>
  <c r="M37" i="4"/>
  <c r="K63" i="4"/>
  <c r="L63" i="4"/>
  <c r="M63" i="4"/>
  <c r="AC63" i="4"/>
  <c r="H65" i="6" s="1"/>
  <c r="S202" i="4"/>
  <c r="I202" i="4"/>
  <c r="U202" i="4"/>
  <c r="K202" i="4"/>
  <c r="W202" i="4"/>
  <c r="M202" i="4"/>
  <c r="Q40" i="4"/>
  <c r="R40" i="4"/>
  <c r="R42" i="6" s="1"/>
  <c r="P3" i="4"/>
  <c r="R3" i="4"/>
  <c r="Z3" i="4"/>
  <c r="J3" i="10" s="1"/>
  <c r="R8" i="10" s="1"/>
  <c r="R19" i="10" s="1"/>
  <c r="R25" i="10" s="1"/>
  <c r="AB3" i="4"/>
  <c r="L3" i="10" s="1"/>
  <c r="T8" i="10" s="1"/>
  <c r="T19" i="10" s="1"/>
  <c r="T25" i="10" s="1"/>
  <c r="O8" i="4"/>
  <c r="Q8" i="4"/>
  <c r="R8" i="4"/>
  <c r="Y8" i="4"/>
  <c r="AA8" i="4"/>
  <c r="AB8" i="4"/>
  <c r="O44" i="4"/>
  <c r="Q44" i="4"/>
  <c r="BB44" i="4" s="1"/>
  <c r="R44" i="4"/>
  <c r="Y44" i="4"/>
  <c r="AA44" i="4"/>
  <c r="AB44" i="4"/>
  <c r="AU41" i="4"/>
  <c r="I43" i="6"/>
  <c r="I48" i="6"/>
  <c r="AU46" i="4"/>
  <c r="AY56" i="4"/>
  <c r="BB56" i="4"/>
  <c r="R58" i="6"/>
  <c r="AX56" i="4"/>
  <c r="BA56" i="4"/>
  <c r="AZ56" i="4"/>
  <c r="AU72" i="4"/>
  <c r="I74" i="6"/>
  <c r="AU73" i="4"/>
  <c r="I75" i="6"/>
  <c r="AY86" i="4"/>
  <c r="BB86" i="4"/>
  <c r="R88" i="6"/>
  <c r="AX86" i="4"/>
  <c r="BA86" i="4"/>
  <c r="AZ86" i="4"/>
  <c r="AY92" i="4"/>
  <c r="BA92" i="4"/>
  <c r="AZ92" i="4"/>
  <c r="R94" i="6"/>
  <c r="AX92" i="4"/>
  <c r="BB92" i="4"/>
  <c r="P137" i="4"/>
  <c r="R137" i="4"/>
  <c r="Z137" i="4"/>
  <c r="AB137" i="4"/>
  <c r="K3" i="4"/>
  <c r="M3" i="4"/>
  <c r="I5" i="4"/>
  <c r="J5" i="4"/>
  <c r="L5" i="4"/>
  <c r="I6" i="4"/>
  <c r="L6" i="4"/>
  <c r="J7" i="4"/>
  <c r="K7" i="4"/>
  <c r="L7" i="4"/>
  <c r="M7" i="4"/>
  <c r="J8" i="4"/>
  <c r="AC8" i="4" s="1"/>
  <c r="H10" i="6" s="1"/>
  <c r="L8" i="4"/>
  <c r="M8" i="4"/>
  <c r="L10" i="4"/>
  <c r="M10" i="4"/>
  <c r="I11" i="4"/>
  <c r="K11" i="4"/>
  <c r="L11" i="4"/>
  <c r="M11" i="4"/>
  <c r="I12" i="4"/>
  <c r="J12" i="4"/>
  <c r="K12" i="4"/>
  <c r="L12" i="4"/>
  <c r="M12" i="4"/>
  <c r="J14" i="4"/>
  <c r="L14" i="4"/>
  <c r="M14" i="4"/>
  <c r="J15" i="4"/>
  <c r="K15" i="4"/>
  <c r="L15" i="4"/>
  <c r="M15" i="4"/>
  <c r="I16" i="4"/>
  <c r="J16" i="4"/>
  <c r="K16" i="4"/>
  <c r="L16" i="4"/>
  <c r="M16" i="4"/>
  <c r="J17" i="4"/>
  <c r="K17" i="4"/>
  <c r="AC17" i="4" s="1"/>
  <c r="H19" i="6" s="1"/>
  <c r="L17" i="4"/>
  <c r="M17" i="4"/>
  <c r="J18" i="4"/>
  <c r="L18" i="4"/>
  <c r="M18" i="4"/>
  <c r="J20" i="4"/>
  <c r="K20" i="4"/>
  <c r="AC20" i="4" s="1"/>
  <c r="H22" i="6" s="1"/>
  <c r="L20" i="4"/>
  <c r="M20" i="4"/>
  <c r="J21" i="4"/>
  <c r="K21" i="4"/>
  <c r="L21" i="4"/>
  <c r="M21" i="4"/>
  <c r="J24" i="4"/>
  <c r="K24" i="4"/>
  <c r="L24" i="4"/>
  <c r="M24" i="4"/>
  <c r="I25" i="4"/>
  <c r="M25" i="4"/>
  <c r="J26" i="4"/>
  <c r="L26" i="4"/>
  <c r="M26" i="4"/>
  <c r="I27" i="4"/>
  <c r="L27" i="4"/>
  <c r="M27" i="4"/>
  <c r="I28" i="4"/>
  <c r="J28" i="4"/>
  <c r="K28" i="4"/>
  <c r="L28" i="4"/>
  <c r="M28" i="4"/>
  <c r="J29" i="4"/>
  <c r="K29" i="4"/>
  <c r="L29" i="4"/>
  <c r="M29" i="4"/>
  <c r="J30" i="4"/>
  <c r="L30" i="4"/>
  <c r="M30" i="4"/>
  <c r="M31" i="4"/>
  <c r="AC31" i="4" s="1"/>
  <c r="H33" i="6" s="1"/>
  <c r="J32" i="4"/>
  <c r="K32" i="4"/>
  <c r="L32" i="4"/>
  <c r="M32" i="4"/>
  <c r="I33" i="4"/>
  <c r="L33" i="4"/>
  <c r="M33" i="4"/>
  <c r="I34" i="4"/>
  <c r="L34" i="4"/>
  <c r="I35" i="4"/>
  <c r="AC35" i="4" s="1"/>
  <c r="H37" i="6" s="1"/>
  <c r="I36" i="4"/>
  <c r="K36" i="4"/>
  <c r="L36" i="4"/>
  <c r="K38" i="4"/>
  <c r="AC38" i="4" s="1"/>
  <c r="H40" i="6" s="1"/>
  <c r="K42" i="4"/>
  <c r="AC42" i="4" s="1"/>
  <c r="H44" i="6" s="1"/>
  <c r="J43" i="4"/>
  <c r="K43" i="4"/>
  <c r="L43" i="4"/>
  <c r="M43" i="4"/>
  <c r="J45" i="4"/>
  <c r="M45" i="4"/>
  <c r="I47" i="4"/>
  <c r="L47" i="4"/>
  <c r="M47" i="4"/>
  <c r="K48" i="4"/>
  <c r="AC48" i="4" s="1"/>
  <c r="H50" i="6" s="1"/>
  <c r="K49" i="4"/>
  <c r="AC49" i="4" s="1"/>
  <c r="H51" i="6" s="1"/>
  <c r="I50" i="4"/>
  <c r="J50" i="4"/>
  <c r="L50" i="4"/>
  <c r="M50" i="4"/>
  <c r="J51" i="4"/>
  <c r="L51" i="4"/>
  <c r="M51" i="4"/>
  <c r="I52" i="4"/>
  <c r="J52" i="4"/>
  <c r="K52" i="4"/>
  <c r="L52" i="4"/>
  <c r="M52" i="4"/>
  <c r="J55" i="4"/>
  <c r="K55" i="4"/>
  <c r="L55" i="4"/>
  <c r="M55" i="4"/>
  <c r="J57" i="4"/>
  <c r="L57" i="4"/>
  <c r="M57" i="4"/>
  <c r="J58" i="4"/>
  <c r="L58" i="4"/>
  <c r="M58" i="4"/>
  <c r="J59" i="4"/>
  <c r="K59" i="4"/>
  <c r="AC59" i="4" s="1"/>
  <c r="H61" i="6" s="1"/>
  <c r="L59" i="4"/>
  <c r="M59" i="4"/>
  <c r="J60" i="4"/>
  <c r="K60" i="4"/>
  <c r="L60" i="4"/>
  <c r="M60" i="4"/>
  <c r="K61" i="4"/>
  <c r="AC61" i="4" s="1"/>
  <c r="H63" i="6" s="1"/>
  <c r="I62" i="4"/>
  <c r="K62" i="4"/>
  <c r="L62" i="4"/>
  <c r="M62" i="4"/>
  <c r="J64" i="4"/>
  <c r="K64" i="4"/>
  <c r="L64" i="4"/>
  <c r="M64" i="4"/>
  <c r="J66" i="4"/>
  <c r="K66" i="4"/>
  <c r="AC66" i="4" s="1"/>
  <c r="H68" i="6" s="1"/>
  <c r="L66" i="4"/>
  <c r="M66" i="4"/>
  <c r="J67" i="4"/>
  <c r="K67" i="4"/>
  <c r="L67" i="4"/>
  <c r="M67" i="4"/>
  <c r="J68" i="4"/>
  <c r="L68" i="4"/>
  <c r="M68" i="4"/>
  <c r="I69" i="4"/>
  <c r="J69" i="4"/>
  <c r="K69" i="4"/>
  <c r="L69" i="4"/>
  <c r="M69" i="4"/>
  <c r="J70" i="4"/>
  <c r="K70" i="4"/>
  <c r="L70" i="4"/>
  <c r="M70" i="4"/>
  <c r="J71" i="4"/>
  <c r="L71" i="4"/>
  <c r="M71" i="4"/>
  <c r="I72" i="4"/>
  <c r="AC72" i="4" s="1"/>
  <c r="H74" i="6" s="1"/>
  <c r="K73" i="4"/>
  <c r="AC73" i="4" s="1"/>
  <c r="H75" i="6" s="1"/>
  <c r="J75" i="4"/>
  <c r="L75" i="4"/>
  <c r="M75" i="4"/>
  <c r="J76" i="4"/>
  <c r="L76" i="4"/>
  <c r="M76" i="4"/>
  <c r="I77" i="4"/>
  <c r="L77" i="4"/>
  <c r="M77" i="4"/>
  <c r="I78" i="4"/>
  <c r="J78" i="4"/>
  <c r="L78" i="4"/>
  <c r="M78" i="4"/>
  <c r="I79" i="4"/>
  <c r="K79" i="4"/>
  <c r="L79" i="4"/>
  <c r="M79" i="4"/>
  <c r="J80" i="4"/>
  <c r="K80" i="4"/>
  <c r="L80" i="4"/>
  <c r="M80" i="4"/>
  <c r="J81" i="4"/>
  <c r="K81" i="4"/>
  <c r="AC81" i="4"/>
  <c r="H83" i="6" s="1"/>
  <c r="K82" i="4"/>
  <c r="M82" i="4"/>
  <c r="AC82" i="4" s="1"/>
  <c r="H84" i="6" s="1"/>
  <c r="J83" i="4"/>
  <c r="K83" i="4"/>
  <c r="L83" i="4"/>
  <c r="M83" i="4"/>
  <c r="AC83" i="4" s="1"/>
  <c r="H85" i="6" s="1"/>
  <c r="J85" i="4"/>
  <c r="L85" i="4"/>
  <c r="M85" i="4"/>
  <c r="J86" i="4"/>
  <c r="L86" i="4"/>
  <c r="M86" i="4"/>
  <c r="J87" i="4"/>
  <c r="K87" i="4"/>
  <c r="L87" i="4"/>
  <c r="M87" i="4"/>
  <c r="K89" i="4"/>
  <c r="AC89" i="4" s="1"/>
  <c r="H91" i="6" s="1"/>
  <c r="J91" i="4"/>
  <c r="L91" i="4"/>
  <c r="M91" i="4"/>
  <c r="J92" i="4"/>
  <c r="L92" i="4"/>
  <c r="M92" i="4"/>
  <c r="I93" i="4"/>
  <c r="L93" i="4"/>
  <c r="M93" i="4"/>
  <c r="J95" i="4"/>
  <c r="L95" i="4"/>
  <c r="M95" i="4"/>
  <c r="I96" i="4"/>
  <c r="J96" i="4"/>
  <c r="K96" i="4"/>
  <c r="L96" i="4"/>
  <c r="M96" i="4"/>
  <c r="J97" i="4"/>
  <c r="K97" i="4"/>
  <c r="L97" i="4"/>
  <c r="M97" i="4"/>
  <c r="J98" i="4"/>
  <c r="K98" i="4"/>
  <c r="L98" i="4"/>
  <c r="M98" i="4"/>
  <c r="J100" i="4"/>
  <c r="K100" i="4"/>
  <c r="L100" i="4"/>
  <c r="M100" i="4"/>
  <c r="I101" i="4"/>
  <c r="K101" i="4"/>
  <c r="L101" i="4"/>
  <c r="M101" i="4"/>
  <c r="J102" i="4"/>
  <c r="K102" i="4"/>
  <c r="L102" i="4"/>
  <c r="M102" i="4"/>
  <c r="I11" i="6"/>
  <c r="AU9" i="4"/>
  <c r="I29" i="6"/>
  <c r="AU27" i="4"/>
  <c r="AU31" i="4"/>
  <c r="I33" i="6"/>
  <c r="AU50" i="4"/>
  <c r="I52" i="6"/>
  <c r="I32" i="6"/>
  <c r="AU30" i="4"/>
  <c r="O37" i="4"/>
  <c r="P37" i="4"/>
  <c r="Q37" i="4"/>
  <c r="R37" i="4"/>
  <c r="Y37" i="4"/>
  <c r="Z37" i="4"/>
  <c r="AF37" i="4" s="1"/>
  <c r="G39" i="6" s="1"/>
  <c r="AA37" i="4"/>
  <c r="AB37" i="4"/>
  <c r="AX61" i="4"/>
  <c r="AZ61" i="4"/>
  <c r="R63" i="6"/>
  <c r="AY61" i="4"/>
  <c r="BB61" i="4"/>
  <c r="BA61" i="4"/>
  <c r="AE63" i="4"/>
  <c r="F65" i="6" s="1"/>
  <c r="AE3" i="4"/>
  <c r="F5" i="6" s="1"/>
  <c r="AE4" i="4"/>
  <c r="F6" i="6" s="1"/>
  <c r="AE5" i="4"/>
  <c r="F7" i="6" s="1"/>
  <c r="AE6" i="4"/>
  <c r="F8" i="6" s="1"/>
  <c r="AE7" i="4"/>
  <c r="F9" i="6" s="1"/>
  <c r="AE8" i="4"/>
  <c r="F10" i="6" s="1"/>
  <c r="AE9" i="4"/>
  <c r="F11" i="6" s="1"/>
  <c r="AE10" i="4"/>
  <c r="F12" i="6" s="1"/>
  <c r="AE11" i="4"/>
  <c r="F13" i="6" s="1"/>
  <c r="AE12" i="4"/>
  <c r="F14" i="6" s="1"/>
  <c r="AE13" i="4"/>
  <c r="F15" i="6" s="1"/>
  <c r="AE14" i="4"/>
  <c r="F16" i="6" s="1"/>
  <c r="AE15" i="4"/>
  <c r="F17" i="6" s="1"/>
  <c r="AE16" i="4"/>
  <c r="F18" i="6" s="1"/>
  <c r="AE17" i="4"/>
  <c r="F19" i="6" s="1"/>
  <c r="AE18" i="4"/>
  <c r="F20" i="6" s="1"/>
  <c r="AE19" i="4"/>
  <c r="F21" i="6" s="1"/>
  <c r="AE20" i="4"/>
  <c r="F22" i="6" s="1"/>
  <c r="AE21" i="4"/>
  <c r="F23" i="6" s="1"/>
  <c r="AE22" i="4"/>
  <c r="F24" i="6" s="1"/>
  <c r="AE23" i="4"/>
  <c r="F25" i="6" s="1"/>
  <c r="AE24" i="4"/>
  <c r="F26" i="6" s="1"/>
  <c r="AE25" i="4"/>
  <c r="F27" i="6" s="1"/>
  <c r="AE26" i="4"/>
  <c r="F28" i="6" s="1"/>
  <c r="AE27" i="4"/>
  <c r="F29" i="6" s="1"/>
  <c r="AE28" i="4"/>
  <c r="F30" i="6" s="1"/>
  <c r="AE29" i="4"/>
  <c r="F31" i="6" s="1"/>
  <c r="AE30" i="4"/>
  <c r="F32" i="6" s="1"/>
  <c r="AE31" i="4"/>
  <c r="F33" i="6" s="1"/>
  <c r="AE32" i="4"/>
  <c r="F34" i="6" s="1"/>
  <c r="AE33" i="4"/>
  <c r="F35" i="6" s="1"/>
  <c r="AE34" i="4"/>
  <c r="F36" i="6" s="1"/>
  <c r="AE35" i="4"/>
  <c r="F37" i="6" s="1"/>
  <c r="AE36" i="4"/>
  <c r="F38" i="6" s="1"/>
  <c r="AE37" i="4"/>
  <c r="F39" i="6" s="1"/>
  <c r="AE38" i="4"/>
  <c r="F40" i="6" s="1"/>
  <c r="AE39" i="4"/>
  <c r="F41" i="6" s="1"/>
  <c r="AE40" i="4"/>
  <c r="F42" i="6" s="1"/>
  <c r="AE41" i="4"/>
  <c r="F43" i="6" s="1"/>
  <c r="AE42" i="4"/>
  <c r="F44" i="6" s="1"/>
  <c r="AE43" i="4"/>
  <c r="F45" i="6" s="1"/>
  <c r="AE44" i="4"/>
  <c r="F46" i="6" s="1"/>
  <c r="AE45" i="4"/>
  <c r="F47" i="6" s="1"/>
  <c r="AE46" i="4"/>
  <c r="F48" i="6" s="1"/>
  <c r="AE47" i="4"/>
  <c r="F49" i="6" s="1"/>
  <c r="AE48" i="4"/>
  <c r="F50" i="6" s="1"/>
  <c r="AE49" i="4"/>
  <c r="F51" i="6" s="1"/>
  <c r="AE50" i="4"/>
  <c r="F52" i="6" s="1"/>
  <c r="AE51" i="4"/>
  <c r="F53" i="6" s="1"/>
  <c r="AE52" i="4"/>
  <c r="F54" i="6" s="1"/>
  <c r="AE53" i="4"/>
  <c r="F55" i="6" s="1"/>
  <c r="AE54" i="4"/>
  <c r="F56" i="6" s="1"/>
  <c r="AE55" i="4"/>
  <c r="F57" i="6" s="1"/>
  <c r="AE56" i="4"/>
  <c r="F58" i="6" s="1"/>
  <c r="AE57" i="4"/>
  <c r="F59" i="6" s="1"/>
  <c r="AE58" i="4"/>
  <c r="F60" i="6" s="1"/>
  <c r="AE59" i="4"/>
  <c r="F61" i="6" s="1"/>
  <c r="AE60" i="4"/>
  <c r="F62" i="6" s="1"/>
  <c r="AE61" i="4"/>
  <c r="F63" i="6" s="1"/>
  <c r="AE62" i="4"/>
  <c r="F64" i="6" s="1"/>
  <c r="AE64" i="4"/>
  <c r="F66" i="6" s="1"/>
  <c r="AE65" i="4"/>
  <c r="F67" i="6" s="1"/>
  <c r="AE66" i="4"/>
  <c r="F68" i="6" s="1"/>
  <c r="AE67" i="4"/>
  <c r="F69" i="6" s="1"/>
  <c r="AE68" i="4"/>
  <c r="F70" i="6" s="1"/>
  <c r="AE69" i="4"/>
  <c r="F71" i="6" s="1"/>
  <c r="AE70" i="4"/>
  <c r="F72" i="6" s="1"/>
  <c r="AE71" i="4"/>
  <c r="F73" i="6" s="1"/>
  <c r="AE72" i="4"/>
  <c r="F74" i="6" s="1"/>
  <c r="AE73" i="4"/>
  <c r="F75" i="6" s="1"/>
  <c r="AE74" i="4"/>
  <c r="F76" i="6" s="1"/>
  <c r="AE75" i="4"/>
  <c r="F77" i="6" s="1"/>
  <c r="AE76" i="4"/>
  <c r="F78" i="6" s="1"/>
  <c r="AE77" i="4"/>
  <c r="F79" i="6" s="1"/>
  <c r="AE78" i="4"/>
  <c r="F80" i="6" s="1"/>
  <c r="AE79" i="4"/>
  <c r="F81" i="6" s="1"/>
  <c r="AE80" i="4"/>
  <c r="F82" i="6" s="1"/>
  <c r="AE81" i="4"/>
  <c r="F83" i="6" s="1"/>
  <c r="AE82" i="4"/>
  <c r="F84" i="6" s="1"/>
  <c r="AE83" i="4"/>
  <c r="F85" i="6" s="1"/>
  <c r="AE84" i="4"/>
  <c r="F86" i="6" s="1"/>
  <c r="AE85" i="4"/>
  <c r="F87" i="6" s="1"/>
  <c r="AE86" i="4"/>
  <c r="F88" i="6" s="1"/>
  <c r="AE87" i="4"/>
  <c r="F89" i="6" s="1"/>
  <c r="AE88" i="4"/>
  <c r="F90" i="6" s="1"/>
  <c r="AE89" i="4"/>
  <c r="F91" i="6" s="1"/>
  <c r="AE90" i="4"/>
  <c r="F92" i="6" s="1"/>
  <c r="AE91" i="4"/>
  <c r="F93" i="6" s="1"/>
  <c r="AE92" i="4"/>
  <c r="F94" i="6" s="1"/>
  <c r="AE93" i="4"/>
  <c r="F95" i="6" s="1"/>
  <c r="AE94" i="4"/>
  <c r="F96" i="6" s="1"/>
  <c r="AE95" i="4"/>
  <c r="F97" i="6" s="1"/>
  <c r="AE96" i="4"/>
  <c r="F98" i="6" s="1"/>
  <c r="AE97" i="4"/>
  <c r="F99" i="6" s="1"/>
  <c r="AE98" i="4"/>
  <c r="F100" i="6" s="1"/>
  <c r="AE99" i="4"/>
  <c r="F101" i="6" s="1"/>
  <c r="AE100" i="4"/>
  <c r="F102" i="6" s="1"/>
  <c r="AE101" i="4"/>
  <c r="F103" i="6" s="1"/>
  <c r="AE102" i="4"/>
  <c r="F104" i="6" s="1"/>
  <c r="I86" i="6"/>
  <c r="AU84" i="4"/>
  <c r="X5" i="4"/>
  <c r="Y5" i="4"/>
  <c r="AA5" i="4"/>
  <c r="X6" i="4"/>
  <c r="AA6" i="4"/>
  <c r="AF6" i="4"/>
  <c r="G8" i="6" s="1"/>
  <c r="Y7" i="4"/>
  <c r="Z7" i="4"/>
  <c r="AA7" i="4"/>
  <c r="AB7" i="4"/>
  <c r="AA9" i="4"/>
  <c r="AB9" i="4"/>
  <c r="AF9" i="4" s="1"/>
  <c r="X11" i="4"/>
  <c r="Z11" i="4"/>
  <c r="AA11" i="4"/>
  <c r="AB11" i="4"/>
  <c r="X12" i="4"/>
  <c r="Y12" i="4"/>
  <c r="Z12" i="4"/>
  <c r="AA12" i="4"/>
  <c r="AB12" i="4"/>
  <c r="Y15" i="4"/>
  <c r="Z15" i="4"/>
  <c r="AA15" i="4"/>
  <c r="AB15" i="4"/>
  <c r="X16" i="4"/>
  <c r="Y16" i="4"/>
  <c r="Z16" i="4"/>
  <c r="AA16" i="4"/>
  <c r="AB16" i="4"/>
  <c r="Y17" i="4"/>
  <c r="Z17" i="4"/>
  <c r="AF17" i="4" s="1"/>
  <c r="G19" i="6" s="1"/>
  <c r="AA17" i="4"/>
  <c r="AB17" i="4"/>
  <c r="Y20" i="4"/>
  <c r="Z20" i="4"/>
  <c r="AA20" i="4"/>
  <c r="AB20" i="4"/>
  <c r="Y21" i="4"/>
  <c r="Z21" i="4"/>
  <c r="AA21" i="4"/>
  <c r="AB21" i="4"/>
  <c r="AF22" i="4"/>
  <c r="G24" i="6" s="1"/>
  <c r="Y24" i="4"/>
  <c r="Z24" i="4"/>
  <c r="AA24" i="4"/>
  <c r="AB24" i="4"/>
  <c r="X25" i="4"/>
  <c r="AB25" i="4"/>
  <c r="X27" i="4"/>
  <c r="AA27" i="4"/>
  <c r="AB27" i="4"/>
  <c r="X28" i="4"/>
  <c r="Y28" i="4"/>
  <c r="Z28" i="4"/>
  <c r="AA28" i="4"/>
  <c r="AB28" i="4"/>
  <c r="Y29" i="4"/>
  <c r="Z29" i="4"/>
  <c r="AA29" i="4"/>
  <c r="AB29" i="4"/>
  <c r="AB31" i="4"/>
  <c r="AF31" i="4" s="1"/>
  <c r="G33" i="6" s="1"/>
  <c r="Y32" i="4"/>
  <c r="Z32" i="4"/>
  <c r="AA32" i="4"/>
  <c r="AB32" i="4"/>
  <c r="X33" i="4"/>
  <c r="AA33" i="4"/>
  <c r="AB33" i="4"/>
  <c r="X34" i="4"/>
  <c r="AA34" i="4"/>
  <c r="X35" i="4"/>
  <c r="AF35" i="4" s="1"/>
  <c r="G37" i="6" s="1"/>
  <c r="X36" i="4"/>
  <c r="Z36" i="4"/>
  <c r="AA36" i="4"/>
  <c r="Z38" i="4"/>
  <c r="AF38" i="4" s="1"/>
  <c r="G40" i="6" s="1"/>
  <c r="AF40" i="4"/>
  <c r="G42" i="6" s="1"/>
  <c r="Z42" i="4"/>
  <c r="AF42" i="4" s="1"/>
  <c r="Y43" i="4"/>
  <c r="Z43" i="4"/>
  <c r="AA43" i="4"/>
  <c r="AB43" i="4"/>
  <c r="Y45" i="4"/>
  <c r="AB45" i="4"/>
  <c r="Z48" i="4"/>
  <c r="AF48" i="4" s="1"/>
  <c r="G50" i="6" s="1"/>
  <c r="Z49" i="4"/>
  <c r="AF49" i="4" s="1"/>
  <c r="G51" i="6" s="1"/>
  <c r="X50" i="4"/>
  <c r="Y50" i="4"/>
  <c r="AA50" i="4"/>
  <c r="AB50" i="4"/>
  <c r="AF51" i="4"/>
  <c r="G53" i="6" s="1"/>
  <c r="X52" i="4"/>
  <c r="Y52" i="4"/>
  <c r="Z52" i="4"/>
  <c r="AA52" i="4"/>
  <c r="AB52" i="4"/>
  <c r="AF53" i="4"/>
  <c r="G55" i="6" s="1"/>
  <c r="Y55" i="4"/>
  <c r="Z55" i="4"/>
  <c r="AA55" i="4"/>
  <c r="AB55" i="4"/>
  <c r="Y57" i="4"/>
  <c r="AA57" i="4"/>
  <c r="AB57" i="4"/>
  <c r="Y59" i="4"/>
  <c r="Z59" i="4"/>
  <c r="AA59" i="4"/>
  <c r="AB59" i="4"/>
  <c r="Y60" i="4"/>
  <c r="Z60" i="4"/>
  <c r="AA60" i="4"/>
  <c r="AB60" i="4"/>
  <c r="AF60" i="4"/>
  <c r="G62" i="6" s="1"/>
  <c r="X62" i="4"/>
  <c r="Z62" i="4"/>
  <c r="AA62" i="4"/>
  <c r="AB62" i="4"/>
  <c r="AF64" i="4"/>
  <c r="G66" i="6" s="1"/>
  <c r="Y66" i="4"/>
  <c r="Z66" i="4"/>
  <c r="AA66" i="4"/>
  <c r="AB66" i="4"/>
  <c r="Y67" i="4"/>
  <c r="Z67" i="4"/>
  <c r="AA67" i="4"/>
  <c r="AB67" i="4"/>
  <c r="AF67" i="4"/>
  <c r="G69" i="6" s="1"/>
  <c r="X69" i="4"/>
  <c r="Y69" i="4"/>
  <c r="Z69" i="4"/>
  <c r="AA69" i="4"/>
  <c r="AB69" i="4"/>
  <c r="Y70" i="4"/>
  <c r="Z70" i="4"/>
  <c r="AA70" i="4"/>
  <c r="AB70" i="4"/>
  <c r="AF70" i="4"/>
  <c r="G72" i="6" s="1"/>
  <c r="Y71" i="4"/>
  <c r="AA71" i="4"/>
  <c r="AB71" i="4"/>
  <c r="AF71" i="4"/>
  <c r="G73" i="6" s="1"/>
  <c r="Y75" i="4"/>
  <c r="AA75" i="4"/>
  <c r="AB75" i="4"/>
  <c r="Y76" i="4"/>
  <c r="AA76" i="4"/>
  <c r="AB76" i="4"/>
  <c r="X77" i="4"/>
  <c r="AA77" i="4"/>
  <c r="AB77" i="4"/>
  <c r="AF77" i="4"/>
  <c r="G79" i="6" s="1"/>
  <c r="X78" i="4"/>
  <c r="Y78" i="4"/>
  <c r="AA78" i="4"/>
  <c r="AB78" i="4"/>
  <c r="X79" i="4"/>
  <c r="Z79" i="4"/>
  <c r="AA79" i="4"/>
  <c r="AB79" i="4"/>
  <c r="Y80" i="4"/>
  <c r="Z80" i="4"/>
  <c r="AA80" i="4"/>
  <c r="AB80" i="4"/>
  <c r="Y81" i="4"/>
  <c r="Z81" i="4"/>
  <c r="AF81" i="4" s="1"/>
  <c r="G83" i="6" s="1"/>
  <c r="Y83" i="4"/>
  <c r="Z83" i="4"/>
  <c r="AA83" i="4"/>
  <c r="AB83" i="4"/>
  <c r="Y84" i="4"/>
  <c r="AA84" i="4"/>
  <c r="AB84" i="4"/>
  <c r="Y85" i="4"/>
  <c r="AA85" i="4"/>
  <c r="AB85" i="4"/>
  <c r="Y87" i="4"/>
  <c r="Z87" i="4"/>
  <c r="AA87" i="4"/>
  <c r="AB87" i="4"/>
  <c r="AA88" i="4"/>
  <c r="AB88" i="4"/>
  <c r="AF88" i="4" s="1"/>
  <c r="Z89" i="4"/>
  <c r="AF89" i="4" s="1"/>
  <c r="G91" i="6" s="1"/>
  <c r="Y91" i="4"/>
  <c r="AA91" i="4"/>
  <c r="AB91" i="4"/>
  <c r="Y95" i="4"/>
  <c r="AA95" i="4"/>
  <c r="AB95" i="4"/>
  <c r="Y97" i="4"/>
  <c r="Z97" i="4"/>
  <c r="AA97" i="4"/>
  <c r="AB97" i="4"/>
  <c r="Y98" i="4"/>
  <c r="Z98" i="4"/>
  <c r="AA98" i="4"/>
  <c r="AB98" i="4"/>
  <c r="Y100" i="4"/>
  <c r="Z100" i="4"/>
  <c r="AA100" i="4"/>
  <c r="AB100" i="4"/>
  <c r="X101" i="4"/>
  <c r="Z101" i="4"/>
  <c r="AA101" i="4"/>
  <c r="AB101" i="4"/>
  <c r="Y102" i="4"/>
  <c r="Z102" i="4"/>
  <c r="AA102" i="4"/>
  <c r="AB102" i="4"/>
  <c r="AU23" i="4"/>
  <c r="I25" i="6"/>
  <c r="BB9" i="4"/>
  <c r="AY9" i="4"/>
  <c r="AZ9" i="4"/>
  <c r="BA9" i="4"/>
  <c r="AX9" i="4"/>
  <c r="I15" i="6"/>
  <c r="AU13" i="4"/>
  <c r="AU34" i="4"/>
  <c r="I36" i="6"/>
  <c r="I70" i="6"/>
  <c r="AU68" i="4"/>
  <c r="AX74" i="4"/>
  <c r="AZ74" i="4"/>
  <c r="R76" i="6"/>
  <c r="AY74" i="4"/>
  <c r="BB74" i="4"/>
  <c r="BA74" i="4"/>
  <c r="AU40" i="4"/>
  <c r="I42" i="6"/>
  <c r="N79" i="4"/>
  <c r="P79" i="4"/>
  <c r="Q79" i="4"/>
  <c r="R79" i="4"/>
  <c r="I103" i="6"/>
  <c r="AU101" i="4"/>
  <c r="O119" i="4"/>
  <c r="P119" i="4"/>
  <c r="Q119" i="4"/>
  <c r="R119" i="4"/>
  <c r="Y119" i="4"/>
  <c r="Z119" i="4"/>
  <c r="AA119" i="4"/>
  <c r="AB119" i="4"/>
  <c r="N5" i="4"/>
  <c r="O5" i="4"/>
  <c r="Q5" i="4"/>
  <c r="AX10" i="4"/>
  <c r="AY10" i="4"/>
  <c r="BB10" i="4"/>
  <c r="BA10" i="4"/>
  <c r="R12" i="6"/>
  <c r="AZ10" i="4"/>
  <c r="AU10" i="4"/>
  <c r="I12" i="6"/>
  <c r="AU14" i="4"/>
  <c r="I16" i="6"/>
  <c r="N6" i="4"/>
  <c r="Q6" i="4"/>
  <c r="AX13" i="4"/>
  <c r="BB13" i="4"/>
  <c r="R15" i="6"/>
  <c r="AY13" i="4"/>
  <c r="BA13" i="4"/>
  <c r="AZ13" i="4"/>
  <c r="I41" i="6"/>
  <c r="AU39" i="4"/>
  <c r="AZ73" i="4"/>
  <c r="AY73" i="4"/>
  <c r="R75" i="6"/>
  <c r="BB73" i="4"/>
  <c r="BA73" i="4"/>
  <c r="AX73" i="4"/>
  <c r="AD73" i="4"/>
  <c r="J75" i="6" s="1"/>
  <c r="I39" i="6"/>
  <c r="AU37" i="4"/>
  <c r="AU63" i="4"/>
  <c r="I65" i="6"/>
  <c r="N78" i="4"/>
  <c r="O78" i="4"/>
  <c r="Q78" i="4"/>
  <c r="R78" i="4"/>
  <c r="AU94" i="4"/>
  <c r="O100" i="4"/>
  <c r="P100" i="4"/>
  <c r="AZ100" i="4" s="1"/>
  <c r="Q100" i="4"/>
  <c r="R100" i="4"/>
  <c r="N202" i="4"/>
  <c r="P202" i="4"/>
  <c r="R202" i="4"/>
  <c r="X202" i="4"/>
  <c r="Z202" i="4"/>
  <c r="AB202" i="4"/>
  <c r="I13" i="10"/>
  <c r="J13" i="10"/>
  <c r="K13" i="10"/>
  <c r="L13" i="10"/>
  <c r="I23" i="10"/>
  <c r="K23" i="10"/>
  <c r="M23" i="10" s="1"/>
  <c r="L31" i="10"/>
  <c r="M31" i="10" s="1"/>
  <c r="I37" i="10"/>
  <c r="J37" i="10"/>
  <c r="K37" i="10"/>
  <c r="L37" i="10"/>
  <c r="I84" i="10"/>
  <c r="K84" i="10"/>
  <c r="L84" i="10"/>
  <c r="I99" i="10"/>
  <c r="J99" i="10"/>
  <c r="L99" i="10"/>
  <c r="I60" i="10"/>
  <c r="J60" i="10"/>
  <c r="K60" i="10"/>
  <c r="L60" i="10"/>
  <c r="AX18" i="4"/>
  <c r="BB18" i="4"/>
  <c r="AY18" i="4"/>
  <c r="BA18" i="4"/>
  <c r="AZ18" i="4"/>
  <c r="R20" i="6"/>
  <c r="I137" i="4"/>
  <c r="K137" i="4"/>
  <c r="L137" i="4"/>
  <c r="M137" i="4"/>
  <c r="R31" i="4"/>
  <c r="BB31" i="4" s="1"/>
  <c r="AX68" i="4"/>
  <c r="AZ68" i="4"/>
  <c r="AY68" i="4"/>
  <c r="BB68" i="4"/>
  <c r="BA68" i="4"/>
  <c r="R70" i="6"/>
  <c r="O53" i="4"/>
  <c r="P53" i="4"/>
  <c r="AD53" i="4" s="1"/>
  <c r="J55" i="6" s="1"/>
  <c r="Q53" i="4"/>
  <c r="R53" i="4"/>
  <c r="AU82" i="4"/>
  <c r="I84" i="6"/>
  <c r="AG202" i="4"/>
  <c r="AI202" i="4"/>
  <c r="AK202" i="4"/>
  <c r="I14" i="10"/>
  <c r="K14" i="10"/>
  <c r="L14" i="10"/>
  <c r="I44" i="10"/>
  <c r="K44" i="10"/>
  <c r="L44" i="10"/>
  <c r="I86" i="10"/>
  <c r="K86" i="10"/>
  <c r="L86" i="10"/>
  <c r="I8" i="10"/>
  <c r="K8" i="10"/>
  <c r="L8" i="10"/>
  <c r="I18" i="10"/>
  <c r="K18" i="10"/>
  <c r="L18" i="10"/>
  <c r="I56" i="10"/>
  <c r="K56" i="10"/>
  <c r="L56" i="10"/>
  <c r="J63" i="10"/>
  <c r="K63" i="10"/>
  <c r="L63" i="10"/>
  <c r="I92" i="10"/>
  <c r="K92" i="10"/>
  <c r="L92" i="10"/>
  <c r="I71" i="10"/>
  <c r="K71" i="10"/>
  <c r="L71" i="10"/>
  <c r="O22" i="4"/>
  <c r="P22" i="4"/>
  <c r="Q22" i="4"/>
  <c r="R22" i="4"/>
  <c r="AX58" i="4"/>
  <c r="AZ58" i="4"/>
  <c r="AY58" i="4"/>
  <c r="BB58" i="4"/>
  <c r="BA58" i="4"/>
  <c r="R60" i="6"/>
  <c r="J119" i="4"/>
  <c r="K119" i="4"/>
  <c r="L119" i="4"/>
  <c r="M119" i="4"/>
  <c r="AZ4" i="4"/>
  <c r="R6" i="6"/>
  <c r="BA4" i="4"/>
  <c r="AX4" i="4"/>
  <c r="BB4" i="4"/>
  <c r="AY4" i="4"/>
  <c r="AY63" i="4"/>
  <c r="BB63" i="4"/>
  <c r="BA63" i="4"/>
  <c r="AX63" i="4"/>
  <c r="AZ63" i="4"/>
  <c r="R65" i="6"/>
  <c r="O84" i="4"/>
  <c r="Q84" i="4"/>
  <c r="R84" i="4"/>
  <c r="AY88" i="4"/>
  <c r="BA88" i="4"/>
  <c r="BB88" i="4"/>
  <c r="AX88" i="4"/>
  <c r="AZ88" i="4"/>
  <c r="AX30" i="4"/>
  <c r="AZ30" i="4"/>
  <c r="AY30" i="4"/>
  <c r="BB30" i="4"/>
  <c r="BA30" i="4"/>
  <c r="R32" i="6"/>
  <c r="AU99" i="4"/>
  <c r="I101" i="6"/>
  <c r="BA54" i="4"/>
  <c r="AX54" i="4"/>
  <c r="R56" i="6"/>
  <c r="AY54" i="4"/>
  <c r="BB54" i="4"/>
  <c r="AZ54" i="4"/>
  <c r="S144" i="4"/>
  <c r="N144" i="4" s="1"/>
  <c r="U144" i="4"/>
  <c r="P144" i="4" s="1"/>
  <c r="W144" i="4"/>
  <c r="R144" i="4" s="1"/>
  <c r="S118" i="4"/>
  <c r="N118" i="4" s="1"/>
  <c r="U118" i="4"/>
  <c r="P118" i="4" s="1"/>
  <c r="V118" i="4"/>
  <c r="Q118" i="4" s="1"/>
  <c r="W118" i="4"/>
  <c r="R118" i="4" s="1"/>
  <c r="X118" i="4"/>
  <c r="S130" i="4"/>
  <c r="N130" i="4" s="1"/>
  <c r="T130" i="4"/>
  <c r="U130" i="4"/>
  <c r="P130" i="4" s="1"/>
  <c r="V130" i="4"/>
  <c r="W130" i="4"/>
  <c r="T107" i="4"/>
  <c r="O107" i="4" s="1"/>
  <c r="U107" i="4"/>
  <c r="V107" i="4"/>
  <c r="Q107" i="4" s="1"/>
  <c r="W107" i="4"/>
  <c r="Y107" i="4"/>
  <c r="S142" i="4"/>
  <c r="N142" i="4" s="1"/>
  <c r="U142" i="4"/>
  <c r="P142" i="4" s="1"/>
  <c r="V142" i="4"/>
  <c r="Q142" i="4" s="1"/>
  <c r="W142" i="4"/>
  <c r="R142" i="4" s="1"/>
  <c r="X142" i="4"/>
  <c r="AA142" i="4"/>
  <c r="S211" i="4"/>
  <c r="N211" i="4" s="1"/>
  <c r="T211" i="4"/>
  <c r="U211" i="4"/>
  <c r="V211" i="4"/>
  <c r="X211" i="4"/>
  <c r="I94" i="6"/>
  <c r="AU92" i="4"/>
  <c r="AU86" i="4"/>
  <c r="I88" i="6"/>
  <c r="I80" i="6"/>
  <c r="AU78" i="4"/>
  <c r="AU56" i="4"/>
  <c r="I58" i="6"/>
  <c r="I60" i="6"/>
  <c r="AU58" i="4"/>
  <c r="I46" i="6"/>
  <c r="AU44" i="4"/>
  <c r="AU4" i="4"/>
  <c r="I6" i="6"/>
  <c r="I67" i="10"/>
  <c r="J67" i="10"/>
  <c r="K67" i="10"/>
  <c r="L67" i="10"/>
  <c r="J42" i="10"/>
  <c r="M42" i="10" s="1"/>
  <c r="T109" i="4"/>
  <c r="U109" i="4"/>
  <c r="V109" i="4"/>
  <c r="L109" i="4" s="1"/>
  <c r="W109" i="4"/>
  <c r="I19" i="10"/>
  <c r="K19" i="10"/>
  <c r="L19" i="10"/>
  <c r="T186" i="4"/>
  <c r="U186" i="4"/>
  <c r="AI186" i="4" s="1"/>
  <c r="V186" i="4"/>
  <c r="W186" i="4"/>
  <c r="AK186" i="4" s="1"/>
  <c r="T134" i="4"/>
  <c r="U134" i="4"/>
  <c r="AI134" i="4" s="1"/>
  <c r="V134" i="4"/>
  <c r="W134" i="4"/>
  <c r="AK134" i="4" s="1"/>
  <c r="S170" i="4"/>
  <c r="V170" i="4"/>
  <c r="W170" i="4"/>
  <c r="S161" i="4"/>
  <c r="U161" i="4"/>
  <c r="V161" i="4"/>
  <c r="AJ161" i="4" s="1"/>
  <c r="W161" i="4"/>
  <c r="J82" i="10"/>
  <c r="L82" i="10"/>
  <c r="S140" i="4"/>
  <c r="U140" i="4"/>
  <c r="K140" i="4" s="1"/>
  <c r="W140" i="4"/>
  <c r="R140" i="4" s="1"/>
  <c r="H47" i="10"/>
  <c r="K47" i="10"/>
  <c r="L47" i="10"/>
  <c r="S183" i="4"/>
  <c r="V183" i="4"/>
  <c r="AJ183" i="4" s="1"/>
  <c r="AG211" i="4"/>
  <c r="I90" i="6"/>
  <c r="AU88" i="4"/>
  <c r="AU79" i="4"/>
  <c r="I81" i="6"/>
  <c r="S113" i="4"/>
  <c r="I113" i="4" s="1"/>
  <c r="T113" i="4"/>
  <c r="J113" i="4" s="1"/>
  <c r="U113" i="4"/>
  <c r="K113" i="4" s="1"/>
  <c r="W113" i="4"/>
  <c r="M113" i="4" s="1"/>
  <c r="BA100" i="4"/>
  <c r="AD40" i="4"/>
  <c r="J42" i="6" s="1"/>
  <c r="BA40" i="4"/>
  <c r="AY40" i="4"/>
  <c r="AX40" i="4"/>
  <c r="BB40" i="4"/>
  <c r="AZ40" i="4"/>
  <c r="AU38" i="4"/>
  <c r="I40" i="6"/>
  <c r="I35" i="6"/>
  <c r="AU33" i="4"/>
  <c r="AU19" i="4"/>
  <c r="I21" i="6"/>
  <c r="I20" i="6"/>
  <c r="AU18" i="4"/>
  <c r="I76" i="6"/>
  <c r="AU74" i="4"/>
  <c r="AU51" i="4"/>
  <c r="I53" i="6"/>
  <c r="I49" i="6"/>
  <c r="AU47" i="4"/>
  <c r="I28" i="6"/>
  <c r="AU26" i="4"/>
  <c r="AX26" i="4"/>
  <c r="BB26" i="4"/>
  <c r="AZ26" i="4"/>
  <c r="R28" i="6"/>
  <c r="AY26" i="4"/>
  <c r="BA26" i="4"/>
  <c r="AU22" i="4"/>
  <c r="I24" i="6"/>
  <c r="AZ14" i="4"/>
  <c r="BB14" i="4"/>
  <c r="AY14" i="4"/>
  <c r="AX14" i="4"/>
  <c r="BA14" i="4"/>
  <c r="R16" i="6"/>
  <c r="I8" i="6"/>
  <c r="AU6" i="4"/>
  <c r="AU29" i="4"/>
  <c r="I31" i="6"/>
  <c r="AU11" i="4"/>
  <c r="I13" i="6"/>
  <c r="AU8" i="4"/>
  <c r="I10" i="6"/>
  <c r="H5" i="10"/>
  <c r="P8" i="10" s="1"/>
  <c r="P19" i="10" s="1"/>
  <c r="P25" i="10" s="1"/>
  <c r="I5" i="10"/>
  <c r="Q8" i="10" s="1"/>
  <c r="Q19" i="10" s="1"/>
  <c r="Q25" i="10" s="1"/>
  <c r="K5" i="10"/>
  <c r="S8" i="10" s="1"/>
  <c r="S19" i="10" s="1"/>
  <c r="S25" i="10" s="1"/>
  <c r="R134" i="4"/>
  <c r="S136" i="4"/>
  <c r="N136" i="4" s="1"/>
  <c r="U136" i="4"/>
  <c r="V136" i="4"/>
  <c r="Q136" i="4" s="1"/>
  <c r="W136" i="4"/>
  <c r="X136" i="4"/>
  <c r="S125" i="4"/>
  <c r="U125" i="4"/>
  <c r="P125" i="4" s="1"/>
  <c r="V125" i="4"/>
  <c r="W125" i="4"/>
  <c r="R125" i="4" s="1"/>
  <c r="X125" i="4"/>
  <c r="N170" i="4"/>
  <c r="R170" i="4"/>
  <c r="AA170" i="4"/>
  <c r="T158" i="4"/>
  <c r="O158" i="4" s="1"/>
  <c r="U158" i="4"/>
  <c r="P158" i="4" s="1"/>
  <c r="V158" i="4"/>
  <c r="W158" i="4"/>
  <c r="R158" i="4" s="1"/>
  <c r="Y158" i="4"/>
  <c r="I102" i="6"/>
  <c r="AU100" i="4"/>
  <c r="I95" i="6"/>
  <c r="AU93" i="4"/>
  <c r="I73" i="6"/>
  <c r="AU71" i="4"/>
  <c r="N140" i="4"/>
  <c r="AU102" i="4"/>
  <c r="I104" i="6"/>
  <c r="AU98" i="4"/>
  <c r="I100" i="6"/>
  <c r="I97" i="6"/>
  <c r="AU95" i="4"/>
  <c r="AU91" i="4"/>
  <c r="I93" i="6"/>
  <c r="I87" i="6"/>
  <c r="AU85" i="4"/>
  <c r="AU81" i="4"/>
  <c r="I83" i="6"/>
  <c r="I69" i="6"/>
  <c r="AU67" i="4"/>
  <c r="AU57" i="4"/>
  <c r="I59" i="6"/>
  <c r="I44" i="6"/>
  <c r="AU42" i="4"/>
  <c r="AU64" i="4"/>
  <c r="I66" i="6"/>
  <c r="I64" i="6"/>
  <c r="AU62" i="4"/>
  <c r="AU60" i="4"/>
  <c r="I62" i="6"/>
  <c r="I47" i="6"/>
  <c r="AU45" i="4"/>
  <c r="AU36" i="4"/>
  <c r="I38" i="6"/>
  <c r="I85" i="10"/>
  <c r="K85" i="10"/>
  <c r="L85" i="10"/>
  <c r="I57" i="10"/>
  <c r="K57" i="10"/>
  <c r="L57" i="10"/>
  <c r="K88" i="10"/>
  <c r="L88" i="10"/>
  <c r="J73" i="10"/>
  <c r="M73" i="10" s="1"/>
  <c r="Q109" i="4"/>
  <c r="AA109" i="4"/>
  <c r="T133" i="4"/>
  <c r="Y133" i="4" s="1"/>
  <c r="U133" i="4"/>
  <c r="V133" i="4"/>
  <c r="AA133" i="4" s="1"/>
  <c r="W133" i="4"/>
  <c r="O133" i="4"/>
  <c r="U103" i="4"/>
  <c r="Z103" i="4" s="1"/>
  <c r="V103" i="4"/>
  <c r="AA103" i="4" s="1"/>
  <c r="W103" i="4"/>
  <c r="AB103" i="4" s="1"/>
  <c r="V129" i="4"/>
  <c r="AA129" i="4" s="1"/>
  <c r="W129" i="4"/>
  <c r="AB129" i="4" s="1"/>
  <c r="H62" i="10"/>
  <c r="J62" i="10"/>
  <c r="K62" i="10"/>
  <c r="L62" i="10"/>
  <c r="I136" i="4"/>
  <c r="BB82" i="4"/>
  <c r="AY82" i="4"/>
  <c r="AX82" i="4"/>
  <c r="AZ82" i="4"/>
  <c r="BA82" i="4"/>
  <c r="R84" i="6"/>
  <c r="I102" i="10"/>
  <c r="J102" i="10"/>
  <c r="K102" i="10"/>
  <c r="L102" i="10"/>
  <c r="Z186" i="4"/>
  <c r="AB186" i="4"/>
  <c r="P186" i="4"/>
  <c r="R186" i="4"/>
  <c r="U190" i="4"/>
  <c r="Z190" i="4" s="1"/>
  <c r="V190" i="4"/>
  <c r="AA190" i="4" s="1"/>
  <c r="W190" i="4"/>
  <c r="AB190" i="4" s="1"/>
  <c r="S213" i="4"/>
  <c r="AG213" i="4" s="1"/>
  <c r="U213" i="4"/>
  <c r="V213" i="4"/>
  <c r="AJ213" i="4" s="1"/>
  <c r="W213" i="4"/>
  <c r="I142" i="4"/>
  <c r="L142" i="4"/>
  <c r="AG140" i="4"/>
  <c r="AI140" i="4"/>
  <c r="AK140" i="4"/>
  <c r="K9" i="10"/>
  <c r="L9" i="10"/>
  <c r="M9" i="10" s="1"/>
  <c r="H50" i="10"/>
  <c r="I50" i="10"/>
  <c r="K50" i="10"/>
  <c r="L50" i="10"/>
  <c r="K125" i="4"/>
  <c r="M125" i="4"/>
  <c r="L161" i="4"/>
  <c r="AG113" i="4"/>
  <c r="AH113" i="4"/>
  <c r="AI113" i="4"/>
  <c r="AK113" i="4"/>
  <c r="O75" i="4"/>
  <c r="Q75" i="4"/>
  <c r="R75" i="4"/>
  <c r="AY75" i="4"/>
  <c r="BB19" i="4"/>
  <c r="AX19" i="4"/>
  <c r="AY19" i="4"/>
  <c r="AZ19" i="4"/>
  <c r="BA19" i="4"/>
  <c r="R21" i="6"/>
  <c r="AL119" i="4"/>
  <c r="O57" i="4"/>
  <c r="Q57" i="4"/>
  <c r="R57" i="4"/>
  <c r="O67" i="4"/>
  <c r="P67" i="4"/>
  <c r="Q67" i="4"/>
  <c r="R67" i="4"/>
  <c r="O85" i="4"/>
  <c r="Q85" i="4"/>
  <c r="R85" i="4"/>
  <c r="Q190" i="4"/>
  <c r="N77" i="4"/>
  <c r="Q77" i="4"/>
  <c r="K76" i="9" s="1"/>
  <c r="R77" i="4"/>
  <c r="I76" i="9"/>
  <c r="N33" i="4"/>
  <c r="Q33" i="4"/>
  <c r="R33" i="4"/>
  <c r="S209" i="4"/>
  <c r="N209" i="4" s="1"/>
  <c r="U209" i="4"/>
  <c r="P209" i="4" s="1"/>
  <c r="V209" i="4"/>
  <c r="Q209" i="4" s="1"/>
  <c r="W209" i="4"/>
  <c r="R209" i="4" s="1"/>
  <c r="X209" i="4"/>
  <c r="P213" i="4"/>
  <c r="R213" i="4"/>
  <c r="Z213" i="4"/>
  <c r="AB213" i="4"/>
  <c r="T192" i="4"/>
  <c r="J192" i="4" s="1"/>
  <c r="V192" i="4"/>
  <c r="L192" i="4" s="1"/>
  <c r="W192" i="4"/>
  <c r="M192" i="4" s="1"/>
  <c r="S167" i="4"/>
  <c r="I167" i="4" s="1"/>
  <c r="T167" i="4"/>
  <c r="J167" i="4" s="1"/>
  <c r="V167" i="4"/>
  <c r="L167" i="4" s="1"/>
  <c r="W167" i="4"/>
  <c r="M167" i="4" s="1"/>
  <c r="AG125" i="4"/>
  <c r="AI125" i="4"/>
  <c r="AJ125" i="4"/>
  <c r="AK125" i="4"/>
  <c r="I170" i="4"/>
  <c r="M170" i="4"/>
  <c r="L183" i="4"/>
  <c r="S175" i="4"/>
  <c r="N175" i="4" s="1"/>
  <c r="T175" i="4"/>
  <c r="V175" i="4"/>
  <c r="W175" i="4"/>
  <c r="AK175" i="4" s="1"/>
  <c r="J107" i="4"/>
  <c r="K107" i="4"/>
  <c r="L107" i="4"/>
  <c r="M107" i="4"/>
  <c r="I91" i="10"/>
  <c r="K91" i="10"/>
  <c r="L91" i="10"/>
  <c r="L129" i="4"/>
  <c r="M129" i="4"/>
  <c r="I29" i="10"/>
  <c r="J29" i="10"/>
  <c r="K29" i="10"/>
  <c r="L29" i="10"/>
  <c r="S180" i="4"/>
  <c r="W180" i="4"/>
  <c r="K103" i="4"/>
  <c r="L103" i="4"/>
  <c r="M103" i="4"/>
  <c r="L190" i="4"/>
  <c r="AH133" i="4"/>
  <c r="AI133" i="4"/>
  <c r="AJ133" i="4"/>
  <c r="AK133" i="4"/>
  <c r="Q175" i="4"/>
  <c r="AA175" i="4"/>
  <c r="AH175" i="4"/>
  <c r="AJ167" i="4"/>
  <c r="AH107" i="4"/>
  <c r="AI107" i="4"/>
  <c r="AJ107" i="4"/>
  <c r="AK107" i="4"/>
  <c r="AG209" i="4"/>
  <c r="H39" i="10"/>
  <c r="J39" i="10"/>
  <c r="K39" i="10"/>
  <c r="I98" i="10"/>
  <c r="J98" i="10"/>
  <c r="K98" i="10"/>
  <c r="L98" i="10"/>
  <c r="J186" i="4"/>
  <c r="K186" i="4"/>
  <c r="L186" i="4"/>
  <c r="M186" i="4"/>
  <c r="AH109" i="4"/>
  <c r="AI109" i="4"/>
  <c r="AJ109" i="4"/>
  <c r="AK109" i="4"/>
  <c r="P42" i="4"/>
  <c r="AY42" i="4" s="1"/>
  <c r="BB42" i="4"/>
  <c r="Q192" i="4"/>
  <c r="AB192" i="4"/>
  <c r="AK192" i="4"/>
  <c r="V153" i="4"/>
  <c r="W153" i="4"/>
  <c r="AB153" i="4" s="1"/>
  <c r="S198" i="4"/>
  <c r="T198" i="4"/>
  <c r="AH198" i="4" s="1"/>
  <c r="U198" i="4"/>
  <c r="V198" i="4"/>
  <c r="AJ198" i="4" s="1"/>
  <c r="H6" i="10"/>
  <c r="K6" i="10"/>
  <c r="AG142" i="4"/>
  <c r="AI142" i="4"/>
  <c r="AJ142" i="4"/>
  <c r="AK142" i="4"/>
  <c r="I211" i="4"/>
  <c r="J211" i="4"/>
  <c r="K211" i="4"/>
  <c r="L211" i="4"/>
  <c r="S204" i="4"/>
  <c r="AG204" i="4" s="1"/>
  <c r="T204" i="4"/>
  <c r="V204" i="4"/>
  <c r="AJ204" i="4" s="1"/>
  <c r="W204" i="4"/>
  <c r="AG136" i="4"/>
  <c r="AI136" i="4"/>
  <c r="AJ136" i="4"/>
  <c r="AK136" i="4"/>
  <c r="H33" i="10"/>
  <c r="K33" i="10"/>
  <c r="L33" i="10"/>
  <c r="Q204" i="4"/>
  <c r="AA204" i="4"/>
  <c r="I26" i="10"/>
  <c r="K26" i="10"/>
  <c r="L26" i="10"/>
  <c r="I75" i="10"/>
  <c r="K75" i="10"/>
  <c r="L75" i="10"/>
  <c r="S164" i="4"/>
  <c r="AG164" i="4" s="1"/>
  <c r="T164" i="4"/>
  <c r="V164" i="4"/>
  <c r="AJ164" i="4" s="1"/>
  <c r="W164" i="4"/>
  <c r="H93" i="10"/>
  <c r="K93" i="10"/>
  <c r="L93" i="10"/>
  <c r="BA23" i="4"/>
  <c r="AZ23" i="4"/>
  <c r="AX23" i="4"/>
  <c r="BB23" i="4"/>
  <c r="AY23" i="4"/>
  <c r="R25" i="6"/>
  <c r="AJ129" i="4"/>
  <c r="AK129" i="4"/>
  <c r="I164" i="4"/>
  <c r="M180" i="4"/>
  <c r="S185" i="4"/>
  <c r="U185" i="4"/>
  <c r="K185" i="4" s="1"/>
  <c r="V185" i="4"/>
  <c r="W185" i="4"/>
  <c r="M185" i="4" s="1"/>
  <c r="T162" i="4"/>
  <c r="J162" i="4" s="1"/>
  <c r="U162" i="4"/>
  <c r="W162" i="4"/>
  <c r="M162" i="4" s="1"/>
  <c r="I204" i="4"/>
  <c r="N183" i="4"/>
  <c r="Q183" i="4"/>
  <c r="X183" i="4"/>
  <c r="AA183" i="4"/>
  <c r="BA183" i="4"/>
  <c r="J134" i="4"/>
  <c r="K134" i="4"/>
  <c r="L134" i="4"/>
  <c r="M134" i="4"/>
  <c r="J133" i="4"/>
  <c r="K133" i="4"/>
  <c r="L133" i="4"/>
  <c r="M133" i="4"/>
  <c r="I209" i="4"/>
  <c r="L209" i="4"/>
  <c r="I95" i="10"/>
  <c r="K95" i="10"/>
  <c r="L95" i="10"/>
  <c r="P103" i="4"/>
  <c r="Q103" i="4"/>
  <c r="R103" i="4"/>
  <c r="AI190" i="4"/>
  <c r="AJ190" i="4"/>
  <c r="AK190" i="4"/>
  <c r="AI103" i="4"/>
  <c r="AJ103" i="4"/>
  <c r="AK103" i="4"/>
  <c r="I100" i="10"/>
  <c r="J100" i="10"/>
  <c r="K100" i="10"/>
  <c r="L100" i="10"/>
  <c r="S166" i="4"/>
  <c r="X166" i="4" s="1"/>
  <c r="T166" i="4"/>
  <c r="Y166" i="4" s="1"/>
  <c r="U166" i="4"/>
  <c r="Z166" i="4" s="1"/>
  <c r="V166" i="4"/>
  <c r="AA166" i="4" s="1"/>
  <c r="W166" i="4"/>
  <c r="AB166" i="4" s="1"/>
  <c r="X161" i="4"/>
  <c r="Z161" i="4"/>
  <c r="AA161" i="4"/>
  <c r="AB161" i="4"/>
  <c r="T194" i="4"/>
  <c r="Y194" i="4" s="1"/>
  <c r="U194" i="4"/>
  <c r="Z194" i="4" s="1"/>
  <c r="V194" i="4"/>
  <c r="AA194" i="4" s="1"/>
  <c r="W194" i="4"/>
  <c r="AB194" i="4" s="1"/>
  <c r="Y162" i="4"/>
  <c r="O95" i="4"/>
  <c r="Q95" i="4"/>
  <c r="R95" i="4"/>
  <c r="AI185" i="4"/>
  <c r="H101" i="10"/>
  <c r="J101" i="10"/>
  <c r="K101" i="10"/>
  <c r="L101" i="10"/>
  <c r="M101" i="10"/>
  <c r="H27" i="10"/>
  <c r="K27" i="10"/>
  <c r="L27" i="10"/>
  <c r="M27" i="10"/>
  <c r="H77" i="10"/>
  <c r="K77" i="10"/>
  <c r="L77" i="10"/>
  <c r="M77" i="10"/>
  <c r="S208" i="4"/>
  <c r="AG208" i="4"/>
  <c r="T208" i="4"/>
  <c r="AH208" i="4"/>
  <c r="U208" i="4"/>
  <c r="AI208" i="4"/>
  <c r="V208" i="4"/>
  <c r="AJ208" i="4"/>
  <c r="W208" i="4"/>
  <c r="AK208" i="4"/>
  <c r="I208" i="4"/>
  <c r="J208" i="4"/>
  <c r="K208" i="4"/>
  <c r="L208" i="4"/>
  <c r="M208" i="4"/>
  <c r="J79" i="10"/>
  <c r="S65" i="6"/>
  <c r="AL63" i="4"/>
  <c r="S171" i="4"/>
  <c r="N171" i="4" s="1"/>
  <c r="T171" i="4"/>
  <c r="U171" i="4"/>
  <c r="P171" i="4" s="1"/>
  <c r="V171" i="4"/>
  <c r="W171" i="4"/>
  <c r="R171" i="4" s="1"/>
  <c r="Z171" i="4"/>
  <c r="N11" i="4"/>
  <c r="P11" i="4"/>
  <c r="Q11" i="4"/>
  <c r="R11" i="4"/>
  <c r="N62" i="4"/>
  <c r="P62" i="4"/>
  <c r="Q62" i="4"/>
  <c r="R62" i="4"/>
  <c r="I81" i="10"/>
  <c r="J81" i="10"/>
  <c r="Q129" i="4"/>
  <c r="R129" i="4"/>
  <c r="BB129" i="4" s="1"/>
  <c r="S174" i="4"/>
  <c r="X174" i="4" s="1"/>
  <c r="U174" i="4"/>
  <c r="Z174" i="4" s="1"/>
  <c r="V174" i="4"/>
  <c r="AA174" i="4" s="1"/>
  <c r="W174" i="4"/>
  <c r="AB174" i="4" s="1"/>
  <c r="H46" i="10"/>
  <c r="K46" i="10"/>
  <c r="M46" i="10" s="1"/>
  <c r="R153" i="4"/>
  <c r="S143" i="4"/>
  <c r="AG143" i="4" s="1"/>
  <c r="T143" i="4"/>
  <c r="AH143" i="4" s="1"/>
  <c r="U143" i="4"/>
  <c r="AI143" i="4" s="1"/>
  <c r="V143" i="4"/>
  <c r="AJ143" i="4" s="1"/>
  <c r="W143" i="4"/>
  <c r="AK143" i="4" s="1"/>
  <c r="AH194" i="4"/>
  <c r="AI194" i="4"/>
  <c r="AJ194" i="4"/>
  <c r="AK194" i="4"/>
  <c r="P38" i="4"/>
  <c r="H37" i="9" s="1"/>
  <c r="K37" i="9"/>
  <c r="AY38" i="4"/>
  <c r="R40" i="6"/>
  <c r="AD38" i="4"/>
  <c r="J40" i="6" s="1"/>
  <c r="N35" i="4"/>
  <c r="H34" i="9" s="1"/>
  <c r="O7" i="4"/>
  <c r="P7" i="4"/>
  <c r="Q7" i="4"/>
  <c r="R7" i="4"/>
  <c r="O21" i="4"/>
  <c r="P21" i="4"/>
  <c r="Q21" i="4"/>
  <c r="R21" i="4"/>
  <c r="O55" i="4"/>
  <c r="P55" i="4"/>
  <c r="Q55" i="4"/>
  <c r="R55" i="4"/>
  <c r="P89" i="4"/>
  <c r="I88" i="9" s="1"/>
  <c r="O70" i="4"/>
  <c r="P70" i="4"/>
  <c r="Q70" i="4"/>
  <c r="R70" i="4"/>
  <c r="P48" i="4"/>
  <c r="H47" i="9" s="1"/>
  <c r="I47" i="9"/>
  <c r="K47" i="9"/>
  <c r="O43" i="4"/>
  <c r="P43" i="4"/>
  <c r="Q43" i="4"/>
  <c r="R43" i="4"/>
  <c r="I32" i="10"/>
  <c r="J32" i="10"/>
  <c r="K32" i="10"/>
  <c r="L32" i="10"/>
  <c r="M32" i="10"/>
  <c r="I20" i="10"/>
  <c r="J20" i="10"/>
  <c r="K20" i="10"/>
  <c r="L20" i="10"/>
  <c r="S189" i="4"/>
  <c r="AG189" i="4" s="1"/>
  <c r="U189" i="4"/>
  <c r="AI189" i="4" s="1"/>
  <c r="V189" i="4"/>
  <c r="AJ189" i="4" s="1"/>
  <c r="AU189" i="4"/>
  <c r="S138" i="4"/>
  <c r="I138" i="4"/>
  <c r="U138" i="4"/>
  <c r="K138" i="4"/>
  <c r="V138" i="4"/>
  <c r="L138" i="4"/>
  <c r="W138" i="4"/>
  <c r="M138" i="4"/>
  <c r="S191" i="4"/>
  <c r="I191" i="4" s="1"/>
  <c r="U191" i="4"/>
  <c r="V191" i="4"/>
  <c r="L191" i="4" s="1"/>
  <c r="W191" i="4"/>
  <c r="S108" i="4"/>
  <c r="AG108" i="4"/>
  <c r="U108" i="4"/>
  <c r="AI108" i="4"/>
  <c r="V108" i="4"/>
  <c r="AJ108" i="4"/>
  <c r="W108" i="4"/>
  <c r="AK108" i="4"/>
  <c r="S146" i="4"/>
  <c r="I146" i="4" s="1"/>
  <c r="U146" i="4"/>
  <c r="K146" i="4" s="1"/>
  <c r="V146" i="4"/>
  <c r="L146" i="4" s="1"/>
  <c r="W146" i="4"/>
  <c r="M146" i="4" s="1"/>
  <c r="S181" i="4"/>
  <c r="I181" i="4" s="1"/>
  <c r="T181" i="4"/>
  <c r="J181" i="4" s="1"/>
  <c r="V181" i="4"/>
  <c r="L181" i="4" s="1"/>
  <c r="W181" i="4"/>
  <c r="M181" i="4" s="1"/>
  <c r="AG191" i="4"/>
  <c r="AJ191" i="4"/>
  <c r="I108" i="4"/>
  <c r="K108" i="4"/>
  <c r="L108" i="4"/>
  <c r="M108" i="4"/>
  <c r="S152" i="4"/>
  <c r="I152" i="4" s="1"/>
  <c r="U152" i="4"/>
  <c r="K152" i="4" s="1"/>
  <c r="V152" i="4"/>
  <c r="L152" i="4" s="1"/>
  <c r="W152" i="4"/>
  <c r="M152" i="4" s="1"/>
  <c r="H36" i="10"/>
  <c r="J36" i="10"/>
  <c r="K36" i="10"/>
  <c r="H34" i="10"/>
  <c r="K34" i="10"/>
  <c r="H72" i="10"/>
  <c r="M72" i="10" s="1"/>
  <c r="J38" i="10"/>
  <c r="M38" i="10" s="1"/>
  <c r="I41" i="10"/>
  <c r="M41" i="10" s="1"/>
  <c r="J130" i="4"/>
  <c r="I130" i="4"/>
  <c r="K130" i="4"/>
  <c r="L130" i="4"/>
  <c r="M130" i="4"/>
  <c r="AH130" i="4"/>
  <c r="AG130" i="4"/>
  <c r="AI130" i="4"/>
  <c r="AJ130" i="4"/>
  <c r="AK130" i="4"/>
  <c r="AH162" i="4"/>
  <c r="AI162" i="4"/>
  <c r="AK162" i="4"/>
  <c r="L143" i="4"/>
  <c r="I143" i="4"/>
  <c r="J143" i="4"/>
  <c r="K143" i="4"/>
  <c r="M143" i="4"/>
  <c r="Q143" i="4"/>
  <c r="N143" i="4"/>
  <c r="O143" i="4"/>
  <c r="P143" i="4"/>
  <c r="R143" i="4"/>
  <c r="X143" i="4"/>
  <c r="Y143" i="4"/>
  <c r="Z143" i="4"/>
  <c r="AA143" i="4"/>
  <c r="AB143" i="4"/>
  <c r="O102" i="4"/>
  <c r="P102" i="4"/>
  <c r="Q102" i="4"/>
  <c r="R102" i="4"/>
  <c r="O98" i="4"/>
  <c r="P98" i="4"/>
  <c r="Q98" i="4"/>
  <c r="R98" i="4"/>
  <c r="N208" i="4"/>
  <c r="O208" i="4"/>
  <c r="P208" i="4"/>
  <c r="Q208" i="4"/>
  <c r="R208" i="4"/>
  <c r="X208" i="4"/>
  <c r="Y208" i="4"/>
  <c r="Z208" i="4"/>
  <c r="AA208" i="4"/>
  <c r="AB208" i="4"/>
  <c r="O198" i="4"/>
  <c r="Q198" i="4"/>
  <c r="Y198" i="4"/>
  <c r="AA198" i="4"/>
  <c r="X164" i="4"/>
  <c r="Y164" i="4"/>
  <c r="AA164" i="4"/>
  <c r="AB164" i="4"/>
  <c r="S177" i="4"/>
  <c r="X177" i="4" s="1"/>
  <c r="T177" i="4"/>
  <c r="Y177" i="4" s="1"/>
  <c r="V177" i="4"/>
  <c r="AA177" i="4" s="1"/>
  <c r="W177" i="4"/>
  <c r="AB177" i="4" s="1"/>
  <c r="T187" i="4"/>
  <c r="U187" i="4"/>
  <c r="Z187" i="4" s="1"/>
  <c r="V187" i="4"/>
  <c r="W187" i="4"/>
  <c r="AB187" i="4" s="1"/>
  <c r="S216" i="4"/>
  <c r="X216" i="4" s="1"/>
  <c r="T216" i="4"/>
  <c r="V216" i="4"/>
  <c r="AA216" i="4" s="1"/>
  <c r="W216" i="4"/>
  <c r="N216" i="4"/>
  <c r="X167" i="4"/>
  <c r="Y167" i="4"/>
  <c r="AA167" i="4"/>
  <c r="AB167" i="4"/>
  <c r="N167" i="4"/>
  <c r="O167" i="4"/>
  <c r="Q167" i="4"/>
  <c r="R167" i="4"/>
  <c r="T151" i="4"/>
  <c r="Y151" i="4" s="1"/>
  <c r="U151" i="4"/>
  <c r="V151" i="4"/>
  <c r="AA151" i="4" s="1"/>
  <c r="W151" i="4"/>
  <c r="Q151" i="4"/>
  <c r="T123" i="4"/>
  <c r="Y123" i="4" s="1"/>
  <c r="U123" i="4"/>
  <c r="Z123" i="4" s="1"/>
  <c r="V123" i="4"/>
  <c r="AA123" i="4" s="1"/>
  <c r="W123" i="4"/>
  <c r="AB123" i="4" s="1"/>
  <c r="O123" i="4"/>
  <c r="Q123" i="4"/>
  <c r="X180" i="4"/>
  <c r="I79" i="6"/>
  <c r="AU77" i="4"/>
  <c r="X113" i="4"/>
  <c r="Y113" i="4"/>
  <c r="Z113" i="4"/>
  <c r="AB113" i="4"/>
  <c r="O64" i="4"/>
  <c r="P64" i="4"/>
  <c r="Q64" i="4"/>
  <c r="R64" i="4"/>
  <c r="AZ64" i="4"/>
  <c r="O60" i="4"/>
  <c r="P60" i="4"/>
  <c r="R62" i="6" s="1"/>
  <c r="Q60" i="4"/>
  <c r="R60" i="4"/>
  <c r="O71" i="4"/>
  <c r="Q71" i="4"/>
  <c r="R71" i="4"/>
  <c r="O51" i="4"/>
  <c r="BA51" i="4" s="1"/>
  <c r="Q51" i="4"/>
  <c r="R51" i="4"/>
  <c r="O91" i="4"/>
  <c r="Q91" i="4"/>
  <c r="R91" i="4"/>
  <c r="O29" i="4"/>
  <c r="P29" i="4"/>
  <c r="BA29" i="4" s="1"/>
  <c r="Q29" i="4"/>
  <c r="R29" i="4"/>
  <c r="AL202" i="4"/>
  <c r="AL4" i="4"/>
  <c r="S6" i="6"/>
  <c r="H11" i="10"/>
  <c r="J11" i="10"/>
  <c r="M11" i="10" s="1"/>
  <c r="K11" i="10"/>
  <c r="L11" i="10"/>
  <c r="N161" i="4"/>
  <c r="P161" i="4"/>
  <c r="Q161" i="4"/>
  <c r="R161" i="4"/>
  <c r="S117" i="4"/>
  <c r="X117" i="4" s="1"/>
  <c r="T117" i="4"/>
  <c r="Y117" i="4" s="1"/>
  <c r="U117" i="4"/>
  <c r="Z117" i="4" s="1"/>
  <c r="V117" i="4"/>
  <c r="AA117" i="4" s="1"/>
  <c r="W117" i="4"/>
  <c r="AB117" i="4" s="1"/>
  <c r="I117" i="4"/>
  <c r="L117" i="4"/>
  <c r="AG117" i="4"/>
  <c r="AJ117" i="4"/>
  <c r="X185" i="4"/>
  <c r="Z185" i="4"/>
  <c r="AA185" i="4"/>
  <c r="AB185" i="4"/>
  <c r="N185" i="4"/>
  <c r="P185" i="4"/>
  <c r="Q185" i="4"/>
  <c r="R185" i="4"/>
  <c r="AL183" i="4"/>
  <c r="I45" i="10"/>
  <c r="L45" i="10"/>
  <c r="H79" i="10"/>
  <c r="K79" i="10"/>
  <c r="L79" i="10"/>
  <c r="H78" i="10"/>
  <c r="I78" i="10"/>
  <c r="K78" i="10"/>
  <c r="L78" i="10"/>
  <c r="AE144" i="4"/>
  <c r="AG144" i="4"/>
  <c r="AI144" i="4"/>
  <c r="AK144" i="4"/>
  <c r="I144" i="4"/>
  <c r="K144" i="4"/>
  <c r="M144" i="4"/>
  <c r="AY167" i="4"/>
  <c r="BA167" i="4"/>
  <c r="AZ167" i="4"/>
  <c r="AX167" i="4"/>
  <c r="BB167" i="4"/>
  <c r="AG118" i="4"/>
  <c r="AI118" i="4"/>
  <c r="AJ118" i="4"/>
  <c r="AK118" i="4"/>
  <c r="I118" i="4"/>
  <c r="K118" i="4"/>
  <c r="L118" i="4"/>
  <c r="M118" i="4"/>
  <c r="AC118" i="4"/>
  <c r="AE118" i="4"/>
  <c r="I216" i="4"/>
  <c r="J216" i="4"/>
  <c r="L216" i="4"/>
  <c r="M216" i="4"/>
  <c r="AC216" i="4"/>
  <c r="I177" i="4"/>
  <c r="J177" i="4"/>
  <c r="L177" i="4"/>
  <c r="M177" i="4"/>
  <c r="N180" i="4"/>
  <c r="R180" i="4"/>
  <c r="I198" i="4"/>
  <c r="J198" i="4"/>
  <c r="K198" i="4"/>
  <c r="L198" i="4"/>
  <c r="AG177" i="4"/>
  <c r="AH177" i="4"/>
  <c r="AJ177" i="4"/>
  <c r="AK177" i="4"/>
  <c r="N164" i="4"/>
  <c r="O164" i="4"/>
  <c r="Q164" i="4"/>
  <c r="R164" i="4"/>
  <c r="N113" i="4"/>
  <c r="O113" i="4"/>
  <c r="P113" i="4"/>
  <c r="R113" i="4"/>
  <c r="AY143" i="4"/>
  <c r="BB143" i="4"/>
  <c r="AX143" i="4"/>
  <c r="AZ143" i="4"/>
  <c r="N166" i="4"/>
  <c r="O166" i="4"/>
  <c r="P166" i="4"/>
  <c r="Q166" i="4"/>
  <c r="R166" i="4"/>
  <c r="K166" i="4"/>
  <c r="I166" i="4"/>
  <c r="J166" i="4"/>
  <c r="L166" i="4"/>
  <c r="M166" i="4"/>
  <c r="AI166" i="4"/>
  <c r="M5" i="10"/>
  <c r="AU96" i="4"/>
  <c r="I98" i="6"/>
  <c r="AU75" i="4"/>
  <c r="I77" i="6"/>
  <c r="N177" i="4"/>
  <c r="O177" i="4"/>
  <c r="Q177" i="4"/>
  <c r="R177" i="4"/>
  <c r="AE208" i="4"/>
  <c r="K171" i="4"/>
  <c r="I171" i="4"/>
  <c r="J171" i="4"/>
  <c r="AC171" i="4" s="1"/>
  <c r="L171" i="4"/>
  <c r="M171" i="4"/>
  <c r="AI171" i="4"/>
  <c r="AG171" i="4"/>
  <c r="AH171" i="4"/>
  <c r="AU171" i="4" s="1"/>
  <c r="AJ171" i="4"/>
  <c r="AK171" i="4"/>
  <c r="AG166" i="4"/>
  <c r="AH166" i="4"/>
  <c r="AJ166" i="4"/>
  <c r="AK166" i="4"/>
  <c r="J151" i="4"/>
  <c r="K151" i="4"/>
  <c r="L151" i="4"/>
  <c r="M151" i="4"/>
  <c r="AE151" i="4"/>
  <c r="AH151" i="4"/>
  <c r="AI151" i="4"/>
  <c r="AJ151" i="4"/>
  <c r="AK151" i="4"/>
  <c r="T156" i="4"/>
  <c r="Y156" i="4" s="1"/>
  <c r="V156" i="4"/>
  <c r="AA156" i="4" s="1"/>
  <c r="W156" i="4"/>
  <c r="AB156" i="4" s="1"/>
  <c r="N174" i="4"/>
  <c r="P174" i="4"/>
  <c r="Q174" i="4"/>
  <c r="R174" i="4"/>
  <c r="O162" i="4"/>
  <c r="P162" i="4"/>
  <c r="R162" i="4"/>
  <c r="K158" i="4"/>
  <c r="J158" i="4"/>
  <c r="L158" i="4"/>
  <c r="M158" i="4"/>
  <c r="AI158" i="4"/>
  <c r="AH158" i="4"/>
  <c r="AJ158" i="4"/>
  <c r="AK158" i="4"/>
  <c r="O194" i="4"/>
  <c r="P194" i="4"/>
  <c r="Q194" i="4"/>
  <c r="R194" i="4"/>
  <c r="BB113" i="4"/>
  <c r="AJ156" i="4"/>
  <c r="J156" i="4"/>
  <c r="AH123" i="4"/>
  <c r="AI123" i="4"/>
  <c r="AJ123" i="4"/>
  <c r="AK123" i="4"/>
  <c r="J123" i="4"/>
  <c r="K123" i="4"/>
  <c r="L123" i="4"/>
  <c r="M123" i="4"/>
  <c r="AE123" i="4"/>
  <c r="K174" i="4"/>
  <c r="I174" i="4"/>
  <c r="L174" i="4"/>
  <c r="M174" i="4"/>
  <c r="AI174" i="4"/>
  <c r="AG174" i="4"/>
  <c r="AJ174" i="4"/>
  <c r="AK174" i="4"/>
  <c r="AE194" i="4"/>
  <c r="J194" i="4"/>
  <c r="K194" i="4"/>
  <c r="L194" i="4"/>
  <c r="M194" i="4"/>
  <c r="AE187" i="4"/>
  <c r="J187" i="4"/>
  <c r="K187" i="4"/>
  <c r="L187" i="4"/>
  <c r="M187" i="4"/>
  <c r="AH187" i="4"/>
  <c r="AI187" i="4"/>
  <c r="AJ187" i="4"/>
  <c r="AK187" i="4"/>
  <c r="O81" i="4"/>
  <c r="AH216" i="4"/>
  <c r="AG216" i="4"/>
  <c r="AJ216" i="4"/>
  <c r="AK216" i="4"/>
  <c r="N152" i="4"/>
  <c r="P152" i="4"/>
  <c r="Q152" i="4"/>
  <c r="R152" i="4"/>
  <c r="X152" i="4"/>
  <c r="Z152" i="4"/>
  <c r="AA152" i="4"/>
  <c r="AB152" i="4"/>
  <c r="O97" i="4"/>
  <c r="P97" i="4"/>
  <c r="Q97" i="4"/>
  <c r="R97" i="4"/>
  <c r="O24" i="4"/>
  <c r="P24" i="4"/>
  <c r="Q24" i="4"/>
  <c r="R24" i="4"/>
  <c r="N25" i="4"/>
  <c r="R25" i="4"/>
  <c r="S163" i="4"/>
  <c r="N163" i="4" s="1"/>
  <c r="U163" i="4"/>
  <c r="P163" i="4" s="1"/>
  <c r="V163" i="4"/>
  <c r="Q163" i="4" s="1"/>
  <c r="W163" i="4"/>
  <c r="R163" i="4" s="1"/>
  <c r="X163" i="4"/>
  <c r="P49" i="4"/>
  <c r="H48" i="9" s="1"/>
  <c r="K48" i="9"/>
  <c r="O76" i="4"/>
  <c r="Q76" i="4"/>
  <c r="R76" i="4"/>
  <c r="N181" i="4"/>
  <c r="O181" i="4"/>
  <c r="Q181" i="4"/>
  <c r="R181" i="4"/>
  <c r="X181" i="4"/>
  <c r="Y181" i="4"/>
  <c r="AA181" i="4"/>
  <c r="AB181" i="4"/>
  <c r="O80" i="4"/>
  <c r="P80" i="4"/>
  <c r="Q80" i="4"/>
  <c r="R80" i="4"/>
  <c r="O83" i="4"/>
  <c r="P83" i="4"/>
  <c r="Q83" i="4"/>
  <c r="R83" i="4"/>
  <c r="O66" i="4"/>
  <c r="P66" i="4"/>
  <c r="Q66" i="4"/>
  <c r="R66" i="4"/>
  <c r="I87" i="10"/>
  <c r="J87" i="10"/>
  <c r="K87" i="10"/>
  <c r="L87" i="10"/>
  <c r="I59" i="10"/>
  <c r="J59" i="10"/>
  <c r="K59" i="10"/>
  <c r="L59" i="10"/>
  <c r="J48" i="10"/>
  <c r="M48" i="10" s="1"/>
  <c r="S215" i="4"/>
  <c r="U215" i="4"/>
  <c r="K215" i="4" s="1"/>
  <c r="V215" i="4"/>
  <c r="W215" i="4"/>
  <c r="M215" i="4" s="1"/>
  <c r="L163" i="4"/>
  <c r="S124" i="4"/>
  <c r="U124" i="4"/>
  <c r="AI124" i="4" s="1"/>
  <c r="V124" i="4"/>
  <c r="W124" i="4"/>
  <c r="AK124" i="4" s="1"/>
  <c r="AG146" i="4"/>
  <c r="AI146" i="4"/>
  <c r="AU146" i="4" s="1"/>
  <c r="AJ146" i="4"/>
  <c r="AK146" i="4"/>
  <c r="AG152" i="4"/>
  <c r="AI152" i="4"/>
  <c r="AJ152" i="4"/>
  <c r="AK152" i="4"/>
  <c r="AG163" i="4"/>
  <c r="AI163" i="4"/>
  <c r="AJ163" i="4"/>
  <c r="AK163" i="4"/>
  <c r="N146" i="4"/>
  <c r="P146" i="4"/>
  <c r="Q146" i="4"/>
  <c r="R146" i="4"/>
  <c r="X146" i="4"/>
  <c r="Z146" i="4"/>
  <c r="AA146" i="4"/>
  <c r="AB146" i="4"/>
  <c r="AG181" i="4"/>
  <c r="AH181" i="4"/>
  <c r="AJ181" i="4"/>
  <c r="AK181" i="4"/>
  <c r="S111" i="4"/>
  <c r="I111" i="4" s="1"/>
  <c r="T111" i="4"/>
  <c r="J111" i="4" s="1"/>
  <c r="U111" i="4"/>
  <c r="K111" i="4" s="1"/>
  <c r="V111" i="4"/>
  <c r="L111" i="4" s="1"/>
  <c r="W111" i="4"/>
  <c r="M111" i="4" s="1"/>
  <c r="T178" i="4"/>
  <c r="AH178" i="4" s="1"/>
  <c r="U178" i="4"/>
  <c r="AI178" i="4" s="1"/>
  <c r="V178" i="4"/>
  <c r="AJ178" i="4" s="1"/>
  <c r="W178" i="4"/>
  <c r="AK178" i="4" s="1"/>
  <c r="S120" i="4"/>
  <c r="I120" i="4" s="1"/>
  <c r="T120" i="4"/>
  <c r="J120" i="4" s="1"/>
  <c r="U120" i="4"/>
  <c r="K120" i="4" s="1"/>
  <c r="V120" i="4"/>
  <c r="L120" i="4" s="1"/>
  <c r="W120" i="4"/>
  <c r="M120" i="4" s="1"/>
  <c r="AU15" i="4"/>
  <c r="I17" i="6"/>
  <c r="P124" i="4"/>
  <c r="Z124" i="4"/>
  <c r="N138" i="4"/>
  <c r="P138" i="4"/>
  <c r="Q138" i="4"/>
  <c r="R138" i="4"/>
  <c r="X138" i="4"/>
  <c r="Z138" i="4"/>
  <c r="AA138" i="4"/>
  <c r="AB138" i="4"/>
  <c r="AY138" i="4"/>
  <c r="N108" i="4"/>
  <c r="P108" i="4"/>
  <c r="Q108" i="4"/>
  <c r="R108" i="4"/>
  <c r="X108" i="4"/>
  <c r="Z108" i="4"/>
  <c r="AA108" i="4"/>
  <c r="AB108" i="4"/>
  <c r="AI215" i="4"/>
  <c r="AK215" i="4"/>
  <c r="AU66" i="4"/>
  <c r="I68" i="6"/>
  <c r="S115" i="4"/>
  <c r="I115" i="4" s="1"/>
  <c r="T115" i="4"/>
  <c r="J115" i="4" s="1"/>
  <c r="U115" i="4"/>
  <c r="K115" i="4" s="1"/>
  <c r="V115" i="4"/>
  <c r="L115" i="4" s="1"/>
  <c r="W115" i="4"/>
  <c r="M115" i="4" s="1"/>
  <c r="S214" i="4"/>
  <c r="I214" i="4" s="1"/>
  <c r="T214" i="4"/>
  <c r="J214" i="4" s="1"/>
  <c r="U214" i="4"/>
  <c r="K214" i="4" s="1"/>
  <c r="V214" i="4"/>
  <c r="L214" i="4" s="1"/>
  <c r="W214" i="4"/>
  <c r="M214" i="4" s="1"/>
  <c r="AH214" i="4"/>
  <c r="I97" i="10"/>
  <c r="J97" i="10"/>
  <c r="K97" i="10"/>
  <c r="L97" i="10"/>
  <c r="I80" i="10"/>
  <c r="J80" i="10"/>
  <c r="K80" i="10"/>
  <c r="L80" i="10"/>
  <c r="J49" i="10"/>
  <c r="M49" i="10" s="1"/>
  <c r="I55" i="10"/>
  <c r="J55" i="10"/>
  <c r="K55" i="10"/>
  <c r="L55" i="10"/>
  <c r="S188" i="4"/>
  <c r="AG188" i="4" s="1"/>
  <c r="U188" i="4"/>
  <c r="AI188" i="4" s="1"/>
  <c r="V188" i="4"/>
  <c r="AJ188" i="4" s="1"/>
  <c r="W188" i="4"/>
  <c r="AK188" i="4" s="1"/>
  <c r="S195" i="4"/>
  <c r="I195" i="4" s="1"/>
  <c r="U195" i="4"/>
  <c r="K195" i="4" s="1"/>
  <c r="V195" i="4"/>
  <c r="L195" i="4" s="1"/>
  <c r="W195" i="4"/>
  <c r="M195" i="4" s="1"/>
  <c r="S203" i="4"/>
  <c r="AG203" i="4" s="1"/>
  <c r="U203" i="4"/>
  <c r="AI203" i="4" s="1"/>
  <c r="V203" i="4"/>
  <c r="AJ203" i="4" s="1"/>
  <c r="W203" i="4"/>
  <c r="AK203" i="4" s="1"/>
  <c r="T148" i="4"/>
  <c r="AH148" i="4" s="1"/>
  <c r="U148" i="4"/>
  <c r="AI148" i="4" s="1"/>
  <c r="V148" i="4"/>
  <c r="AJ148" i="4" s="1"/>
  <c r="W148" i="4"/>
  <c r="AK148" i="4" s="1"/>
  <c r="U104" i="4"/>
  <c r="K104" i="4" s="1"/>
  <c r="V104" i="4"/>
  <c r="L104" i="4" s="1"/>
  <c r="W104" i="4"/>
  <c r="M104" i="4" s="1"/>
  <c r="O45" i="4"/>
  <c r="R45" i="4"/>
  <c r="T154" i="4"/>
  <c r="AH154" i="4" s="1"/>
  <c r="U154" i="4"/>
  <c r="AI154" i="4" s="1"/>
  <c r="V154" i="4"/>
  <c r="AJ154" i="4" s="1"/>
  <c r="W154" i="4"/>
  <c r="AK154" i="4" s="1"/>
  <c r="T155" i="4"/>
  <c r="AH155" i="4" s="1"/>
  <c r="U155" i="4"/>
  <c r="AI155" i="4" s="1"/>
  <c r="V155" i="4"/>
  <c r="AJ155" i="4" s="1"/>
  <c r="W155" i="4"/>
  <c r="AK155" i="4" s="1"/>
  <c r="T105" i="4"/>
  <c r="AH105" i="4" s="1"/>
  <c r="U105" i="4"/>
  <c r="AI105" i="4" s="1"/>
  <c r="V105" i="4"/>
  <c r="AJ105" i="4" s="1"/>
  <c r="W105" i="4"/>
  <c r="AK105" i="4" s="1"/>
  <c r="T122" i="4"/>
  <c r="AH122" i="4" s="1"/>
  <c r="U122" i="4"/>
  <c r="AI122" i="4" s="1"/>
  <c r="V122" i="4"/>
  <c r="AJ122" i="4" s="1"/>
  <c r="W122" i="4"/>
  <c r="AK122" i="4" s="1"/>
  <c r="S184" i="4"/>
  <c r="I184" i="4" s="1"/>
  <c r="U184" i="4"/>
  <c r="K184" i="4" s="1"/>
  <c r="V184" i="4"/>
  <c r="L184" i="4" s="1"/>
  <c r="W184" i="4"/>
  <c r="M184" i="4" s="1"/>
  <c r="I70" i="10"/>
  <c r="J70" i="10"/>
  <c r="K70" i="10"/>
  <c r="L70" i="10"/>
  <c r="I66" i="10"/>
  <c r="J66" i="10"/>
  <c r="K66" i="10"/>
  <c r="L66" i="10"/>
  <c r="AX41" i="4"/>
  <c r="BB41" i="4"/>
  <c r="AD41" i="4"/>
  <c r="J43" i="6" s="1"/>
  <c r="AY41" i="4"/>
  <c r="BA41" i="4"/>
  <c r="AZ41" i="4"/>
  <c r="R43" i="6"/>
  <c r="S168" i="4"/>
  <c r="AG168" i="4" s="1"/>
  <c r="U168" i="4"/>
  <c r="AI168" i="4" s="1"/>
  <c r="V168" i="4"/>
  <c r="AJ168" i="4" s="1"/>
  <c r="W168" i="4"/>
  <c r="AK168" i="4" s="1"/>
  <c r="T199" i="4"/>
  <c r="AH199" i="4"/>
  <c r="U199" i="4"/>
  <c r="AI199" i="4"/>
  <c r="V199" i="4"/>
  <c r="AJ199" i="4"/>
  <c r="W199" i="4"/>
  <c r="AK199" i="4"/>
  <c r="S205" i="4"/>
  <c r="AG205" i="4" s="1"/>
  <c r="U205" i="4"/>
  <c r="AI205" i="4" s="1"/>
  <c r="V205" i="4"/>
  <c r="AJ205" i="4" s="1"/>
  <c r="W205" i="4"/>
  <c r="AK205" i="4" s="1"/>
  <c r="S173" i="4"/>
  <c r="I173" i="4"/>
  <c r="V173" i="4"/>
  <c r="L173" i="4"/>
  <c r="W173" i="4"/>
  <c r="M173" i="4"/>
  <c r="L203" i="4"/>
  <c r="T193" i="4"/>
  <c r="AH193" i="4" s="1"/>
  <c r="U193" i="4"/>
  <c r="AI193" i="4" s="1"/>
  <c r="V193" i="4"/>
  <c r="AJ193" i="4" s="1"/>
  <c r="W193" i="4"/>
  <c r="AK193" i="4" s="1"/>
  <c r="T149" i="4"/>
  <c r="AH149" i="4" s="1"/>
  <c r="U149" i="4"/>
  <c r="AI149" i="4" s="1"/>
  <c r="V149" i="4"/>
  <c r="AJ149" i="4" s="1"/>
  <c r="W149" i="4"/>
  <c r="AK149" i="4" s="1"/>
  <c r="T206" i="4"/>
  <c r="AH206" i="4" s="1"/>
  <c r="U206" i="4"/>
  <c r="AI206" i="4" s="1"/>
  <c r="V206" i="4"/>
  <c r="AJ206" i="4" s="1"/>
  <c r="W206" i="4"/>
  <c r="AK206" i="4" s="1"/>
  <c r="AG111" i="4"/>
  <c r="AI111" i="4"/>
  <c r="AK111" i="4"/>
  <c r="AG138" i="4"/>
  <c r="AI138" i="4"/>
  <c r="AJ138" i="4"/>
  <c r="AK138" i="4"/>
  <c r="I78" i="6"/>
  <c r="AU76" i="4"/>
  <c r="AU89" i="4"/>
  <c r="I91" i="6"/>
  <c r="AY7" i="4"/>
  <c r="BB7" i="4"/>
  <c r="BA7" i="4"/>
  <c r="R9" i="6"/>
  <c r="AZ7" i="4"/>
  <c r="AX7" i="4"/>
  <c r="N173" i="4"/>
  <c r="Q173" i="4"/>
  <c r="R173" i="4"/>
  <c r="X173" i="4"/>
  <c r="AA173" i="4"/>
  <c r="AB173" i="4"/>
  <c r="Q104" i="4"/>
  <c r="Z104" i="4"/>
  <c r="AB104" i="4"/>
  <c r="AZ70" i="4"/>
  <c r="AX70" i="4"/>
  <c r="BB70" i="4"/>
  <c r="R72" i="6"/>
  <c r="AD70" i="4"/>
  <c r="J72" i="6" s="1"/>
  <c r="AY70" i="4"/>
  <c r="BA70" i="4"/>
  <c r="U139" i="4"/>
  <c r="P139" i="4" s="1"/>
  <c r="V139" i="4"/>
  <c r="Q139" i="4" s="1"/>
  <c r="W139" i="4"/>
  <c r="R139" i="4" s="1"/>
  <c r="AU80" i="4"/>
  <c r="I82" i="6"/>
  <c r="P105" i="4"/>
  <c r="Z105" i="4"/>
  <c r="N191" i="4"/>
  <c r="P191" i="4"/>
  <c r="Q191" i="4"/>
  <c r="R191" i="4"/>
  <c r="X191" i="4"/>
  <c r="Z191" i="4"/>
  <c r="AA191" i="4"/>
  <c r="AB191" i="4"/>
  <c r="BB191" i="4"/>
  <c r="N189" i="4"/>
  <c r="P189" i="4"/>
  <c r="Q189" i="4"/>
  <c r="X189" i="4"/>
  <c r="Z189" i="4"/>
  <c r="AA189" i="4"/>
  <c r="N215" i="4"/>
  <c r="P215" i="4"/>
  <c r="Q215" i="4"/>
  <c r="R215" i="4"/>
  <c r="X215" i="4"/>
  <c r="Z215" i="4"/>
  <c r="AA215" i="4"/>
  <c r="AB215" i="4"/>
  <c r="J178" i="4"/>
  <c r="K178" i="4"/>
  <c r="L178" i="4"/>
  <c r="M178" i="4"/>
  <c r="S212" i="4"/>
  <c r="I212" i="4" s="1"/>
  <c r="T212" i="4"/>
  <c r="J212" i="4" s="1"/>
  <c r="U212" i="4"/>
  <c r="K212" i="4" s="1"/>
  <c r="V212" i="4"/>
  <c r="L212" i="4" s="1"/>
  <c r="W212" i="4"/>
  <c r="M212" i="4" s="1"/>
  <c r="I189" i="4"/>
  <c r="K189" i="4"/>
  <c r="L189" i="4"/>
  <c r="I23" i="6"/>
  <c r="AU21" i="4"/>
  <c r="I45" i="6"/>
  <c r="AU43" i="4"/>
  <c r="P188" i="4"/>
  <c r="R188" i="4"/>
  <c r="Z188" i="4"/>
  <c r="AB188" i="4"/>
  <c r="O199" i="4"/>
  <c r="P199" i="4"/>
  <c r="AY199" i="4" s="1"/>
  <c r="Q199" i="4"/>
  <c r="R199" i="4"/>
  <c r="Y199" i="4"/>
  <c r="Z199" i="4"/>
  <c r="AA199" i="4"/>
  <c r="AB199" i="4"/>
  <c r="P205" i="4"/>
  <c r="R205" i="4"/>
  <c r="Z205" i="4"/>
  <c r="AB205" i="4"/>
  <c r="I9" i="6"/>
  <c r="AU7" i="4"/>
  <c r="BB24" i="4"/>
  <c r="AX24" i="4"/>
  <c r="R26" i="6"/>
  <c r="BA24" i="4"/>
  <c r="AZ24" i="4"/>
  <c r="AY24" i="4"/>
  <c r="I57" i="6"/>
  <c r="AU55" i="4"/>
  <c r="AY55" i="4"/>
  <c r="BA55" i="4"/>
  <c r="R57" i="6"/>
  <c r="AX55" i="4"/>
  <c r="AZ55" i="4"/>
  <c r="BB55" i="4"/>
  <c r="AX66" i="4"/>
  <c r="AZ66" i="4"/>
  <c r="R68" i="6"/>
  <c r="AY66" i="4"/>
  <c r="BB66" i="4"/>
  <c r="BA66" i="4"/>
  <c r="S196" i="4"/>
  <c r="N196" i="4" s="1"/>
  <c r="U196" i="4"/>
  <c r="P196" i="4" s="1"/>
  <c r="V196" i="4"/>
  <c r="Q196" i="4" s="1"/>
  <c r="W196" i="4"/>
  <c r="R196" i="4" s="1"/>
  <c r="X196" i="4"/>
  <c r="AG120" i="4"/>
  <c r="AH120" i="4"/>
  <c r="AI120" i="4"/>
  <c r="AJ120" i="4"/>
  <c r="AK120" i="4"/>
  <c r="AU49" i="4"/>
  <c r="I51" i="6"/>
  <c r="AU35" i="4"/>
  <c r="I37" i="6"/>
  <c r="O15" i="4"/>
  <c r="P15" i="4"/>
  <c r="Q15" i="4"/>
  <c r="R15" i="4"/>
  <c r="P154" i="4"/>
  <c r="R154" i="4"/>
  <c r="Z154" i="4"/>
  <c r="AB154" i="4"/>
  <c r="AY80" i="4"/>
  <c r="BA80" i="4"/>
  <c r="AX80" i="4"/>
  <c r="BB80" i="4"/>
  <c r="R82" i="6"/>
  <c r="AZ80" i="4"/>
  <c r="S157" i="4"/>
  <c r="N157" i="4" s="1"/>
  <c r="U157" i="4"/>
  <c r="P157" i="4" s="1"/>
  <c r="V157" i="4"/>
  <c r="Q157" i="4" s="1"/>
  <c r="W157" i="4"/>
  <c r="R157" i="4" s="1"/>
  <c r="X157" i="4"/>
  <c r="O149" i="4"/>
  <c r="Q149" i="4"/>
  <c r="Y149" i="4"/>
  <c r="AA149" i="4"/>
  <c r="P184" i="4"/>
  <c r="R184" i="4"/>
  <c r="Z184" i="4"/>
  <c r="AB184" i="4"/>
  <c r="O206" i="4"/>
  <c r="P206" i="4"/>
  <c r="Q206" i="4"/>
  <c r="R206" i="4"/>
  <c r="Y206" i="4"/>
  <c r="Z206" i="4"/>
  <c r="AA206" i="4"/>
  <c r="AB206" i="4"/>
  <c r="AG115" i="4"/>
  <c r="AH115" i="4"/>
  <c r="AI115" i="4"/>
  <c r="AJ115" i="4"/>
  <c r="AK115" i="4"/>
  <c r="AZ48" i="4"/>
  <c r="AX48" i="4"/>
  <c r="R50" i="6"/>
  <c r="BB48" i="4"/>
  <c r="AD48" i="4"/>
  <c r="J50" i="6" s="1"/>
  <c r="AY48" i="4"/>
  <c r="BA48" i="4"/>
  <c r="I21" i="10"/>
  <c r="J21" i="10"/>
  <c r="K21" i="10"/>
  <c r="L21" i="10"/>
  <c r="I24" i="10"/>
  <c r="J24" i="10"/>
  <c r="K24" i="10"/>
  <c r="L24" i="10"/>
  <c r="O87" i="4"/>
  <c r="P87" i="4"/>
  <c r="Q87" i="4"/>
  <c r="R87" i="4"/>
  <c r="BA87" i="4"/>
  <c r="I7" i="10"/>
  <c r="J7" i="10"/>
  <c r="K7" i="10"/>
  <c r="L7" i="10"/>
  <c r="AX89" i="4"/>
  <c r="AZ89" i="4"/>
  <c r="BB89" i="4"/>
  <c r="BA89" i="4"/>
  <c r="AD89" i="4"/>
  <c r="J91" i="6" s="1"/>
  <c r="AY89" i="4"/>
  <c r="R91" i="6"/>
  <c r="P81" i="4"/>
  <c r="AY81" i="4" s="1"/>
  <c r="AX43" i="4"/>
  <c r="AY43" i="4"/>
  <c r="AZ43" i="4"/>
  <c r="BA43" i="4"/>
  <c r="BB43" i="4"/>
  <c r="R45" i="6"/>
  <c r="K168" i="4"/>
  <c r="M168" i="4"/>
  <c r="J199" i="4"/>
  <c r="K199" i="4"/>
  <c r="L199" i="4"/>
  <c r="M199" i="4"/>
  <c r="K205" i="4"/>
  <c r="M205" i="4"/>
  <c r="K196" i="4"/>
  <c r="J193" i="4"/>
  <c r="K193" i="4"/>
  <c r="L193" i="4"/>
  <c r="M193" i="4"/>
  <c r="S197" i="4"/>
  <c r="AG197" i="4" s="1"/>
  <c r="U197" i="4"/>
  <c r="AI197" i="4" s="1"/>
  <c r="V197" i="4"/>
  <c r="AJ197" i="4" s="1"/>
  <c r="W197" i="4"/>
  <c r="AK197" i="4" s="1"/>
  <c r="AX83" i="4"/>
  <c r="AY83" i="4"/>
  <c r="AZ83" i="4"/>
  <c r="BA83" i="4"/>
  <c r="BB83" i="4"/>
  <c r="R85" i="6"/>
  <c r="AI139" i="4"/>
  <c r="AJ139" i="4"/>
  <c r="AK139" i="4"/>
  <c r="I157" i="4"/>
  <c r="J155" i="4"/>
  <c r="K155" i="4"/>
  <c r="L155" i="4"/>
  <c r="M155" i="4"/>
  <c r="J122" i="4"/>
  <c r="K122" i="4"/>
  <c r="L122" i="4"/>
  <c r="M122" i="4"/>
  <c r="AI184" i="4"/>
  <c r="AK184" i="4"/>
  <c r="J206" i="4"/>
  <c r="K206" i="4"/>
  <c r="L206" i="4"/>
  <c r="M206" i="4"/>
  <c r="K139" i="4"/>
  <c r="L139" i="4"/>
  <c r="M139" i="4"/>
  <c r="J105" i="4"/>
  <c r="K105" i="4"/>
  <c r="L105" i="4"/>
  <c r="M105" i="4"/>
  <c r="I83" i="10"/>
  <c r="J83" i="10"/>
  <c r="K83" i="10"/>
  <c r="L83" i="10"/>
  <c r="I43" i="10"/>
  <c r="J43" i="10"/>
  <c r="K43" i="10"/>
  <c r="L43" i="10"/>
  <c r="BA21" i="4"/>
  <c r="AY21" i="4"/>
  <c r="AZ21" i="4"/>
  <c r="BB21" i="4"/>
  <c r="AX21" i="4"/>
  <c r="R23" i="6"/>
  <c r="BB97" i="4"/>
  <c r="AY97" i="4"/>
  <c r="BA97" i="4"/>
  <c r="AX97" i="4"/>
  <c r="AZ97" i="4"/>
  <c r="R99" i="6"/>
  <c r="I188" i="4"/>
  <c r="K188" i="4"/>
  <c r="L188" i="4"/>
  <c r="M188" i="4"/>
  <c r="AG195" i="4"/>
  <c r="AI195" i="4"/>
  <c r="AJ195" i="4"/>
  <c r="AK195" i="4"/>
  <c r="AG173" i="4"/>
  <c r="AJ173" i="4"/>
  <c r="AK173" i="4"/>
  <c r="N203" i="4"/>
  <c r="P203" i="4"/>
  <c r="Q203" i="4"/>
  <c r="R203" i="4"/>
  <c r="X203" i="4"/>
  <c r="Z203" i="4"/>
  <c r="AA203" i="4"/>
  <c r="AB203" i="4"/>
  <c r="J148" i="4"/>
  <c r="K148" i="4"/>
  <c r="AC148" i="4" s="1"/>
  <c r="L148" i="4"/>
  <c r="M148" i="4"/>
  <c r="AI104" i="4"/>
  <c r="AU104" i="4" s="1"/>
  <c r="AJ104" i="4"/>
  <c r="AK104" i="4"/>
  <c r="K197" i="4"/>
  <c r="AZ49" i="4"/>
  <c r="AY49" i="4"/>
  <c r="AD49" i="4"/>
  <c r="J51" i="6" s="1"/>
  <c r="BA49" i="4"/>
  <c r="BB49" i="4"/>
  <c r="AX49" i="4"/>
  <c r="R51" i="6"/>
  <c r="J154" i="4"/>
  <c r="K154" i="4"/>
  <c r="L154" i="4"/>
  <c r="M154" i="4"/>
  <c r="AG157" i="4"/>
  <c r="AI157" i="4"/>
  <c r="AU157" i="4" s="1"/>
  <c r="AJ157" i="4"/>
  <c r="AK157" i="4"/>
  <c r="O122" i="4"/>
  <c r="P122" i="4"/>
  <c r="Q122" i="4"/>
  <c r="R122" i="4"/>
  <c r="Y122" i="4"/>
  <c r="Z122" i="4"/>
  <c r="AA122" i="4"/>
  <c r="AB122" i="4"/>
  <c r="AU24" i="4"/>
  <c r="I26" i="6"/>
  <c r="S176" i="4"/>
  <c r="AG176" i="4" s="1"/>
  <c r="T176" i="4"/>
  <c r="AH176" i="4" s="1"/>
  <c r="U176" i="4"/>
  <c r="AI176" i="4" s="1"/>
  <c r="V176" i="4"/>
  <c r="AJ176" i="4" s="1"/>
  <c r="W176" i="4"/>
  <c r="AK176" i="4" s="1"/>
  <c r="O193" i="4"/>
  <c r="P193" i="4"/>
  <c r="Q193" i="4"/>
  <c r="R193" i="4"/>
  <c r="Y193" i="4"/>
  <c r="Z193" i="4"/>
  <c r="AF193" i="4" s="1"/>
  <c r="AA193" i="4"/>
  <c r="AB193" i="4"/>
  <c r="S159" i="4"/>
  <c r="I159" i="4" s="1"/>
  <c r="T159" i="4"/>
  <c r="J159" i="4" s="1"/>
  <c r="U159" i="4"/>
  <c r="K159" i="4" s="1"/>
  <c r="V159" i="4"/>
  <c r="L159" i="4" s="1"/>
  <c r="W159" i="4"/>
  <c r="M159" i="4" s="1"/>
  <c r="S145" i="4"/>
  <c r="I145" i="4" s="1"/>
  <c r="U145" i="4"/>
  <c r="K145" i="4" s="1"/>
  <c r="V145" i="4"/>
  <c r="L145" i="4" s="1"/>
  <c r="W145" i="4"/>
  <c r="M145" i="4" s="1"/>
  <c r="S141" i="4"/>
  <c r="AG141" i="4" s="1"/>
  <c r="T141" i="4"/>
  <c r="U141" i="4"/>
  <c r="AI141" i="4" s="1"/>
  <c r="V141" i="4"/>
  <c r="W141" i="4"/>
  <c r="AK141" i="4" s="1"/>
  <c r="S150" i="4"/>
  <c r="I150" i="4" s="1"/>
  <c r="U150" i="4"/>
  <c r="K150" i="4" s="1"/>
  <c r="V150" i="4"/>
  <c r="L150" i="4" s="1"/>
  <c r="W150" i="4"/>
  <c r="M150" i="4" s="1"/>
  <c r="S169" i="4"/>
  <c r="I169" i="4" s="1"/>
  <c r="AC169" i="4" s="1"/>
  <c r="T169" i="4"/>
  <c r="J169" i="4" s="1"/>
  <c r="U169" i="4"/>
  <c r="K169" i="4" s="1"/>
  <c r="V169" i="4"/>
  <c r="L169" i="4" s="1"/>
  <c r="W169" i="4"/>
  <c r="M169" i="4" s="1"/>
  <c r="S165" i="4"/>
  <c r="I165" i="4" s="1"/>
  <c r="U165" i="4"/>
  <c r="K165" i="4" s="1"/>
  <c r="V165" i="4"/>
  <c r="L165" i="4" s="1"/>
  <c r="W165" i="4"/>
  <c r="M165" i="4" s="1"/>
  <c r="I27" i="6"/>
  <c r="AU25" i="4"/>
  <c r="S132" i="4"/>
  <c r="AG132" i="4" s="1"/>
  <c r="AU132" i="4" s="1"/>
  <c r="T132" i="4"/>
  <c r="AH132" i="4" s="1"/>
  <c r="U132" i="4"/>
  <c r="AI132" i="4" s="1"/>
  <c r="V132" i="4"/>
  <c r="AJ132" i="4" s="1"/>
  <c r="W132" i="4"/>
  <c r="AK132" i="4" s="1"/>
  <c r="N28" i="4"/>
  <c r="O28" i="4"/>
  <c r="P28" i="4"/>
  <c r="Q28" i="4"/>
  <c r="R28" i="4"/>
  <c r="N16" i="4"/>
  <c r="O16" i="4"/>
  <c r="P16" i="4"/>
  <c r="Q16" i="4"/>
  <c r="R16" i="4"/>
  <c r="S160" i="4"/>
  <c r="AG160" i="4" s="1"/>
  <c r="T160" i="4"/>
  <c r="AH160" i="4" s="1"/>
  <c r="U160" i="4"/>
  <c r="AI160" i="4" s="1"/>
  <c r="V160" i="4"/>
  <c r="AJ160" i="4" s="1"/>
  <c r="W160" i="4"/>
  <c r="AK160" i="4" s="1"/>
  <c r="O59" i="4"/>
  <c r="P59" i="4"/>
  <c r="R61" i="6" s="1"/>
  <c r="Q59" i="4"/>
  <c r="R59" i="4"/>
  <c r="O20" i="4"/>
  <c r="P20" i="4"/>
  <c r="Q20" i="4"/>
  <c r="R20" i="4"/>
  <c r="T127" i="4"/>
  <c r="V127" i="4"/>
  <c r="AL181" i="4"/>
  <c r="S207" i="4"/>
  <c r="X207" i="4" s="1"/>
  <c r="T207" i="4"/>
  <c r="U207" i="4"/>
  <c r="P207" i="4" s="1"/>
  <c r="V207" i="4"/>
  <c r="W207" i="4"/>
  <c r="R207" i="4" s="1"/>
  <c r="J149" i="4"/>
  <c r="K149" i="4"/>
  <c r="L149" i="4"/>
  <c r="M149" i="4"/>
  <c r="AK145" i="4"/>
  <c r="AI150" i="4"/>
  <c r="AK150" i="4"/>
  <c r="O155" i="4"/>
  <c r="P155" i="4"/>
  <c r="AZ155" i="4" s="1"/>
  <c r="Q155" i="4"/>
  <c r="R155" i="4"/>
  <c r="Y155" i="4"/>
  <c r="Z155" i="4"/>
  <c r="AA155" i="4"/>
  <c r="AB155" i="4"/>
  <c r="AG196" i="4"/>
  <c r="AI196" i="4"/>
  <c r="AJ196" i="4"/>
  <c r="AK196" i="4"/>
  <c r="S112" i="4"/>
  <c r="T112" i="4"/>
  <c r="Y112" i="4" s="1"/>
  <c r="U112" i="4"/>
  <c r="P112" i="4" s="1"/>
  <c r="V112" i="4"/>
  <c r="AA112" i="4" s="1"/>
  <c r="W112" i="4"/>
  <c r="R112" i="4" s="1"/>
  <c r="AL138" i="4"/>
  <c r="AL189" i="4"/>
  <c r="X214" i="4"/>
  <c r="Y214" i="4"/>
  <c r="Z214" i="4"/>
  <c r="AA214" i="4"/>
  <c r="AB214" i="4"/>
  <c r="N214" i="4"/>
  <c r="O214" i="4"/>
  <c r="P214" i="4"/>
  <c r="Q214" i="4"/>
  <c r="R214" i="4"/>
  <c r="N111" i="4"/>
  <c r="O111" i="4"/>
  <c r="BA111" i="4" s="1"/>
  <c r="P111" i="4"/>
  <c r="Q111" i="4"/>
  <c r="R111" i="4"/>
  <c r="X111" i="4"/>
  <c r="Y111" i="4"/>
  <c r="Z111" i="4"/>
  <c r="AA111" i="4"/>
  <c r="AB111" i="4"/>
  <c r="X120" i="4"/>
  <c r="Y120" i="4"/>
  <c r="Z120" i="4"/>
  <c r="AA120" i="4"/>
  <c r="AB120" i="4"/>
  <c r="N120" i="4"/>
  <c r="O120" i="4"/>
  <c r="P120" i="4"/>
  <c r="Q120" i="4"/>
  <c r="R120" i="4"/>
  <c r="AL146" i="4"/>
  <c r="O178" i="4"/>
  <c r="P178" i="4"/>
  <c r="BB178" i="4" s="1"/>
  <c r="Q178" i="4"/>
  <c r="R178" i="4"/>
  <c r="Y178" i="4"/>
  <c r="Z178" i="4"/>
  <c r="AA178" i="4"/>
  <c r="AB178" i="4"/>
  <c r="N112" i="4"/>
  <c r="X212" i="4"/>
  <c r="Y212" i="4"/>
  <c r="Z212" i="4"/>
  <c r="AA212" i="4"/>
  <c r="AB212" i="4"/>
  <c r="N115" i="4"/>
  <c r="O115" i="4"/>
  <c r="P115" i="4"/>
  <c r="Q115" i="4"/>
  <c r="R115" i="4"/>
  <c r="X115" i="4"/>
  <c r="AL115" i="4" s="1"/>
  <c r="Y115" i="4"/>
  <c r="Z115" i="4"/>
  <c r="AA115" i="4"/>
  <c r="AB115" i="4"/>
  <c r="O17" i="4"/>
  <c r="P17" i="4"/>
  <c r="Q17" i="4"/>
  <c r="R17" i="4"/>
  <c r="S126" i="4"/>
  <c r="I126" i="4" s="1"/>
  <c r="T126" i="4"/>
  <c r="J126" i="4" s="1"/>
  <c r="U126" i="4"/>
  <c r="K126" i="4" s="1"/>
  <c r="V126" i="4"/>
  <c r="L126" i="4" s="1"/>
  <c r="W126" i="4"/>
  <c r="M126" i="4" s="1"/>
  <c r="N150" i="4"/>
  <c r="P150" i="4"/>
  <c r="AZ150" i="4" s="1"/>
  <c r="Q150" i="4"/>
  <c r="R150" i="4"/>
  <c r="X150" i="4"/>
  <c r="Z150" i="4"/>
  <c r="AA150" i="4"/>
  <c r="AB150" i="4"/>
  <c r="AG165" i="4"/>
  <c r="AI165" i="4"/>
  <c r="AJ165" i="4"/>
  <c r="AK165" i="4"/>
  <c r="N197" i="4"/>
  <c r="Q197" i="4"/>
  <c r="X197" i="4"/>
  <c r="AA197" i="4"/>
  <c r="AU70" i="4"/>
  <c r="I72" i="6"/>
  <c r="N195" i="4"/>
  <c r="P195" i="4"/>
  <c r="Q195" i="4"/>
  <c r="R195" i="4"/>
  <c r="X195" i="4"/>
  <c r="Z195" i="4"/>
  <c r="AA195" i="4"/>
  <c r="AB195" i="4"/>
  <c r="N168" i="4"/>
  <c r="P168" i="4"/>
  <c r="Q168" i="4"/>
  <c r="R168" i="4"/>
  <c r="X168" i="4"/>
  <c r="Z168" i="4"/>
  <c r="AA168" i="4"/>
  <c r="AB168" i="4"/>
  <c r="J89" i="10"/>
  <c r="M89" i="10" s="1"/>
  <c r="I19" i="6"/>
  <c r="AU17" i="4"/>
  <c r="AL152" i="4"/>
  <c r="N212" i="4"/>
  <c r="O212" i="4"/>
  <c r="P212" i="4"/>
  <c r="Q212" i="4"/>
  <c r="R212" i="4"/>
  <c r="AH126" i="4"/>
  <c r="O148" i="4"/>
  <c r="P148" i="4"/>
  <c r="Q148" i="4"/>
  <c r="R148" i="4"/>
  <c r="Y148" i="4"/>
  <c r="Z148" i="4"/>
  <c r="AA148" i="4"/>
  <c r="AB148" i="4"/>
  <c r="AZ148" i="4"/>
  <c r="I141" i="4"/>
  <c r="K141" i="4"/>
  <c r="M141" i="4"/>
  <c r="N145" i="4"/>
  <c r="P145" i="4"/>
  <c r="Q145" i="4"/>
  <c r="R145" i="4"/>
  <c r="X145" i="4"/>
  <c r="Z145" i="4"/>
  <c r="AA145" i="4"/>
  <c r="AB145" i="4"/>
  <c r="BB145" i="4"/>
  <c r="AJ127" i="4"/>
  <c r="AU97" i="4"/>
  <c r="I99" i="6"/>
  <c r="I85" i="6"/>
  <c r="AU83" i="4"/>
  <c r="AU52" i="4"/>
  <c r="I54" i="6"/>
  <c r="AU48" i="4"/>
  <c r="I50" i="6"/>
  <c r="AL191" i="4"/>
  <c r="S106" i="4"/>
  <c r="X106" i="4" s="1"/>
  <c r="T106" i="4"/>
  <c r="J106" i="4" s="1"/>
  <c r="U106" i="4"/>
  <c r="Z106" i="4" s="1"/>
  <c r="V106" i="4"/>
  <c r="L106" i="4" s="1"/>
  <c r="W106" i="4"/>
  <c r="AB106" i="4" s="1"/>
  <c r="N69" i="4"/>
  <c r="O69" i="4"/>
  <c r="P69" i="4"/>
  <c r="Q69" i="4"/>
  <c r="R69" i="4"/>
  <c r="AL108" i="4"/>
  <c r="O32" i="4"/>
  <c r="P32" i="4"/>
  <c r="Q32" i="4"/>
  <c r="R32" i="4"/>
  <c r="BA32" i="4"/>
  <c r="I160" i="4"/>
  <c r="J160" i="4"/>
  <c r="K160" i="4"/>
  <c r="L160" i="4"/>
  <c r="M160" i="4"/>
  <c r="AL122" i="4"/>
  <c r="H25" i="10"/>
  <c r="L25" i="10"/>
  <c r="AL155" i="4"/>
  <c r="AL81" i="4"/>
  <c r="S83" i="6"/>
  <c r="AU16" i="4"/>
  <c r="I18" i="6"/>
  <c r="AU28" i="4"/>
  <c r="I30" i="6"/>
  <c r="AU59" i="4"/>
  <c r="I61" i="6"/>
  <c r="O127" i="4"/>
  <c r="Y127" i="4"/>
  <c r="AE178" i="4"/>
  <c r="H35" i="10"/>
  <c r="M35" i="10" s="1"/>
  <c r="AE113" i="4"/>
  <c r="AE120" i="4"/>
  <c r="AE111" i="4"/>
  <c r="AH212" i="4"/>
  <c r="AE212" i="4"/>
  <c r="AG212" i="4"/>
  <c r="AI212" i="4"/>
  <c r="AJ212" i="4"/>
  <c r="AK212" i="4"/>
  <c r="AE119" i="4"/>
  <c r="AE214" i="4"/>
  <c r="I17" i="10"/>
  <c r="J17" i="10"/>
  <c r="K17" i="10"/>
  <c r="L17" i="10"/>
  <c r="AE202" i="4"/>
  <c r="S201" i="4"/>
  <c r="AG201" i="4" s="1"/>
  <c r="T201" i="4"/>
  <c r="AH201" i="4" s="1"/>
  <c r="U201" i="4"/>
  <c r="AI201" i="4" s="1"/>
  <c r="V201" i="4"/>
  <c r="AJ201" i="4" s="1"/>
  <c r="W201" i="4"/>
  <c r="AK201" i="4" s="1"/>
  <c r="S179" i="4"/>
  <c r="AG179" i="4" s="1"/>
  <c r="T179" i="4"/>
  <c r="AH179" i="4" s="1"/>
  <c r="U179" i="4"/>
  <c r="AI179" i="4" s="1"/>
  <c r="V179" i="4"/>
  <c r="AJ179" i="4" s="1"/>
  <c r="W179" i="4"/>
  <c r="AK179" i="4" s="1"/>
  <c r="S210" i="4"/>
  <c r="N210" i="4" s="1"/>
  <c r="T210" i="4"/>
  <c r="O210" i="4" s="1"/>
  <c r="U210" i="4"/>
  <c r="P210" i="4" s="1"/>
  <c r="V210" i="4"/>
  <c r="Q210" i="4" s="1"/>
  <c r="W210" i="4"/>
  <c r="R210" i="4" s="1"/>
  <c r="AH106" i="4"/>
  <c r="S147" i="4"/>
  <c r="I147" i="4" s="1"/>
  <c r="T147" i="4"/>
  <c r="J147" i="4" s="1"/>
  <c r="U147" i="4"/>
  <c r="K147" i="4" s="1"/>
  <c r="V147" i="4"/>
  <c r="L147" i="4" s="1"/>
  <c r="W147" i="4"/>
  <c r="M147" i="4" s="1"/>
  <c r="J210" i="4"/>
  <c r="L210" i="4"/>
  <c r="R50" i="4"/>
  <c r="AU12" i="4"/>
  <c r="I14" i="6"/>
  <c r="AU20" i="4"/>
  <c r="I22" i="6"/>
  <c r="AU32" i="4"/>
  <c r="I34" i="6"/>
  <c r="AU87" i="4"/>
  <c r="I89" i="6"/>
  <c r="S200" i="4"/>
  <c r="N200" i="4" s="1"/>
  <c r="T200" i="4"/>
  <c r="O200" i="4" s="1"/>
  <c r="U200" i="4"/>
  <c r="P200" i="4" s="1"/>
  <c r="V200" i="4"/>
  <c r="Q200" i="4" s="1"/>
  <c r="W200" i="4"/>
  <c r="R200" i="4" s="1"/>
  <c r="Z200" i="4"/>
  <c r="I112" i="4"/>
  <c r="M112" i="4"/>
  <c r="S110" i="4"/>
  <c r="N110" i="4" s="1"/>
  <c r="T110" i="4"/>
  <c r="U110" i="4"/>
  <c r="P110" i="4" s="1"/>
  <c r="V110" i="4"/>
  <c r="W110" i="4"/>
  <c r="R110" i="4" s="1"/>
  <c r="Z110" i="4"/>
  <c r="AE115" i="4"/>
  <c r="S135" i="4"/>
  <c r="N135" i="4" s="1"/>
  <c r="T135" i="4"/>
  <c r="O135" i="4" s="1"/>
  <c r="U135" i="4"/>
  <c r="P135" i="4" s="1"/>
  <c r="V135" i="4"/>
  <c r="Q135" i="4" s="1"/>
  <c r="W135" i="4"/>
  <c r="R135" i="4" s="1"/>
  <c r="Z135" i="4"/>
  <c r="AG135" i="4"/>
  <c r="AK135" i="4"/>
  <c r="N165" i="4"/>
  <c r="P165" i="4"/>
  <c r="Q165" i="4"/>
  <c r="R165" i="4"/>
  <c r="X165" i="4"/>
  <c r="Z165" i="4"/>
  <c r="AA165" i="4"/>
  <c r="AB165" i="4"/>
  <c r="K207" i="4"/>
  <c r="J207" i="4"/>
  <c r="M207" i="4"/>
  <c r="AI207" i="4"/>
  <c r="AG207" i="4"/>
  <c r="AH207" i="4"/>
  <c r="AJ207" i="4"/>
  <c r="AK207" i="4"/>
  <c r="S128" i="4"/>
  <c r="X128" i="4" s="1"/>
  <c r="T128" i="4"/>
  <c r="Y128" i="4" s="1"/>
  <c r="U128" i="4"/>
  <c r="Z128" i="4" s="1"/>
  <c r="V128" i="4"/>
  <c r="AA128" i="4" s="1"/>
  <c r="W128" i="4"/>
  <c r="AB128" i="4" s="1"/>
  <c r="P128" i="4"/>
  <c r="S172" i="4"/>
  <c r="X172" i="4" s="1"/>
  <c r="T172" i="4"/>
  <c r="Y172" i="4" s="1"/>
  <c r="U172" i="4"/>
  <c r="Z172" i="4" s="1"/>
  <c r="V172" i="4"/>
  <c r="AA172" i="4" s="1"/>
  <c r="W172" i="4"/>
  <c r="AB172" i="4" s="1"/>
  <c r="O172" i="4"/>
  <c r="S116" i="4"/>
  <c r="N116" i="4" s="1"/>
  <c r="T116" i="4"/>
  <c r="O116" i="4" s="1"/>
  <c r="U116" i="4"/>
  <c r="P116" i="4" s="1"/>
  <c r="V116" i="4"/>
  <c r="Q116" i="4" s="1"/>
  <c r="W116" i="4"/>
  <c r="R116" i="4" s="1"/>
  <c r="N106" i="4"/>
  <c r="O106" i="4"/>
  <c r="P106" i="4"/>
  <c r="Q106" i="4"/>
  <c r="R106" i="4"/>
  <c r="Y106" i="4"/>
  <c r="AA106" i="4"/>
  <c r="N132" i="4"/>
  <c r="O132" i="4"/>
  <c r="P132" i="4"/>
  <c r="Q132" i="4"/>
  <c r="R132" i="4"/>
  <c r="X132" i="4"/>
  <c r="Y132" i="4"/>
  <c r="Z132" i="4"/>
  <c r="AA132" i="4"/>
  <c r="AB132" i="4"/>
  <c r="N201" i="4"/>
  <c r="O201" i="4"/>
  <c r="P201" i="4"/>
  <c r="Q201" i="4"/>
  <c r="R201" i="4"/>
  <c r="Y201" i="4"/>
  <c r="AA201" i="4"/>
  <c r="N141" i="4"/>
  <c r="O141" i="4"/>
  <c r="P141" i="4"/>
  <c r="Q141" i="4"/>
  <c r="R141" i="4"/>
  <c r="X141" i="4"/>
  <c r="Y141" i="4"/>
  <c r="Z141" i="4"/>
  <c r="AA141" i="4"/>
  <c r="AB141" i="4"/>
  <c r="BA141" i="4"/>
  <c r="N160" i="4"/>
  <c r="O160" i="4"/>
  <c r="P160" i="4"/>
  <c r="Q160" i="4"/>
  <c r="R160" i="4"/>
  <c r="X160" i="4"/>
  <c r="Y160" i="4"/>
  <c r="Z160" i="4"/>
  <c r="AA160" i="4"/>
  <c r="AB160" i="4"/>
  <c r="N176" i="4"/>
  <c r="O176" i="4"/>
  <c r="P176" i="4"/>
  <c r="Q176" i="4"/>
  <c r="R176" i="4"/>
  <c r="X176" i="4"/>
  <c r="Y176" i="4"/>
  <c r="Z176" i="4"/>
  <c r="AA176" i="4"/>
  <c r="AB176" i="4"/>
  <c r="N147" i="4"/>
  <c r="P147" i="4"/>
  <c r="R147" i="4"/>
  <c r="Y147" i="4"/>
  <c r="AA147" i="4"/>
  <c r="I132" i="4"/>
  <c r="J132" i="4"/>
  <c r="K132" i="4"/>
  <c r="L132" i="4"/>
  <c r="M132" i="4"/>
  <c r="I201" i="4"/>
  <c r="J201" i="4"/>
  <c r="K201" i="4"/>
  <c r="L201" i="4"/>
  <c r="M201" i="4"/>
  <c r="N159" i="4"/>
  <c r="O159" i="4"/>
  <c r="P159" i="4"/>
  <c r="Q159" i="4"/>
  <c r="R159" i="4"/>
  <c r="X159" i="4"/>
  <c r="Y159" i="4"/>
  <c r="Z159" i="4"/>
  <c r="AA159" i="4"/>
  <c r="AB159" i="4"/>
  <c r="S182" i="4"/>
  <c r="X182" i="4" s="1"/>
  <c r="T182" i="4"/>
  <c r="Y182" i="4" s="1"/>
  <c r="U182" i="4"/>
  <c r="Z182" i="4" s="1"/>
  <c r="V182" i="4"/>
  <c r="AA182" i="4" s="1"/>
  <c r="W182" i="4"/>
  <c r="AB182" i="4" s="1"/>
  <c r="P182" i="4"/>
  <c r="AG159" i="4"/>
  <c r="AH159" i="4"/>
  <c r="AI159" i="4"/>
  <c r="AJ159" i="4"/>
  <c r="AK159" i="4"/>
  <c r="I176" i="4"/>
  <c r="J176" i="4"/>
  <c r="K176" i="4"/>
  <c r="L176" i="4"/>
  <c r="M176" i="4"/>
  <c r="H16" i="10"/>
  <c r="I16" i="10"/>
  <c r="J16" i="10"/>
  <c r="K16" i="10"/>
  <c r="L16" i="10"/>
  <c r="AL199" i="4"/>
  <c r="T131" i="4"/>
  <c r="J131" i="4" s="1"/>
  <c r="V131" i="4"/>
  <c r="L131" i="4" s="1"/>
  <c r="I76" i="10"/>
  <c r="K76" i="10"/>
  <c r="L76" i="10"/>
  <c r="I172" i="4"/>
  <c r="J172" i="4"/>
  <c r="K172" i="4"/>
  <c r="L172" i="4"/>
  <c r="M172" i="4"/>
  <c r="AL203" i="4"/>
  <c r="AL148" i="4"/>
  <c r="H69" i="10"/>
  <c r="M69" i="10" s="1"/>
  <c r="I69" i="10"/>
  <c r="J69" i="10"/>
  <c r="K69" i="10"/>
  <c r="L69" i="10"/>
  <c r="N126" i="4"/>
  <c r="O126" i="4"/>
  <c r="P126" i="4"/>
  <c r="Q126" i="4"/>
  <c r="R126" i="4"/>
  <c r="X126" i="4"/>
  <c r="Y126" i="4"/>
  <c r="Z126" i="4"/>
  <c r="AA126" i="4"/>
  <c r="AB126" i="4"/>
  <c r="N169" i="4"/>
  <c r="O169" i="4"/>
  <c r="P169" i="4"/>
  <c r="Q169" i="4"/>
  <c r="R169" i="4"/>
  <c r="X169" i="4"/>
  <c r="Y169" i="4"/>
  <c r="Z169" i="4"/>
  <c r="AA169" i="4"/>
  <c r="AB169" i="4"/>
  <c r="S121" i="4"/>
  <c r="N121" i="4" s="1"/>
  <c r="T121" i="4"/>
  <c r="O121" i="4" s="1"/>
  <c r="U121" i="4"/>
  <c r="P121" i="4" s="1"/>
  <c r="V121" i="4"/>
  <c r="Q121" i="4" s="1"/>
  <c r="W121" i="4"/>
  <c r="R121" i="4" s="1"/>
  <c r="Z121" i="4"/>
  <c r="I128" i="4"/>
  <c r="K128" i="4"/>
  <c r="M128" i="4"/>
  <c r="AG128" i="4"/>
  <c r="AI128" i="4"/>
  <c r="AK128" i="4"/>
  <c r="AU69" i="4"/>
  <c r="I71" i="6"/>
  <c r="T71" i="6" s="1"/>
  <c r="AL195" i="4"/>
  <c r="AG172" i="4"/>
  <c r="AH172" i="4"/>
  <c r="AI172" i="4"/>
  <c r="AJ172" i="4"/>
  <c r="AK172" i="4"/>
  <c r="I121" i="4"/>
  <c r="M121" i="4"/>
  <c r="AG200" i="4"/>
  <c r="AH200" i="4"/>
  <c r="AI200" i="4"/>
  <c r="AJ200" i="4"/>
  <c r="AK200" i="4"/>
  <c r="S114" i="4"/>
  <c r="N114" i="4" s="1"/>
  <c r="T114" i="4"/>
  <c r="O114" i="4" s="1"/>
  <c r="U114" i="4"/>
  <c r="V114" i="4"/>
  <c r="Q114" i="4" s="1"/>
  <c r="W114" i="4"/>
  <c r="Q131" i="4"/>
  <c r="AH121" i="4"/>
  <c r="I200" i="4"/>
  <c r="J200" i="4"/>
  <c r="K200" i="4"/>
  <c r="L200" i="4"/>
  <c r="M200" i="4"/>
  <c r="AL145" i="4"/>
  <c r="I116" i="4"/>
  <c r="J116" i="4"/>
  <c r="K116" i="4"/>
  <c r="L116" i="4"/>
  <c r="M116" i="4"/>
  <c r="H28" i="10"/>
  <c r="I28" i="10"/>
  <c r="J28" i="10"/>
  <c r="K28" i="10"/>
  <c r="L28" i="10"/>
  <c r="AG147" i="4"/>
  <c r="AH147" i="4"/>
  <c r="AI147" i="4"/>
  <c r="AJ147" i="4"/>
  <c r="AK147" i="4"/>
  <c r="N179" i="4"/>
  <c r="O179" i="4"/>
  <c r="P179" i="4"/>
  <c r="Q179" i="4"/>
  <c r="R179" i="4"/>
  <c r="X179" i="4"/>
  <c r="Y179" i="4"/>
  <c r="Z179" i="4"/>
  <c r="AA179" i="4"/>
  <c r="AB179" i="4"/>
  <c r="AL80" i="4"/>
  <c r="S82" i="6"/>
  <c r="S76" i="6"/>
  <c r="AL74" i="4"/>
  <c r="K15" i="10"/>
  <c r="AL66" i="4"/>
  <c r="S68" i="6"/>
  <c r="AE189" i="4"/>
  <c r="AE215" i="4"/>
  <c r="AE155" i="4"/>
  <c r="AE196" i="4"/>
  <c r="AH210" i="4"/>
  <c r="AG210" i="4"/>
  <c r="AI210" i="4"/>
  <c r="AJ210" i="4"/>
  <c r="AK210" i="4"/>
  <c r="AE163" i="4"/>
  <c r="AE138" i="4"/>
  <c r="AE122" i="4"/>
  <c r="AE141" i="4"/>
  <c r="AE206" i="4"/>
  <c r="AE150" i="4"/>
  <c r="AE149" i="4"/>
  <c r="AK169" i="4"/>
  <c r="AI169" i="4"/>
  <c r="AG169" i="4"/>
  <c r="AH169" i="4"/>
  <c r="AJ169" i="4"/>
  <c r="AE169" i="4"/>
  <c r="AL141" i="4"/>
  <c r="S72" i="6"/>
  <c r="AL70" i="4"/>
  <c r="S86" i="6"/>
  <c r="AL84" i="4"/>
  <c r="L15" i="10"/>
  <c r="J15" i="10"/>
  <c r="AL15" i="4"/>
  <c r="S17" i="6"/>
  <c r="I15" i="10"/>
  <c r="AL43" i="4"/>
  <c r="S45" i="6"/>
  <c r="AL150" i="4"/>
  <c r="S93" i="6"/>
  <c r="AL91" i="4"/>
  <c r="AL59" i="4"/>
  <c r="S61" i="6"/>
  <c r="AL97" i="4"/>
  <c r="S99" i="6"/>
  <c r="AL7" i="4"/>
  <c r="S9" i="6"/>
  <c r="L52" i="10"/>
  <c r="J52" i="10"/>
  <c r="S94" i="6"/>
  <c r="AL92" i="4"/>
  <c r="L12" i="10"/>
  <c r="J12" i="10"/>
  <c r="AL55" i="4"/>
  <c r="S57" i="6"/>
  <c r="AE147" i="4"/>
  <c r="M179" i="4"/>
  <c r="K179" i="4"/>
  <c r="AE179" i="4"/>
  <c r="I179" i="4"/>
  <c r="AE176" i="4"/>
  <c r="AE210" i="4"/>
  <c r="AE191" i="4"/>
  <c r="AE105" i="4"/>
  <c r="AE184" i="4"/>
  <c r="AE160" i="4"/>
  <c r="AE104" i="4"/>
  <c r="AE126" i="4"/>
  <c r="AE201" i="4"/>
  <c r="K96" i="10"/>
  <c r="AE106" i="4"/>
  <c r="AE153" i="4"/>
  <c r="AE159" i="4"/>
  <c r="AE158" i="4"/>
  <c r="AI116" i="4"/>
  <c r="AE162" i="4"/>
  <c r="AL24" i="4"/>
  <c r="S26" i="6"/>
  <c r="AL87" i="4"/>
  <c r="S89" i="6"/>
  <c r="H52" i="10"/>
  <c r="I52" i="10"/>
  <c r="K52" i="10"/>
  <c r="AL83" i="4"/>
  <c r="S85" i="6"/>
  <c r="H12" i="10"/>
  <c r="I12" i="10"/>
  <c r="K12" i="10"/>
  <c r="AL32" i="4"/>
  <c r="S34" i="6"/>
  <c r="AL20" i="4"/>
  <c r="S22" i="6"/>
  <c r="AL75" i="4"/>
  <c r="S77" i="6"/>
  <c r="AE148" i="4"/>
  <c r="AE145" i="4"/>
  <c r="L179" i="4"/>
  <c r="J179" i="4"/>
  <c r="AE190" i="4"/>
  <c r="I96" i="10"/>
  <c r="S97" i="6"/>
  <c r="AL95" i="4"/>
  <c r="AL26" i="4"/>
  <c r="S28" i="6"/>
  <c r="AL71" i="4"/>
  <c r="S73" i="6"/>
  <c r="S70" i="6"/>
  <c r="AL68" i="4"/>
  <c r="AL102" i="4"/>
  <c r="S104" i="6"/>
  <c r="AL60" i="4"/>
  <c r="S62" i="6"/>
  <c r="AL44" i="4"/>
  <c r="S46" i="6"/>
  <c r="S55" i="6"/>
  <c r="AL53" i="4"/>
  <c r="AJ182" i="4"/>
  <c r="AH182" i="4"/>
  <c r="AK116" i="4"/>
  <c r="AE116" i="4"/>
  <c r="AG116" i="4"/>
  <c r="AH116" i="4"/>
  <c r="AJ116" i="4"/>
  <c r="AL51" i="4"/>
  <c r="S53" i="6"/>
  <c r="S15" i="6"/>
  <c r="AL13" i="4"/>
  <c r="S87" i="6"/>
  <c r="AL85" i="4"/>
  <c r="S88" i="6"/>
  <c r="AL86" i="4"/>
  <c r="L88" i="6" s="1"/>
  <c r="AL98" i="4"/>
  <c r="S100" i="6"/>
  <c r="AL64" i="4"/>
  <c r="S66" i="6"/>
  <c r="AL22" i="4"/>
  <c r="S24" i="6"/>
  <c r="S10" i="6"/>
  <c r="AL8" i="4"/>
  <c r="AL100" i="4"/>
  <c r="S102" i="6"/>
  <c r="S96" i="6"/>
  <c r="AL94" i="4"/>
  <c r="S58" i="6"/>
  <c r="AL56" i="4"/>
  <c r="S20" i="6"/>
  <c r="AL18" i="4"/>
  <c r="AL21" i="4"/>
  <c r="S23" i="6"/>
  <c r="AL168" i="4"/>
  <c r="S56" i="6"/>
  <c r="AL54" i="4"/>
  <c r="AE211" i="4"/>
  <c r="AE167" i="4"/>
  <c r="AE131" i="4"/>
  <c r="AE193" i="4"/>
  <c r="AF106" i="4"/>
  <c r="AD106" i="4" s="1"/>
  <c r="AL106" i="4"/>
  <c r="AE103" i="4"/>
  <c r="AL29" i="4"/>
  <c r="S31" i="6"/>
  <c r="S39" i="6"/>
  <c r="AL37" i="4"/>
  <c r="AL58" i="4"/>
  <c r="S60" i="6"/>
  <c r="S59" i="6"/>
  <c r="AL57" i="4"/>
  <c r="AE171" i="4"/>
  <c r="L96" i="10"/>
  <c r="J96" i="10"/>
  <c r="AE132" i="4"/>
  <c r="AE107" i="4"/>
  <c r="AE109" i="4"/>
  <c r="AE133" i="4"/>
  <c r="M182" i="4"/>
  <c r="K182" i="4"/>
  <c r="AG182" i="4"/>
  <c r="I182" i="4"/>
  <c r="AE213" i="4"/>
  <c r="AE152" i="4"/>
  <c r="AE207" i="4"/>
  <c r="AE161" i="4"/>
  <c r="AE186" i="4"/>
  <c r="AE134" i="4"/>
  <c r="AE181" i="4"/>
  <c r="AE142" i="4"/>
  <c r="AE192" i="4"/>
  <c r="AE137" i="4"/>
  <c r="AE209" i="4"/>
  <c r="AE136" i="4"/>
  <c r="AE174" i="4"/>
  <c r="AE125" i="4"/>
  <c r="AE117" i="4"/>
  <c r="AE185" i="4"/>
  <c r="AE216" i="4"/>
  <c r="AJ114" i="4"/>
  <c r="AH114" i="4"/>
  <c r="AE157" i="4"/>
  <c r="AE129" i="4"/>
  <c r="AE205" i="4"/>
  <c r="AE165" i="4"/>
  <c r="AE114" i="4"/>
  <c r="AE139" i="4"/>
  <c r="AE195" i="4"/>
  <c r="AE203" i="4"/>
  <c r="AE198" i="4"/>
  <c r="AL173" i="4"/>
  <c r="S90" i="6"/>
  <c r="AL88" i="4"/>
  <c r="AL19" i="4"/>
  <c r="S21" i="6"/>
  <c r="AL23" i="4"/>
  <c r="S25" i="6"/>
  <c r="M135" i="4"/>
  <c r="K135" i="4"/>
  <c r="I135" i="4"/>
  <c r="J135" i="4"/>
  <c r="L135" i="4"/>
  <c r="AE135" i="4"/>
  <c r="AE199" i="4"/>
  <c r="AE128" i="4"/>
  <c r="AE146" i="4"/>
  <c r="AE188" i="4"/>
  <c r="AE154" i="4"/>
  <c r="L110" i="4"/>
  <c r="I110" i="4"/>
  <c r="J110" i="4"/>
  <c r="K110" i="4"/>
  <c r="M110" i="4"/>
  <c r="AJ110" i="4"/>
  <c r="AH110" i="4"/>
  <c r="AG110" i="4"/>
  <c r="AI110" i="4"/>
  <c r="AK110" i="4"/>
  <c r="AE168" i="4"/>
  <c r="AE143" i="4"/>
  <c r="AE124" i="4"/>
  <c r="AE173" i="4"/>
  <c r="AE127" i="4"/>
  <c r="AE197" i="4"/>
  <c r="S11" i="6"/>
  <c r="AL9" i="4"/>
  <c r="S33" i="6"/>
  <c r="AL31" i="4"/>
  <c r="R101" i="4"/>
  <c r="P101" i="4"/>
  <c r="Q52" i="4"/>
  <c r="Q12" i="4"/>
  <c r="AE172" i="4"/>
  <c r="S42" i="6"/>
  <c r="AL40" i="4"/>
  <c r="AL82" i="4"/>
  <c r="S84" i="6"/>
  <c r="AL73" i="4"/>
  <c r="S75" i="6"/>
  <c r="AE166" i="4"/>
  <c r="AE177" i="4"/>
  <c r="AE170" i="4"/>
  <c r="AE110" i="4"/>
  <c r="AE164" i="4"/>
  <c r="AE204" i="4"/>
  <c r="AE112" i="4"/>
  <c r="AE108" i="4"/>
  <c r="AE200" i="4"/>
  <c r="S32" i="6"/>
  <c r="AL30" i="4"/>
  <c r="Q101" i="4"/>
  <c r="N101" i="4"/>
  <c r="O52" i="4"/>
  <c r="O12" i="4"/>
  <c r="R52" i="4"/>
  <c r="P52" i="4"/>
  <c r="N52" i="4"/>
  <c r="BB52" i="4" s="1"/>
  <c r="R12" i="4"/>
  <c r="P12" i="4"/>
  <c r="R14" i="6" s="1"/>
  <c r="N12" i="4"/>
  <c r="AE183" i="4"/>
  <c r="AE140" i="4"/>
  <c r="AE130" i="4"/>
  <c r="S69" i="6"/>
  <c r="AL67" i="4"/>
  <c r="Q27" i="4"/>
  <c r="N36" i="4"/>
  <c r="O50" i="4"/>
  <c r="AE180" i="4"/>
  <c r="AE175" i="4"/>
  <c r="Q34" i="4"/>
  <c r="N34" i="4"/>
  <c r="AL10" i="4"/>
  <c r="S12" i="6"/>
  <c r="AL14" i="4"/>
  <c r="S16" i="6"/>
  <c r="R27" i="4"/>
  <c r="P36" i="4"/>
  <c r="Q36" i="4"/>
  <c r="Q50" i="4"/>
  <c r="N50" i="4"/>
  <c r="AY17" i="4"/>
  <c r="AX17" i="4"/>
  <c r="BA17" i="4"/>
  <c r="BB17" i="4"/>
  <c r="AZ17" i="4"/>
  <c r="AD17" i="4"/>
  <c r="J19" i="6" s="1"/>
  <c r="R19" i="6"/>
  <c r="AY76" i="4"/>
  <c r="BA76" i="4"/>
  <c r="BB76" i="4"/>
  <c r="AX76" i="4"/>
  <c r="AZ76" i="4"/>
  <c r="R78" i="6"/>
  <c r="AL17" i="4"/>
  <c r="S19" i="6"/>
  <c r="AL76" i="4"/>
  <c r="S78" i="6"/>
  <c r="S63" i="6"/>
  <c r="AL61" i="4"/>
  <c r="AL38" i="4"/>
  <c r="S40" i="6"/>
  <c r="AL49" i="4"/>
  <c r="S51" i="6"/>
  <c r="S91" i="6"/>
  <c r="AL89" i="4"/>
  <c r="AL42" i="4"/>
  <c r="S44" i="6"/>
  <c r="AL48" i="4"/>
  <c r="S50" i="6"/>
  <c r="AL41" i="4"/>
  <c r="S43" i="6"/>
  <c r="AL45" i="4"/>
  <c r="S47" i="6"/>
  <c r="N27" i="4"/>
  <c r="T97" i="6"/>
  <c r="T89" i="6"/>
  <c r="T81" i="6"/>
  <c r="T103" i="6"/>
  <c r="T95" i="6"/>
  <c r="T87" i="6"/>
  <c r="T79" i="6"/>
  <c r="T73" i="6"/>
  <c r="T69" i="6"/>
  <c r="T65" i="6"/>
  <c r="T61" i="6"/>
  <c r="T57" i="6"/>
  <c r="T53" i="6"/>
  <c r="T49" i="6"/>
  <c r="T45" i="6"/>
  <c r="T41" i="6"/>
  <c r="T37" i="6"/>
  <c r="T33" i="6"/>
  <c r="T29" i="6"/>
  <c r="T25" i="6"/>
  <c r="T21" i="6"/>
  <c r="T17" i="6"/>
  <c r="T13" i="6"/>
  <c r="T9" i="6"/>
  <c r="T104" i="6"/>
  <c r="T100" i="6"/>
  <c r="T96" i="6"/>
  <c r="T88" i="6"/>
  <c r="T84" i="6"/>
  <c r="T80" i="6"/>
  <c r="T76" i="6"/>
  <c r="T72" i="6"/>
  <c r="T68" i="6"/>
  <c r="T64" i="6"/>
  <c r="T60" i="6"/>
  <c r="T52" i="6"/>
  <c r="T48" i="6"/>
  <c r="T44" i="6"/>
  <c r="T40" i="6"/>
  <c r="T36" i="6"/>
  <c r="T32" i="6"/>
  <c r="T28" i="6"/>
  <c r="T24" i="6"/>
  <c r="T20" i="6"/>
  <c r="T16" i="6"/>
  <c r="T12" i="6"/>
  <c r="T8" i="6"/>
  <c r="T101" i="6"/>
  <c r="T93" i="6"/>
  <c r="T85" i="6"/>
  <c r="T77" i="6"/>
  <c r="T99" i="6"/>
  <c r="T91" i="6"/>
  <c r="T83" i="6"/>
  <c r="T75" i="6"/>
  <c r="T59" i="6"/>
  <c r="T51" i="6"/>
  <c r="T47" i="6"/>
  <c r="T43" i="6"/>
  <c r="T39" i="6"/>
  <c r="T35" i="6"/>
  <c r="T31" i="6"/>
  <c r="T27" i="6"/>
  <c r="T23" i="6"/>
  <c r="T19" i="6"/>
  <c r="T15" i="6"/>
  <c r="T11" i="6"/>
  <c r="T102" i="6"/>
  <c r="T98" i="6"/>
  <c r="T94" i="6"/>
  <c r="T90" i="6"/>
  <c r="T86" i="6"/>
  <c r="T82" i="6"/>
  <c r="T78" i="6"/>
  <c r="T74" i="6"/>
  <c r="T70" i="6"/>
  <c r="T66" i="6"/>
  <c r="T62" i="6"/>
  <c r="T58" i="6"/>
  <c r="T54" i="6"/>
  <c r="T50" i="6"/>
  <c r="T46" i="6"/>
  <c r="T42" i="6"/>
  <c r="T38" i="6"/>
  <c r="T34" i="6"/>
  <c r="T30" i="6"/>
  <c r="T26" i="6"/>
  <c r="T22" i="6"/>
  <c r="T18" i="6"/>
  <c r="T14" i="6"/>
  <c r="T10" i="6"/>
  <c r="T6" i="6"/>
  <c r="AX79" i="4"/>
  <c r="BB79" i="4"/>
  <c r="AZ79" i="4"/>
  <c r="AY79" i="4"/>
  <c r="BA79" i="4"/>
  <c r="R81" i="6"/>
  <c r="AX35" i="4"/>
  <c r="AY35" i="4"/>
  <c r="BB35" i="4"/>
  <c r="BA35" i="4"/>
  <c r="AD35" i="4"/>
  <c r="AZ35" i="4"/>
  <c r="R37" i="6"/>
  <c r="AZ101" i="4"/>
  <c r="AX93" i="4"/>
  <c r="BB93" i="4"/>
  <c r="AZ93" i="4"/>
  <c r="AY93" i="4"/>
  <c r="BA93" i="4"/>
  <c r="R95" i="6"/>
  <c r="AZ77" i="4"/>
  <c r="BA77" i="4"/>
  <c r="BB77" i="4"/>
  <c r="AX77" i="4"/>
  <c r="AY77" i="4"/>
  <c r="AD77" i="4"/>
  <c r="R79" i="6"/>
  <c r="BB47" i="4"/>
  <c r="AY47" i="4"/>
  <c r="AX47" i="4"/>
  <c r="BA47" i="4"/>
  <c r="AZ47" i="4"/>
  <c r="R49" i="6"/>
  <c r="AX39" i="4"/>
  <c r="BB39" i="4"/>
  <c r="AY39" i="4"/>
  <c r="BA39" i="4"/>
  <c r="AZ39" i="4"/>
  <c r="R41" i="6"/>
  <c r="BB11" i="4"/>
  <c r="AZ11" i="4"/>
  <c r="BA11" i="4"/>
  <c r="AY11" i="4"/>
  <c r="AX11" i="4"/>
  <c r="R13" i="6"/>
  <c r="AL101" i="4"/>
  <c r="K103" i="6" s="1"/>
  <c r="S103" i="6"/>
  <c r="AL93" i="4"/>
  <c r="S95" i="6"/>
  <c r="AL77" i="4"/>
  <c r="S79" i="6"/>
  <c r="AL69" i="4"/>
  <c r="S71" i="6"/>
  <c r="AL33" i="4"/>
  <c r="S35" i="6"/>
  <c r="AL25" i="4"/>
  <c r="S27" i="6"/>
  <c r="AL5" i="4"/>
  <c r="S7" i="6"/>
  <c r="AX96" i="4"/>
  <c r="BA96" i="4"/>
  <c r="AY96" i="4"/>
  <c r="BB96" i="4"/>
  <c r="AZ96" i="4"/>
  <c r="R98" i="6"/>
  <c r="AX78" i="4"/>
  <c r="BB78" i="4"/>
  <c r="AZ78" i="4"/>
  <c r="AY78" i="4"/>
  <c r="BA78" i="4"/>
  <c r="R80" i="6"/>
  <c r="AX69" i="4"/>
  <c r="AZ69" i="4"/>
  <c r="AY69" i="4"/>
  <c r="BA69" i="4"/>
  <c r="BB69" i="4"/>
  <c r="R71" i="6"/>
  <c r="BB33" i="4"/>
  <c r="AZ33" i="4"/>
  <c r="BA33" i="4"/>
  <c r="AY33" i="4"/>
  <c r="AX33" i="4"/>
  <c r="R35" i="6"/>
  <c r="BB25" i="4"/>
  <c r="AY25" i="4"/>
  <c r="BA25" i="4"/>
  <c r="AZ25" i="4"/>
  <c r="AX25" i="4"/>
  <c r="R27" i="6"/>
  <c r="BA5" i="4"/>
  <c r="AZ5" i="4"/>
  <c r="AY5" i="4"/>
  <c r="BB5" i="4"/>
  <c r="AX5" i="4"/>
  <c r="R7" i="6"/>
  <c r="AL79" i="4"/>
  <c r="S81" i="6"/>
  <c r="AL47" i="4"/>
  <c r="S49" i="6"/>
  <c r="AL39" i="4"/>
  <c r="S41" i="6"/>
  <c r="AL35" i="4"/>
  <c r="S37" i="6"/>
  <c r="AL27" i="4"/>
  <c r="S29" i="6"/>
  <c r="AL11" i="4"/>
  <c r="S13" i="6"/>
  <c r="BA72" i="4"/>
  <c r="AZ72" i="4"/>
  <c r="AY72" i="4"/>
  <c r="AX72" i="4"/>
  <c r="BB72" i="4"/>
  <c r="AD72" i="4"/>
  <c r="R74" i="6"/>
  <c r="BB62" i="4"/>
  <c r="AZ62" i="4"/>
  <c r="BA62" i="4"/>
  <c r="AY62" i="4"/>
  <c r="AX62" i="4"/>
  <c r="R64" i="6"/>
  <c r="AX46" i="4"/>
  <c r="BB46" i="4"/>
  <c r="BA46" i="4"/>
  <c r="AY46" i="4"/>
  <c r="AZ46" i="4"/>
  <c r="R48" i="6"/>
  <c r="AY34" i="4"/>
  <c r="BB28" i="4"/>
  <c r="BA28" i="4"/>
  <c r="AZ28" i="4"/>
  <c r="AX28" i="4"/>
  <c r="AY28" i="4"/>
  <c r="R30" i="6"/>
  <c r="AZ16" i="4"/>
  <c r="AX16" i="4"/>
  <c r="BB16" i="4"/>
  <c r="BA16" i="4"/>
  <c r="AY16" i="4"/>
  <c r="R18" i="6"/>
  <c r="BB6" i="4"/>
  <c r="AZ6" i="4"/>
  <c r="AX6" i="4"/>
  <c r="AY6" i="4"/>
  <c r="AD6" i="4"/>
  <c r="BA6" i="4"/>
  <c r="R8" i="6"/>
  <c r="H96" i="10"/>
  <c r="AL96" i="4"/>
  <c r="S98" i="6"/>
  <c r="AL78" i="4"/>
  <c r="S80" i="6"/>
  <c r="AL72" i="4"/>
  <c r="S74" i="6"/>
  <c r="AL62" i="4"/>
  <c r="K64" i="6" s="1"/>
  <c r="S64" i="6"/>
  <c r="AL52" i="4"/>
  <c r="S54" i="6"/>
  <c r="AL50" i="4"/>
  <c r="S52" i="6"/>
  <c r="AL46" i="4"/>
  <c r="S48" i="6"/>
  <c r="AL36" i="4"/>
  <c r="S38" i="6"/>
  <c r="AL34" i="4"/>
  <c r="S36" i="6"/>
  <c r="AL28" i="4"/>
  <c r="S30" i="6"/>
  <c r="AL16" i="4"/>
  <c r="S18" i="6"/>
  <c r="AL12" i="4"/>
  <c r="S14" i="6"/>
  <c r="AL6" i="4"/>
  <c r="S8" i="6"/>
  <c r="S5" i="6" l="1"/>
  <c r="M96" i="10"/>
  <c r="R114" i="4"/>
  <c r="M114" i="4"/>
  <c r="P114" i="4"/>
  <c r="Z114" i="4"/>
  <c r="AY160" i="4"/>
  <c r="BB106" i="4"/>
  <c r="AY165" i="4"/>
  <c r="AX212" i="4"/>
  <c r="AL212" i="4"/>
  <c r="AC139" i="4"/>
  <c r="M7" i="10"/>
  <c r="BB215" i="4"/>
  <c r="AF173" i="4"/>
  <c r="AU138" i="4"/>
  <c r="AX108" i="4"/>
  <c r="AY194" i="4"/>
  <c r="AY113" i="4"/>
  <c r="BB71" i="4"/>
  <c r="K63" i="9"/>
  <c r="BA98" i="4"/>
  <c r="K69" i="9"/>
  <c r="M100" i="10"/>
  <c r="BA67" i="4"/>
  <c r="BB57" i="4"/>
  <c r="AG183" i="4"/>
  <c r="I183" i="4"/>
  <c r="AG161" i="4"/>
  <c r="I161" i="4"/>
  <c r="AJ170" i="4"/>
  <c r="Q170" i="4"/>
  <c r="L170" i="4"/>
  <c r="M19" i="10"/>
  <c r="J109" i="4"/>
  <c r="O109" i="4"/>
  <c r="Y109" i="4"/>
  <c r="G88" i="6"/>
  <c r="AD86" i="4"/>
  <c r="AU54" i="4"/>
  <c r="I56" i="6"/>
  <c r="T56" i="6" s="1"/>
  <c r="K121" i="4"/>
  <c r="AB121" i="4"/>
  <c r="X121" i="4"/>
  <c r="R182" i="4"/>
  <c r="N182" i="4"/>
  <c r="BB159" i="4"/>
  <c r="AI135" i="4"/>
  <c r="AB135" i="4"/>
  <c r="X135" i="4"/>
  <c r="Z210" i="4"/>
  <c r="AY195" i="4"/>
  <c r="AJ150" i="4"/>
  <c r="AG150" i="4"/>
  <c r="AI145" i="4"/>
  <c r="M197" i="4"/>
  <c r="AC206" i="4"/>
  <c r="L157" i="4"/>
  <c r="AX81" i="4"/>
  <c r="BB206" i="4"/>
  <c r="AA157" i="4"/>
  <c r="AB124" i="4"/>
  <c r="R124" i="4"/>
  <c r="AY146" i="4"/>
  <c r="I163" i="4"/>
  <c r="AF181" i="4"/>
  <c r="I48" i="9"/>
  <c r="AA163" i="4"/>
  <c r="AZ152" i="4"/>
  <c r="AX166" i="4"/>
  <c r="AX185" i="4"/>
  <c r="P117" i="4"/>
  <c r="I50" i="9"/>
  <c r="AY71" i="4"/>
  <c r="AX60" i="4"/>
  <c r="BB208" i="4"/>
  <c r="AX38" i="4"/>
  <c r="BA38" i="4"/>
  <c r="BB38" i="4"/>
  <c r="AB162" i="4"/>
  <c r="AL161" i="4"/>
  <c r="AG167" i="4"/>
  <c r="AY85" i="4"/>
  <c r="Q158" i="4"/>
  <c r="AA158" i="4"/>
  <c r="Q125" i="4"/>
  <c r="AA125" i="4"/>
  <c r="L125" i="4"/>
  <c r="N125" i="4"/>
  <c r="I125" i="4"/>
  <c r="AK170" i="4"/>
  <c r="AB170" i="4"/>
  <c r="AG170" i="4"/>
  <c r="X170" i="4"/>
  <c r="AL170" i="4" s="1"/>
  <c r="AJ186" i="4"/>
  <c r="AA186" i="4"/>
  <c r="Q186" i="4"/>
  <c r="AH186" i="4"/>
  <c r="Y186" i="4"/>
  <c r="O186" i="4"/>
  <c r="G63" i="6"/>
  <c r="AD61" i="4"/>
  <c r="G12" i="6"/>
  <c r="AD10" i="4"/>
  <c r="J12" i="6" s="1"/>
  <c r="AU53" i="4"/>
  <c r="I55" i="6"/>
  <c r="T55" i="6" s="1"/>
  <c r="BA85" i="4"/>
  <c r="M142" i="4"/>
  <c r="K142" i="4"/>
  <c r="M82" i="10"/>
  <c r="AB142" i="4"/>
  <c r="Z142" i="4"/>
  <c r="AL142" i="4" s="1"/>
  <c r="AA107" i="4"/>
  <c r="Z130" i="4"/>
  <c r="AA118" i="4"/>
  <c r="AB144" i="4"/>
  <c r="R24" i="6"/>
  <c r="AF57" i="4"/>
  <c r="G59" i="6" s="1"/>
  <c r="AF50" i="4"/>
  <c r="G52" i="6" s="1"/>
  <c r="AF21" i="4"/>
  <c r="L36" i="9"/>
  <c r="AC77" i="4"/>
  <c r="H79" i="6" s="1"/>
  <c r="AC57" i="4"/>
  <c r="H59" i="6" s="1"/>
  <c r="AC43" i="4"/>
  <c r="H45" i="6" s="1"/>
  <c r="AC36" i="4"/>
  <c r="H38" i="6" s="1"/>
  <c r="AC27" i="4"/>
  <c r="H29" i="6" s="1"/>
  <c r="AC10" i="4"/>
  <c r="H12" i="6" s="1"/>
  <c r="AC6" i="4"/>
  <c r="H8" i="6" s="1"/>
  <c r="AC84" i="4"/>
  <c r="H86" i="6" s="1"/>
  <c r="AU119" i="4"/>
  <c r="AC90" i="4"/>
  <c r="H92" i="6" s="1"/>
  <c r="AC54" i="4"/>
  <c r="H56" i="6" s="1"/>
  <c r="AC46" i="4"/>
  <c r="H48" i="6" s="1"/>
  <c r="AF23" i="4"/>
  <c r="AF82" i="4"/>
  <c r="AF119" i="4"/>
  <c r="AF55" i="4"/>
  <c r="AF36" i="4"/>
  <c r="G38" i="6" s="1"/>
  <c r="I35" i="9" s="1"/>
  <c r="AF24" i="4"/>
  <c r="AC100" i="4"/>
  <c r="H102" i="6" s="1"/>
  <c r="AC50" i="4"/>
  <c r="H52" i="6" s="1"/>
  <c r="AC28" i="4"/>
  <c r="H30" i="6" s="1"/>
  <c r="AF44" i="4"/>
  <c r="AF8" i="4"/>
  <c r="G10" i="6" s="1"/>
  <c r="K7" i="9" s="1"/>
  <c r="AC74" i="4"/>
  <c r="H76" i="6" s="1"/>
  <c r="AD36" i="4"/>
  <c r="R103" i="6"/>
  <c r="AG114" i="4"/>
  <c r="K114" i="4"/>
  <c r="AE182" i="4"/>
  <c r="AI182" i="4"/>
  <c r="AK182" i="4"/>
  <c r="J182" i="4"/>
  <c r="L182" i="4"/>
  <c r="M15" i="10"/>
  <c r="AU169" i="4"/>
  <c r="AU147" i="4"/>
  <c r="AJ121" i="4"/>
  <c r="AA131" i="4"/>
  <c r="AB114" i="4"/>
  <c r="X114" i="4"/>
  <c r="M76" i="10"/>
  <c r="Q182" i="4"/>
  <c r="O182" i="4"/>
  <c r="BB182" i="4" s="1"/>
  <c r="AB201" i="4"/>
  <c r="Z201" i="4"/>
  <c r="X201" i="4"/>
  <c r="AZ106" i="4"/>
  <c r="Z116" i="4"/>
  <c r="R128" i="4"/>
  <c r="N128" i="4"/>
  <c r="AJ135" i="4"/>
  <c r="AH135" i="4"/>
  <c r="AA135" i="4"/>
  <c r="Y135" i="4"/>
  <c r="X110" i="4"/>
  <c r="AB200" i="4"/>
  <c r="X200" i="4"/>
  <c r="AJ106" i="4"/>
  <c r="AB210" i="4"/>
  <c r="X210" i="4"/>
  <c r="AU179" i="4"/>
  <c r="AJ126" i="4"/>
  <c r="Z207" i="4"/>
  <c r="AU173" i="4"/>
  <c r="AA196" i="4"/>
  <c r="BA191" i="4"/>
  <c r="AB139" i="4"/>
  <c r="AZ45" i="4"/>
  <c r="M80" i="10"/>
  <c r="BB181" i="4"/>
  <c r="AU187" i="4"/>
  <c r="BA174" i="4"/>
  <c r="R156" i="4"/>
  <c r="BA113" i="4"/>
  <c r="AZ113" i="4"/>
  <c r="AY185" i="4"/>
  <c r="R93" i="6"/>
  <c r="AZ71" i="4"/>
  <c r="BB60" i="4"/>
  <c r="R187" i="4"/>
  <c r="R100" i="6"/>
  <c r="M36" i="10"/>
  <c r="L47" i="9"/>
  <c r="J47" i="9"/>
  <c r="K34" i="9"/>
  <c r="AX57" i="4"/>
  <c r="AX75" i="4"/>
  <c r="AF129" i="4"/>
  <c r="AB158" i="4"/>
  <c r="Z158" i="4"/>
  <c r="X144" i="4"/>
  <c r="BA53" i="4"/>
  <c r="AL169" i="4"/>
  <c r="BA169" i="4"/>
  <c r="AC172" i="4"/>
  <c r="AZ160" i="4"/>
  <c r="AF195" i="4"/>
  <c r="AU195" i="4"/>
  <c r="AC199" i="4"/>
  <c r="AY206" i="4"/>
  <c r="BA152" i="4"/>
  <c r="AC158" i="4"/>
  <c r="BA166" i="4"/>
  <c r="AZ164" i="4"/>
  <c r="BA161" i="4"/>
  <c r="AX64" i="4"/>
  <c r="AZ208" i="4"/>
  <c r="AF143" i="4"/>
  <c r="BA143" i="4"/>
  <c r="AC152" i="4"/>
  <c r="AU142" i="4"/>
  <c r="AC186" i="4"/>
  <c r="BA84" i="4"/>
  <c r="BB202" i="4"/>
  <c r="G11" i="6"/>
  <c r="AD9" i="4"/>
  <c r="J11" i="6" s="1"/>
  <c r="I63" i="6"/>
  <c r="T63" i="6" s="1"/>
  <c r="AU61" i="4"/>
  <c r="AF202" i="4"/>
  <c r="AF85" i="4"/>
  <c r="G87" i="6" s="1"/>
  <c r="L84" i="9" s="1"/>
  <c r="AF66" i="4"/>
  <c r="AF59" i="4"/>
  <c r="G61" i="6" s="1"/>
  <c r="H58" i="9" s="1"/>
  <c r="AF34" i="4"/>
  <c r="G36" i="6" s="1"/>
  <c r="H33" i="9" s="1"/>
  <c r="AF25" i="4"/>
  <c r="AF16" i="4"/>
  <c r="AF11" i="4"/>
  <c r="AC102" i="4"/>
  <c r="H104" i="6" s="1"/>
  <c r="AC95" i="4"/>
  <c r="H97" i="6" s="1"/>
  <c r="AC85" i="4"/>
  <c r="H87" i="6" s="1"/>
  <c r="AC79" i="4"/>
  <c r="H81" i="6" s="1"/>
  <c r="AC62" i="4"/>
  <c r="H64" i="6" s="1"/>
  <c r="AC58" i="4"/>
  <c r="H60" i="6" s="1"/>
  <c r="AC45" i="4"/>
  <c r="H47" i="6" s="1"/>
  <c r="AC29" i="4"/>
  <c r="H31" i="6" s="1"/>
  <c r="AC88" i="4"/>
  <c r="H90" i="6" s="1"/>
  <c r="M10" i="10"/>
  <c r="AC13" i="4"/>
  <c r="H15" i="6" s="1"/>
  <c r="AF47" i="4"/>
  <c r="AF79" i="4"/>
  <c r="AF62" i="4"/>
  <c r="AF20" i="4"/>
  <c r="G22" i="6" s="1"/>
  <c r="AF15" i="4"/>
  <c r="G17" i="6" s="1"/>
  <c r="I14" i="9" s="1"/>
  <c r="AF7" i="4"/>
  <c r="AZ37" i="4"/>
  <c r="AC97" i="4"/>
  <c r="H99" i="6" s="1"/>
  <c r="AC93" i="4"/>
  <c r="H95" i="6" s="1"/>
  <c r="AC87" i="4"/>
  <c r="H89" i="6" s="1"/>
  <c r="AC69" i="4"/>
  <c r="H71" i="6" s="1"/>
  <c r="AC60" i="4"/>
  <c r="H62" i="6" s="1"/>
  <c r="AC33" i="4"/>
  <c r="H35" i="6" s="1"/>
  <c r="AC24" i="4"/>
  <c r="H26" i="6" s="1"/>
  <c r="AF18" i="4"/>
  <c r="L20" i="6" s="1"/>
  <c r="I5" i="6"/>
  <c r="T5" i="6" s="1"/>
  <c r="AU3" i="4"/>
  <c r="AV3" i="4" s="1"/>
  <c r="BB3" i="4"/>
  <c r="R5" i="6"/>
  <c r="AL3" i="4"/>
  <c r="AZ3" i="4"/>
  <c r="G6" i="6"/>
  <c r="AD4" i="4"/>
  <c r="I7" i="6"/>
  <c r="T7" i="6" s="1"/>
  <c r="AU5" i="4"/>
  <c r="AF5" i="4"/>
  <c r="M3" i="10"/>
  <c r="AX3" i="4"/>
  <c r="AY3" i="4"/>
  <c r="BA3" i="4"/>
  <c r="AZ126" i="4"/>
  <c r="BA159" i="4"/>
  <c r="AF176" i="4"/>
  <c r="AL135" i="4"/>
  <c r="BA135" i="4"/>
  <c r="AU212" i="4"/>
  <c r="AZ145" i="4"/>
  <c r="AZ168" i="4"/>
  <c r="I16" i="9"/>
  <c r="AX178" i="4"/>
  <c r="AF111" i="4"/>
  <c r="AX111" i="4"/>
  <c r="BA155" i="4"/>
  <c r="BA122" i="4"/>
  <c r="M83" i="10"/>
  <c r="M21" i="10"/>
  <c r="AY15" i="4"/>
  <c r="AX199" i="4"/>
  <c r="AZ215" i="4"/>
  <c r="AF189" i="4"/>
  <c r="AZ189" i="4"/>
  <c r="AZ173" i="4"/>
  <c r="AU163" i="4"/>
  <c r="AJ124" i="4"/>
  <c r="Q124" i="4"/>
  <c r="AA124" i="4"/>
  <c r="AG124" i="4"/>
  <c r="I124" i="4"/>
  <c r="N124" i="4"/>
  <c r="X124" i="4"/>
  <c r="AL124" i="4" s="1"/>
  <c r="L215" i="4"/>
  <c r="AJ215" i="4"/>
  <c r="I215" i="4"/>
  <c r="AG215" i="4"/>
  <c r="AU215" i="4" s="1"/>
  <c r="M59" i="10"/>
  <c r="AY179" i="4"/>
  <c r="BA12" i="4"/>
  <c r="AY36" i="4"/>
  <c r="BA27" i="4"/>
  <c r="J49" i="9"/>
  <c r="AY27" i="4"/>
  <c r="AX34" i="4"/>
  <c r="BB36" i="4"/>
  <c r="AX101" i="4"/>
  <c r="I114" i="4"/>
  <c r="AI114" i="4"/>
  <c r="AK114" i="4"/>
  <c r="AE121" i="4"/>
  <c r="J114" i="4"/>
  <c r="L114" i="4"/>
  <c r="AK121" i="4"/>
  <c r="AI121" i="4"/>
  <c r="AG121" i="4"/>
  <c r="Y131" i="4"/>
  <c r="AF131" i="4" s="1"/>
  <c r="O131" i="4"/>
  <c r="AA114" i="4"/>
  <c r="Y114" i="4"/>
  <c r="L121" i="4"/>
  <c r="J121" i="4"/>
  <c r="AA121" i="4"/>
  <c r="Y121" i="4"/>
  <c r="AY169" i="4"/>
  <c r="AH131" i="4"/>
  <c r="AX201" i="4"/>
  <c r="BB132" i="4"/>
  <c r="AY106" i="4"/>
  <c r="AU135" i="4"/>
  <c r="M210" i="4"/>
  <c r="K210" i="4"/>
  <c r="I210" i="4"/>
  <c r="AA210" i="4"/>
  <c r="Y210" i="4"/>
  <c r="AZ32" i="4"/>
  <c r="AY145" i="4"/>
  <c r="AK126" i="4"/>
  <c r="AI126" i="4"/>
  <c r="AG126" i="4"/>
  <c r="BB212" i="4"/>
  <c r="BB168" i="4"/>
  <c r="BA195" i="4"/>
  <c r="BB150" i="4"/>
  <c r="K16" i="9"/>
  <c r="BA115" i="4"/>
  <c r="AL111" i="4"/>
  <c r="BA120" i="4"/>
  <c r="AZ214" i="4"/>
  <c r="AB207" i="4"/>
  <c r="AY20" i="4"/>
  <c r="AD59" i="4"/>
  <c r="J61" i="6" s="1"/>
  <c r="J58" i="9"/>
  <c r="AC159" i="4"/>
  <c r="BA193" i="4"/>
  <c r="BA203" i="4"/>
  <c r="AC122" i="4"/>
  <c r="M196" i="4"/>
  <c r="AD81" i="4"/>
  <c r="J83" i="6" s="1"/>
  <c r="J80" i="9"/>
  <c r="BB87" i="4"/>
  <c r="AU115" i="4"/>
  <c r="AF206" i="4"/>
  <c r="AX206" i="4"/>
  <c r="AD15" i="4"/>
  <c r="J17" i="6" s="1"/>
  <c r="K14" i="9"/>
  <c r="BA199" i="4"/>
  <c r="AC189" i="4"/>
  <c r="AX215" i="4"/>
  <c r="BB189" i="4"/>
  <c r="AZ191" i="4"/>
  <c r="Z139" i="4"/>
  <c r="AX173" i="4"/>
  <c r="I203" i="4"/>
  <c r="M66" i="10"/>
  <c r="AX45" i="4"/>
  <c r="BA45" i="4"/>
  <c r="BA138" i="4"/>
  <c r="BB138" i="4"/>
  <c r="AF124" i="4"/>
  <c r="AZ124" i="4"/>
  <c r="AZ146" i="4"/>
  <c r="L124" i="4"/>
  <c r="AF108" i="4"/>
  <c r="BB108" i="4"/>
  <c r="AX146" i="4"/>
  <c r="M163" i="4"/>
  <c r="K163" i="4"/>
  <c r="AF152" i="4"/>
  <c r="AU123" i="4"/>
  <c r="M156" i="4"/>
  <c r="BB194" i="4"/>
  <c r="O156" i="4"/>
  <c r="AX177" i="4"/>
  <c r="AX164" i="4"/>
  <c r="M78" i="10"/>
  <c r="AF185" i="4"/>
  <c r="R117" i="4"/>
  <c r="N117" i="4"/>
  <c r="BB29" i="4"/>
  <c r="BB51" i="4"/>
  <c r="AZ51" i="4"/>
  <c r="L53" i="6" s="1"/>
  <c r="R73" i="6"/>
  <c r="I59" i="9"/>
  <c r="AD60" i="4"/>
  <c r="J62" i="6" s="1"/>
  <c r="AF113" i="4"/>
  <c r="Q216" i="4"/>
  <c r="P187" i="4"/>
  <c r="AX208" i="4"/>
  <c r="AY102" i="4"/>
  <c r="M34" i="10"/>
  <c r="I34" i="9"/>
  <c r="I37" i="9"/>
  <c r="J37" i="9"/>
  <c r="L37" i="9"/>
  <c r="AZ38" i="4"/>
  <c r="AD129" i="4"/>
  <c r="AY129" i="4"/>
  <c r="M95" i="10"/>
  <c r="BA181" i="4"/>
  <c r="AC174" i="4"/>
  <c r="AY174" i="4"/>
  <c r="AC166" i="4"/>
  <c r="AC198" i="4"/>
  <c r="AZ185" i="4"/>
  <c r="AY161" i="4"/>
  <c r="BB91" i="4"/>
  <c r="BA64" i="4"/>
  <c r="AF164" i="4"/>
  <c r="AD164" i="4" s="1"/>
  <c r="AZ98" i="4"/>
  <c r="AC146" i="4"/>
  <c r="AU194" i="4"/>
  <c r="BB95" i="4"/>
  <c r="AZ103" i="4"/>
  <c r="AC103" i="4"/>
  <c r="AC170" i="4"/>
  <c r="H84" i="9"/>
  <c r="AY67" i="4"/>
  <c r="M57" i="10"/>
  <c r="BB158" i="4"/>
  <c r="AF170" i="4"/>
  <c r="AY170" i="4"/>
  <c r="M47" i="10"/>
  <c r="AX22" i="4"/>
  <c r="H30" i="9"/>
  <c r="AZ202" i="4"/>
  <c r="AF83" i="4"/>
  <c r="AF78" i="4"/>
  <c r="AF76" i="4"/>
  <c r="L66" i="9"/>
  <c r="J56" i="9"/>
  <c r="AF52" i="4"/>
  <c r="G54" i="6" s="1"/>
  <c r="J51" i="9" s="1"/>
  <c r="AF33" i="4"/>
  <c r="AF27" i="4"/>
  <c r="G29" i="6" s="1"/>
  <c r="I26" i="9" s="1"/>
  <c r="AF12" i="4"/>
  <c r="G14" i="6" s="1"/>
  <c r="L11" i="9" s="1"/>
  <c r="H5" i="9"/>
  <c r="AX37" i="4"/>
  <c r="AC101" i="4"/>
  <c r="H103" i="6" s="1"/>
  <c r="AC96" i="4"/>
  <c r="H98" i="6" s="1"/>
  <c r="AC91" i="4"/>
  <c r="H93" i="6" s="1"/>
  <c r="AC86" i="4"/>
  <c r="H88" i="6" s="1"/>
  <c r="AC78" i="4"/>
  <c r="H80" i="6" s="1"/>
  <c r="AC76" i="4"/>
  <c r="H78" i="6" s="1"/>
  <c r="AC71" i="4"/>
  <c r="H73" i="6" s="1"/>
  <c r="AC67" i="4"/>
  <c r="H69" i="6" s="1"/>
  <c r="AC51" i="4"/>
  <c r="H53" i="6" s="1"/>
  <c r="AC47" i="4"/>
  <c r="H49" i="6" s="1"/>
  <c r="AC34" i="4"/>
  <c r="H36" i="6" s="1"/>
  <c r="AC32" i="4"/>
  <c r="H34" i="6" s="1"/>
  <c r="AC25" i="4"/>
  <c r="H27" i="6" s="1"/>
  <c r="AC16" i="4"/>
  <c r="H18" i="6" s="1"/>
  <c r="AC12" i="4"/>
  <c r="H14" i="6" s="1"/>
  <c r="J7" i="9"/>
  <c r="AX8" i="4"/>
  <c r="R10" i="6"/>
  <c r="AD8" i="4"/>
  <c r="J10" i="6" s="1"/>
  <c r="M22" i="10"/>
  <c r="M30" i="10"/>
  <c r="AL174" i="4"/>
  <c r="AK185" i="4"/>
  <c r="AX95" i="4"/>
  <c r="BB103" i="4"/>
  <c r="L204" i="4"/>
  <c r="X204" i="4"/>
  <c r="N204" i="4"/>
  <c r="AJ209" i="4"/>
  <c r="AK167" i="4"/>
  <c r="AH167" i="4"/>
  <c r="AC129" i="4"/>
  <c r="AU125" i="4"/>
  <c r="AA209" i="4"/>
  <c r="BB85" i="4"/>
  <c r="AX85" i="4"/>
  <c r="J84" i="9"/>
  <c r="AX67" i="4"/>
  <c r="AZ75" i="4"/>
  <c r="L213" i="4"/>
  <c r="L136" i="4"/>
  <c r="Q133" i="4"/>
  <c r="M85" i="10"/>
  <c r="BB170" i="4"/>
  <c r="AB125" i="4"/>
  <c r="Z125" i="4"/>
  <c r="AA136" i="4"/>
  <c r="AB134" i="4"/>
  <c r="Z144" i="4"/>
  <c r="AZ144" i="4" s="1"/>
  <c r="AZ84" i="4"/>
  <c r="AD22" i="4"/>
  <c r="J24" i="6" s="1"/>
  <c r="K52" i="9"/>
  <c r="AZ31" i="4"/>
  <c r="J30" i="9"/>
  <c r="AX202" i="4"/>
  <c r="L5" i="9"/>
  <c r="AY119" i="4"/>
  <c r="AF91" i="4"/>
  <c r="G93" i="6" s="1"/>
  <c r="H90" i="9" s="1"/>
  <c r="AF87" i="4"/>
  <c r="G89" i="6" s="1"/>
  <c r="L86" i="9" s="1"/>
  <c r="AF84" i="4"/>
  <c r="G86" i="6" s="1"/>
  <c r="J83" i="9" s="1"/>
  <c r="AF80" i="4"/>
  <c r="AF75" i="4"/>
  <c r="L77" i="6" s="1"/>
  <c r="AF69" i="4"/>
  <c r="AF45" i="4"/>
  <c r="G47" i="6" s="1"/>
  <c r="H44" i="9" s="1"/>
  <c r="AF43" i="4"/>
  <c r="AF32" i="4"/>
  <c r="G34" i="6" s="1"/>
  <c r="I31" i="9" s="1"/>
  <c r="AF29" i="4"/>
  <c r="G31" i="6" s="1"/>
  <c r="I28" i="9" s="1"/>
  <c r="AF28" i="4"/>
  <c r="I21" i="9"/>
  <c r="AC98" i="4"/>
  <c r="H100" i="6" s="1"/>
  <c r="AC92" i="4"/>
  <c r="H94" i="6" s="1"/>
  <c r="AC80" i="4"/>
  <c r="H82" i="6" s="1"/>
  <c r="AC75" i="4"/>
  <c r="H77" i="6" s="1"/>
  <c r="AC70" i="4"/>
  <c r="H72" i="6" s="1"/>
  <c r="AC68" i="4"/>
  <c r="H70" i="6" s="1"/>
  <c r="AC64" i="4"/>
  <c r="H66" i="6" s="1"/>
  <c r="AC55" i="4"/>
  <c r="H57" i="6" s="1"/>
  <c r="AC52" i="4"/>
  <c r="H54" i="6" s="1"/>
  <c r="AC30" i="4"/>
  <c r="H32" i="6" s="1"/>
  <c r="AC26" i="4"/>
  <c r="H28" i="6" s="1"/>
  <c r="AC21" i="4"/>
  <c r="H23" i="6" s="1"/>
  <c r="AC15" i="4"/>
  <c r="H17" i="6" s="1"/>
  <c r="AC14" i="4"/>
  <c r="H16" i="6" s="1"/>
  <c r="AC11" i="4"/>
  <c r="H13" i="6" s="1"/>
  <c r="AC7" i="4"/>
  <c r="H9" i="6" s="1"/>
  <c r="AC5" i="4"/>
  <c r="H7" i="6" s="1"/>
  <c r="R46" i="6"/>
  <c r="AZ8" i="4"/>
  <c r="L10" i="6" s="1"/>
  <c r="AC202" i="4"/>
  <c r="AC56" i="4"/>
  <c r="H58" i="6" s="1"/>
  <c r="AC44" i="4"/>
  <c r="H46" i="6" s="1"/>
  <c r="M64" i="10"/>
  <c r="M74" i="10"/>
  <c r="AC22" i="4"/>
  <c r="H24" i="6" s="1"/>
  <c r="M94" i="10"/>
  <c r="AF39" i="4"/>
  <c r="AC18" i="4"/>
  <c r="H20" i="6" s="1"/>
  <c r="AC3" i="4"/>
  <c r="H5" i="6" s="1"/>
  <c r="AA137" i="4"/>
  <c r="X137" i="4"/>
  <c r="Q137" i="4"/>
  <c r="N137" i="4"/>
  <c r="AY44" i="4"/>
  <c r="AF3" i="4"/>
  <c r="AC9" i="4"/>
  <c r="H11" i="6" s="1"/>
  <c r="AU137" i="4"/>
  <c r="M53" i="10"/>
  <c r="AF93" i="4"/>
  <c r="AF26" i="4"/>
  <c r="M54" i="10"/>
  <c r="M40" i="10"/>
  <c r="AF56" i="4"/>
  <c r="L58" i="6" s="1"/>
  <c r="AF94" i="4"/>
  <c r="G96" i="6" s="1"/>
  <c r="Q94" i="4"/>
  <c r="AF68" i="4"/>
  <c r="O99" i="4"/>
  <c r="AF14" i="4"/>
  <c r="L80" i="6"/>
  <c r="AZ12" i="4"/>
  <c r="AX12" i="4"/>
  <c r="I11" i="9"/>
  <c r="AD34" i="4"/>
  <c r="BB34" i="4"/>
  <c r="J33" i="9"/>
  <c r="R38" i="6"/>
  <c r="K35" i="9"/>
  <c r="L35" i="9"/>
  <c r="AD52" i="4"/>
  <c r="AZ52" i="4"/>
  <c r="H51" i="9"/>
  <c r="BB101" i="4"/>
  <c r="AX27" i="4"/>
  <c r="AD27" i="4"/>
  <c r="K26" i="9"/>
  <c r="AU110" i="4"/>
  <c r="AC135" i="4"/>
  <c r="AU182" i="4"/>
  <c r="AC179" i="4"/>
  <c r="M12" i="10"/>
  <c r="M28" i="10"/>
  <c r="AC200" i="4"/>
  <c r="AF114" i="4"/>
  <c r="AD114" i="4" s="1"/>
  <c r="AX114" i="4"/>
  <c r="AZ114" i="4"/>
  <c r="AC121" i="4"/>
  <c r="BA121" i="4"/>
  <c r="BB121" i="4"/>
  <c r="AX121" i="4"/>
  <c r="M16" i="10"/>
  <c r="AU159" i="4"/>
  <c r="AL182" i="4"/>
  <c r="AF182" i="4"/>
  <c r="AD182" i="4" s="1"/>
  <c r="AF160" i="4"/>
  <c r="AD160" i="4" s="1"/>
  <c r="AL160" i="4"/>
  <c r="BA160" i="4"/>
  <c r="BB160" i="4"/>
  <c r="AF132" i="4"/>
  <c r="AD132" i="4" s="1"/>
  <c r="AL132" i="4"/>
  <c r="BA132" i="4"/>
  <c r="AX132" i="4"/>
  <c r="AU178" i="4"/>
  <c r="AU124" i="4"/>
  <c r="AZ36" i="4"/>
  <c r="AC110" i="4"/>
  <c r="AC114" i="4"/>
  <c r="AU116" i="4"/>
  <c r="M52" i="10"/>
  <c r="AF179" i="4"/>
  <c r="AD179" i="4" s="1"/>
  <c r="AZ179" i="4"/>
  <c r="AX179" i="4"/>
  <c r="AC116" i="4"/>
  <c r="AY131" i="4"/>
  <c r="AZ131" i="4"/>
  <c r="AF169" i="4"/>
  <c r="AD169" i="4" s="1"/>
  <c r="BB169" i="4"/>
  <c r="AZ169" i="4"/>
  <c r="AF126" i="4"/>
  <c r="AL126" i="4"/>
  <c r="AX126" i="4"/>
  <c r="BA126" i="4"/>
  <c r="AC176" i="4"/>
  <c r="AY182" i="4"/>
  <c r="AX182" i="4"/>
  <c r="AF159" i="4"/>
  <c r="AD159" i="4" s="1"/>
  <c r="AL159" i="4"/>
  <c r="AX159" i="4"/>
  <c r="AY159" i="4"/>
  <c r="AC132" i="4"/>
  <c r="AL176" i="4"/>
  <c r="BB176" i="4"/>
  <c r="AY176" i="4"/>
  <c r="AX176" i="4"/>
  <c r="AF141" i="4"/>
  <c r="AD141" i="4" s="1"/>
  <c r="AZ141" i="4"/>
  <c r="AL201" i="4"/>
  <c r="BB201" i="4"/>
  <c r="AZ201" i="4"/>
  <c r="AF177" i="4"/>
  <c r="BA177" i="4"/>
  <c r="AU210" i="4"/>
  <c r="AU121" i="4"/>
  <c r="AU200" i="4"/>
  <c r="AU172" i="4"/>
  <c r="AJ128" i="4"/>
  <c r="AH128" i="4"/>
  <c r="L128" i="4"/>
  <c r="J128" i="4"/>
  <c r="AC131" i="4"/>
  <c r="AC201" i="4"/>
  <c r="AB147" i="4"/>
  <c r="Z147" i="4"/>
  <c r="X147" i="4"/>
  <c r="AL147" i="4" s="1"/>
  <c r="Q147" i="4"/>
  <c r="O147" i="4"/>
  <c r="AZ147" i="4" s="1"/>
  <c r="AX141" i="4"/>
  <c r="AF201" i="4"/>
  <c r="AD201" i="4" s="1"/>
  <c r="AY201" i="4"/>
  <c r="AB116" i="4"/>
  <c r="X116" i="4"/>
  <c r="Q172" i="4"/>
  <c r="AA200" i="4"/>
  <c r="Y200" i="4"/>
  <c r="AY200" i="4" s="1"/>
  <c r="M25" i="10"/>
  <c r="H31" i="9"/>
  <c r="AF148" i="4"/>
  <c r="BA148" i="4"/>
  <c r="BA212" i="4"/>
  <c r="BA168" i="4"/>
  <c r="AX150" i="4"/>
  <c r="AF214" i="4"/>
  <c r="AD214" i="4" s="1"/>
  <c r="AJ145" i="4"/>
  <c r="AG145" i="4"/>
  <c r="AU145" i="4" s="1"/>
  <c r="H19" i="9"/>
  <c r="K19" i="9"/>
  <c r="AZ59" i="4"/>
  <c r="L58" i="9"/>
  <c r="AY193" i="4"/>
  <c r="M157" i="4"/>
  <c r="K157" i="4"/>
  <c r="AU139" i="4"/>
  <c r="AC193" i="4"/>
  <c r="L196" i="4"/>
  <c r="I196" i="4"/>
  <c r="AZ81" i="4"/>
  <c r="L80" i="9"/>
  <c r="H80" i="9"/>
  <c r="AZ87" i="4"/>
  <c r="AX87" i="4"/>
  <c r="M24" i="10"/>
  <c r="AB157" i="4"/>
  <c r="Z157" i="4"/>
  <c r="BA15" i="4"/>
  <c r="J14" i="9"/>
  <c r="AU120" i="4"/>
  <c r="AB196" i="4"/>
  <c r="Z196" i="4"/>
  <c r="BB196" i="4" s="1"/>
  <c r="AB105" i="4"/>
  <c r="R105" i="4"/>
  <c r="AA139" i="4"/>
  <c r="BA173" i="4"/>
  <c r="J44" i="9"/>
  <c r="BB45" i="4"/>
  <c r="M97" i="10"/>
  <c r="AJ214" i="4"/>
  <c r="M124" i="4"/>
  <c r="K124" i="4"/>
  <c r="AC124" i="4" s="1"/>
  <c r="M87" i="10"/>
  <c r="AX181" i="4"/>
  <c r="AB163" i="4"/>
  <c r="Z163" i="4"/>
  <c r="AY152" i="4"/>
  <c r="AU216" i="4"/>
  <c r="AC187" i="4"/>
  <c r="AU174" i="4"/>
  <c r="AC123" i="4"/>
  <c r="AZ194" i="4"/>
  <c r="AX194" i="4"/>
  <c r="AU151" i="4"/>
  <c r="BB177" i="4"/>
  <c r="AZ177" i="4"/>
  <c r="BB166" i="4"/>
  <c r="AZ166" i="4"/>
  <c r="AD113" i="4"/>
  <c r="AU177" i="4"/>
  <c r="AU118" i="4"/>
  <c r="AU144" i="4"/>
  <c r="M45" i="10"/>
  <c r="AD185" i="4"/>
  <c r="AY29" i="4"/>
  <c r="AX29" i="4"/>
  <c r="AZ29" i="4"/>
  <c r="K90" i="9"/>
  <c r="L90" i="9"/>
  <c r="J50" i="9"/>
  <c r="AX51" i="4"/>
  <c r="I70" i="9"/>
  <c r="J70" i="9"/>
  <c r="AD71" i="4"/>
  <c r="J73" i="6" s="1"/>
  <c r="L59" i="9"/>
  <c r="K59" i="9"/>
  <c r="L63" i="9"/>
  <c r="H63" i="9"/>
  <c r="BB64" i="4"/>
  <c r="R123" i="4"/>
  <c r="P123" i="4"/>
  <c r="I69" i="9"/>
  <c r="K88" i="9"/>
  <c r="L34" i="9"/>
  <c r="J34" i="9"/>
  <c r="M81" i="10"/>
  <c r="AF194" i="4"/>
  <c r="AC134" i="4"/>
  <c r="K162" i="4"/>
  <c r="Z162" i="4"/>
  <c r="AL162" i="4" s="1"/>
  <c r="L164" i="4"/>
  <c r="AK164" i="4"/>
  <c r="M164" i="4"/>
  <c r="AH164" i="4"/>
  <c r="J164" i="4"/>
  <c r="AC164" i="4" s="1"/>
  <c r="M75" i="10"/>
  <c r="M153" i="4"/>
  <c r="AK153" i="4"/>
  <c r="G77" i="6"/>
  <c r="K74" i="9" s="1"/>
  <c r="AD75" i="4"/>
  <c r="J77" i="6" s="1"/>
  <c r="G44" i="6"/>
  <c r="AD42" i="4"/>
  <c r="J44" i="6" s="1"/>
  <c r="AX106" i="4"/>
  <c r="AU207" i="4"/>
  <c r="AZ115" i="4"/>
  <c r="AF120" i="4"/>
  <c r="AD120" i="4" s="1"/>
  <c r="AY155" i="4"/>
  <c r="AU176" i="4"/>
  <c r="AF122" i="4"/>
  <c r="AX122" i="4"/>
  <c r="AF203" i="4"/>
  <c r="AZ203" i="4"/>
  <c r="AC155" i="4"/>
  <c r="J86" i="9"/>
  <c r="AL206" i="4"/>
  <c r="BA206" i="4"/>
  <c r="AZ15" i="4"/>
  <c r="AF199" i="4"/>
  <c r="AD199" i="4" s="1"/>
  <c r="BB199" i="4"/>
  <c r="AC178" i="4"/>
  <c r="AF215" i="4"/>
  <c r="AD215" i="4" s="1"/>
  <c r="AY215" i="4"/>
  <c r="BA189" i="4"/>
  <c r="AF191" i="4"/>
  <c r="AD191" i="4" s="1"/>
  <c r="AY191" i="4"/>
  <c r="AD173" i="4"/>
  <c r="AU206" i="4"/>
  <c r="AU193" i="4"/>
  <c r="AC173" i="4"/>
  <c r="AU199" i="4"/>
  <c r="M70" i="10"/>
  <c r="AU122" i="4"/>
  <c r="AU155" i="4"/>
  <c r="AU148" i="4"/>
  <c r="AC195" i="4"/>
  <c r="M55" i="10"/>
  <c r="AC115" i="4"/>
  <c r="AY108" i="4"/>
  <c r="AF138" i="4"/>
  <c r="AD138" i="4" s="1"/>
  <c r="AX138" i="4"/>
  <c r="AX124" i="4"/>
  <c r="AU181" i="4"/>
  <c r="AF146" i="4"/>
  <c r="AD146" i="4" s="1"/>
  <c r="BB146" i="4"/>
  <c r="AU152" i="4"/>
  <c r="AC215" i="4"/>
  <c r="AD181" i="4"/>
  <c r="AX152" i="4"/>
  <c r="AC194" i="4"/>
  <c r="AU158" i="4"/>
  <c r="AX174" i="4"/>
  <c r="AC151" i="4"/>
  <c r="AU166" i="4"/>
  <c r="BA164" i="4"/>
  <c r="AC177" i="4"/>
  <c r="AC144" i="4"/>
  <c r="M79" i="10"/>
  <c r="AL185" i="4"/>
  <c r="AZ161" i="4"/>
  <c r="BA91" i="4"/>
  <c r="AZ60" i="4"/>
  <c r="AZ102" i="4"/>
  <c r="BA95" i="4"/>
  <c r="AY95" i="4"/>
  <c r="M26" i="10"/>
  <c r="M39" i="10"/>
  <c r="H39" i="9"/>
  <c r="J39" i="9"/>
  <c r="L39" i="9"/>
  <c r="I39" i="9"/>
  <c r="K39" i="9"/>
  <c r="I8" i="9"/>
  <c r="K8" i="9"/>
  <c r="AL166" i="4"/>
  <c r="AF183" i="4"/>
  <c r="AY183" i="4"/>
  <c r="AU129" i="4"/>
  <c r="M6" i="10"/>
  <c r="AH192" i="4"/>
  <c r="Y192" i="4"/>
  <c r="X175" i="4"/>
  <c r="AC183" i="4"/>
  <c r="H76" i="9"/>
  <c r="AZ85" i="4"/>
  <c r="AD85" i="4"/>
  <c r="J87" i="6" s="1"/>
  <c r="R87" i="6"/>
  <c r="K84" i="9"/>
  <c r="I84" i="9"/>
  <c r="BB67" i="4"/>
  <c r="I66" i="9"/>
  <c r="I56" i="9"/>
  <c r="AF190" i="4"/>
  <c r="M88" i="10"/>
  <c r="Z140" i="4"/>
  <c r="P140" i="4"/>
  <c r="Z134" i="4"/>
  <c r="P134" i="4"/>
  <c r="AB118" i="4"/>
  <c r="Z118" i="4"/>
  <c r="BB144" i="4"/>
  <c r="H83" i="9"/>
  <c r="BA22" i="4"/>
  <c r="K21" i="9"/>
  <c r="AX53" i="4"/>
  <c r="AX31" i="4"/>
  <c r="L30" i="9"/>
  <c r="BA119" i="4"/>
  <c r="AD37" i="4"/>
  <c r="AY37" i="4"/>
  <c r="AF186" i="4"/>
  <c r="AL103" i="4"/>
  <c r="AF158" i="4"/>
  <c r="AX158" i="4"/>
  <c r="J5" i="9"/>
  <c r="BA37" i="4"/>
  <c r="AC94" i="4"/>
  <c r="H96" i="6" s="1"/>
  <c r="AC53" i="4"/>
  <c r="H55" i="6" s="1"/>
  <c r="AC39" i="4"/>
  <c r="H41" i="6" s="1"/>
  <c r="BB37" i="4"/>
  <c r="H36" i="9"/>
  <c r="R39" i="6"/>
  <c r="AX137" i="4"/>
  <c r="AY137" i="4"/>
  <c r="BA44" i="4"/>
  <c r="AX44" i="4"/>
  <c r="AZ44" i="4"/>
  <c r="BB8" i="4"/>
  <c r="AY8" i="4"/>
  <c r="BA8" i="4"/>
  <c r="I7" i="9"/>
  <c r="AC37" i="4"/>
  <c r="H39" i="6" s="1"/>
  <c r="H105" i="6" s="1"/>
  <c r="AC65" i="4"/>
  <c r="H67" i="6" s="1"/>
  <c r="M51" i="10"/>
  <c r="R11" i="6"/>
  <c r="AF54" i="4"/>
  <c r="AF92" i="4"/>
  <c r="AF63" i="4"/>
  <c r="AF74" i="4"/>
  <c r="AF19" i="4"/>
  <c r="AF46" i="4"/>
  <c r="AF58" i="4"/>
  <c r="L60" i="6" s="1"/>
  <c r="AF96" i="4"/>
  <c r="AF13" i="4"/>
  <c r="I93" i="9"/>
  <c r="I71" i="9"/>
  <c r="AA99" i="4"/>
  <c r="AF99" i="4" s="1"/>
  <c r="Q99" i="4"/>
  <c r="J88" i="6"/>
  <c r="J63" i="6"/>
  <c r="M68" i="10"/>
  <c r="AF30" i="4"/>
  <c r="I3" i="9"/>
  <c r="I60" i="9"/>
  <c r="I85" i="9"/>
  <c r="I9" i="9"/>
  <c r="AJ90" i="4"/>
  <c r="Q90" i="4"/>
  <c r="AA90" i="4"/>
  <c r="AK65" i="4"/>
  <c r="R65" i="4"/>
  <c r="AB65" i="4"/>
  <c r="J39" i="6"/>
  <c r="AL172" i="4"/>
  <c r="AF172" i="4"/>
  <c r="AF128" i="4"/>
  <c r="AL128" i="4"/>
  <c r="L14" i="6"/>
  <c r="K38" i="6"/>
  <c r="N38" i="6"/>
  <c r="L74" i="6"/>
  <c r="K74" i="6"/>
  <c r="M74" i="6"/>
  <c r="N74" i="6"/>
  <c r="K12" i="6"/>
  <c r="L12" i="6"/>
  <c r="K69" i="6"/>
  <c r="M69" i="6"/>
  <c r="N25" i="6"/>
  <c r="L25" i="6"/>
  <c r="K60" i="6"/>
  <c r="L31" i="6"/>
  <c r="N31" i="6"/>
  <c r="L68" i="6"/>
  <c r="N68" i="6"/>
  <c r="AF165" i="4"/>
  <c r="AD165" i="4" s="1"/>
  <c r="AX165" i="4"/>
  <c r="AZ165" i="4"/>
  <c r="BB165" i="4"/>
  <c r="AY135" i="4"/>
  <c r="AX135" i="4"/>
  <c r="AC210" i="4"/>
  <c r="BA210" i="4"/>
  <c r="AY210" i="4"/>
  <c r="AU201" i="4"/>
  <c r="AC160" i="4"/>
  <c r="BB32" i="4"/>
  <c r="AF145" i="4"/>
  <c r="AD145" i="4" s="1"/>
  <c r="AX145" i="4"/>
  <c r="BA145" i="4"/>
  <c r="AZ212" i="4"/>
  <c r="AY212" i="4"/>
  <c r="AU165" i="4"/>
  <c r="AC126" i="4"/>
  <c r="AX115" i="4"/>
  <c r="BB115" i="4"/>
  <c r="AY115" i="4"/>
  <c r="AF212" i="4"/>
  <c r="AD212" i="4" s="1"/>
  <c r="AF178" i="4"/>
  <c r="AD178" i="4" s="1"/>
  <c r="AL178" i="4"/>
  <c r="AZ178" i="4"/>
  <c r="AY178" i="4"/>
  <c r="BA178" i="4"/>
  <c r="AY120" i="4"/>
  <c r="AZ120" i="4"/>
  <c r="BB120" i="4"/>
  <c r="AX120" i="4"/>
  <c r="AY111" i="4"/>
  <c r="AZ111" i="4"/>
  <c r="BB111" i="4"/>
  <c r="AD111" i="4"/>
  <c r="BA214" i="4"/>
  <c r="AX214" i="4"/>
  <c r="AY214" i="4"/>
  <c r="BB214" i="4"/>
  <c r="AJ112" i="4"/>
  <c r="Q112" i="4"/>
  <c r="L112" i="4"/>
  <c r="AH112" i="4"/>
  <c r="O112" i="4"/>
  <c r="J112" i="4"/>
  <c r="AU196" i="4"/>
  <c r="AU150" i="4"/>
  <c r="N207" i="4"/>
  <c r="I207" i="4"/>
  <c r="L127" i="4"/>
  <c r="Q127" i="4"/>
  <c r="AA127" i="4"/>
  <c r="AL127" i="4" s="1"/>
  <c r="AX20" i="4"/>
  <c r="J19" i="9"/>
  <c r="I58" i="9"/>
  <c r="K58" i="9"/>
  <c r="AY59" i="4"/>
  <c r="BB59" i="4"/>
  <c r="N61" i="6" s="1"/>
  <c r="BA59" i="4"/>
  <c r="AX59" i="4"/>
  <c r="AL193" i="4"/>
  <c r="BB193" i="4"/>
  <c r="AX193" i="4"/>
  <c r="AD193" i="4"/>
  <c r="AZ193" i="4"/>
  <c r="AC154" i="4"/>
  <c r="AC188" i="4"/>
  <c r="M43" i="10"/>
  <c r="AC212" i="4"/>
  <c r="AU149" i="4"/>
  <c r="AU205" i="4"/>
  <c r="AU168" i="4"/>
  <c r="AC184" i="4"/>
  <c r="AU105" i="4"/>
  <c r="AU154" i="4"/>
  <c r="AC104" i="4"/>
  <c r="AU203" i="4"/>
  <c r="AU188" i="4"/>
  <c r="AC214" i="4"/>
  <c r="AC111" i="4"/>
  <c r="L8" i="6"/>
  <c r="K8" i="6"/>
  <c r="N8" i="6"/>
  <c r="K36" i="6"/>
  <c r="N36" i="6"/>
  <c r="K48" i="6"/>
  <c r="N48" i="6"/>
  <c r="L48" i="6"/>
  <c r="M48" i="6"/>
  <c r="R52" i="6"/>
  <c r="AZ50" i="4"/>
  <c r="L52" i="6" s="1"/>
  <c r="H49" i="9"/>
  <c r="BA50" i="4"/>
  <c r="K49" i="9"/>
  <c r="L49" i="9"/>
  <c r="N7" i="6"/>
  <c r="L7" i="6"/>
  <c r="L27" i="6"/>
  <c r="K27" i="6"/>
  <c r="M27" i="6"/>
  <c r="K35" i="6"/>
  <c r="L35" i="6"/>
  <c r="M35" i="6"/>
  <c r="K79" i="6"/>
  <c r="L79" i="6"/>
  <c r="N79" i="6"/>
  <c r="K95" i="6"/>
  <c r="L95" i="6"/>
  <c r="N91" i="6"/>
  <c r="K91" i="6"/>
  <c r="M91" i="6"/>
  <c r="K63" i="6"/>
  <c r="M63" i="6"/>
  <c r="N63" i="6"/>
  <c r="L42" i="6"/>
  <c r="K42" i="6"/>
  <c r="L46" i="6"/>
  <c r="K46" i="6"/>
  <c r="L73" i="6"/>
  <c r="K45" i="6"/>
  <c r="M45" i="6"/>
  <c r="L86" i="6"/>
  <c r="M86" i="6"/>
  <c r="L72" i="6"/>
  <c r="N72" i="6"/>
  <c r="AD12" i="4"/>
  <c r="J14" i="6" s="1"/>
  <c r="BB12" i="4"/>
  <c r="N14" i="6" s="1"/>
  <c r="AY12" i="4"/>
  <c r="J11" i="9"/>
  <c r="R36" i="6"/>
  <c r="AZ34" i="4"/>
  <c r="L36" i="6" s="1"/>
  <c r="BA34" i="4"/>
  <c r="K33" i="9"/>
  <c r="I33" i="9"/>
  <c r="AX36" i="4"/>
  <c r="J35" i="9"/>
  <c r="H35" i="9"/>
  <c r="BA36" i="4"/>
  <c r="AD50" i="4"/>
  <c r="AX50" i="4"/>
  <c r="I49" i="9"/>
  <c r="AY50" i="4"/>
  <c r="BB50" i="4"/>
  <c r="N52" i="6" s="1"/>
  <c r="R54" i="6"/>
  <c r="AX52" i="4"/>
  <c r="AY52" i="4"/>
  <c r="BA52" i="4"/>
  <c r="L51" i="9"/>
  <c r="I51" i="9"/>
  <c r="K13" i="6"/>
  <c r="L13" i="6"/>
  <c r="N13" i="6"/>
  <c r="K29" i="6"/>
  <c r="M29" i="6"/>
  <c r="K37" i="6"/>
  <c r="N37" i="6"/>
  <c r="M37" i="6"/>
  <c r="L37" i="6"/>
  <c r="K41" i="6"/>
  <c r="N41" i="6"/>
  <c r="L41" i="6"/>
  <c r="K49" i="6"/>
  <c r="L49" i="6"/>
  <c r="M49" i="6"/>
  <c r="K81" i="6"/>
  <c r="L81" i="6"/>
  <c r="N81" i="6"/>
  <c r="BA101" i="4"/>
  <c r="AY101" i="4"/>
  <c r="R29" i="6"/>
  <c r="AZ27" i="4"/>
  <c r="L29" i="6" s="1"/>
  <c r="H26" i="9"/>
  <c r="BB27" i="4"/>
  <c r="J26" i="9"/>
  <c r="L47" i="6"/>
  <c r="M47" i="6"/>
  <c r="L43" i="6"/>
  <c r="M43" i="6"/>
  <c r="N43" i="6"/>
  <c r="K50" i="6"/>
  <c r="M50" i="6"/>
  <c r="N50" i="6"/>
  <c r="L50" i="6"/>
  <c r="K44" i="6"/>
  <c r="N44" i="6"/>
  <c r="K51" i="6"/>
  <c r="N51" i="6"/>
  <c r="M51" i="6"/>
  <c r="K40" i="6"/>
  <c r="N40" i="6"/>
  <c r="M40" i="6"/>
  <c r="L40" i="6"/>
  <c r="L78" i="6"/>
  <c r="M78" i="6"/>
  <c r="L19" i="6"/>
  <c r="N19" i="6"/>
  <c r="L32" i="6"/>
  <c r="K32" i="6"/>
  <c r="N75" i="6"/>
  <c r="K75" i="6"/>
  <c r="M75" i="6"/>
  <c r="K84" i="6"/>
  <c r="M84" i="6"/>
  <c r="N84" i="6"/>
  <c r="K33" i="6"/>
  <c r="L33" i="6"/>
  <c r="K11" i="6"/>
  <c r="L11" i="6"/>
  <c r="K90" i="6"/>
  <c r="L90" i="6"/>
  <c r="AL131" i="4"/>
  <c r="AL114" i="4"/>
  <c r="L39" i="6"/>
  <c r="N39" i="6"/>
  <c r="L56" i="6"/>
  <c r="K56" i="6"/>
  <c r="L87" i="6"/>
  <c r="N87" i="6"/>
  <c r="K15" i="6"/>
  <c r="M15" i="6"/>
  <c r="L70" i="6"/>
  <c r="N70" i="6"/>
  <c r="AL179" i="4"/>
  <c r="L57" i="6"/>
  <c r="N57" i="6"/>
  <c r="L61" i="6"/>
  <c r="L17" i="6"/>
  <c r="L76" i="6"/>
  <c r="N76" i="6"/>
  <c r="BB179" i="4"/>
  <c r="BA179" i="4"/>
  <c r="AX131" i="4"/>
  <c r="BA131" i="4"/>
  <c r="AY114" i="4"/>
  <c r="AZ121" i="4"/>
  <c r="AX169" i="4"/>
  <c r="AD126" i="4"/>
  <c r="BB126" i="4"/>
  <c r="AY126" i="4"/>
  <c r="AJ131" i="4"/>
  <c r="AU131" i="4" s="1"/>
  <c r="AZ159" i="4"/>
  <c r="AX147" i="4"/>
  <c r="AZ176" i="4"/>
  <c r="AD176" i="4"/>
  <c r="BA176" i="4"/>
  <c r="AX160" i="4"/>
  <c r="BB141" i="4"/>
  <c r="AY141" i="4"/>
  <c r="BA201" i="4"/>
  <c r="AZ132" i="4"/>
  <c r="AY132" i="4"/>
  <c r="BA106" i="4"/>
  <c r="AA116" i="4"/>
  <c r="Y116" i="4"/>
  <c r="R172" i="4"/>
  <c r="P172" i="4"/>
  <c r="N172" i="4"/>
  <c r="Q128" i="4"/>
  <c r="O128" i="4"/>
  <c r="AL165" i="4"/>
  <c r="BA165" i="4"/>
  <c r="AZ135" i="4"/>
  <c r="AB110" i="4"/>
  <c r="Q110" i="4"/>
  <c r="AA110" i="4"/>
  <c r="O110" i="4"/>
  <c r="Y110" i="4"/>
  <c r="BB200" i="4"/>
  <c r="BA200" i="4"/>
  <c r="AC147" i="4"/>
  <c r="AX210" i="4"/>
  <c r="M17" i="10"/>
  <c r="BB127" i="4"/>
  <c r="J31" i="9"/>
  <c r="L31" i="9"/>
  <c r="R34" i="6"/>
  <c r="AY32" i="4"/>
  <c r="K31" i="9"/>
  <c r="AX32" i="4"/>
  <c r="AD32" i="4"/>
  <c r="J34" i="6" s="1"/>
  <c r="M106" i="4"/>
  <c r="AK106" i="4"/>
  <c r="K106" i="4"/>
  <c r="AI106" i="4"/>
  <c r="I106" i="4"/>
  <c r="AC106" i="4" s="1"/>
  <c r="AG106" i="4"/>
  <c r="AU106" i="4" s="1"/>
  <c r="AY148" i="4"/>
  <c r="AD148" i="4"/>
  <c r="BB148" i="4"/>
  <c r="AX148" i="4"/>
  <c r="AF168" i="4"/>
  <c r="AD168" i="4" s="1"/>
  <c r="AX168" i="4"/>
  <c r="AY168" i="4"/>
  <c r="AX195" i="4"/>
  <c r="AD195" i="4"/>
  <c r="BB195" i="4"/>
  <c r="AZ195" i="4"/>
  <c r="AF150" i="4"/>
  <c r="AD150" i="4" s="1"/>
  <c r="AY150" i="4"/>
  <c r="BA150" i="4"/>
  <c r="H16" i="9"/>
  <c r="J16" i="9"/>
  <c r="L16" i="9"/>
  <c r="AF115" i="4"/>
  <c r="AD115" i="4" s="1"/>
  <c r="AL120" i="4"/>
  <c r="AL214" i="4"/>
  <c r="AK112" i="4"/>
  <c r="AB112" i="4"/>
  <c r="AI112" i="4"/>
  <c r="Z112" i="4"/>
  <c r="K112" i="4"/>
  <c r="AG112" i="4"/>
  <c r="X112" i="4"/>
  <c r="AF155" i="4"/>
  <c r="AD155" i="4" s="1"/>
  <c r="BB155" i="4"/>
  <c r="AX155" i="4"/>
  <c r="AC149" i="4"/>
  <c r="Q207" i="4"/>
  <c r="AA207" i="4"/>
  <c r="L207" i="4"/>
  <c r="O207" i="4"/>
  <c r="Y207" i="4"/>
  <c r="J127" i="4"/>
  <c r="AC127" i="4" s="1"/>
  <c r="AH127" i="4"/>
  <c r="AU127" i="4" s="1"/>
  <c r="L19" i="9"/>
  <c r="R22" i="6"/>
  <c r="AZ20" i="4"/>
  <c r="I19" i="9"/>
  <c r="BB20" i="4"/>
  <c r="BA20" i="4"/>
  <c r="AU160" i="4"/>
  <c r="AC165" i="4"/>
  <c r="AC150" i="4"/>
  <c r="AJ141" i="4"/>
  <c r="L141" i="4"/>
  <c r="AH141" i="4"/>
  <c r="AU141" i="4" s="1"/>
  <c r="J141" i="4"/>
  <c r="AC141" i="4" s="1"/>
  <c r="AC145" i="4"/>
  <c r="AY122" i="4"/>
  <c r="AZ122" i="4"/>
  <c r="BB122" i="4"/>
  <c r="AD122" i="4"/>
  <c r="AY203" i="4"/>
  <c r="BB203" i="4"/>
  <c r="AX203" i="4"/>
  <c r="AD203" i="4"/>
  <c r="AC105" i="4"/>
  <c r="AU197" i="4"/>
  <c r="AC120" i="4"/>
  <c r="AF156" i="4"/>
  <c r="AL156" i="4"/>
  <c r="AF117" i="4"/>
  <c r="AL117" i="4"/>
  <c r="K70" i="9"/>
  <c r="L70" i="9"/>
  <c r="H70" i="9"/>
  <c r="AX71" i="4"/>
  <c r="BA71" i="4"/>
  <c r="M73" i="6" s="1"/>
  <c r="J59" i="9"/>
  <c r="H59" i="9"/>
  <c r="AY60" i="4"/>
  <c r="BA60" i="4"/>
  <c r="J63" i="9"/>
  <c r="AY64" i="4"/>
  <c r="I63" i="9"/>
  <c r="M63" i="9" s="1"/>
  <c r="R66" i="6"/>
  <c r="AD64" i="4"/>
  <c r="J66" i="6" s="1"/>
  <c r="AL113" i="4"/>
  <c r="AF123" i="4"/>
  <c r="AD123" i="4" s="1"/>
  <c r="AL123" i="4"/>
  <c r="O151" i="4"/>
  <c r="AB151" i="4"/>
  <c r="R151" i="4"/>
  <c r="Z151" i="4"/>
  <c r="AL151" i="4" s="1"/>
  <c r="P151" i="4"/>
  <c r="AL164" i="4"/>
  <c r="AF208" i="4"/>
  <c r="AD208" i="4" s="1"/>
  <c r="AL208" i="4"/>
  <c r="BA208" i="4"/>
  <c r="AY208" i="4"/>
  <c r="BB98" i="4"/>
  <c r="AX98" i="4"/>
  <c r="AY98" i="4"/>
  <c r="AX102" i="4"/>
  <c r="AC143" i="4"/>
  <c r="AU130" i="4"/>
  <c r="AC108" i="4"/>
  <c r="AU108" i="4"/>
  <c r="AU143" i="4"/>
  <c r="AX129" i="4"/>
  <c r="AZ129" i="4"/>
  <c r="BA129" i="4"/>
  <c r="AB171" i="4"/>
  <c r="X171" i="4"/>
  <c r="Q171" i="4"/>
  <c r="AA171" i="4"/>
  <c r="O171" i="4"/>
  <c r="Y171" i="4"/>
  <c r="AC208" i="4"/>
  <c r="AZ95" i="4"/>
  <c r="R97" i="6"/>
  <c r="AL194" i="4"/>
  <c r="AU103" i="4"/>
  <c r="AY103" i="4"/>
  <c r="BA103" i="4"/>
  <c r="AX103" i="4"/>
  <c r="AC162" i="4"/>
  <c r="L185" i="4"/>
  <c r="AJ185" i="4"/>
  <c r="I185" i="4"/>
  <c r="AC185" i="4" s="1"/>
  <c r="AG185" i="4"/>
  <c r="AU185" i="4" s="1"/>
  <c r="M93" i="10"/>
  <c r="AU136" i="4"/>
  <c r="AI198" i="4"/>
  <c r="P198" i="4"/>
  <c r="Z198" i="4"/>
  <c r="AG198" i="4"/>
  <c r="N198" i="4"/>
  <c r="X198" i="4"/>
  <c r="L153" i="4"/>
  <c r="AC153" i="4" s="1"/>
  <c r="AJ153" i="4"/>
  <c r="AU153" i="4" s="1"/>
  <c r="AA153" i="4"/>
  <c r="Q153" i="4"/>
  <c r="AU109" i="4"/>
  <c r="AU107" i="4"/>
  <c r="AK180" i="4"/>
  <c r="AB180" i="4"/>
  <c r="BA180" i="4" s="1"/>
  <c r="M29" i="10"/>
  <c r="AC107" i="4"/>
  <c r="L175" i="4"/>
  <c r="AJ175" i="4"/>
  <c r="I175" i="4"/>
  <c r="AG175" i="4"/>
  <c r="AU175" i="4" s="1"/>
  <c r="AC167" i="4"/>
  <c r="AC192" i="4"/>
  <c r="AB197" i="4"/>
  <c r="Z197" i="4"/>
  <c r="R197" i="4"/>
  <c r="P197" i="4"/>
  <c r="AL215" i="4"/>
  <c r="K5" i="6"/>
  <c r="M5" i="6"/>
  <c r="L197" i="4"/>
  <c r="I197" i="4"/>
  <c r="AJ184" i="4"/>
  <c r="AG184" i="4"/>
  <c r="L205" i="4"/>
  <c r="I205" i="4"/>
  <c r="L168" i="4"/>
  <c r="I168" i="4"/>
  <c r="R83" i="6"/>
  <c r="BB81" i="4"/>
  <c r="N83" i="6" s="1"/>
  <c r="BA81" i="4"/>
  <c r="M83" i="6" s="1"/>
  <c r="K80" i="9"/>
  <c r="I80" i="9"/>
  <c r="K86" i="9"/>
  <c r="H86" i="9"/>
  <c r="AY87" i="4"/>
  <c r="R89" i="6"/>
  <c r="AD87" i="4"/>
  <c r="J89" i="6" s="1"/>
  <c r="AZ206" i="4"/>
  <c r="AD206" i="4"/>
  <c r="AA184" i="4"/>
  <c r="X184" i="4"/>
  <c r="Q184" i="4"/>
  <c r="N184" i="4"/>
  <c r="AB149" i="4"/>
  <c r="Z149" i="4"/>
  <c r="R149" i="4"/>
  <c r="P149" i="4"/>
  <c r="BB157" i="4"/>
  <c r="AY157" i="4"/>
  <c r="AA154" i="4"/>
  <c r="Y154" i="4"/>
  <c r="Q154" i="4"/>
  <c r="O154" i="4"/>
  <c r="BB15" i="4"/>
  <c r="N17" i="6" s="1"/>
  <c r="H14" i="9"/>
  <c r="R17" i="6"/>
  <c r="AX15" i="4"/>
  <c r="AZ196" i="4"/>
  <c r="AX196" i="4"/>
  <c r="AA205" i="4"/>
  <c r="X205" i="4"/>
  <c r="Q205" i="4"/>
  <c r="N205" i="4"/>
  <c r="AZ199" i="4"/>
  <c r="AA188" i="4"/>
  <c r="X188" i="4"/>
  <c r="Q188" i="4"/>
  <c r="N188" i="4"/>
  <c r="BA215" i="4"/>
  <c r="AD189" i="4"/>
  <c r="AX189" i="4"/>
  <c r="AY189" i="4"/>
  <c r="AX191" i="4"/>
  <c r="AA105" i="4"/>
  <c r="Y105" i="4"/>
  <c r="Q105" i="4"/>
  <c r="O105" i="4"/>
  <c r="AZ139" i="4"/>
  <c r="AA104" i="4"/>
  <c r="R104" i="4"/>
  <c r="P104" i="4"/>
  <c r="BB173" i="4"/>
  <c r="AY173" i="4"/>
  <c r="AJ111" i="4"/>
  <c r="AH111" i="4"/>
  <c r="M203" i="4"/>
  <c r="K203" i="4"/>
  <c r="R47" i="6"/>
  <c r="I44" i="9"/>
  <c r="L44" i="9"/>
  <c r="K44" i="9"/>
  <c r="AY45" i="4"/>
  <c r="AD45" i="4"/>
  <c r="J47" i="6" s="1"/>
  <c r="AK214" i="4"/>
  <c r="AI214" i="4"/>
  <c r="AG214" i="4"/>
  <c r="AD108" i="4"/>
  <c r="BA108" i="4"/>
  <c r="AZ108" i="4"/>
  <c r="AZ138" i="4"/>
  <c r="AD124" i="4"/>
  <c r="AY124" i="4"/>
  <c r="BB124" i="4"/>
  <c r="BA146" i="4"/>
  <c r="AZ181" i="4"/>
  <c r="AY181" i="4"/>
  <c r="L48" i="9"/>
  <c r="J48" i="9"/>
  <c r="AZ163" i="4"/>
  <c r="BA163" i="4"/>
  <c r="BB152" i="4"/>
  <c r="AD152" i="4"/>
  <c r="AZ174" i="4"/>
  <c r="L156" i="4"/>
  <c r="AC156" i="4" s="1"/>
  <c r="AE156" i="4"/>
  <c r="AK156" i="4"/>
  <c r="AH156" i="4"/>
  <c r="BA194" i="4"/>
  <c r="AD194" i="4"/>
  <c r="AX162" i="4"/>
  <c r="BB174" i="4"/>
  <c r="Q156" i="4"/>
  <c r="AY177" i="4"/>
  <c r="AD177" i="4"/>
  <c r="AY166" i="4"/>
  <c r="AX113" i="4"/>
  <c r="BB164" i="4"/>
  <c r="AY164" i="4"/>
  <c r="AY180" i="4"/>
  <c r="BB185" i="4"/>
  <c r="BA185" i="4"/>
  <c r="AK117" i="4"/>
  <c r="AI117" i="4"/>
  <c r="AH117" i="4"/>
  <c r="M117" i="4"/>
  <c r="K117" i="4"/>
  <c r="J117" i="4"/>
  <c r="Q117" i="4"/>
  <c r="O117" i="4"/>
  <c r="BB161" i="4"/>
  <c r="AX161" i="4"/>
  <c r="K6" i="6"/>
  <c r="M6" i="6"/>
  <c r="L6" i="6"/>
  <c r="K28" i="9"/>
  <c r="L28" i="9"/>
  <c r="AD29" i="4"/>
  <c r="J31" i="6" s="1"/>
  <c r="J28" i="9"/>
  <c r="R31" i="6"/>
  <c r="AX91" i="4"/>
  <c r="J90" i="9"/>
  <c r="I90" i="9"/>
  <c r="AY91" i="4"/>
  <c r="AZ91" i="4"/>
  <c r="L93" i="6" s="1"/>
  <c r="AY51" i="4"/>
  <c r="K50" i="9"/>
  <c r="H50" i="9"/>
  <c r="L50" i="9"/>
  <c r="R53" i="6"/>
  <c r="AD51" i="4"/>
  <c r="J53" i="6" s="1"/>
  <c r="AF151" i="4"/>
  <c r="AF167" i="4"/>
  <c r="AD167" i="4" s="1"/>
  <c r="AL167" i="4"/>
  <c r="AB216" i="4"/>
  <c r="R216" i="4"/>
  <c r="Y216" i="4"/>
  <c r="AL216" i="4" s="1"/>
  <c r="O216" i="4"/>
  <c r="AA187" i="4"/>
  <c r="Q187" i="4"/>
  <c r="Y187" i="4"/>
  <c r="O187" i="4"/>
  <c r="AL177" i="4"/>
  <c r="BB102" i="4"/>
  <c r="BA102" i="4"/>
  <c r="R104" i="6"/>
  <c r="AL143" i="4"/>
  <c r="AD143" i="4"/>
  <c r="AU162" i="4"/>
  <c r="AC130" i="4"/>
  <c r="AC181" i="4"/>
  <c r="M191" i="4"/>
  <c r="AK191" i="4"/>
  <c r="K191" i="4"/>
  <c r="AC191" i="4" s="1"/>
  <c r="AI191" i="4"/>
  <c r="AU191" i="4" s="1"/>
  <c r="AC138" i="4"/>
  <c r="M20" i="10"/>
  <c r="M47" i="9"/>
  <c r="H69" i="9"/>
  <c r="J69" i="9"/>
  <c r="L69" i="9"/>
  <c r="H88" i="9"/>
  <c r="J88" i="9"/>
  <c r="L88" i="9"/>
  <c r="M34" i="9"/>
  <c r="M37" i="9"/>
  <c r="AF174" i="4"/>
  <c r="AD174" i="4" s="1"/>
  <c r="AZ171" i="4"/>
  <c r="AU208" i="4"/>
  <c r="AF161" i="4"/>
  <c r="AD161" i="4" s="1"/>
  <c r="AF166" i="4"/>
  <c r="AD166" i="4" s="1"/>
  <c r="AU190" i="4"/>
  <c r="AC133" i="4"/>
  <c r="AX183" i="4"/>
  <c r="AD183" i="4"/>
  <c r="AZ183" i="4"/>
  <c r="BB183" i="4"/>
  <c r="AU164" i="4"/>
  <c r="M33" i="10"/>
  <c r="AK204" i="4"/>
  <c r="R204" i="4"/>
  <c r="AB204" i="4"/>
  <c r="M204" i="4"/>
  <c r="AH204" i="4"/>
  <c r="AU204" i="4" s="1"/>
  <c r="O204" i="4"/>
  <c r="Y204" i="4"/>
  <c r="J204" i="4"/>
  <c r="AC204" i="4" s="1"/>
  <c r="AC211" i="4"/>
  <c r="H41" i="9"/>
  <c r="J41" i="9"/>
  <c r="L41" i="9"/>
  <c r="R44" i="6"/>
  <c r="AX42" i="4"/>
  <c r="BA42" i="4"/>
  <c r="M44" i="6" s="1"/>
  <c r="AZ42" i="4"/>
  <c r="M98" i="10"/>
  <c r="AU133" i="4"/>
  <c r="AG180" i="4"/>
  <c r="AU180" i="4" s="1"/>
  <c r="I180" i="4"/>
  <c r="AC180" i="4" s="1"/>
  <c r="M91" i="10"/>
  <c r="M175" i="4"/>
  <c r="R175" i="4"/>
  <c r="AB175" i="4"/>
  <c r="J175" i="4"/>
  <c r="O175" i="4"/>
  <c r="Y175" i="4"/>
  <c r="K65" i="6"/>
  <c r="M65" i="6"/>
  <c r="M209" i="4"/>
  <c r="K209" i="4"/>
  <c r="AJ192" i="4"/>
  <c r="AU192" i="4" s="1"/>
  <c r="AA192" i="4"/>
  <c r="AL192" i="4" s="1"/>
  <c r="R192" i="4"/>
  <c r="O192" i="4"/>
  <c r="AY186" i="4"/>
  <c r="AX186" i="4"/>
  <c r="AK209" i="4"/>
  <c r="AI209" i="4"/>
  <c r="M190" i="4"/>
  <c r="K190" i="4"/>
  <c r="AA213" i="4"/>
  <c r="X213" i="4"/>
  <c r="Q213" i="4"/>
  <c r="N213" i="4"/>
  <c r="AB209" i="4"/>
  <c r="Z209" i="4"/>
  <c r="L76" i="9"/>
  <c r="J76" i="9"/>
  <c r="R190" i="4"/>
  <c r="P190" i="4"/>
  <c r="K66" i="9"/>
  <c r="H66" i="9"/>
  <c r="J66" i="9"/>
  <c r="R69" i="6"/>
  <c r="AD67" i="4"/>
  <c r="J69" i="6" s="1"/>
  <c r="AZ67" i="4"/>
  <c r="BA57" i="4"/>
  <c r="M59" i="6" s="1"/>
  <c r="L56" i="9"/>
  <c r="J74" i="9"/>
  <c r="I74" i="9"/>
  <c r="BA75" i="4"/>
  <c r="H74" i="9"/>
  <c r="L74" i="9"/>
  <c r="BB75" i="4"/>
  <c r="R77" i="6"/>
  <c r="AC125" i="4"/>
  <c r="I213" i="4"/>
  <c r="AU140" i="4"/>
  <c r="AK213" i="4"/>
  <c r="M213" i="4"/>
  <c r="AI213" i="4"/>
  <c r="AU213" i="4" s="1"/>
  <c r="K213" i="4"/>
  <c r="AD186" i="4"/>
  <c r="M102" i="10"/>
  <c r="AL129" i="4"/>
  <c r="AD170" i="4"/>
  <c r="AZ170" i="4"/>
  <c r="AX170" i="4"/>
  <c r="AF125" i="4"/>
  <c r="AD125" i="4" s="1"/>
  <c r="AY125" i="4"/>
  <c r="BB125" i="4"/>
  <c r="AX125" i="4"/>
  <c r="R136" i="4"/>
  <c r="AB136" i="4"/>
  <c r="M136" i="4"/>
  <c r="P136" i="4"/>
  <c r="Z136" i="4"/>
  <c r="K136" i="4"/>
  <c r="AK161" i="4"/>
  <c r="M161" i="4"/>
  <c r="AI161" i="4"/>
  <c r="AU161" i="4" s="1"/>
  <c r="K161" i="4"/>
  <c r="AC161" i="4" s="1"/>
  <c r="AU170" i="4"/>
  <c r="AJ134" i="4"/>
  <c r="Q134" i="4"/>
  <c r="AA134" i="4"/>
  <c r="AH134" i="4"/>
  <c r="O134" i="4"/>
  <c r="Y134" i="4"/>
  <c r="P211" i="4"/>
  <c r="Z211" i="4"/>
  <c r="AI211" i="4"/>
  <c r="AF142" i="4"/>
  <c r="AZ142" i="4"/>
  <c r="AX142" i="4"/>
  <c r="BB142" i="4"/>
  <c r="AD142" i="4"/>
  <c r="BA142" i="4"/>
  <c r="R107" i="4"/>
  <c r="AB107" i="4"/>
  <c r="P107" i="4"/>
  <c r="Z107" i="4"/>
  <c r="AY57" i="4"/>
  <c r="H56" i="9"/>
  <c r="K56" i="9"/>
  <c r="R59" i="6"/>
  <c r="AD57" i="4"/>
  <c r="J59" i="6" s="1"/>
  <c r="AZ57" i="4"/>
  <c r="L59" i="6" s="1"/>
  <c r="AU113" i="4"/>
  <c r="M50" i="10"/>
  <c r="AC142" i="4"/>
  <c r="AL190" i="4"/>
  <c r="AL186" i="4"/>
  <c r="M62" i="10"/>
  <c r="AF103" i="4"/>
  <c r="AD103" i="4" s="1"/>
  <c r="AB133" i="4"/>
  <c r="R133" i="4"/>
  <c r="Z133" i="4"/>
  <c r="AL133" i="4" s="1"/>
  <c r="P133" i="4"/>
  <c r="BA158" i="4"/>
  <c r="AD158" i="4"/>
  <c r="AY158" i="4"/>
  <c r="AZ158" i="4"/>
  <c r="AX136" i="4"/>
  <c r="U8" i="10"/>
  <c r="U19" i="10" s="1"/>
  <c r="AC113" i="4"/>
  <c r="M140" i="4"/>
  <c r="AB140" i="4"/>
  <c r="I140" i="4"/>
  <c r="AC140" i="4" s="1"/>
  <c r="X140" i="4"/>
  <c r="M109" i="4"/>
  <c r="R109" i="4"/>
  <c r="AB109" i="4"/>
  <c r="K109" i="4"/>
  <c r="AC109" i="4" s="1"/>
  <c r="P109" i="4"/>
  <c r="Z109" i="4"/>
  <c r="AF109" i="4" s="1"/>
  <c r="AY142" i="4"/>
  <c r="R130" i="4"/>
  <c r="AB130" i="4"/>
  <c r="AX100" i="4"/>
  <c r="AY100" i="4"/>
  <c r="AU183" i="4"/>
  <c r="AU186" i="4"/>
  <c r="M67" i="10"/>
  <c r="Q211" i="4"/>
  <c r="AA211" i="4"/>
  <c r="AJ211" i="4"/>
  <c r="O211" i="4"/>
  <c r="Y211" i="4"/>
  <c r="AH211" i="4"/>
  <c r="AU211" i="4" s="1"/>
  <c r="BA107" i="4"/>
  <c r="X130" i="4"/>
  <c r="Q130" i="4"/>
  <c r="AA130" i="4"/>
  <c r="O130" i="4"/>
  <c r="Y130" i="4"/>
  <c r="AY130" i="4" s="1"/>
  <c r="AZ118" i="4"/>
  <c r="AX144" i="4"/>
  <c r="BA144" i="4"/>
  <c r="AY84" i="4"/>
  <c r="L83" i="9"/>
  <c r="AC119" i="4"/>
  <c r="H21" i="9"/>
  <c r="J21" i="9"/>
  <c r="L21" i="9"/>
  <c r="BB22" i="4"/>
  <c r="N24" i="6" s="1"/>
  <c r="AY22" i="4"/>
  <c r="AZ22" i="4"/>
  <c r="L24" i="6" s="1"/>
  <c r="M92" i="10"/>
  <c r="M56" i="10"/>
  <c r="M8" i="10"/>
  <c r="M44" i="10"/>
  <c r="AU202" i="4"/>
  <c r="AY53" i="4"/>
  <c r="AY31" i="4"/>
  <c r="I30" i="9"/>
  <c r="M30" i="9" s="1"/>
  <c r="K30" i="9"/>
  <c r="AD31" i="4"/>
  <c r="J33" i="6" s="1"/>
  <c r="BA31" i="4"/>
  <c r="M33" i="6" s="1"/>
  <c r="R33" i="6"/>
  <c r="M60" i="10"/>
  <c r="M37" i="10"/>
  <c r="AY202" i="4"/>
  <c r="AD202" i="4"/>
  <c r="BA202" i="4"/>
  <c r="AX119" i="4"/>
  <c r="BB119" i="4"/>
  <c r="AD119" i="4"/>
  <c r="AZ119" i="4"/>
  <c r="AF102" i="4"/>
  <c r="G104" i="6" s="1"/>
  <c r="K101" i="9" s="1"/>
  <c r="AF100" i="4"/>
  <c r="G102" i="6" s="1"/>
  <c r="K99" i="9" s="1"/>
  <c r="AF97" i="4"/>
  <c r="L99" i="6" s="1"/>
  <c r="H8" i="9"/>
  <c r="J8" i="9"/>
  <c r="L8" i="9"/>
  <c r="F105" i="6"/>
  <c r="J36" i="9"/>
  <c r="I36" i="9"/>
  <c r="K36" i="9"/>
  <c r="G46" i="6"/>
  <c r="AD44" i="4"/>
  <c r="J46" i="6" s="1"/>
  <c r="AF118" i="4"/>
  <c r="AD118" i="4" s="1"/>
  <c r="BB118" i="4"/>
  <c r="BA118" i="4"/>
  <c r="AX118" i="4"/>
  <c r="AX84" i="4"/>
  <c r="I83" i="9"/>
  <c r="K83" i="9"/>
  <c r="AD84" i="4"/>
  <c r="J86" i="6" s="1"/>
  <c r="BB84" i="4"/>
  <c r="R86" i="6"/>
  <c r="J6" i="6"/>
  <c r="M71" i="10"/>
  <c r="M63" i="10"/>
  <c r="M18" i="10"/>
  <c r="M86" i="10"/>
  <c r="M14" i="10"/>
  <c r="J52" i="9"/>
  <c r="I52" i="9"/>
  <c r="AZ53" i="4"/>
  <c r="L55" i="6" s="1"/>
  <c r="H52" i="9"/>
  <c r="L52" i="9"/>
  <c r="BB53" i="4"/>
  <c r="N55" i="6" s="1"/>
  <c r="R55" i="6"/>
  <c r="AC137" i="4"/>
  <c r="M84" i="10"/>
  <c r="M13" i="10"/>
  <c r="H99" i="9"/>
  <c r="BB100" i="4"/>
  <c r="N102" i="6" s="1"/>
  <c r="R102" i="6"/>
  <c r="M39" i="9"/>
  <c r="I5" i="9"/>
  <c r="K5" i="9"/>
  <c r="AF101" i="4"/>
  <c r="G103" i="6" s="1"/>
  <c r="K100" i="9" s="1"/>
  <c r="AF98" i="4"/>
  <c r="AF95" i="4"/>
  <c r="G97" i="6" s="1"/>
  <c r="G90" i="6"/>
  <c r="AD88" i="4"/>
  <c r="J90" i="6" s="1"/>
  <c r="N93" i="6"/>
  <c r="N90" i="6"/>
  <c r="K88" i="6"/>
  <c r="M87" i="6"/>
  <c r="H7" i="9"/>
  <c r="L7" i="9"/>
  <c r="K97" i="6"/>
  <c r="N95" i="6"/>
  <c r="M95" i="6"/>
  <c r="J74" i="6"/>
  <c r="O74" i="6" s="1"/>
  <c r="P74" i="6" s="1"/>
  <c r="P76" i="1" s="1"/>
  <c r="N73" i="6"/>
  <c r="M72" i="6"/>
  <c r="K72" i="6"/>
  <c r="M71" i="6"/>
  <c r="L71" i="6"/>
  <c r="M70" i="6"/>
  <c r="M66" i="6"/>
  <c r="L66" i="6"/>
  <c r="N64" i="6"/>
  <c r="K59" i="6"/>
  <c r="M58" i="6"/>
  <c r="M57" i="6"/>
  <c r="K57" i="6"/>
  <c r="M56" i="6"/>
  <c r="M55" i="6"/>
  <c r="L54" i="6"/>
  <c r="K54" i="6"/>
  <c r="M52" i="6"/>
  <c r="K43" i="6"/>
  <c r="O43" i="6" s="1"/>
  <c r="P43" i="6" s="1"/>
  <c r="P45" i="1" s="1"/>
  <c r="N42" i="6"/>
  <c r="M42" i="6"/>
  <c r="M39" i="6"/>
  <c r="K39" i="6"/>
  <c r="L38" i="6"/>
  <c r="J38" i="6"/>
  <c r="J36" i="6"/>
  <c r="N35" i="6"/>
  <c r="N34" i="6"/>
  <c r="K34" i="6"/>
  <c r="N33" i="6"/>
  <c r="M31" i="6"/>
  <c r="K31" i="6"/>
  <c r="N30" i="6"/>
  <c r="M30" i="6"/>
  <c r="K86" i="6"/>
  <c r="M85" i="6"/>
  <c r="L85" i="6"/>
  <c r="K77" i="6"/>
  <c r="K76" i="6"/>
  <c r="N29" i="6"/>
  <c r="N28" i="6"/>
  <c r="M24" i="6"/>
  <c r="K24" i="6"/>
  <c r="N23" i="6"/>
  <c r="M23" i="6"/>
  <c r="L22" i="6"/>
  <c r="K22" i="6"/>
  <c r="M21" i="6"/>
  <c r="K21" i="6"/>
  <c r="K20" i="6"/>
  <c r="M8" i="6"/>
  <c r="J8" i="6"/>
  <c r="N104" i="6"/>
  <c r="M104" i="6"/>
  <c r="N103" i="6"/>
  <c r="M102" i="6"/>
  <c r="M100" i="6"/>
  <c r="L100" i="6"/>
  <c r="K99" i="6"/>
  <c r="M98" i="6"/>
  <c r="L98" i="6"/>
  <c r="N97" i="6"/>
  <c r="K96" i="6"/>
  <c r="M94" i="6"/>
  <c r="K93" i="6"/>
  <c r="N89" i="6"/>
  <c r="K89" i="6"/>
  <c r="N88" i="6"/>
  <c r="M88" i="6"/>
  <c r="L84" i="6"/>
  <c r="K83" i="6"/>
  <c r="N82" i="6"/>
  <c r="M82" i="6"/>
  <c r="M81" i="6"/>
  <c r="N80" i="6"/>
  <c r="M80" i="6"/>
  <c r="M79" i="6"/>
  <c r="N77" i="6"/>
  <c r="L63" i="6"/>
  <c r="N62" i="6"/>
  <c r="M62" i="6"/>
  <c r="M61" i="6"/>
  <c r="K61" i="6"/>
  <c r="N60" i="6"/>
  <c r="M60" i="6"/>
  <c r="N47" i="6"/>
  <c r="L26" i="6"/>
  <c r="K26" i="6"/>
  <c r="N11" i="6"/>
  <c r="M11" i="6"/>
  <c r="M10" i="6"/>
  <c r="K104" i="6"/>
  <c r="M103" i="6"/>
  <c r="K102" i="6"/>
  <c r="N100" i="6"/>
  <c r="K100" i="6"/>
  <c r="N99" i="6"/>
  <c r="M99" i="6"/>
  <c r="N98" i="6"/>
  <c r="K98" i="6"/>
  <c r="M97" i="6"/>
  <c r="N94" i="6"/>
  <c r="K94" i="6"/>
  <c r="M93" i="6"/>
  <c r="L91" i="6"/>
  <c r="M90" i="6"/>
  <c r="M89" i="6"/>
  <c r="L89" i="6"/>
  <c r="K87" i="6"/>
  <c r="N86" i="6"/>
  <c r="N85" i="6"/>
  <c r="K85" i="6"/>
  <c r="L83" i="6"/>
  <c r="L82" i="6"/>
  <c r="K82" i="6"/>
  <c r="K80" i="6"/>
  <c r="J79" i="6"/>
  <c r="N78" i="6"/>
  <c r="K78" i="6"/>
  <c r="M77" i="6"/>
  <c r="M76" i="6"/>
  <c r="L75" i="6"/>
  <c r="K73" i="6"/>
  <c r="N71" i="6"/>
  <c r="K71" i="6"/>
  <c r="K70" i="6"/>
  <c r="N69" i="6"/>
  <c r="L69" i="6"/>
  <c r="M68" i="6"/>
  <c r="K68" i="6"/>
  <c r="N66" i="6"/>
  <c r="K66" i="6"/>
  <c r="N65" i="6"/>
  <c r="L65" i="6"/>
  <c r="M64" i="6"/>
  <c r="L64" i="6"/>
  <c r="L62" i="6"/>
  <c r="K62" i="6"/>
  <c r="N59" i="6"/>
  <c r="N58" i="6"/>
  <c r="K58" i="6"/>
  <c r="K47" i="6"/>
  <c r="N46" i="6"/>
  <c r="M46" i="6"/>
  <c r="L44" i="6"/>
  <c r="M41" i="6"/>
  <c r="N32" i="6"/>
  <c r="M32" i="6"/>
  <c r="K28" i="6"/>
  <c r="M25" i="6"/>
  <c r="N20" i="6"/>
  <c r="M20" i="6"/>
  <c r="N18" i="6"/>
  <c r="K18" i="6"/>
  <c r="K16" i="6"/>
  <c r="N15" i="6"/>
  <c r="L15" i="6"/>
  <c r="M14" i="6"/>
  <c r="K14" i="6"/>
  <c r="M13" i="6"/>
  <c r="N12" i="6"/>
  <c r="M12" i="6"/>
  <c r="N9" i="6"/>
  <c r="K9" i="6"/>
  <c r="M7" i="6"/>
  <c r="N6" i="6"/>
  <c r="N5" i="6"/>
  <c r="N56" i="6"/>
  <c r="K55" i="6"/>
  <c r="N54" i="6"/>
  <c r="M54" i="6"/>
  <c r="J54" i="6"/>
  <c r="N53" i="6"/>
  <c r="M53" i="6"/>
  <c r="K53" i="6"/>
  <c r="K52" i="6"/>
  <c r="J52" i="6"/>
  <c r="L51" i="6"/>
  <c r="O51" i="6" s="1"/>
  <c r="P51" i="6" s="1"/>
  <c r="P53" i="1" s="1"/>
  <c r="N49" i="6"/>
  <c r="N45" i="6"/>
  <c r="L45" i="6"/>
  <c r="M38" i="6"/>
  <c r="J37" i="6"/>
  <c r="M36" i="6"/>
  <c r="M34" i="6"/>
  <c r="L34" i="6"/>
  <c r="L30" i="6"/>
  <c r="K30" i="6"/>
  <c r="J29" i="6"/>
  <c r="M28" i="6"/>
  <c r="N27" i="6"/>
  <c r="N26" i="6"/>
  <c r="M26" i="6"/>
  <c r="K25" i="6"/>
  <c r="L23" i="6"/>
  <c r="K23" i="6"/>
  <c r="N22" i="6"/>
  <c r="M22" i="6"/>
  <c r="N21" i="6"/>
  <c r="M19" i="6"/>
  <c r="K19" i="6"/>
  <c r="M18" i="6"/>
  <c r="L18" i="6"/>
  <c r="M17" i="6"/>
  <c r="K17" i="6"/>
  <c r="N16" i="6"/>
  <c r="M16" i="6"/>
  <c r="N10" i="6"/>
  <c r="K10" i="6"/>
  <c r="M9" i="6"/>
  <c r="L9" i="6"/>
  <c r="K7" i="6"/>
  <c r="L5" i="6"/>
  <c r="H40" i="9"/>
  <c r="J40" i="9"/>
  <c r="L40" i="9"/>
  <c r="I40" i="9"/>
  <c r="K40" i="9"/>
  <c r="H72" i="9"/>
  <c r="J72" i="9"/>
  <c r="L72" i="9"/>
  <c r="I72" i="9"/>
  <c r="K72" i="9"/>
  <c r="H3" i="9"/>
  <c r="J3" i="9"/>
  <c r="L3" i="9"/>
  <c r="H60" i="9"/>
  <c r="J60" i="9"/>
  <c r="L60" i="9"/>
  <c r="H93" i="9"/>
  <c r="J93" i="9"/>
  <c r="L93" i="9"/>
  <c r="H71" i="9"/>
  <c r="J71" i="9"/>
  <c r="L71" i="9"/>
  <c r="H85" i="9"/>
  <c r="J85" i="9"/>
  <c r="L85" i="9"/>
  <c r="H9" i="9"/>
  <c r="J9" i="9"/>
  <c r="L9" i="9"/>
  <c r="O79" i="6"/>
  <c r="P79" i="6" s="1"/>
  <c r="P81" i="1" s="1"/>
  <c r="I58" i="10"/>
  <c r="M58" i="10" s="1"/>
  <c r="K3" i="9"/>
  <c r="K60" i="9"/>
  <c r="K93" i="9"/>
  <c r="K71" i="9"/>
  <c r="K85" i="9"/>
  <c r="K9" i="9"/>
  <c r="O50" i="6"/>
  <c r="P50" i="6" s="1"/>
  <c r="P52" i="1" s="1"/>
  <c r="O40" i="6" l="1"/>
  <c r="P40" i="6" s="1"/>
  <c r="P42" i="1" s="1"/>
  <c r="BA114" i="4"/>
  <c r="BB131" i="4"/>
  <c r="AF135" i="4"/>
  <c r="AD135" i="4" s="1"/>
  <c r="AC182" i="4"/>
  <c r="G26" i="6"/>
  <c r="AD24" i="4"/>
  <c r="J26" i="6" s="1"/>
  <c r="G57" i="6"/>
  <c r="AD55" i="4"/>
  <c r="J57" i="6" s="1"/>
  <c r="G84" i="6"/>
  <c r="AD82" i="4"/>
  <c r="J84" i="6" s="1"/>
  <c r="BA170" i="4"/>
  <c r="M80" i="9"/>
  <c r="AU198" i="4"/>
  <c r="AY171" i="4"/>
  <c r="BA127" i="4"/>
  <c r="M58" i="9"/>
  <c r="G25" i="6"/>
  <c r="AD23" i="4"/>
  <c r="J25" i="6" s="1"/>
  <c r="G23" i="6"/>
  <c r="AD21" i="4"/>
  <c r="J23" i="6" s="1"/>
  <c r="BB186" i="4"/>
  <c r="BA186" i="4"/>
  <c r="AZ186" i="4"/>
  <c r="L104" i="6"/>
  <c r="M52" i="9"/>
  <c r="M83" i="9"/>
  <c r="AU134" i="4"/>
  <c r="BB110" i="4"/>
  <c r="AL116" i="4"/>
  <c r="AL118" i="4"/>
  <c r="AC163" i="4"/>
  <c r="BB210" i="4"/>
  <c r="AD131" i="4"/>
  <c r="AU114" i="4"/>
  <c r="G20" i="6"/>
  <c r="AD18" i="4"/>
  <c r="J20" i="6" s="1"/>
  <c r="O20" i="6" s="1"/>
  <c r="P20" i="6" s="1"/>
  <c r="P22" i="1" s="1"/>
  <c r="G64" i="6"/>
  <c r="AD62" i="4"/>
  <c r="J64" i="6" s="1"/>
  <c r="O64" i="6" s="1"/>
  <c r="P64" i="6" s="1"/>
  <c r="P66" i="1" s="1"/>
  <c r="G18" i="6"/>
  <c r="AD16" i="4"/>
  <c r="J18" i="6" s="1"/>
  <c r="G68" i="6"/>
  <c r="AD66" i="4"/>
  <c r="J68" i="6" s="1"/>
  <c r="O68" i="6" s="1"/>
  <c r="P68" i="6" s="1"/>
  <c r="P70" i="1" s="1"/>
  <c r="AL158" i="4"/>
  <c r="BB135" i="4"/>
  <c r="G9" i="6"/>
  <c r="AD7" i="4"/>
  <c r="J9" i="6" s="1"/>
  <c r="G81" i="6"/>
  <c r="AD79" i="4"/>
  <c r="J81" i="6" s="1"/>
  <c r="G49" i="6"/>
  <c r="AD47" i="4"/>
  <c r="J49" i="6" s="1"/>
  <c r="G13" i="6"/>
  <c r="AD11" i="4"/>
  <c r="J13" i="6" s="1"/>
  <c r="O13" i="6" s="1"/>
  <c r="P13" i="6" s="1"/>
  <c r="P15" i="1" s="1"/>
  <c r="G27" i="6"/>
  <c r="AD25" i="4"/>
  <c r="J27" i="6" s="1"/>
  <c r="BA182" i="4"/>
  <c r="AZ182" i="4"/>
  <c r="L33" i="9"/>
  <c r="M33" i="9" s="1"/>
  <c r="L14" i="9"/>
  <c r="M14" i="9" s="1"/>
  <c r="AD20" i="4"/>
  <c r="J22" i="6" s="1"/>
  <c r="O9" i="6"/>
  <c r="P9" i="6" s="1"/>
  <c r="P11" i="1" s="1"/>
  <c r="G7" i="6"/>
  <c r="AD5" i="4"/>
  <c r="J7" i="6" s="1"/>
  <c r="O7" i="6" s="1"/>
  <c r="P7" i="6" s="1"/>
  <c r="P9" i="1" s="1"/>
  <c r="O61" i="6"/>
  <c r="P61" i="6" s="1"/>
  <c r="P63" i="1" s="1"/>
  <c r="O38" i="6"/>
  <c r="P38" i="6" s="1"/>
  <c r="P40" i="1" s="1"/>
  <c r="O72" i="6"/>
  <c r="P72" i="6" s="1"/>
  <c r="P74" i="1" s="1"/>
  <c r="M7" i="9"/>
  <c r="AX130" i="4"/>
  <c r="AY107" i="4"/>
  <c r="AZ136" i="4"/>
  <c r="BB209" i="4"/>
  <c r="M48" i="9"/>
  <c r="AU111" i="4"/>
  <c r="M84" i="9"/>
  <c r="AC128" i="4"/>
  <c r="AU128" i="4"/>
  <c r="G16" i="6"/>
  <c r="AD14" i="4"/>
  <c r="J16" i="6" s="1"/>
  <c r="G70" i="6"/>
  <c r="AD68" i="4"/>
  <c r="J70" i="6" s="1"/>
  <c r="O70" i="6" s="1"/>
  <c r="P70" i="6" s="1"/>
  <c r="P72" i="1" s="1"/>
  <c r="G28" i="6"/>
  <c r="AD26" i="4"/>
  <c r="J28" i="6" s="1"/>
  <c r="G45" i="6"/>
  <c r="AD43" i="4"/>
  <c r="J45" i="6" s="1"/>
  <c r="G71" i="6"/>
  <c r="AD69" i="4"/>
  <c r="J71" i="6" s="1"/>
  <c r="G82" i="6"/>
  <c r="AD80" i="4"/>
  <c r="J82" i="6" s="1"/>
  <c r="AL125" i="4"/>
  <c r="AU167" i="4"/>
  <c r="G80" i="6"/>
  <c r="AD78" i="4"/>
  <c r="J80" i="6" s="1"/>
  <c r="BA125" i="4"/>
  <c r="I86" i="9"/>
  <c r="AU126" i="4"/>
  <c r="AF121" i="4"/>
  <c r="AD121" i="4" s="1"/>
  <c r="H11" i="9"/>
  <c r="BA124" i="4"/>
  <c r="L26" i="9"/>
  <c r="AL121" i="4"/>
  <c r="BB114" i="4"/>
  <c r="AY121" i="4"/>
  <c r="K11" i="9"/>
  <c r="M86" i="9"/>
  <c r="AY94" i="4"/>
  <c r="BA94" i="4"/>
  <c r="M96" i="6" s="1"/>
  <c r="AZ94" i="4"/>
  <c r="R96" i="6"/>
  <c r="BB94" i="4"/>
  <c r="N96" i="6" s="1"/>
  <c r="AX94" i="4"/>
  <c r="AD94" i="4"/>
  <c r="J96" i="6" s="1"/>
  <c r="G58" i="6"/>
  <c r="AD56" i="4"/>
  <c r="J58" i="6" s="1"/>
  <c r="O58" i="6" s="1"/>
  <c r="P58" i="6" s="1"/>
  <c r="P60" i="1" s="1"/>
  <c r="G95" i="6"/>
  <c r="AD93" i="4"/>
  <c r="J95" i="6" s="1"/>
  <c r="G5" i="6"/>
  <c r="AE1" i="4"/>
  <c r="AD3" i="4"/>
  <c r="J5" i="6" s="1"/>
  <c r="BA137" i="4"/>
  <c r="BB137" i="4"/>
  <c r="AF137" i="4"/>
  <c r="AD137" i="4" s="1"/>
  <c r="AL137" i="4"/>
  <c r="G41" i="6"/>
  <c r="AD39" i="4"/>
  <c r="J41" i="6" s="1"/>
  <c r="O41" i="6" s="1"/>
  <c r="P41" i="6" s="1"/>
  <c r="P43" i="1" s="1"/>
  <c r="G30" i="6"/>
  <c r="AD28" i="4"/>
  <c r="J30" i="6" s="1"/>
  <c r="AL144" i="4"/>
  <c r="AF144" i="4"/>
  <c r="AD144" i="4" s="1"/>
  <c r="AZ137" i="4"/>
  <c r="G35" i="6"/>
  <c r="AD33" i="4"/>
  <c r="J35" i="6" s="1"/>
  <c r="G78" i="6"/>
  <c r="AD76" i="4"/>
  <c r="J78" i="6" s="1"/>
  <c r="O78" i="6" s="1"/>
  <c r="P78" i="6" s="1"/>
  <c r="P80" i="1" s="1"/>
  <c r="G85" i="6"/>
  <c r="AD83" i="4"/>
  <c r="J85" i="6" s="1"/>
  <c r="O85" i="6" s="1"/>
  <c r="P85" i="6" s="1"/>
  <c r="P87" i="1" s="1"/>
  <c r="AY144" i="4"/>
  <c r="AZ125" i="4"/>
  <c r="AD91" i="4"/>
  <c r="J93" i="6" s="1"/>
  <c r="H28" i="9"/>
  <c r="AL210" i="4"/>
  <c r="AF210" i="4"/>
  <c r="AD210" i="4" s="1"/>
  <c r="K51" i="9"/>
  <c r="L16" i="6"/>
  <c r="O16" i="6" s="1"/>
  <c r="P16" i="6" s="1"/>
  <c r="P18" i="1" s="1"/>
  <c r="L28" i="6"/>
  <c r="L96" i="6"/>
  <c r="AZ210" i="4"/>
  <c r="M3" i="9"/>
  <c r="O10" i="6"/>
  <c r="P10" i="6" s="1"/>
  <c r="P12" i="1" s="1"/>
  <c r="O19" i="6"/>
  <c r="P19" i="6" s="1"/>
  <c r="P21" i="1" s="1"/>
  <c r="O23" i="6"/>
  <c r="P23" i="6" s="1"/>
  <c r="P25" i="1" s="1"/>
  <c r="O45" i="6"/>
  <c r="P45" i="6" s="1"/>
  <c r="P47" i="1" s="1"/>
  <c r="O49" i="6"/>
  <c r="P49" i="6" s="1"/>
  <c r="P51" i="1" s="1"/>
  <c r="O5" i="6"/>
  <c r="P5" i="6" s="1"/>
  <c r="P7" i="1" s="1"/>
  <c r="O14" i="6"/>
  <c r="P14" i="6" s="1"/>
  <c r="P16" i="1" s="1"/>
  <c r="O28" i="6"/>
  <c r="P28" i="6" s="1"/>
  <c r="P30" i="1" s="1"/>
  <c r="O47" i="6"/>
  <c r="P47" i="6" s="1"/>
  <c r="P49" i="1" s="1"/>
  <c r="O62" i="6"/>
  <c r="P62" i="6" s="1"/>
  <c r="P64" i="1" s="1"/>
  <c r="O66" i="6"/>
  <c r="P66" i="6" s="1"/>
  <c r="P68" i="1" s="1"/>
  <c r="O69" i="6"/>
  <c r="P69" i="6" s="1"/>
  <c r="P71" i="1" s="1"/>
  <c r="L102" i="6"/>
  <c r="O8" i="6"/>
  <c r="P8" i="6" s="1"/>
  <c r="P10" i="1" s="1"/>
  <c r="O77" i="6"/>
  <c r="P77" i="6" s="1"/>
  <c r="P79" i="1" s="1"/>
  <c r="O31" i="6"/>
  <c r="P31" i="6" s="1"/>
  <c r="P33" i="1" s="1"/>
  <c r="O34" i="6"/>
  <c r="P34" i="6" s="1"/>
  <c r="P36" i="1" s="1"/>
  <c r="O39" i="6"/>
  <c r="P39" i="6" s="1"/>
  <c r="P41" i="1" s="1"/>
  <c r="O42" i="6"/>
  <c r="P42" i="6" s="1"/>
  <c r="P44" i="1" s="1"/>
  <c r="O57" i="6"/>
  <c r="P57" i="6" s="1"/>
  <c r="P59" i="1" s="1"/>
  <c r="O87" i="6"/>
  <c r="P87" i="6" s="1"/>
  <c r="P89" i="1" s="1"/>
  <c r="M5" i="9"/>
  <c r="L99" i="9"/>
  <c r="O6" i="6"/>
  <c r="M36" i="9"/>
  <c r="O33" i="6"/>
  <c r="P33" i="6" s="1"/>
  <c r="P35" i="1" s="1"/>
  <c r="AL211" i="4"/>
  <c r="BA109" i="4"/>
  <c r="M74" i="9"/>
  <c r="M66" i="9"/>
  <c r="M76" i="9"/>
  <c r="AY175" i="4"/>
  <c r="BA204" i="4"/>
  <c r="M90" i="9"/>
  <c r="M28" i="9"/>
  <c r="AY117" i="4"/>
  <c r="AU117" i="4"/>
  <c r="AU214" i="4"/>
  <c r="AL149" i="4"/>
  <c r="M31" i="9"/>
  <c r="M51" i="9"/>
  <c r="M35" i="9"/>
  <c r="AY112" i="4"/>
  <c r="AF65" i="4"/>
  <c r="L65" i="10"/>
  <c r="M65" i="10" s="1"/>
  <c r="AL65" i="4"/>
  <c r="S67" i="6"/>
  <c r="I67" i="6"/>
  <c r="AU65" i="4"/>
  <c r="AZ90" i="4"/>
  <c r="R92" i="6"/>
  <c r="BB90" i="4"/>
  <c r="AX90" i="4"/>
  <c r="AY90" i="4"/>
  <c r="BA90" i="4"/>
  <c r="G32" i="6"/>
  <c r="AD30" i="4"/>
  <c r="J32" i="6" s="1"/>
  <c r="K99" i="10"/>
  <c r="M99" i="10" s="1"/>
  <c r="AL99" i="4"/>
  <c r="S101" i="6"/>
  <c r="G15" i="6"/>
  <c r="AD13" i="4"/>
  <c r="J15" i="6" s="1"/>
  <c r="G98" i="6"/>
  <c r="AD96" i="4"/>
  <c r="J98" i="6" s="1"/>
  <c r="O98" i="6" s="1"/>
  <c r="P98" i="6" s="1"/>
  <c r="P100" i="1" s="1"/>
  <c r="G60" i="6"/>
  <c r="AD58" i="4"/>
  <c r="J60" i="6" s="1"/>
  <c r="O60" i="6" s="1"/>
  <c r="P60" i="6" s="1"/>
  <c r="P62" i="1" s="1"/>
  <c r="G48" i="6"/>
  <c r="AD46" i="4"/>
  <c r="J48" i="6" s="1"/>
  <c r="O48" i="6" s="1"/>
  <c r="P48" i="6" s="1"/>
  <c r="P50" i="1" s="1"/>
  <c r="G21" i="6"/>
  <c r="AD19" i="4"/>
  <c r="J21" i="6" s="1"/>
  <c r="G76" i="6"/>
  <c r="AD74" i="4"/>
  <c r="J76" i="6" s="1"/>
  <c r="O76" i="6" s="1"/>
  <c r="P76" i="6" s="1"/>
  <c r="P78" i="1" s="1"/>
  <c r="G94" i="6"/>
  <c r="AD92" i="4"/>
  <c r="J94" i="6" s="1"/>
  <c r="AY118" i="4"/>
  <c r="AF162" i="4"/>
  <c r="AD162" i="4" s="1"/>
  <c r="AZ162" i="4"/>
  <c r="AY162" i="4"/>
  <c r="BA123" i="4"/>
  <c r="AZ123" i="4"/>
  <c r="BB123" i="4"/>
  <c r="AY123" i="4"/>
  <c r="AX123" i="4"/>
  <c r="BA162" i="4"/>
  <c r="AL163" i="4"/>
  <c r="AF139" i="4"/>
  <c r="AD139" i="4" s="1"/>
  <c r="AL139" i="4"/>
  <c r="AF157" i="4"/>
  <c r="AD157" i="4" s="1"/>
  <c r="AL157" i="4"/>
  <c r="AC196" i="4"/>
  <c r="AC157" i="4"/>
  <c r="AX200" i="4"/>
  <c r="L94" i="6"/>
  <c r="AY163" i="4"/>
  <c r="BB163" i="4"/>
  <c r="BB139" i="4"/>
  <c r="AX139" i="4"/>
  <c r="AY147" i="4"/>
  <c r="AZ157" i="4"/>
  <c r="AX157" i="4"/>
  <c r="O84" i="6"/>
  <c r="P84" i="6" s="1"/>
  <c r="P86" i="1" s="1"/>
  <c r="AC112" i="4"/>
  <c r="O25" i="6"/>
  <c r="P25" i="6" s="1"/>
  <c r="P27" i="1" s="1"/>
  <c r="BB65" i="4"/>
  <c r="R67" i="6"/>
  <c r="BA65" i="4"/>
  <c r="AY65" i="4"/>
  <c r="AX65" i="4"/>
  <c r="AZ65" i="4"/>
  <c r="AF90" i="4"/>
  <c r="K90" i="10"/>
  <c r="M90" i="10" s="1"/>
  <c r="S92" i="6"/>
  <c r="AL90" i="4"/>
  <c r="AU90" i="4"/>
  <c r="I92" i="6"/>
  <c r="T92" i="6" s="1"/>
  <c r="AX99" i="4"/>
  <c r="AZ99" i="4"/>
  <c r="BB99" i="4"/>
  <c r="R101" i="6"/>
  <c r="BA99" i="4"/>
  <c r="AY99" i="4"/>
  <c r="G65" i="6"/>
  <c r="AD63" i="4"/>
  <c r="J65" i="6" s="1"/>
  <c r="O65" i="6" s="1"/>
  <c r="P65" i="6" s="1"/>
  <c r="P67" i="1" s="1"/>
  <c r="G56" i="6"/>
  <c r="AD54" i="4"/>
  <c r="J56" i="6" s="1"/>
  <c r="O56" i="6" s="1"/>
  <c r="P56" i="6" s="1"/>
  <c r="P58" i="1" s="1"/>
  <c r="G101" i="6"/>
  <c r="I98" i="9" s="1"/>
  <c r="AD99" i="4"/>
  <c r="J101" i="6" s="1"/>
  <c r="K41" i="9"/>
  <c r="I41" i="9"/>
  <c r="AF196" i="4"/>
  <c r="AD196" i="4" s="1"/>
  <c r="AL196" i="4"/>
  <c r="AF200" i="4"/>
  <c r="AD200" i="4" s="1"/>
  <c r="AL200" i="4"/>
  <c r="BB162" i="4"/>
  <c r="AX163" i="4"/>
  <c r="AF163" i="4"/>
  <c r="AD163" i="4" s="1"/>
  <c r="AY139" i="4"/>
  <c r="BA139" i="4"/>
  <c r="BB147" i="4"/>
  <c r="BA147" i="4"/>
  <c r="AY196" i="4"/>
  <c r="BA196" i="4"/>
  <c r="BA157" i="4"/>
  <c r="AZ200" i="4"/>
  <c r="AF147" i="4"/>
  <c r="AD147" i="4" s="1"/>
  <c r="L21" i="6"/>
  <c r="O18" i="6"/>
  <c r="P18" i="6" s="1"/>
  <c r="P20" i="1" s="1"/>
  <c r="O37" i="6"/>
  <c r="P37" i="6" s="1"/>
  <c r="P39" i="1" s="1"/>
  <c r="O75" i="6"/>
  <c r="P75" i="6" s="1"/>
  <c r="P77" i="1" s="1"/>
  <c r="O91" i="6"/>
  <c r="P91" i="6" s="1"/>
  <c r="P93" i="1" s="1"/>
  <c r="O11" i="6"/>
  <c r="P11" i="6" s="1"/>
  <c r="P13" i="1" s="1"/>
  <c r="O26" i="6"/>
  <c r="P26" i="6" s="1"/>
  <c r="P28" i="1" s="1"/>
  <c r="O63" i="6"/>
  <c r="P63" i="6" s="1"/>
  <c r="P65" i="1" s="1"/>
  <c r="O81" i="6"/>
  <c r="P81" i="6" s="1"/>
  <c r="P83" i="1" s="1"/>
  <c r="O96" i="6"/>
  <c r="P96" i="6" s="1"/>
  <c r="P98" i="1" s="1"/>
  <c r="O24" i="6"/>
  <c r="P24" i="6" s="1"/>
  <c r="P26" i="1" s="1"/>
  <c r="O44" i="6"/>
  <c r="P44" i="6" s="1"/>
  <c r="P46" i="1" s="1"/>
  <c r="O17" i="6"/>
  <c r="P17" i="6" s="1"/>
  <c r="P19" i="1" s="1"/>
  <c r="O83" i="6"/>
  <c r="P83" i="6" s="1"/>
  <c r="P85" i="1" s="1"/>
  <c r="O36" i="6"/>
  <c r="P36" i="6" s="1"/>
  <c r="P38" i="1" s="1"/>
  <c r="P6" i="6"/>
  <c r="P8" i="1" s="1"/>
  <c r="M85" i="9"/>
  <c r="M60" i="9"/>
  <c r="O54" i="6"/>
  <c r="P54" i="6" s="1"/>
  <c r="P56" i="1" s="1"/>
  <c r="O88" i="6"/>
  <c r="P88" i="6" s="1"/>
  <c r="P90" i="1" s="1"/>
  <c r="J94" i="9"/>
  <c r="I94" i="9"/>
  <c r="M8" i="9"/>
  <c r="AF140" i="4"/>
  <c r="AD140" i="4" s="1"/>
  <c r="AY140" i="4"/>
  <c r="AL140" i="4"/>
  <c r="AX140" i="4"/>
  <c r="AX133" i="4"/>
  <c r="BB133" i="4"/>
  <c r="AF107" i="4"/>
  <c r="AD107" i="4" s="1"/>
  <c r="AL107" i="4"/>
  <c r="AY211" i="4"/>
  <c r="AX211" i="4"/>
  <c r="AF134" i="4"/>
  <c r="AD134" i="4" s="1"/>
  <c r="AL134" i="4"/>
  <c r="AF136" i="4"/>
  <c r="AD136" i="4" s="1"/>
  <c r="AL136" i="4"/>
  <c r="BB140" i="4"/>
  <c r="AL109" i="4"/>
  <c r="AX190" i="4"/>
  <c r="AD190" i="4"/>
  <c r="AY190" i="4"/>
  <c r="BB190" i="4"/>
  <c r="AZ190" i="4"/>
  <c r="BA190" i="4"/>
  <c r="AY133" i="4"/>
  <c r="AX209" i="4"/>
  <c r="AY209" i="4"/>
  <c r="AF175" i="4"/>
  <c r="AL175" i="4"/>
  <c r="AF204" i="4"/>
  <c r="AL204" i="4"/>
  <c r="AX204" i="4"/>
  <c r="M88" i="9"/>
  <c r="AD102" i="4"/>
  <c r="J104" i="6" s="1"/>
  <c r="AF187" i="4"/>
  <c r="AD187" i="4" s="1"/>
  <c r="AL187" i="4"/>
  <c r="AZ156" i="4"/>
  <c r="AY156" i="4"/>
  <c r="BA156" i="4"/>
  <c r="BB156" i="4"/>
  <c r="BA188" i="4"/>
  <c r="AZ188" i="4"/>
  <c r="AX188" i="4"/>
  <c r="BB188" i="4"/>
  <c r="AY188" i="4"/>
  <c r="AF188" i="4"/>
  <c r="AD188" i="4" s="1"/>
  <c r="AL188" i="4"/>
  <c r="BA154" i="4"/>
  <c r="BB154" i="4"/>
  <c r="AX154" i="4"/>
  <c r="AZ154" i="4"/>
  <c r="AY154" i="4"/>
  <c r="AF154" i="4"/>
  <c r="AD154" i="4" s="1"/>
  <c r="AL154" i="4"/>
  <c r="AX149" i="4"/>
  <c r="AZ149" i="4"/>
  <c r="BB149" i="4"/>
  <c r="BA149" i="4"/>
  <c r="AX197" i="4"/>
  <c r="AZ197" i="4"/>
  <c r="BB197" i="4"/>
  <c r="AF197" i="4"/>
  <c r="AL197" i="4"/>
  <c r="AL180" i="4"/>
  <c r="AZ180" i="4"/>
  <c r="AX180" i="4"/>
  <c r="BA175" i="4"/>
  <c r="AF192" i="4"/>
  <c r="AX153" i="4"/>
  <c r="AZ153" i="4"/>
  <c r="AY153" i="4"/>
  <c r="BA153" i="4"/>
  <c r="BB153" i="4"/>
  <c r="AF198" i="4"/>
  <c r="AL198" i="4"/>
  <c r="L94" i="9"/>
  <c r="AD95" i="4"/>
  <c r="J97" i="6" s="1"/>
  <c r="AF171" i="4"/>
  <c r="AD171" i="4" s="1"/>
  <c r="AL171" i="4"/>
  <c r="AF216" i="4"/>
  <c r="AD216" i="4" s="1"/>
  <c r="AF180" i="4"/>
  <c r="AD180" i="4" s="1"/>
  <c r="AF149" i="4"/>
  <c r="AD149" i="4" s="1"/>
  <c r="AL112" i="4"/>
  <c r="AF112" i="4"/>
  <c r="AD112" i="4" s="1"/>
  <c r="BB112" i="4"/>
  <c r="BA197" i="4"/>
  <c r="AF110" i="4"/>
  <c r="AL110" i="4"/>
  <c r="AZ128" i="4"/>
  <c r="AY128" i="4"/>
  <c r="BB128" i="4"/>
  <c r="BA128" i="4"/>
  <c r="AX128" i="4"/>
  <c r="BA172" i="4"/>
  <c r="AY172" i="4"/>
  <c r="AD172" i="4"/>
  <c r="BB172" i="4"/>
  <c r="AZ172" i="4"/>
  <c r="AX172" i="4"/>
  <c r="L97" i="6"/>
  <c r="J100" i="9"/>
  <c r="AX156" i="4"/>
  <c r="AZ207" i="4"/>
  <c r="BA207" i="4"/>
  <c r="AY207" i="4"/>
  <c r="AX207" i="4"/>
  <c r="BB207" i="4"/>
  <c r="AX110" i="4"/>
  <c r="AD128" i="4"/>
  <c r="AX116" i="4"/>
  <c r="BB116" i="4"/>
  <c r="BA116" i="4"/>
  <c r="M9" i="9"/>
  <c r="M72" i="9"/>
  <c r="O29" i="6"/>
  <c r="P29" i="6" s="1"/>
  <c r="P31" i="1" s="1"/>
  <c r="O73" i="6"/>
  <c r="P73" i="6" s="1"/>
  <c r="P75" i="1" s="1"/>
  <c r="O27" i="6"/>
  <c r="P27" i="6" s="1"/>
  <c r="P29" i="1" s="1"/>
  <c r="O59" i="6"/>
  <c r="P59" i="6" s="1"/>
  <c r="P61" i="1" s="1"/>
  <c r="O90" i="6"/>
  <c r="P90" i="6" s="1"/>
  <c r="P92" i="1" s="1"/>
  <c r="L100" i="9"/>
  <c r="H100" i="9"/>
  <c r="I43" i="9"/>
  <c r="K43" i="9"/>
  <c r="H43" i="9"/>
  <c r="J43" i="9"/>
  <c r="L43" i="9"/>
  <c r="AZ130" i="4"/>
  <c r="BB130" i="4"/>
  <c r="O53" i="6"/>
  <c r="P53" i="6" s="1"/>
  <c r="P55" i="1" s="1"/>
  <c r="M71" i="9"/>
  <c r="M93" i="9"/>
  <c r="M40" i="9"/>
  <c r="O30" i="6"/>
  <c r="P30" i="6" s="1"/>
  <c r="P32" i="1" s="1"/>
  <c r="O35" i="6"/>
  <c r="P35" i="6" s="1"/>
  <c r="P37" i="1" s="1"/>
  <c r="O52" i="6"/>
  <c r="P52" i="6" s="1"/>
  <c r="P54" i="1" s="1"/>
  <c r="O55" i="6"/>
  <c r="P55" i="6" s="1"/>
  <c r="P57" i="1" s="1"/>
  <c r="O12" i="6"/>
  <c r="P12" i="6" s="1"/>
  <c r="P14" i="1" s="1"/>
  <c r="O15" i="6"/>
  <c r="P15" i="6" s="1"/>
  <c r="P17" i="1" s="1"/>
  <c r="O32" i="6"/>
  <c r="P32" i="6" s="1"/>
  <c r="P34" i="1" s="1"/>
  <c r="O71" i="6"/>
  <c r="P71" i="6" s="1"/>
  <c r="P73" i="1" s="1"/>
  <c r="O80" i="6"/>
  <c r="P80" i="6" s="1"/>
  <c r="P82" i="1" s="1"/>
  <c r="O82" i="6"/>
  <c r="P82" i="6" s="1"/>
  <c r="P84" i="1" s="1"/>
  <c r="L103" i="6"/>
  <c r="O104" i="6"/>
  <c r="P104" i="6" s="1"/>
  <c r="P106" i="1" s="1"/>
  <c r="O89" i="6"/>
  <c r="P89" i="6" s="1"/>
  <c r="P91" i="1" s="1"/>
  <c r="O93" i="6"/>
  <c r="P93" i="6" s="1"/>
  <c r="P95" i="1" s="1"/>
  <c r="O95" i="6"/>
  <c r="P95" i="6" s="1"/>
  <c r="P97" i="1" s="1"/>
  <c r="O21" i="6"/>
  <c r="P21" i="6" s="1"/>
  <c r="P23" i="1" s="1"/>
  <c r="O22" i="6"/>
  <c r="P22" i="6" s="1"/>
  <c r="P24" i="1" s="1"/>
  <c r="O86" i="6"/>
  <c r="P86" i="6" s="1"/>
  <c r="P88" i="1" s="1"/>
  <c r="H87" i="9"/>
  <c r="J87" i="9"/>
  <c r="L87" i="9"/>
  <c r="I87" i="9"/>
  <c r="K87" i="9"/>
  <c r="G100" i="6"/>
  <c r="AD98" i="4"/>
  <c r="J100" i="6" s="1"/>
  <c r="O100" i="6" s="1"/>
  <c r="P100" i="6" s="1"/>
  <c r="P102" i="1" s="1"/>
  <c r="AD100" i="4"/>
  <c r="J102" i="6" s="1"/>
  <c r="O102" i="6" s="1"/>
  <c r="P102" i="6" s="1"/>
  <c r="P104" i="1" s="1"/>
  <c r="J99" i="9"/>
  <c r="BA130" i="4"/>
  <c r="G99" i="6"/>
  <c r="AD97" i="4"/>
  <c r="J99" i="6" s="1"/>
  <c r="O99" i="6" s="1"/>
  <c r="P99" i="6" s="1"/>
  <c r="P101" i="1" s="1"/>
  <c r="I101" i="9"/>
  <c r="L101" i="9"/>
  <c r="M21" i="9"/>
  <c r="AF130" i="4"/>
  <c r="AD130" i="4" s="1"/>
  <c r="AL130" i="4"/>
  <c r="BA211" i="4"/>
  <c r="AY109" i="4"/>
  <c r="BB109" i="4"/>
  <c r="AX109" i="4"/>
  <c r="U25" i="10"/>
  <c r="V19" i="10" s="1"/>
  <c r="BA140" i="4"/>
  <c r="BA133" i="4"/>
  <c r="M56" i="9"/>
  <c r="I99" i="9"/>
  <c r="AZ107" i="4"/>
  <c r="BB107" i="4"/>
  <c r="AX107" i="4"/>
  <c r="AZ211" i="4"/>
  <c r="BB211" i="4"/>
  <c r="AX134" i="4"/>
  <c r="BA134" i="4"/>
  <c r="AY134" i="4"/>
  <c r="BB134" i="4"/>
  <c r="AZ134" i="4"/>
  <c r="AC136" i="4"/>
  <c r="AY136" i="4"/>
  <c r="BB136" i="4"/>
  <c r="BA136" i="4"/>
  <c r="AZ109" i="4"/>
  <c r="AD109" i="4"/>
  <c r="AF133" i="4"/>
  <c r="AD133" i="4" s="1"/>
  <c r="AZ133" i="4"/>
  <c r="AC213" i="4"/>
  <c r="AL209" i="4"/>
  <c r="BB213" i="4"/>
  <c r="AY213" i="4"/>
  <c r="AX213" i="4"/>
  <c r="BA213" i="4"/>
  <c r="AZ213" i="4"/>
  <c r="AF213" i="4"/>
  <c r="AD213" i="4" s="1"/>
  <c r="AL213" i="4"/>
  <c r="AC190" i="4"/>
  <c r="AU209" i="4"/>
  <c r="AZ192" i="4"/>
  <c r="AX192" i="4"/>
  <c r="BB192" i="4"/>
  <c r="AY192" i="4"/>
  <c r="BA192" i="4"/>
  <c r="AD192" i="4"/>
  <c r="AC209" i="4"/>
  <c r="AF211" i="4"/>
  <c r="AD211" i="4" s="1"/>
  <c r="AZ209" i="4"/>
  <c r="BA209" i="4"/>
  <c r="AF209" i="4"/>
  <c r="AD209" i="4" s="1"/>
  <c r="AX175" i="4"/>
  <c r="AZ175" i="4"/>
  <c r="BB175" i="4"/>
  <c r="M41" i="9"/>
  <c r="AZ204" i="4"/>
  <c r="BB204" i="4"/>
  <c r="M69" i="9"/>
  <c r="H101" i="9"/>
  <c r="AX187" i="4"/>
  <c r="BA187" i="4"/>
  <c r="BB187" i="4"/>
  <c r="AZ187" i="4"/>
  <c r="AY187" i="4"/>
  <c r="BB216" i="4"/>
  <c r="AZ216" i="4"/>
  <c r="AY216" i="4"/>
  <c r="AX216" i="4"/>
  <c r="BA216" i="4"/>
  <c r="M50" i="9"/>
  <c r="AZ117" i="4"/>
  <c r="AX117" i="4"/>
  <c r="BB117" i="4"/>
  <c r="BA117" i="4"/>
  <c r="AC117" i="4"/>
  <c r="AD156" i="4"/>
  <c r="AU156" i="4"/>
  <c r="M44" i="9"/>
  <c r="AC203" i="4"/>
  <c r="AZ104" i="4"/>
  <c r="BA104" i="4"/>
  <c r="AX104" i="4"/>
  <c r="BB104" i="4"/>
  <c r="AY104" i="4"/>
  <c r="AF104" i="4"/>
  <c r="AD104" i="4" s="1"/>
  <c r="AL104" i="4"/>
  <c r="AY105" i="4"/>
  <c r="BB105" i="4"/>
  <c r="BA105" i="4"/>
  <c r="AZ105" i="4"/>
  <c r="AX105" i="4"/>
  <c r="AF105" i="4"/>
  <c r="AD105" i="4" s="1"/>
  <c r="AL105" i="4"/>
  <c r="AX205" i="4"/>
  <c r="AY205" i="4"/>
  <c r="BA205" i="4"/>
  <c r="AZ205" i="4"/>
  <c r="BB205" i="4"/>
  <c r="AF205" i="4"/>
  <c r="AD205" i="4" s="1"/>
  <c r="AL205" i="4"/>
  <c r="AX184" i="4"/>
  <c r="BB184" i="4"/>
  <c r="BA184" i="4"/>
  <c r="AZ184" i="4"/>
  <c r="AY184" i="4"/>
  <c r="AF184" i="4"/>
  <c r="AD184" i="4" s="1"/>
  <c r="AL184" i="4"/>
  <c r="AC168" i="4"/>
  <c r="AC205" i="4"/>
  <c r="AU184" i="4"/>
  <c r="AC197" i="4"/>
  <c r="AZ140" i="4"/>
  <c r="AC175" i="4"/>
  <c r="AD175" i="4"/>
  <c r="AL153" i="4"/>
  <c r="AF153" i="4"/>
  <c r="AD153" i="4" s="1"/>
  <c r="BA198" i="4"/>
  <c r="AX198" i="4"/>
  <c r="AY198" i="4"/>
  <c r="AD198" i="4"/>
  <c r="AZ198" i="4"/>
  <c r="BB198" i="4"/>
  <c r="AY204" i="4"/>
  <c r="AD204" i="4"/>
  <c r="K94" i="9"/>
  <c r="H94" i="9"/>
  <c r="BA171" i="4"/>
  <c r="BB171" i="4"/>
  <c r="J101" i="9"/>
  <c r="BB151" i="4"/>
  <c r="BA151" i="4"/>
  <c r="AD151" i="4"/>
  <c r="AZ151" i="4"/>
  <c r="AX151" i="4"/>
  <c r="AY151" i="4"/>
  <c r="M59" i="9"/>
  <c r="M70" i="9"/>
  <c r="AX171" i="4"/>
  <c r="BB180" i="4"/>
  <c r="AY149" i="4"/>
  <c r="M19" i="9"/>
  <c r="AF207" i="4"/>
  <c r="AD207" i="4" s="1"/>
  <c r="AU112" i="4"/>
  <c r="BA112" i="4"/>
  <c r="M16" i="9"/>
  <c r="AY197" i="4"/>
  <c r="AD197" i="4"/>
  <c r="AZ110" i="4"/>
  <c r="AY110" i="4"/>
  <c r="AD110" i="4"/>
  <c r="M26" i="9"/>
  <c r="AD101" i="4"/>
  <c r="J103" i="6" s="1"/>
  <c r="O103" i="6" s="1"/>
  <c r="P103" i="6" s="1"/>
  <c r="P105" i="1" s="1"/>
  <c r="O46" i="6"/>
  <c r="P46" i="6" s="1"/>
  <c r="P48" i="1" s="1"/>
  <c r="M49" i="9"/>
  <c r="AD117" i="4"/>
  <c r="AZ127" i="4"/>
  <c r="AY127" i="4"/>
  <c r="AX127" i="4"/>
  <c r="AC207" i="4"/>
  <c r="AX112" i="4"/>
  <c r="AZ112" i="4"/>
  <c r="BA110" i="4"/>
  <c r="AL207" i="4"/>
  <c r="AF127" i="4"/>
  <c r="AD127" i="4" s="1"/>
  <c r="AZ116" i="4"/>
  <c r="AY116" i="4"/>
  <c r="I100" i="9"/>
  <c r="AF116" i="4"/>
  <c r="AD116" i="4" s="1"/>
  <c r="O97" i="6" l="1"/>
  <c r="P97" i="6" s="1"/>
  <c r="P99" i="1" s="1"/>
  <c r="O94" i="6"/>
  <c r="P94" i="6" s="1"/>
  <c r="P96" i="1" s="1"/>
  <c r="L20" i="9"/>
  <c r="I20" i="9"/>
  <c r="H20" i="9"/>
  <c r="J20" i="9"/>
  <c r="K20" i="9"/>
  <c r="I22" i="9"/>
  <c r="J22" i="9"/>
  <c r="L22" i="9"/>
  <c r="H22" i="9"/>
  <c r="M22" i="9" s="1"/>
  <c r="K22" i="9"/>
  <c r="I81" i="9"/>
  <c r="J81" i="9"/>
  <c r="H81" i="9"/>
  <c r="L81" i="9"/>
  <c r="K81" i="9"/>
  <c r="J54" i="9"/>
  <c r="H54" i="9"/>
  <c r="L54" i="9"/>
  <c r="I54" i="9"/>
  <c r="K54" i="9"/>
  <c r="I23" i="9"/>
  <c r="K23" i="9"/>
  <c r="H23" i="9"/>
  <c r="J23" i="9"/>
  <c r="L23" i="9"/>
  <c r="M11" i="9"/>
  <c r="I65" i="9"/>
  <c r="K65" i="9"/>
  <c r="H65" i="9"/>
  <c r="J65" i="9"/>
  <c r="L65" i="9"/>
  <c r="I15" i="9"/>
  <c r="H15" i="9"/>
  <c r="L15" i="9"/>
  <c r="K15" i="9"/>
  <c r="J15" i="9"/>
  <c r="K61" i="9"/>
  <c r="J61" i="9"/>
  <c r="I61" i="9"/>
  <c r="H61" i="9"/>
  <c r="L61" i="9"/>
  <c r="J17" i="9"/>
  <c r="I17" i="9"/>
  <c r="H17" i="9"/>
  <c r="L17" i="9"/>
  <c r="K17" i="9"/>
  <c r="I24" i="9"/>
  <c r="H24" i="9"/>
  <c r="J24" i="9"/>
  <c r="K24" i="9"/>
  <c r="L24" i="9"/>
  <c r="K10" i="9"/>
  <c r="I10" i="9"/>
  <c r="J10" i="9"/>
  <c r="H10" i="9"/>
  <c r="M10" i="9" s="1"/>
  <c r="L10" i="9"/>
  <c r="H46" i="9"/>
  <c r="K46" i="9"/>
  <c r="I46" i="9"/>
  <c r="J46" i="9"/>
  <c r="L46" i="9"/>
  <c r="I78" i="9"/>
  <c r="J78" i="9"/>
  <c r="K78" i="9"/>
  <c r="H78" i="9"/>
  <c r="M78" i="9" s="1"/>
  <c r="L78" i="9"/>
  <c r="L6" i="9"/>
  <c r="K6" i="9"/>
  <c r="H6" i="9"/>
  <c r="J6" i="9"/>
  <c r="I6" i="9"/>
  <c r="K4" i="9"/>
  <c r="J4" i="9"/>
  <c r="I4" i="9"/>
  <c r="H4" i="9"/>
  <c r="M4" i="9" s="1"/>
  <c r="L4" i="9"/>
  <c r="K82" i="9"/>
  <c r="J82" i="9"/>
  <c r="I82" i="9"/>
  <c r="H82" i="9"/>
  <c r="L82" i="9"/>
  <c r="J75" i="9"/>
  <c r="L75" i="9"/>
  <c r="H75" i="9"/>
  <c r="I75" i="9"/>
  <c r="K75" i="9"/>
  <c r="J32" i="9"/>
  <c r="L32" i="9"/>
  <c r="K32" i="9"/>
  <c r="H32" i="9"/>
  <c r="I32" i="9"/>
  <c r="K2" i="9"/>
  <c r="J2" i="9"/>
  <c r="I2" i="9"/>
  <c r="L2" i="9"/>
  <c r="H2" i="9"/>
  <c r="L92" i="9"/>
  <c r="I92" i="9"/>
  <c r="H92" i="9"/>
  <c r="J92" i="9"/>
  <c r="K92" i="9"/>
  <c r="H55" i="9"/>
  <c r="I55" i="9"/>
  <c r="J55" i="9"/>
  <c r="L55" i="9"/>
  <c r="K55" i="9"/>
  <c r="M99" i="9"/>
  <c r="H27" i="9"/>
  <c r="J27" i="9"/>
  <c r="I27" i="9"/>
  <c r="L27" i="9"/>
  <c r="K27" i="9"/>
  <c r="I38" i="9"/>
  <c r="L38" i="9"/>
  <c r="J38" i="9"/>
  <c r="H38" i="9"/>
  <c r="K38" i="9"/>
  <c r="K77" i="9"/>
  <c r="I77" i="9"/>
  <c r="H77" i="9"/>
  <c r="L77" i="9"/>
  <c r="J77" i="9"/>
  <c r="I79" i="9"/>
  <c r="H79" i="9"/>
  <c r="J79" i="9"/>
  <c r="K79" i="9"/>
  <c r="L79" i="9"/>
  <c r="H68" i="9"/>
  <c r="L68" i="9"/>
  <c r="K68" i="9"/>
  <c r="J68" i="9"/>
  <c r="I68" i="9"/>
  <c r="K42" i="9"/>
  <c r="J42" i="9"/>
  <c r="H42" i="9"/>
  <c r="L42" i="9"/>
  <c r="I42" i="9"/>
  <c r="H25" i="9"/>
  <c r="J25" i="9"/>
  <c r="L25" i="9"/>
  <c r="K25" i="9"/>
  <c r="I25" i="9"/>
  <c r="I67" i="9"/>
  <c r="J67" i="9"/>
  <c r="H67" i="9"/>
  <c r="L67" i="9"/>
  <c r="K67" i="9"/>
  <c r="I13" i="9"/>
  <c r="H13" i="9"/>
  <c r="L13" i="9"/>
  <c r="K13" i="9"/>
  <c r="J13" i="9"/>
  <c r="L98" i="9"/>
  <c r="J98" i="9"/>
  <c r="K98" i="9"/>
  <c r="H98" i="9"/>
  <c r="H53" i="9"/>
  <c r="L53" i="9"/>
  <c r="K53" i="9"/>
  <c r="J53" i="9"/>
  <c r="I53" i="9"/>
  <c r="K62" i="9"/>
  <c r="I62" i="9"/>
  <c r="J62" i="9"/>
  <c r="H62" i="9"/>
  <c r="L62" i="9"/>
  <c r="G92" i="6"/>
  <c r="AD90" i="4"/>
  <c r="J92" i="6" s="1"/>
  <c r="I91" i="9"/>
  <c r="H91" i="9"/>
  <c r="L91" i="9"/>
  <c r="K91" i="9"/>
  <c r="J91" i="9"/>
  <c r="H73" i="9"/>
  <c r="K73" i="9"/>
  <c r="L73" i="9"/>
  <c r="I73" i="9"/>
  <c r="J73" i="9"/>
  <c r="H18" i="9"/>
  <c r="I18" i="9"/>
  <c r="K18" i="9"/>
  <c r="L18" i="9"/>
  <c r="J18" i="9"/>
  <c r="H45" i="9"/>
  <c r="K45" i="9"/>
  <c r="L45" i="9"/>
  <c r="I45" i="9"/>
  <c r="J45" i="9"/>
  <c r="H57" i="9"/>
  <c r="I57" i="9"/>
  <c r="K57" i="9"/>
  <c r="L57" i="9"/>
  <c r="J57" i="9"/>
  <c r="H95" i="9"/>
  <c r="K95" i="9"/>
  <c r="I95" i="9"/>
  <c r="L95" i="9"/>
  <c r="J95" i="9"/>
  <c r="H12" i="9"/>
  <c r="I12" i="9"/>
  <c r="L12" i="9"/>
  <c r="K12" i="9"/>
  <c r="J12" i="9"/>
  <c r="K101" i="6"/>
  <c r="M101" i="6"/>
  <c r="L101" i="6"/>
  <c r="N101" i="6"/>
  <c r="I105" i="6"/>
  <c r="T67" i="6"/>
  <c r="L67" i="6"/>
  <c r="K67" i="6"/>
  <c r="M67" i="6"/>
  <c r="N67" i="6"/>
  <c r="G67" i="6"/>
  <c r="AD65" i="4"/>
  <c r="J67" i="6" s="1"/>
  <c r="K92" i="6"/>
  <c r="N92" i="6"/>
  <c r="L92" i="6"/>
  <c r="M92" i="6"/>
  <c r="K29" i="9"/>
  <c r="I29" i="9"/>
  <c r="H29" i="9"/>
  <c r="J29" i="9"/>
  <c r="L29" i="9"/>
  <c r="J105" i="6"/>
  <c r="M94" i="9"/>
  <c r="I96" i="9"/>
  <c r="K96" i="9"/>
  <c r="L96" i="9"/>
  <c r="H96" i="9"/>
  <c r="J96" i="9"/>
  <c r="M87" i="9"/>
  <c r="M100" i="9"/>
  <c r="M101" i="9"/>
  <c r="V21" i="10"/>
  <c r="V20" i="10"/>
  <c r="V25" i="10"/>
  <c r="V22" i="10"/>
  <c r="V23" i="10"/>
  <c r="V24" i="10"/>
  <c r="K97" i="9"/>
  <c r="H97" i="9"/>
  <c r="I97" i="9"/>
  <c r="L97" i="9"/>
  <c r="J97" i="9"/>
  <c r="M43" i="9"/>
  <c r="M23" i="9" l="1"/>
  <c r="M54" i="9"/>
  <c r="M81" i="9"/>
  <c r="M20" i="9"/>
  <c r="M46" i="9"/>
  <c r="M15" i="9"/>
  <c r="M65" i="9"/>
  <c r="M6" i="9"/>
  <c r="M24" i="9"/>
  <c r="M17" i="9"/>
  <c r="M61" i="9"/>
  <c r="O67" i="6"/>
  <c r="P67" i="6" s="1"/>
  <c r="P69" i="1" s="1"/>
  <c r="M13" i="9"/>
  <c r="M67" i="9"/>
  <c r="M42" i="9"/>
  <c r="M92" i="9"/>
  <c r="M32" i="9"/>
  <c r="L105" i="6"/>
  <c r="M98" i="9"/>
  <c r="M25" i="9"/>
  <c r="M68" i="9"/>
  <c r="M79" i="9"/>
  <c r="M77" i="9"/>
  <c r="M38" i="9"/>
  <c r="M27" i="9"/>
  <c r="M55" i="9"/>
  <c r="M2" i="9"/>
  <c r="M75" i="9"/>
  <c r="M82" i="9"/>
  <c r="N105" i="6"/>
  <c r="K105" i="6"/>
  <c r="M45" i="9"/>
  <c r="M73" i="9"/>
  <c r="L89" i="9"/>
  <c r="J89" i="9"/>
  <c r="K89" i="9"/>
  <c r="H89" i="9"/>
  <c r="I89" i="9"/>
  <c r="M62" i="9"/>
  <c r="M53" i="9"/>
  <c r="M29" i="9"/>
  <c r="H64" i="9"/>
  <c r="L64" i="9"/>
  <c r="J64" i="9"/>
  <c r="K64" i="9"/>
  <c r="I64" i="9"/>
  <c r="G105" i="6"/>
  <c r="M105" i="6"/>
  <c r="O101" i="6"/>
  <c r="P101" i="6" s="1"/>
  <c r="P103" i="1" s="1"/>
  <c r="M12" i="9"/>
  <c r="M95" i="9"/>
  <c r="M57" i="9"/>
  <c r="M18" i="9"/>
  <c r="M91" i="9"/>
  <c r="O92" i="6"/>
  <c r="M97" i="9"/>
  <c r="M96" i="9"/>
  <c r="M89" i="9" l="1"/>
  <c r="P92" i="6"/>
  <c r="P94" i="1" s="1"/>
  <c r="O105" i="6"/>
  <c r="M64" i="9"/>
</calcChain>
</file>

<file path=xl/sharedStrings.xml><?xml version="1.0" encoding="utf-8"?>
<sst xmlns="http://schemas.openxmlformats.org/spreadsheetml/2006/main" count="713" uniqueCount="107">
  <si>
    <t>Наименование работ</t>
  </si>
  <si>
    <t>кол-во</t>
  </si>
  <si>
    <t>ПИР</t>
  </si>
  <si>
    <t>СМР</t>
  </si>
  <si>
    <t>ПНР</t>
  </si>
  <si>
    <t>Оборудование</t>
  </si>
  <si>
    <t>Прочее</t>
  </si>
  <si>
    <t>Белгородэнерго</t>
  </si>
  <si>
    <t>Брянскэнерго</t>
  </si>
  <si>
    <t>Воронежэнерго</t>
  </si>
  <si>
    <t>Костромаэнерго</t>
  </si>
  <si>
    <t>Курскэнерго</t>
  </si>
  <si>
    <t>Липецкэнерго</t>
  </si>
  <si>
    <t>Орелэнерго</t>
  </si>
  <si>
    <t>Смоленскэнерго</t>
  </si>
  <si>
    <t>Тамбовэнерго</t>
  </si>
  <si>
    <t>Тверьэнерго</t>
  </si>
  <si>
    <t>Ярэнерго</t>
  </si>
  <si>
    <t>ТЕР</t>
  </si>
  <si>
    <t>ФЕР</t>
  </si>
  <si>
    <t>ТПиР/НСиР</t>
  </si>
  <si>
    <t>ТПиР</t>
  </si>
  <si>
    <t>НСиР</t>
  </si>
  <si>
    <t>ФЕР/ТЕР</t>
  </si>
  <si>
    <t>4 кв 2010</t>
  </si>
  <si>
    <t>тек цены -10%</t>
  </si>
  <si>
    <t>Филиал</t>
  </si>
  <si>
    <t>ПИР2</t>
  </si>
  <si>
    <t>Описание работ</t>
  </si>
  <si>
    <t>ВЛЭП</t>
  </si>
  <si>
    <t>КЛЭП</t>
  </si>
  <si>
    <t>прочее</t>
  </si>
  <si>
    <t>в базовых ценах</t>
  </si>
  <si>
    <t>в текущих ценах</t>
  </si>
  <si>
    <t>№п/п</t>
  </si>
  <si>
    <t>перервод из базовых в текущие</t>
  </si>
  <si>
    <t>Прочие</t>
  </si>
  <si>
    <t>Составил:</t>
  </si>
  <si>
    <t>Проверил:</t>
  </si>
  <si>
    <t>Нормативная база</t>
  </si>
  <si>
    <t xml:space="preserve">Исходные данные </t>
  </si>
  <si>
    <t>без НДС</t>
  </si>
  <si>
    <t>Сумма</t>
  </si>
  <si>
    <t>№</t>
  </si>
  <si>
    <t>ПИР7</t>
  </si>
  <si>
    <t>СМР8</t>
  </si>
  <si>
    <t>ПНР9</t>
  </si>
  <si>
    <t>Оборудование10</t>
  </si>
  <si>
    <t>ПИР11</t>
  </si>
  <si>
    <t>СМР12</t>
  </si>
  <si>
    <t>ПНР13</t>
  </si>
  <si>
    <t>Оборудование14</t>
  </si>
  <si>
    <t>Прочие15</t>
  </si>
  <si>
    <t>удельный показатель</t>
  </si>
  <si>
    <t>№ в ИПР</t>
  </si>
  <si>
    <t>№ТЗ/Заявитель</t>
  </si>
  <si>
    <t>Перечень работ</t>
  </si>
  <si>
    <t>Индекс</t>
  </si>
  <si>
    <t>Итог</t>
  </si>
  <si>
    <t>Прочие3</t>
  </si>
  <si>
    <t>Прочее2012</t>
  </si>
  <si>
    <t>Оборудование2012</t>
  </si>
  <si>
    <t>ПИР2012</t>
  </si>
  <si>
    <t>СМР2012</t>
  </si>
  <si>
    <t>ПНР2012</t>
  </si>
  <si>
    <t>перервод из базовых в цены 4кв 2012г</t>
  </si>
  <si>
    <t>в ценах 4 кв 2012г</t>
  </si>
  <si>
    <t>Прочие2012</t>
  </si>
  <si>
    <t xml:space="preserve">Определение стоимости работ по объектам ИПР с учетом применения методики снижения </t>
  </si>
  <si>
    <t>год ввода объекта</t>
  </si>
  <si>
    <t>СМР2</t>
  </si>
  <si>
    <t>ПНР2</t>
  </si>
  <si>
    <t>Оборудование2</t>
  </si>
  <si>
    <t>Прочее2</t>
  </si>
  <si>
    <t>ПИР2013</t>
  </si>
  <si>
    <t>СМР2013</t>
  </si>
  <si>
    <t>ПНР2013</t>
  </si>
  <si>
    <t>Оборудование2013</t>
  </si>
  <si>
    <t>ПИР2013-10</t>
  </si>
  <si>
    <t>СМР2013-10</t>
  </si>
  <si>
    <t>ПНР2013-10</t>
  </si>
  <si>
    <t>Оборудование2013-10</t>
  </si>
  <si>
    <t>Прочие2013-10</t>
  </si>
  <si>
    <t>ПИР2010</t>
  </si>
  <si>
    <t>СМР2010</t>
  </si>
  <si>
    <t>ПНР2010</t>
  </si>
  <si>
    <t>Оборудование2010</t>
  </si>
  <si>
    <t>Прочие2010</t>
  </si>
  <si>
    <t xml:space="preserve">Определение стоимости работ по объектам ИПР с учетом применения методики снижения на </t>
  </si>
  <si>
    <t>УП</t>
  </si>
  <si>
    <t>В текущих ценах без применения методики снижения</t>
  </si>
  <si>
    <t>Всего:</t>
  </si>
  <si>
    <t>В прогнозных ценах на момент реализации, без применения методики снижения</t>
  </si>
  <si>
    <t>Индекс дефлятор МЭР</t>
  </si>
  <si>
    <t>При занесении данных в ИПР необходимо учесть НДС, % по кредиту, ФОТ, ЕСН, прочее</t>
  </si>
  <si>
    <t>Выберите объект для расчета сметной стоимости в прогнозных ценах</t>
  </si>
  <si>
    <t>Указать объем капитальных затрат по годам в текущих ценах</t>
  </si>
  <si>
    <t xml:space="preserve">Код проекта в ИПР - </t>
  </si>
  <si>
    <t>Итого в прогнозных ценах с применением методики снижения</t>
  </si>
  <si>
    <t>Итого:</t>
  </si>
  <si>
    <t>С 10% снижением</t>
  </si>
  <si>
    <t>С 30% снижением</t>
  </si>
  <si>
    <t>с методикой текущ*0,9</t>
  </si>
  <si>
    <t>С методикой - 10%</t>
  </si>
  <si>
    <t>С методикой - 30%</t>
  </si>
  <si>
    <t>ООО Капитал</t>
  </si>
  <si>
    <t>Строительство ВЛ 10 кВ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</si>
</sst>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_р_._-;\-* #,##0.00_р_._-;_-* &quot;-&quot;??_р_._-;_-@_-"/>
    <numFmt numFmtId="164" formatCode="0.000"/>
    <numFmt numFmtId="165" formatCode="_-* #,##0.000_р_._-;\-* #,##0.000_р_._-;_-* &quot;-&quot;??_р_._-;_-@_-"/>
    <numFmt numFmtId="166" formatCode="_-* #,##0.0000_р_._-;\-* #,##0.0000_р_._-;_-* &quot;-&quot;??_р_._-;_-@_-"/>
    <numFmt numFmtId="167" formatCode="_-* #,##0_р_._-;\-* #,##0_р_._-;_-* &quot;-&quot;??_р_._-;_-@_-"/>
    <numFmt numFmtId="168" formatCode="_-* #,##0.0000_р_._-;\-* #,##0.0000_р_._-;_-* &quot;-&quot;????_р_._-;_-@_-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8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1"/>
      <color rgb="FFFF0000"/>
      <name val="Calibri"/>
      <family val="2"/>
      <charset val="204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-0.249977111117893"/>
        <bgColor theme="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39997558519241921"/>
        <bgColor theme="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rgb="FFFFC00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0.59999389629810485"/>
        <bgColor theme="4" tint="0.79998168889431442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39997558519241921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theme="4" tint="0.39997558519241921"/>
      </top>
      <bottom/>
      <diagonal/>
    </border>
    <border>
      <left style="thin">
        <color indexed="64"/>
      </left>
      <right style="thin">
        <color indexed="64"/>
      </right>
      <top style="thin">
        <color theme="4" tint="0.39997558519241921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88">
    <xf numFmtId="0" fontId="0" fillId="0" borderId="0" xfId="0"/>
    <xf numFmtId="0" fontId="0" fillId="0" borderId="0" xfId="0" applyBorder="1"/>
    <xf numFmtId="0" fontId="0" fillId="3" borderId="3" xfId="0" applyFill="1" applyBorder="1"/>
    <xf numFmtId="0" fontId="0" fillId="0" borderId="4" xfId="0" applyBorder="1"/>
    <xf numFmtId="0" fontId="0" fillId="0" borderId="5" xfId="0" applyBorder="1"/>
    <xf numFmtId="43" fontId="0" fillId="0" borderId="0" xfId="1" applyFont="1" applyBorder="1"/>
    <xf numFmtId="43" fontId="0" fillId="0" borderId="0" xfId="1" applyFont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9" xfId="0" applyBorder="1"/>
    <xf numFmtId="0" fontId="0" fillId="0" borderId="15" xfId="0" applyBorder="1"/>
    <xf numFmtId="43" fontId="0" fillId="0" borderId="10" xfId="1" applyFont="1" applyBorder="1"/>
    <xf numFmtId="43" fontId="0" fillId="0" borderId="12" xfId="1" applyFont="1" applyBorder="1"/>
    <xf numFmtId="43" fontId="0" fillId="0" borderId="13" xfId="1" applyFont="1" applyBorder="1"/>
    <xf numFmtId="43" fontId="0" fillId="0" borderId="11" xfId="1" applyFont="1" applyBorder="1"/>
    <xf numFmtId="43" fontId="0" fillId="0" borderId="14" xfId="1" applyFont="1" applyBorder="1"/>
    <xf numFmtId="0" fontId="0" fillId="0" borderId="0" xfId="0" applyProtection="1">
      <protection locked="0"/>
    </xf>
    <xf numFmtId="0" fontId="0" fillId="6" borderId="2" xfId="0" applyFill="1" applyBorder="1" applyProtection="1">
      <protection locked="0"/>
    </xf>
    <xf numFmtId="0" fontId="3" fillId="0" borderId="0" xfId="0" applyFont="1" applyProtection="1">
      <protection locked="0"/>
    </xf>
    <xf numFmtId="0" fontId="0" fillId="0" borderId="0" xfId="0" applyAlignment="1" applyProtection="1">
      <alignment horizontal="left"/>
      <protection locked="0"/>
    </xf>
    <xf numFmtId="0" fontId="2" fillId="7" borderId="1" xfId="0" applyFont="1" applyFill="1" applyBorder="1" applyProtection="1">
      <protection locked="0"/>
    </xf>
    <xf numFmtId="0" fontId="2" fillId="2" borderId="1" xfId="0" applyFont="1" applyFill="1" applyBorder="1" applyProtection="1">
      <protection locked="0"/>
    </xf>
    <xf numFmtId="0" fontId="0" fillId="0" borderId="1" xfId="0" applyBorder="1" applyProtection="1">
      <protection locked="0"/>
    </xf>
    <xf numFmtId="0" fontId="4" fillId="0" borderId="0" xfId="0" applyFont="1" applyAlignment="1" applyProtection="1">
      <protection locked="0"/>
    </xf>
    <xf numFmtId="0" fontId="0" fillId="0" borderId="21" xfId="0" applyBorder="1" applyProtection="1">
      <protection locked="0"/>
    </xf>
    <xf numFmtId="0" fontId="0" fillId="6" borderId="2" xfId="0" applyFill="1" applyBorder="1" applyAlignment="1" applyProtection="1">
      <protection locked="0"/>
    </xf>
    <xf numFmtId="0" fontId="6" fillId="0" borderId="0" xfId="0" applyFont="1" applyFill="1" applyBorder="1" applyAlignment="1" applyProtection="1">
      <protection locked="0"/>
    </xf>
    <xf numFmtId="0" fontId="0" fillId="0" borderId="25" xfId="0" applyFont="1" applyFill="1" applyBorder="1"/>
    <xf numFmtId="0" fontId="0" fillId="0" borderId="1" xfId="0" applyFont="1" applyFill="1" applyBorder="1"/>
    <xf numFmtId="43" fontId="0" fillId="0" borderId="1" xfId="1" applyFont="1" applyFill="1" applyBorder="1"/>
    <xf numFmtId="0" fontId="0" fillId="0" borderId="1" xfId="0" applyFont="1" applyFill="1" applyBorder="1" applyAlignment="1">
      <alignment horizontal="left" vertical="center" wrapText="1"/>
    </xf>
    <xf numFmtId="0" fontId="0" fillId="0" borderId="1" xfId="0" applyFont="1" applyFill="1" applyBorder="1" applyAlignment="1">
      <alignment wrapText="1"/>
    </xf>
    <xf numFmtId="0" fontId="0" fillId="0" borderId="26" xfId="0" applyFont="1" applyFill="1" applyBorder="1"/>
    <xf numFmtId="0" fontId="0" fillId="0" borderId="27" xfId="0" applyFont="1" applyFill="1" applyBorder="1"/>
    <xf numFmtId="0" fontId="0" fillId="0" borderId="27" xfId="0" applyFont="1" applyFill="1" applyBorder="1" applyAlignment="1">
      <alignment horizontal="left" vertical="center" wrapText="1"/>
    </xf>
    <xf numFmtId="0" fontId="2" fillId="7" borderId="31" xfId="0" applyFont="1" applyFill="1" applyBorder="1"/>
    <xf numFmtId="0" fontId="2" fillId="7" borderId="32" xfId="0" applyFont="1" applyFill="1" applyBorder="1"/>
    <xf numFmtId="0" fontId="2" fillId="2" borderId="32" xfId="0" applyFont="1" applyFill="1" applyBorder="1"/>
    <xf numFmtId="43" fontId="2" fillId="2" borderId="32" xfId="1" applyFont="1" applyFill="1" applyBorder="1"/>
    <xf numFmtId="0" fontId="2" fillId="2" borderId="0" xfId="0" applyFont="1" applyFill="1" applyBorder="1"/>
    <xf numFmtId="43" fontId="0" fillId="0" borderId="21" xfId="0" applyNumberFormat="1" applyFont="1" applyFill="1" applyBorder="1"/>
    <xf numFmtId="43" fontId="0" fillId="0" borderId="24" xfId="0" applyNumberFormat="1" applyFont="1" applyFill="1" applyBorder="1"/>
    <xf numFmtId="0" fontId="0" fillId="0" borderId="1" xfId="0" applyFill="1" applyBorder="1" applyProtection="1">
      <protection locked="0"/>
    </xf>
    <xf numFmtId="0" fontId="0" fillId="0" borderId="1" xfId="0" applyFill="1" applyBorder="1" applyAlignment="1" applyProtection="1">
      <alignment horizontal="left" vertical="center" wrapText="1"/>
      <protection locked="0"/>
    </xf>
    <xf numFmtId="0" fontId="0" fillId="0" borderId="0" xfId="0" applyFill="1" applyProtection="1">
      <protection locked="0"/>
    </xf>
    <xf numFmtId="0" fontId="0" fillId="0" borderId="0" xfId="0" applyFill="1"/>
    <xf numFmtId="0" fontId="0" fillId="0" borderId="1" xfId="0" applyFill="1" applyBorder="1" applyAlignment="1" applyProtection="1">
      <alignment wrapText="1"/>
      <protection locked="0"/>
    </xf>
    <xf numFmtId="0" fontId="0" fillId="0" borderId="1" xfId="0" applyNumberFormat="1" applyFill="1" applyBorder="1" applyProtection="1">
      <protection locked="0"/>
    </xf>
    <xf numFmtId="43" fontId="0" fillId="0" borderId="0" xfId="1" applyFont="1" applyFill="1" applyBorder="1" applyProtection="1"/>
    <xf numFmtId="43" fontId="0" fillId="4" borderId="1" xfId="1" applyNumberFormat="1" applyFont="1" applyFill="1" applyBorder="1"/>
    <xf numFmtId="43" fontId="0" fillId="4" borderId="21" xfId="1" applyNumberFormat="1" applyFont="1" applyFill="1" applyBorder="1"/>
    <xf numFmtId="0" fontId="2" fillId="5" borderId="24" xfId="0" applyFont="1" applyFill="1" applyBorder="1"/>
    <xf numFmtId="0" fontId="2" fillId="2" borderId="24" xfId="0" applyFont="1" applyFill="1" applyBorder="1"/>
    <xf numFmtId="0" fontId="2" fillId="2" borderId="33" xfId="0" applyFont="1" applyFill="1" applyBorder="1"/>
    <xf numFmtId="43" fontId="2" fillId="2" borderId="33" xfId="0" applyNumberFormat="1" applyFont="1" applyFill="1" applyBorder="1"/>
    <xf numFmtId="0" fontId="2" fillId="2" borderId="34" xfId="0" applyFont="1" applyFill="1" applyBorder="1"/>
    <xf numFmtId="0" fontId="0" fillId="4" borderId="24" xfId="0" applyFont="1" applyFill="1" applyBorder="1"/>
    <xf numFmtId="43" fontId="0" fillId="4" borderId="24" xfId="1" applyNumberFormat="1" applyFont="1" applyFill="1" applyBorder="1"/>
    <xf numFmtId="43" fontId="0" fillId="4" borderId="27" xfId="1" applyNumberFormat="1" applyFont="1" applyFill="1" applyBorder="1"/>
    <xf numFmtId="0" fontId="0" fillId="4" borderId="21" xfId="0" applyFont="1" applyFill="1" applyBorder="1"/>
    <xf numFmtId="43" fontId="0" fillId="0" borderId="0" xfId="0" applyNumberFormat="1"/>
    <xf numFmtId="43" fontId="0" fillId="0" borderId="1" xfId="1" applyFont="1" applyBorder="1" applyProtection="1">
      <protection locked="0"/>
    </xf>
    <xf numFmtId="43" fontId="0" fillId="12" borderId="0" xfId="0" applyNumberFormat="1" applyFill="1" applyProtection="1">
      <protection locked="0"/>
    </xf>
    <xf numFmtId="0" fontId="7" fillId="12" borderId="0" xfId="0" applyFont="1" applyFill="1" applyProtection="1">
      <protection locked="0"/>
    </xf>
    <xf numFmtId="165" fontId="0" fillId="4" borderId="24" xfId="1" applyNumberFormat="1" applyFont="1" applyFill="1" applyBorder="1"/>
    <xf numFmtId="165" fontId="0" fillId="4" borderId="27" xfId="1" applyNumberFormat="1" applyFont="1" applyFill="1" applyBorder="1"/>
    <xf numFmtId="164" fontId="0" fillId="0" borderId="0" xfId="0" applyNumberFormat="1"/>
    <xf numFmtId="9" fontId="0" fillId="0" borderId="0" xfId="0" applyNumberFormat="1"/>
    <xf numFmtId="2" fontId="0" fillId="0" borderId="0" xfId="0" applyNumberFormat="1"/>
    <xf numFmtId="0" fontId="4" fillId="0" borderId="0" xfId="0" applyFont="1" applyAlignment="1" applyProtection="1"/>
    <xf numFmtId="0" fontId="0" fillId="0" borderId="0" xfId="0" applyProtection="1"/>
    <xf numFmtId="0" fontId="0" fillId="8" borderId="25" xfId="0" applyFont="1" applyFill="1" applyBorder="1" applyProtection="1"/>
    <xf numFmtId="0" fontId="0" fillId="8" borderId="1" xfId="0" applyFont="1" applyFill="1" applyBorder="1" applyProtection="1"/>
    <xf numFmtId="43" fontId="0" fillId="8" borderId="1" xfId="1" applyFont="1" applyFill="1" applyBorder="1" applyProtection="1"/>
    <xf numFmtId="43" fontId="0" fillId="8" borderId="30" xfId="0" applyNumberFormat="1" applyFont="1" applyFill="1" applyBorder="1" applyProtection="1"/>
    <xf numFmtId="43" fontId="0" fillId="8" borderId="1" xfId="1" applyNumberFormat="1" applyFont="1" applyFill="1" applyBorder="1" applyProtection="1"/>
    <xf numFmtId="0" fontId="0" fillId="8" borderId="26" xfId="0" applyFont="1" applyFill="1" applyBorder="1" applyProtection="1"/>
    <xf numFmtId="0" fontId="0" fillId="8" borderId="27" xfId="0" applyFont="1" applyFill="1" applyBorder="1" applyProtection="1"/>
    <xf numFmtId="43" fontId="0" fillId="8" borderId="27" xfId="1" applyFont="1" applyFill="1" applyBorder="1" applyProtection="1"/>
    <xf numFmtId="0" fontId="5" fillId="0" borderId="25" xfId="0" applyNumberFormat="1" applyFont="1" applyBorder="1" applyProtection="1"/>
    <xf numFmtId="0" fontId="5" fillId="0" borderId="1" xfId="0" applyNumberFormat="1" applyFont="1" applyBorder="1" applyProtection="1"/>
    <xf numFmtId="0" fontId="5" fillId="0" borderId="1" xfId="0" applyFont="1" applyBorder="1" applyProtection="1"/>
    <xf numFmtId="0" fontId="5" fillId="0" borderId="1" xfId="0" applyFont="1" applyBorder="1" applyAlignment="1" applyProtection="1">
      <alignment horizontal="left" vertical="center" wrapText="1"/>
    </xf>
    <xf numFmtId="43" fontId="5" fillId="0" borderId="1" xfId="1" applyFont="1" applyBorder="1" applyProtection="1"/>
    <xf numFmtId="43" fontId="5" fillId="8" borderId="1" xfId="1" applyFont="1" applyFill="1" applyBorder="1" applyProtection="1"/>
    <xf numFmtId="43" fontId="5" fillId="8" borderId="1" xfId="1" applyNumberFormat="1" applyFont="1" applyFill="1" applyBorder="1" applyProtection="1"/>
    <xf numFmtId="0" fontId="0" fillId="0" borderId="26" xfId="0" applyFont="1" applyBorder="1" applyProtection="1"/>
    <xf numFmtId="0" fontId="0" fillId="0" borderId="27" xfId="0" applyFont="1" applyBorder="1" applyProtection="1"/>
    <xf numFmtId="0" fontId="0" fillId="0" borderId="27" xfId="0" applyFont="1" applyBorder="1" applyAlignment="1" applyProtection="1">
      <alignment horizontal="left" vertical="center" wrapText="1"/>
    </xf>
    <xf numFmtId="0" fontId="0" fillId="0" borderId="27" xfId="0" applyNumberFormat="1" applyFont="1" applyBorder="1" applyProtection="1"/>
    <xf numFmtId="43" fontId="0" fillId="8" borderId="27" xfId="0" applyNumberFormat="1" applyFont="1" applyFill="1" applyBorder="1" applyProtection="1"/>
    <xf numFmtId="0" fontId="0" fillId="0" borderId="24" xfId="0" applyFont="1" applyBorder="1" applyProtection="1"/>
    <xf numFmtId="0" fontId="4" fillId="0" borderId="0" xfId="0" applyFont="1" applyAlignment="1" applyProtection="1">
      <alignment horizontal="center"/>
    </xf>
    <xf numFmtId="0" fontId="0" fillId="13" borderId="1" xfId="0" applyFill="1" applyBorder="1" applyProtection="1">
      <protection locked="0"/>
    </xf>
    <xf numFmtId="43" fontId="0" fillId="13" borderId="1" xfId="0" applyNumberFormat="1" applyFill="1" applyBorder="1" applyProtection="1">
      <protection locked="0"/>
    </xf>
    <xf numFmtId="0" fontId="6" fillId="0" borderId="0" xfId="0" applyFont="1" applyProtection="1">
      <protection locked="0"/>
    </xf>
    <xf numFmtId="0" fontId="2" fillId="7" borderId="6" xfId="0" applyFont="1" applyFill="1" applyBorder="1" applyAlignment="1" applyProtection="1">
      <alignment wrapText="1"/>
    </xf>
    <xf numFmtId="0" fontId="2" fillId="7" borderId="7" xfId="0" applyFont="1" applyFill="1" applyBorder="1" applyAlignment="1" applyProtection="1">
      <alignment wrapText="1"/>
    </xf>
    <xf numFmtId="0" fontId="0" fillId="0" borderId="0" xfId="0" applyAlignment="1" applyProtection="1">
      <alignment wrapText="1"/>
    </xf>
    <xf numFmtId="0" fontId="2" fillId="2" borderId="7" xfId="0" applyFont="1" applyFill="1" applyBorder="1" applyAlignment="1" applyProtection="1">
      <alignment vertical="top" wrapText="1"/>
    </xf>
    <xf numFmtId="0" fontId="2" fillId="10" borderId="7" xfId="0" applyFont="1" applyFill="1" applyBorder="1" applyAlignment="1" applyProtection="1">
      <alignment vertical="top" wrapText="1"/>
    </xf>
    <xf numFmtId="0" fontId="2" fillId="10" borderId="30" xfId="0" applyFont="1" applyFill="1" applyBorder="1" applyAlignment="1" applyProtection="1">
      <alignment vertical="top" wrapText="1"/>
    </xf>
    <xf numFmtId="0" fontId="2" fillId="10" borderId="7" xfId="0" applyFont="1" applyFill="1" applyBorder="1" applyAlignment="1" applyProtection="1">
      <alignment horizontal="center" vertical="top" wrapText="1"/>
    </xf>
    <xf numFmtId="43" fontId="0" fillId="11" borderId="7" xfId="1" applyNumberFormat="1" applyFont="1" applyFill="1" applyBorder="1" applyProtection="1"/>
    <xf numFmtId="43" fontId="0" fillId="11" borderId="1" xfId="1" applyNumberFormat="1" applyFont="1" applyFill="1" applyBorder="1" applyProtection="1"/>
    <xf numFmtId="43" fontId="0" fillId="0" borderId="24" xfId="0" applyNumberFormat="1" applyFont="1" applyBorder="1" applyProtection="1"/>
    <xf numFmtId="0" fontId="2" fillId="7" borderId="35" xfId="0" applyFont="1" applyFill="1" applyBorder="1" applyProtection="1"/>
    <xf numFmtId="0" fontId="2" fillId="7" borderId="36" xfId="0" applyFont="1" applyFill="1" applyBorder="1" applyProtection="1"/>
    <xf numFmtId="0" fontId="2" fillId="2" borderId="36" xfId="0" applyFont="1" applyFill="1" applyBorder="1" applyProtection="1"/>
    <xf numFmtId="0" fontId="0" fillId="12" borderId="0" xfId="0" applyFill="1" applyProtection="1"/>
    <xf numFmtId="167" fontId="0" fillId="8" borderId="37" xfId="1" applyNumberFormat="1" applyFont="1" applyFill="1" applyBorder="1" applyProtection="1"/>
    <xf numFmtId="167" fontId="0" fillId="8" borderId="1" xfId="1" applyNumberFormat="1" applyFont="1" applyFill="1" applyBorder="1" applyProtection="1"/>
    <xf numFmtId="167" fontId="0" fillId="8" borderId="1" xfId="1" applyNumberFormat="1" applyFont="1" applyFill="1" applyBorder="1" applyAlignment="1" applyProtection="1">
      <alignment vertical="top"/>
    </xf>
    <xf numFmtId="167" fontId="0" fillId="0" borderId="37" xfId="1" applyNumberFormat="1" applyFont="1" applyBorder="1" applyProtection="1"/>
    <xf numFmtId="167" fontId="0" fillId="0" borderId="1" xfId="1" applyNumberFormat="1" applyFont="1" applyBorder="1" applyProtection="1"/>
    <xf numFmtId="167" fontId="0" fillId="0" borderId="1" xfId="1" applyNumberFormat="1" applyFont="1" applyBorder="1" applyAlignment="1" applyProtection="1">
      <alignment vertical="top"/>
    </xf>
    <xf numFmtId="167" fontId="0" fillId="8" borderId="1" xfId="1" applyNumberFormat="1" applyFont="1" applyFill="1" applyBorder="1" applyAlignment="1" applyProtection="1">
      <alignment horizontal="left" vertical="center" wrapText="1"/>
    </xf>
    <xf numFmtId="0" fontId="0" fillId="0" borderId="16" xfId="0" applyBorder="1" applyProtection="1"/>
    <xf numFmtId="43" fontId="3" fillId="0" borderId="36" xfId="1" applyFont="1" applyBorder="1" applyAlignment="1" applyProtection="1">
      <alignment wrapText="1"/>
    </xf>
    <xf numFmtId="0" fontId="3" fillId="0" borderId="40" xfId="0" applyFont="1" applyBorder="1" applyProtection="1"/>
    <xf numFmtId="0" fontId="3" fillId="0" borderId="0" xfId="0" applyFont="1" applyProtection="1"/>
    <xf numFmtId="167" fontId="0" fillId="0" borderId="1" xfId="1" applyNumberFormat="1" applyFont="1" applyBorder="1" applyAlignment="1" applyProtection="1">
      <alignment horizontal="left" vertical="center" wrapText="1"/>
    </xf>
    <xf numFmtId="0" fontId="0" fillId="0" borderId="37" xfId="0" applyBorder="1" applyProtection="1"/>
    <xf numFmtId="43" fontId="0" fillId="12" borderId="1" xfId="1" applyFont="1" applyFill="1" applyBorder="1" applyProtection="1"/>
    <xf numFmtId="0" fontId="0" fillId="0" borderId="41" xfId="0" applyBorder="1" applyProtection="1"/>
    <xf numFmtId="0" fontId="0" fillId="0" borderId="12" xfId="0" applyBorder="1" applyProtection="1"/>
    <xf numFmtId="0" fontId="0" fillId="0" borderId="39" xfId="0" applyBorder="1" applyProtection="1"/>
    <xf numFmtId="0" fontId="0" fillId="0" borderId="42" xfId="0" applyBorder="1" applyProtection="1"/>
    <xf numFmtId="0" fontId="0" fillId="0" borderId="35" xfId="0" applyBorder="1" applyProtection="1"/>
    <xf numFmtId="43" fontId="0" fillId="0" borderId="1" xfId="1" applyFont="1" applyBorder="1" applyProtection="1"/>
    <xf numFmtId="43" fontId="0" fillId="0" borderId="41" xfId="1" applyFont="1" applyBorder="1" applyProtection="1"/>
    <xf numFmtId="9" fontId="0" fillId="0" borderId="0" xfId="2" applyFont="1" applyProtection="1"/>
    <xf numFmtId="43" fontId="0" fillId="0" borderId="39" xfId="1" applyFont="1" applyBorder="1" applyProtection="1"/>
    <xf numFmtId="43" fontId="0" fillId="0" borderId="42" xfId="1" applyFont="1" applyBorder="1" applyProtection="1"/>
    <xf numFmtId="0" fontId="8" fillId="0" borderId="0" xfId="0" applyFont="1" applyFill="1" applyProtection="1"/>
    <xf numFmtId="167" fontId="0" fillId="8" borderId="1" xfId="1" applyNumberFormat="1" applyFont="1" applyFill="1" applyBorder="1" applyAlignment="1" applyProtection="1">
      <alignment wrapText="1"/>
    </xf>
    <xf numFmtId="167" fontId="0" fillId="0" borderId="39" xfId="1" applyNumberFormat="1" applyFont="1" applyBorder="1" applyProtection="1"/>
    <xf numFmtId="167" fontId="0" fillId="0" borderId="39" xfId="1" applyNumberFormat="1" applyFont="1" applyBorder="1" applyAlignment="1" applyProtection="1">
      <alignment vertical="top"/>
    </xf>
    <xf numFmtId="167" fontId="0" fillId="0" borderId="38" xfId="1" applyNumberFormat="1" applyFont="1" applyBorder="1" applyProtection="1"/>
    <xf numFmtId="167" fontId="0" fillId="0" borderId="39" xfId="1" applyNumberFormat="1" applyFont="1" applyBorder="1" applyAlignment="1" applyProtection="1">
      <alignment horizontal="left" vertical="center" wrapText="1"/>
    </xf>
    <xf numFmtId="43" fontId="0" fillId="8" borderId="1" xfId="1" applyNumberFormat="1" applyFont="1" applyFill="1" applyBorder="1"/>
    <xf numFmtId="166" fontId="0" fillId="0" borderId="0" xfId="1" applyNumberFormat="1" applyFont="1"/>
    <xf numFmtId="166" fontId="0" fillId="0" borderId="0" xfId="0" applyNumberFormat="1"/>
    <xf numFmtId="168" fontId="0" fillId="0" borderId="0" xfId="0" applyNumberFormat="1"/>
    <xf numFmtId="0" fontId="2" fillId="10" borderId="36" xfId="0" applyFont="1" applyFill="1" applyBorder="1" applyAlignment="1">
      <alignment horizontal="center" vertical="top" wrapText="1"/>
    </xf>
    <xf numFmtId="0" fontId="2" fillId="10" borderId="35" xfId="0" applyFont="1" applyFill="1" applyBorder="1" applyAlignment="1">
      <alignment horizontal="center" vertical="top" wrapText="1"/>
    </xf>
    <xf numFmtId="0" fontId="2" fillId="10" borderId="40" xfId="0" applyFont="1" applyFill="1" applyBorder="1" applyAlignment="1">
      <alignment horizontal="center" vertical="top" wrapText="1"/>
    </xf>
    <xf numFmtId="43" fontId="0" fillId="8" borderId="37" xfId="1" applyNumberFormat="1" applyFont="1" applyFill="1" applyBorder="1"/>
    <xf numFmtId="43" fontId="0" fillId="8" borderId="41" xfId="1" applyNumberFormat="1" applyFont="1" applyFill="1" applyBorder="1"/>
    <xf numFmtId="43" fontId="0" fillId="8" borderId="38" xfId="1" applyNumberFormat="1" applyFont="1" applyFill="1" applyBorder="1"/>
    <xf numFmtId="43" fontId="0" fillId="8" borderId="39" xfId="1" applyNumberFormat="1" applyFont="1" applyFill="1" applyBorder="1"/>
    <xf numFmtId="43" fontId="0" fillId="8" borderId="42" xfId="1" applyNumberFormat="1" applyFont="1" applyFill="1" applyBorder="1"/>
    <xf numFmtId="0" fontId="0" fillId="0" borderId="2" xfId="0" applyBorder="1" applyProtection="1"/>
    <xf numFmtId="0" fontId="0" fillId="0" borderId="1" xfId="0" applyBorder="1" applyProtection="1">
      <protection locked="0"/>
    </xf>
    <xf numFmtId="0" fontId="0" fillId="0" borderId="1" xfId="0" applyBorder="1" applyAlignment="1" applyProtection="1">
      <alignment horizontal="left" vertical="center" wrapText="1"/>
      <protection locked="0"/>
    </xf>
    <xf numFmtId="0" fontId="0" fillId="0" borderId="1" xfId="0" applyBorder="1" applyAlignment="1" applyProtection="1">
      <alignment wrapText="1"/>
      <protection locked="0"/>
    </xf>
    <xf numFmtId="2" fontId="0" fillId="0" borderId="1" xfId="0" applyNumberFormat="1" applyBorder="1" applyProtection="1">
      <protection locked="0"/>
    </xf>
    <xf numFmtId="0" fontId="0" fillId="0" borderId="23" xfId="0" applyBorder="1" applyAlignment="1" applyProtection="1">
      <alignment horizontal="left"/>
      <protection locked="0"/>
    </xf>
    <xf numFmtId="0" fontId="0" fillId="0" borderId="22" xfId="0" applyBorder="1" applyAlignment="1" applyProtection="1">
      <alignment horizontal="left"/>
      <protection locked="0"/>
    </xf>
    <xf numFmtId="0" fontId="4" fillId="0" borderId="0" xfId="0" applyFont="1" applyAlignment="1" applyProtection="1">
      <alignment horizontal="center"/>
    </xf>
    <xf numFmtId="0" fontId="0" fillId="0" borderId="18" xfId="0" applyBorder="1" applyAlignment="1" applyProtection="1">
      <alignment horizontal="center"/>
    </xf>
    <xf numFmtId="0" fontId="0" fillId="0" borderId="20" xfId="0" applyBorder="1" applyAlignment="1" applyProtection="1">
      <alignment horizontal="center"/>
    </xf>
    <xf numFmtId="0" fontId="0" fillId="0" borderId="35" xfId="0" applyBorder="1" applyAlignment="1" applyProtection="1">
      <alignment horizontal="center" wrapText="1"/>
    </xf>
    <xf numFmtId="0" fontId="0" fillId="0" borderId="36" xfId="0" applyBorder="1" applyAlignment="1" applyProtection="1">
      <alignment horizontal="center" wrapText="1"/>
    </xf>
    <xf numFmtId="0" fontId="0" fillId="0" borderId="40" xfId="0" applyBorder="1" applyAlignment="1" applyProtection="1">
      <alignment horizontal="center" wrapText="1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9" borderId="28" xfId="0" applyFill="1" applyBorder="1" applyAlignment="1">
      <alignment horizontal="center"/>
    </xf>
    <xf numFmtId="0" fontId="0" fillId="9" borderId="18" xfId="0" applyFill="1" applyBorder="1" applyAlignment="1">
      <alignment horizontal="center"/>
    </xf>
    <xf numFmtId="0" fontId="0" fillId="9" borderId="19" xfId="0" applyFill="1" applyBorder="1" applyAlignment="1">
      <alignment horizontal="center"/>
    </xf>
    <xf numFmtId="0" fontId="0" fillId="9" borderId="20" xfId="0" applyFill="1" applyBorder="1" applyAlignment="1">
      <alignment horizontal="center"/>
    </xf>
    <xf numFmtId="0" fontId="2" fillId="5" borderId="29" xfId="0" applyFont="1" applyFill="1" applyBorder="1" applyAlignment="1">
      <alignment horizontal="center"/>
    </xf>
    <xf numFmtId="0" fontId="2" fillId="5" borderId="28" xfId="0" applyFont="1" applyFill="1" applyBorder="1" applyAlignment="1">
      <alignment horizontal="center"/>
    </xf>
    <xf numFmtId="0" fontId="2" fillId="5" borderId="18" xfId="0" applyFont="1" applyFill="1" applyBorder="1" applyAlignment="1">
      <alignment horizontal="center"/>
    </xf>
    <xf numFmtId="0" fontId="2" fillId="5" borderId="19" xfId="0" applyFont="1" applyFill="1" applyBorder="1" applyAlignment="1">
      <alignment horizontal="center"/>
    </xf>
    <xf numFmtId="0" fontId="2" fillId="5" borderId="20" xfId="0" applyFont="1" applyFill="1" applyBorder="1" applyAlignment="1">
      <alignment horizontal="center"/>
    </xf>
  </cellXfs>
  <cellStyles count="3">
    <cellStyle name="Обычный" xfId="0" builtinId="0"/>
    <cellStyle name="Процентный" xfId="2" builtinId="5"/>
    <cellStyle name="Финансовый" xfId="1" builtinId="3"/>
  </cellStyles>
  <dxfs count="97">
    <dxf>
      <protection locked="0" hidden="0"/>
    </dxf>
    <dxf>
      <numFmt numFmtId="35" formatCode="_-* #,##0.00_р_._-;\-* #,##0.00_р_._-;_-* &quot;-&quot;??_р_._-;_-@_-"/>
    </dxf>
    <dxf>
      <numFmt numFmtId="35" formatCode="_-* #,##0.00_р_._-;\-* #,##0.00_р_._-;_-* &quot;-&quot;??_р_._-;_-@_-"/>
    </dxf>
    <dxf>
      <numFmt numFmtId="35" formatCode="_-* #,##0.00_р_._-;\-* #,##0.00_р_._-;_-* &quot;-&quot;??_р_._-;_-@_-"/>
    </dxf>
    <dxf>
      <numFmt numFmtId="35" formatCode="_-* #,##0.00_р_._-;\-* #,##0.00_р_._-;_-* &quot;-&quot;??_р_._-;_-@_-"/>
    </dxf>
    <dxf>
      <numFmt numFmtId="35" formatCode="_-* #,##0.00_р_._-;\-* #,##0.00_р_._-;_-* &quot;-&quot;??_р_._-;_-@_-"/>
    </dxf>
    <dxf>
      <numFmt numFmtId="35" formatCode="_-* #,##0.00_р_._-;\-* #,##0.00_р_._-;_-* &quot;-&quot;??_р_.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5" formatCode="_-* #,##0.00_р_._-;\-* #,##0.00_р_._-;_-* &quot;-&quot;??_р_._-;_-@_-"/>
      <fill>
        <patternFill patternType="none">
          <fgColor indexed="64"/>
          <bgColor auto="1"/>
        </patternFill>
      </fill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auto="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auto="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auto="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auto="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auto="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auto="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auto="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auto="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auto="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auto="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auto="1"/>
        </patternFill>
      </fill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4"/>
          <bgColor theme="4"/>
        </patternFill>
      </fill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numFmt numFmtId="35" formatCode="_-* #,##0.00_р_._-;\-* #,##0.00_р_._-;_-* &quot;-&quot;??_р_._-;_-@_-"/>
      <border diagonalUp="0" diagonalDown="0">
        <left/>
        <right style="medium">
          <color indexed="64"/>
        </right>
        <top/>
        <bottom/>
        <vertical/>
        <horizontal/>
      </border>
    </dxf>
    <dxf>
      <numFmt numFmtId="35" formatCode="_-* #,##0.00_р_._-;\-* #,##0.00_р_._-;_-* &quot;-&quot;??_р_._-;_-@_-"/>
    </dxf>
    <dxf>
      <numFmt numFmtId="35" formatCode="_-* #,##0.00_р_._-;\-* #,##0.00_р_._-;_-* &quot;-&quot;??_р_._-;_-@_-"/>
    </dxf>
    <dxf>
      <numFmt numFmtId="35" formatCode="_-* #,##0.00_р_._-;\-* #,##0.00_р_._-;_-* &quot;-&quot;??_р_._-;_-@_-"/>
    </dxf>
    <dxf>
      <numFmt numFmtId="35" formatCode="_-* #,##0.00_р_._-;\-* #,##0.00_р_._-;_-* &quot;-&quot;??_р_._-;_-@_-"/>
      <border diagonalUp="0" diagonalDown="0">
        <left style="medium">
          <color indexed="64"/>
        </left>
        <right/>
        <top/>
        <bottom/>
        <vertical/>
        <horizontal/>
      </border>
    </dxf>
    <dxf>
      <border diagonalUp="0" diagonalDown="0">
        <left style="thin">
          <color auto="1"/>
        </left>
        <right style="medium">
          <color indexed="64"/>
        </right>
        <top/>
        <bottom/>
        <vertical style="thin">
          <color auto="1"/>
        </vertical>
        <horizontal/>
      </border>
    </dxf>
    <dxf>
      <border diagonalUp="0" diagonalDown="0">
        <left style="thin">
          <color auto="1"/>
        </left>
        <right style="thin">
          <color auto="1"/>
        </right>
        <top/>
        <bottom/>
        <vertical style="thin">
          <color auto="1"/>
        </vertical>
        <horizontal/>
      </border>
    </dxf>
    <dxf>
      <border diagonalUp="0" diagonalDown="0">
        <left style="thin">
          <color auto="1"/>
        </left>
        <right style="thin">
          <color auto="1"/>
        </right>
        <top/>
        <bottom/>
        <vertical style="thin">
          <color auto="1"/>
        </vertical>
        <horizontal/>
      </border>
    </dxf>
    <dxf>
      <border diagonalUp="0" diagonalDown="0">
        <left style="medium">
          <color indexed="64"/>
        </left>
        <right style="thin">
          <color auto="1"/>
        </right>
        <top/>
        <bottom/>
        <vertical style="thin">
          <color auto="1"/>
        </vertical>
        <horizontal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color rgb="FF9C0006"/>
      </font>
      <fill>
        <patternFill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 outline="0">
        <left style="thin">
          <color indexed="64"/>
        </left>
        <right/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5" formatCode="_-* #,##0.00_р_._-;\-* #,##0.00_р_._-;_-* &quot;-&quot;??_р_._-;_-@_-"/>
      <fill>
        <patternFill patternType="solid">
          <fgColor theme="4" tint="0.79998168889431442"/>
          <bgColor theme="9" tint="0.5999938962981048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4" tint="0.79998168889431442"/>
          <bgColor theme="4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5" formatCode="_-* #,##0.00_р_._-;\-* #,##0.00_р_._-;_-* &quot;-&quot;??_р_._-;_-@_-"/>
      <fill>
        <patternFill patternType="solid">
          <fgColor theme="4" tint="0.79998168889431442"/>
          <bgColor theme="4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4" tint="0.79998168889431442"/>
          <bgColor theme="4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5" formatCode="_-* #,##0.00_р_._-;\-* #,##0.00_р_._-;_-* &quot;-&quot;??_р_._-;_-@_-"/>
      <fill>
        <patternFill patternType="solid">
          <fgColor theme="4" tint="0.79998168889431442"/>
          <bgColor theme="4" tint="0.7999816888943144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4" tint="0.79998168889431442"/>
          <bgColor theme="4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5" formatCode="_-* #,##0.00_р_._-;\-* #,##0.00_р_._-;_-* &quot;-&quot;??_р_._-;_-@_-"/>
      <fill>
        <patternFill patternType="solid">
          <fgColor theme="4" tint="0.79998168889431442"/>
          <bgColor theme="4" tint="0.7999816888943144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4" tint="0.79998168889431442"/>
          <bgColor theme="4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5" formatCode="_-* #,##0.00_р_._-;\-* #,##0.00_р_._-;_-* &quot;-&quot;??_р_._-;_-@_-"/>
      <fill>
        <patternFill patternType="solid">
          <fgColor theme="4" tint="0.79998168889431442"/>
          <bgColor theme="4" tint="0.7999816888943144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4" tint="0.79998168889431442"/>
          <bgColor theme="4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5" formatCode="_-* #,##0.00_р_._-;\-* #,##0.00_р_._-;_-* &quot;-&quot;??_р_._-;_-@_-"/>
      <fill>
        <patternFill patternType="solid">
          <fgColor theme="4" tint="0.79998168889431442"/>
          <bgColor theme="4" tint="0.7999816888943144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 outline="0">
        <left style="thin">
          <color indexed="64"/>
        </left>
        <right/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5" formatCode="_-* #,##0.00_р_._-;\-* #,##0.00_р_._-;_-* &quot;-&quot;??_р_._-;_-@_-"/>
      <border diagonalUp="0" diagonalDown="0">
        <left/>
        <right/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5" formatCode="_-* #,##0.00_р_._-;\-* #,##0.00_р_._-;_-* &quot;-&quot;??_р_._-;_-@_-"/>
      <fill>
        <patternFill patternType="solid">
          <fgColor theme="4" tint="0.79998168889431442"/>
          <bgColor theme="4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5" formatCode="_-* #,##0.00_р_._-;\-* #,##0.00_р_._-;_-* &quot;-&quot;??_р_._-;_-@_-"/>
      <fill>
        <patternFill patternType="solid">
          <fgColor theme="4" tint="0.79998168889431442"/>
          <bgColor theme="4" tint="0.7999816888943144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5" formatCode="_-* #,##0.00_р_._-;\-* #,##0.00_р_._-;_-* &quot;-&quot;??_р_._-;_-@_-"/>
      <fill>
        <patternFill patternType="solid">
          <fgColor theme="4" tint="0.79998168889431442"/>
          <bgColor theme="4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5" formatCode="_-* #,##0.00_р_._-;\-* #,##0.00_р_._-;_-* &quot;-&quot;??_р_._-;_-@_-"/>
      <fill>
        <patternFill patternType="solid">
          <fgColor theme="4" tint="0.79998168889431442"/>
          <bgColor theme="4" tint="0.7999816888943144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5" formatCode="_-* #,##0.00_р_._-;\-* #,##0.00_р_._-;_-* &quot;-&quot;??_р_._-;_-@_-"/>
      <fill>
        <patternFill patternType="solid">
          <fgColor theme="4" tint="0.79998168889431442"/>
          <bgColor theme="4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5" formatCode="_-* #,##0.00_р_._-;\-* #,##0.00_р_._-;_-* &quot;-&quot;??_р_._-;_-@_-"/>
      <fill>
        <patternFill patternType="solid">
          <fgColor theme="4" tint="0.79998168889431442"/>
          <bgColor theme="4" tint="0.7999816888943144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5" formatCode="_-* #,##0.00_р_._-;\-* #,##0.00_р_._-;_-* &quot;-&quot;??_р_._-;_-@_-"/>
      <fill>
        <patternFill patternType="solid">
          <fgColor theme="4" tint="0.79998168889431442"/>
          <bgColor theme="4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4" tint="0.79998168889431442"/>
          <bgColor theme="4" tint="0.7999816888943144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 outline="0">
        <left/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border>
        <top style="thin">
          <color indexed="64"/>
        </top>
      </border>
    </dxf>
    <dxf>
      <protection locked="1" hidden="0"/>
    </dxf>
    <dxf>
      <border diagonalUp="0" diagonalDown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protection locked="1" hidden="0"/>
    </dxf>
    <dxf>
      <border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indexed="64"/>
          <bgColor theme="9" tint="-0.249977111117893"/>
        </patternFill>
      </fill>
      <alignment horizontal="general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  <protection locked="1" hidden="0"/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numFmt numFmtId="35" formatCode="_-* #,##0.00_р_._-;\-* #,##0.00_р_._-;_-* &quot;-&quot;??_р_._-;_-@_-"/>
      <fill>
        <patternFill patternType="solid">
          <fgColor indexed="64"/>
          <bgColor theme="9" tint="0.59999389629810485"/>
        </patternFill>
      </fill>
      <protection locked="0" hidden="0"/>
    </dxf>
    <dxf>
      <fill>
        <patternFill patternType="solid">
          <fgColor indexed="64"/>
          <bgColor theme="0" tint="-0.249977111117893"/>
        </patternFill>
      </fill>
      <protection locked="1" hidden="0"/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numFmt numFmtId="0" formatCode="General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numFmt numFmtId="0" formatCode="General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numFmt numFmtId="0" formatCode="General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numFmt numFmtId="0" formatCode="General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protection locked="0" hidden="0"/>
    </dxf>
    <dxf>
      <border diagonalUp="0" diagonalDown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protection locked="0" hidden="0"/>
    </dxf>
    <dxf>
      <protection locked="0" hidden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ru-RU"/>
              <a:t>Доля</a:t>
            </a:r>
            <a:r>
              <a:rPr lang="ru-RU" baseline="0"/>
              <a:t> КВ по годам реализации</a:t>
            </a:r>
            <a:endParaRPr lang="ru-RU"/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5"/>
          <c:order val="0"/>
          <c:tx>
            <c:strRef>
              <c:f>'Прогноз ИПР'!$V$18</c:f>
              <c:strCache>
                <c:ptCount val="1"/>
              </c:strCache>
            </c:strRef>
          </c:tx>
          <c:spPr>
            <a:solidFill>
              <a:schemeClr val="accent6"/>
            </a:solidFill>
            <a:ln>
              <a:noFill/>
            </a:ln>
            <a:effectLst>
              <a:outerShdw blurRad="254000" sx="102000" sy="102000" algn="ctr" rotWithShape="0">
                <a:prstClr val="black">
                  <a:alpha val="20000"/>
                </a:prstClr>
              </a:outerShdw>
            </a:effectLst>
          </c:spPr>
          <c:invertIfNegative val="0"/>
          <c:dLbls>
            <c:spPr>
              <a:pattFill prst="pct75">
                <a:fgClr>
                  <a:sysClr val="windowText" lastClr="000000">
                    <a:lumMod val="75000"/>
                    <a:lumOff val="25000"/>
                  </a:sysClr>
                </a:fgClr>
                <a:bgClr>
                  <a:sysClr val="windowText" lastClr="000000">
                    <a:lumMod val="65000"/>
                    <a:lumOff val="35000"/>
                  </a:sysClr>
                </a:bgClr>
              </a:pattFill>
              <a:ln>
                <a:noFill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numRef>
              <c:f>'Прогноз ИПР'!$O$19:$O$24</c:f>
              <c:numCache>
                <c:formatCode>General</c:formatCode>
                <c:ptCount val="6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</c:numCache>
            </c:numRef>
          </c:cat>
          <c:val>
            <c:numRef>
              <c:f>'Прогноз ИПР'!$V$19:$V$24</c:f>
              <c:numCache>
                <c:formatCode>0%</c:formatCode>
                <c:ptCount val="6"/>
                <c:pt idx="0">
                  <c:v>0.89761472662847919</c:v>
                </c:pt>
                <c:pt idx="1">
                  <c:v>0.10238527337152069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5234688"/>
        <c:axId val="155236224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'Прогноз ИПР'!$Q$18</c15:sqref>
                        </c15:formulaRef>
                      </c:ext>
                    </c:extLst>
                    <c:strCache>
                      <c:ptCount val="1"/>
                      <c:pt idx="0">
                        <c:v>СМР</c:v>
                      </c:pt>
                    </c:strCache>
                  </c:strRef>
                </c:tx>
                <c:spPr>
                  <a:solidFill>
                    <a:schemeClr val="accent1"/>
                  </a:solidFill>
                  <a:ln>
                    <a:noFill/>
                  </a:ln>
                  <a:effectLst>
                    <a:outerShdw blurRad="254000" sx="102000" sy="102000" algn="ctr" rotWithShape="0">
                      <a:prstClr val="black">
                        <a:alpha val="20000"/>
                      </a:prstClr>
                    </a:outerShdw>
                  </a:effectLst>
                </c:spPr>
                <c:invertIfNegative val="0"/>
                <c:dLbls>
                  <c:spPr>
                    <a:pattFill prst="pct75">
                      <a:fgClr>
                        <a:schemeClr val="dk1">
                          <a:lumMod val="75000"/>
                          <a:lumOff val="25000"/>
                        </a:schemeClr>
                      </a:fgClr>
                      <a:bgClr>
                        <a:schemeClr val="dk1">
                          <a:lumMod val="65000"/>
                          <a:lumOff val="35000"/>
                        </a:schemeClr>
                      </a:bgClr>
                    </a:pattFill>
                    <a:ln>
                      <a:noFill/>
                    </a:ln>
                    <a:effectLst>
                      <a:outerShdw blurRad="50800" dist="38100" dir="2700000" algn="tl" rotWithShape="0">
                        <a:prstClr val="black">
                          <a:alpha val="40000"/>
                        </a:prstClr>
                      </a:outerShdw>
                    </a:effectLst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1000" b="1" i="0" u="none" strike="noStrike" kern="1200" baseline="0">
                          <a:solidFill>
                            <a:schemeClr val="lt1"/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ru-RU"/>
                    </a:p>
                  </c:txPr>
                  <c:dLblPos val="ctr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>
                    <c:ext uri="{CE6537A1-D6FC-4f65-9D91-7224C49458BB}">
                      <c15:showLeaderLines val="1"/>
                      <c15:leaderLines>
                        <c:spPr>
                          <a:ln w="9525">
                            <a:solidFill>
                              <a:schemeClr val="dk1">
                                <a:lumMod val="50000"/>
                                <a:lumOff val="50000"/>
                              </a:schemeClr>
                            </a:solidFill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numRef>
                    <c:extLst>
                      <c:ext uri="{02D57815-91ED-43cb-92C2-25804820EDAC}">
                        <c15:formulaRef>
                          <c15:sqref>'Прогноз ИПР'!$O$19:$O$24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>
                        <c:v>2013</c:v>
                      </c:pt>
                      <c:pt idx="1">
                        <c:v>2014</c:v>
                      </c:pt>
                      <c:pt idx="2">
                        <c:v>2015</c:v>
                      </c:pt>
                      <c:pt idx="3">
                        <c:v>2016</c:v>
                      </c:pt>
                      <c:pt idx="4">
                        <c:v>2017</c:v>
                      </c:pt>
                      <c:pt idx="5">
                        <c:v>2018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'Прогноз ИПР'!$Q$19:$Q$24</c15:sqref>
                        </c15:formulaRef>
                      </c:ext>
                    </c:extLst>
                    <c:numCache>
                      <c:formatCode>_(* #,##0.00_);_(* \(#,##0.00\);_(* "-"??_);_(@_)</c:formatCode>
                      <c:ptCount val="6"/>
                      <c:pt idx="0">
                        <c:v>29.900000000000002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val>
              </c15:ser>
            </c15:filteredBarSeries>
            <c15:filteredBarSeries>
              <c15:ser>
                <c:idx val="1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'Прогноз ИПР'!$R$18</c15:sqref>
                        </c15:formulaRef>
                      </c:ext>
                    </c:extLst>
                    <c:strCache>
                      <c:ptCount val="1"/>
                      <c:pt idx="0">
                        <c:v>ПНР</c:v>
                      </c:pt>
                    </c:strCache>
                  </c:strRef>
                </c:tx>
                <c:spPr>
                  <a:solidFill>
                    <a:schemeClr val="accent2"/>
                  </a:solidFill>
                  <a:ln>
                    <a:noFill/>
                  </a:ln>
                  <a:effectLst>
                    <a:outerShdw blurRad="254000" sx="102000" sy="102000" algn="ctr" rotWithShape="0">
                      <a:prstClr val="black">
                        <a:alpha val="20000"/>
                      </a:prstClr>
                    </a:outerShdw>
                  </a:effectLst>
                </c:spPr>
                <c:invertIfNegative val="0"/>
                <c:dLbls>
                  <c:spPr>
                    <a:pattFill prst="pct75">
                      <a:fgClr>
                        <a:schemeClr val="dk1">
                          <a:lumMod val="75000"/>
                          <a:lumOff val="25000"/>
                        </a:schemeClr>
                      </a:fgClr>
                      <a:bgClr>
                        <a:schemeClr val="dk1">
                          <a:lumMod val="65000"/>
                          <a:lumOff val="35000"/>
                        </a:schemeClr>
                      </a:bgClr>
                    </a:pattFill>
                    <a:ln>
                      <a:noFill/>
                    </a:ln>
                    <a:effectLst>
                      <a:outerShdw blurRad="50800" dist="38100" dir="2700000" algn="tl" rotWithShape="0">
                        <a:prstClr val="black">
                          <a:alpha val="40000"/>
                        </a:prstClr>
                      </a:outerShdw>
                    </a:effectLst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1000" b="1" i="0" u="none" strike="noStrike" kern="1200" baseline="0">
                          <a:solidFill>
                            <a:schemeClr val="lt1"/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ru-RU"/>
                    </a:p>
                  </c:txPr>
                  <c:dLblPos val="ctr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1"/>
                      <c15:leaderLines>
                        <c:spPr>
                          <a:ln w="9525">
                            <a:solidFill>
                              <a:schemeClr val="dk1">
                                <a:lumMod val="50000"/>
                                <a:lumOff val="50000"/>
                              </a:schemeClr>
                            </a:solidFill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'Прогноз ИПР'!$O$19:$O$24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>
                        <c:v>2013</c:v>
                      </c:pt>
                      <c:pt idx="1">
                        <c:v>2014</c:v>
                      </c:pt>
                      <c:pt idx="2">
                        <c:v>2015</c:v>
                      </c:pt>
                      <c:pt idx="3">
                        <c:v>2016</c:v>
                      </c:pt>
                      <c:pt idx="4">
                        <c:v>2017</c:v>
                      </c:pt>
                      <c:pt idx="5">
                        <c:v>2018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'Прогноз ИПР'!$R$19:$R$24</c15:sqref>
                        </c15:formulaRef>
                      </c:ext>
                    </c:extLst>
                    <c:numCache>
                      <c:formatCode>_(* #,##0.00_);_(* \(#,##0.00\);_(* "-"??_);_(@_)</c:formatCode>
                      <c:ptCount val="6"/>
                      <c:pt idx="0">
                        <c:v>10.79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val>
              </c15:ser>
            </c15:filteredBarSeries>
            <c15:filteredBar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'Прогноз ИПР'!$S$18</c15:sqref>
                        </c15:formulaRef>
                      </c:ext>
                    </c:extLst>
                    <c:strCache>
                      <c:ptCount val="1"/>
                      <c:pt idx="0">
                        <c:v>Оборудование</c:v>
                      </c:pt>
                    </c:strCache>
                  </c:strRef>
                </c:tx>
                <c:spPr>
                  <a:solidFill>
                    <a:schemeClr val="accent3"/>
                  </a:solidFill>
                  <a:ln>
                    <a:noFill/>
                  </a:ln>
                  <a:effectLst>
                    <a:outerShdw blurRad="254000" sx="102000" sy="102000" algn="ctr" rotWithShape="0">
                      <a:prstClr val="black">
                        <a:alpha val="20000"/>
                      </a:prstClr>
                    </a:outerShdw>
                  </a:effectLst>
                </c:spPr>
                <c:invertIfNegative val="0"/>
                <c:dLbls>
                  <c:spPr>
                    <a:pattFill prst="pct75">
                      <a:fgClr>
                        <a:schemeClr val="dk1">
                          <a:lumMod val="75000"/>
                          <a:lumOff val="25000"/>
                        </a:schemeClr>
                      </a:fgClr>
                      <a:bgClr>
                        <a:schemeClr val="dk1">
                          <a:lumMod val="65000"/>
                          <a:lumOff val="35000"/>
                        </a:schemeClr>
                      </a:bgClr>
                    </a:pattFill>
                    <a:ln>
                      <a:noFill/>
                    </a:ln>
                    <a:effectLst>
                      <a:outerShdw blurRad="50800" dist="38100" dir="2700000" algn="tl" rotWithShape="0">
                        <a:prstClr val="black">
                          <a:alpha val="40000"/>
                        </a:prstClr>
                      </a:outerShdw>
                    </a:effectLst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1000" b="1" i="0" u="none" strike="noStrike" kern="1200" baseline="0">
                          <a:solidFill>
                            <a:schemeClr val="lt1"/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ru-RU"/>
                    </a:p>
                  </c:txPr>
                  <c:dLblPos val="ctr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1"/>
                      <c15:leaderLines>
                        <c:spPr>
                          <a:ln w="9525">
                            <a:solidFill>
                              <a:schemeClr val="dk1">
                                <a:lumMod val="50000"/>
                                <a:lumOff val="50000"/>
                              </a:schemeClr>
                            </a:solidFill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'Прогноз ИПР'!$O$19:$O$24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>
                        <c:v>2013</c:v>
                      </c:pt>
                      <c:pt idx="1">
                        <c:v>2014</c:v>
                      </c:pt>
                      <c:pt idx="2">
                        <c:v>2015</c:v>
                      </c:pt>
                      <c:pt idx="3">
                        <c:v>2016</c:v>
                      </c:pt>
                      <c:pt idx="4">
                        <c:v>2017</c:v>
                      </c:pt>
                      <c:pt idx="5">
                        <c:v>2018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'Прогноз ИПР'!$S$19:$S$24</c15:sqref>
                        </c15:formulaRef>
                      </c:ext>
                    </c:extLst>
                    <c:numCache>
                      <c:formatCode>_(* #,##0.00_);_(* \(#,##0.00\);_(* "-"??_);_(@_)</c:formatCode>
                      <c:ptCount val="6"/>
                      <c:pt idx="0">
                        <c:v>3.94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val>
              </c15:ser>
            </c15:filteredBarSeries>
            <c15:filteredBar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'Прогноз ИПР'!$T$18</c15:sqref>
                        </c15:formulaRef>
                      </c:ext>
                    </c:extLst>
                    <c:strCache>
                      <c:ptCount val="1"/>
                      <c:pt idx="0">
                        <c:v>Прочие</c:v>
                      </c:pt>
                    </c:strCache>
                  </c:strRef>
                </c:tx>
                <c:spPr>
                  <a:solidFill>
                    <a:schemeClr val="accent4"/>
                  </a:solidFill>
                  <a:ln>
                    <a:noFill/>
                  </a:ln>
                  <a:effectLst>
                    <a:outerShdw blurRad="254000" sx="102000" sy="102000" algn="ctr" rotWithShape="0">
                      <a:prstClr val="black">
                        <a:alpha val="20000"/>
                      </a:prstClr>
                    </a:outerShdw>
                  </a:effectLst>
                </c:spPr>
                <c:invertIfNegative val="0"/>
                <c:dLbls>
                  <c:spPr>
                    <a:pattFill prst="pct75">
                      <a:fgClr>
                        <a:schemeClr val="dk1">
                          <a:lumMod val="75000"/>
                          <a:lumOff val="25000"/>
                        </a:schemeClr>
                      </a:fgClr>
                      <a:bgClr>
                        <a:schemeClr val="dk1">
                          <a:lumMod val="65000"/>
                          <a:lumOff val="35000"/>
                        </a:schemeClr>
                      </a:bgClr>
                    </a:pattFill>
                    <a:ln>
                      <a:noFill/>
                    </a:ln>
                    <a:effectLst>
                      <a:outerShdw blurRad="50800" dist="38100" dir="2700000" algn="tl" rotWithShape="0">
                        <a:prstClr val="black">
                          <a:alpha val="40000"/>
                        </a:prstClr>
                      </a:outerShdw>
                    </a:effectLst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1000" b="1" i="0" u="none" strike="noStrike" kern="1200" baseline="0">
                          <a:solidFill>
                            <a:schemeClr val="lt1"/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ru-RU"/>
                    </a:p>
                  </c:txPr>
                  <c:dLblPos val="ctr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1"/>
                      <c15:leaderLines>
                        <c:spPr>
                          <a:ln w="9525">
                            <a:solidFill>
                              <a:schemeClr val="dk1">
                                <a:lumMod val="50000"/>
                                <a:lumOff val="50000"/>
                              </a:schemeClr>
                            </a:solidFill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'Прогноз ИПР'!$O$19:$O$24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>
                        <c:v>2013</c:v>
                      </c:pt>
                      <c:pt idx="1">
                        <c:v>2014</c:v>
                      </c:pt>
                      <c:pt idx="2">
                        <c:v>2015</c:v>
                      </c:pt>
                      <c:pt idx="3">
                        <c:v>2016</c:v>
                      </c:pt>
                      <c:pt idx="4">
                        <c:v>2017</c:v>
                      </c:pt>
                      <c:pt idx="5">
                        <c:v>2018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'Прогноз ИПР'!$T$19:$T$24</c15:sqref>
                        </c15:formulaRef>
                      </c:ext>
                    </c:extLst>
                    <c:numCache>
                      <c:formatCode>_(* #,##0.00_);_(* \(#,##0.00\);_(* "-"??_);_(@_)</c:formatCode>
                      <c:ptCount val="6"/>
                      <c:pt idx="0">
                        <c:v>7.74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val>
              </c15:ser>
            </c15:filteredBarSeries>
            <c15:filteredBarSeries>
              <c15:ser>
                <c:idx val="4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'Прогноз ИПР'!$U$18</c15:sqref>
                        </c15:formulaRef>
                      </c:ext>
                    </c:extLst>
                    <c:strCache>
                      <c:ptCount val="1"/>
                      <c:pt idx="0">
                        <c:v>Сумма</c:v>
                      </c:pt>
                    </c:strCache>
                  </c:strRef>
                </c:tx>
                <c:spPr>
                  <a:solidFill>
                    <a:schemeClr val="accent5"/>
                  </a:solidFill>
                  <a:ln>
                    <a:noFill/>
                  </a:ln>
                  <a:effectLst>
                    <a:outerShdw blurRad="254000" sx="102000" sy="102000" algn="ctr" rotWithShape="0">
                      <a:prstClr val="black">
                        <a:alpha val="20000"/>
                      </a:prstClr>
                    </a:outerShdw>
                  </a:effectLst>
                </c:spPr>
                <c:invertIfNegative val="0"/>
                <c:dLbls>
                  <c:spPr>
                    <a:pattFill prst="pct75">
                      <a:fgClr>
                        <a:schemeClr val="dk1">
                          <a:lumMod val="75000"/>
                          <a:lumOff val="25000"/>
                        </a:schemeClr>
                      </a:fgClr>
                      <a:bgClr>
                        <a:schemeClr val="dk1">
                          <a:lumMod val="65000"/>
                          <a:lumOff val="35000"/>
                        </a:schemeClr>
                      </a:bgClr>
                    </a:pattFill>
                    <a:ln>
                      <a:noFill/>
                    </a:ln>
                    <a:effectLst>
                      <a:outerShdw blurRad="50800" dist="38100" dir="2700000" algn="tl" rotWithShape="0">
                        <a:prstClr val="black">
                          <a:alpha val="40000"/>
                        </a:prstClr>
                      </a:outerShdw>
                    </a:effectLst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1000" b="1" i="0" u="none" strike="noStrike" kern="1200" baseline="0">
                          <a:solidFill>
                            <a:schemeClr val="lt1"/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ru-RU"/>
                    </a:p>
                  </c:txPr>
                  <c:dLblPos val="ctr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1"/>
                      <c15:leaderLines>
                        <c:spPr>
                          <a:ln w="9525">
                            <a:solidFill>
                              <a:schemeClr val="dk1">
                                <a:lumMod val="50000"/>
                                <a:lumOff val="50000"/>
                              </a:schemeClr>
                            </a:solidFill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'Прогноз ИПР'!$O$19:$O$24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>
                        <c:v>2013</c:v>
                      </c:pt>
                      <c:pt idx="1">
                        <c:v>2014</c:v>
                      </c:pt>
                      <c:pt idx="2">
                        <c:v>2015</c:v>
                      </c:pt>
                      <c:pt idx="3">
                        <c:v>2016</c:v>
                      </c:pt>
                      <c:pt idx="4">
                        <c:v>2017</c:v>
                      </c:pt>
                      <c:pt idx="5">
                        <c:v>2018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'Прогноз ИПР'!$U$19:$U$24</c15:sqref>
                        </c15:formulaRef>
                      </c:ext>
                    </c:extLst>
                    <c:numCache>
                      <c:formatCode>_(* #,##0.00_);_(* \(#,##0.00\);_(* "-"??_);_(@_)</c:formatCode>
                      <c:ptCount val="6"/>
                      <c:pt idx="0">
                        <c:v>56.01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val>
              </c15:ser>
            </c15:filteredBarSeries>
          </c:ext>
        </c:extLst>
      </c:barChart>
      <c:catAx>
        <c:axId val="1552346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55236224"/>
        <c:crosses val="autoZero"/>
        <c:auto val="1"/>
        <c:lblAlgn val="ctr"/>
        <c:lblOffset val="100"/>
        <c:noMultiLvlLbl val="0"/>
      </c:catAx>
      <c:valAx>
        <c:axId val="155236224"/>
        <c:scaling>
          <c:orientation val="minMax"/>
        </c:scaling>
        <c:delete val="0"/>
        <c:axPos val="l"/>
        <c:majorGridlines>
          <c:spPr>
            <a:ln w="9525" cap="flat" cmpd="sng" algn="ctr">
              <a:gradFill>
                <a:gsLst>
                  <a:gs pos="100000">
                    <a:schemeClr val="dk1">
                      <a:lumMod val="95000"/>
                      <a:lumOff val="5000"/>
                      <a:alpha val="42000"/>
                    </a:schemeClr>
                  </a:gs>
                  <a:gs pos="0">
                    <a:schemeClr val="lt1">
                      <a:lumMod val="75000"/>
                      <a:alpha val="36000"/>
                    </a:schemeClr>
                  </a:gs>
                </a:gsLst>
                <a:lin ang="5400000" scaled="0"/>
              </a:gradFill>
              <a:round/>
            </a:ln>
            <a:effectLst/>
          </c:spPr>
        </c:majorGridlines>
        <c:numFmt formatCode="0%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5523468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solidFill>
          <a:schemeClr val="lt1">
            <a:lumMod val="95000"/>
            <a:alpha val="39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3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spPr>
      <a:pattFill prst="pct75">
        <a:fgClr>
          <a:schemeClr val="dk1">
            <a:lumMod val="75000"/>
            <a:lumOff val="25000"/>
          </a:schemeClr>
        </a:fgClr>
        <a:bgClr>
          <a:schemeClr val="dk1">
            <a:lumMod val="65000"/>
            <a:lumOff val="35000"/>
          </a:schemeClr>
        </a:bgClr>
      </a:pattFill>
      <a:effectLst>
        <a:outerShdw blurRad="50800" dist="38100" dir="2700000" algn="tl" rotWithShape="0">
          <a:prstClr val="black">
            <a:alpha val="40000"/>
          </a:prstClr>
        </a:outerShdw>
      </a:effectLst>
    </cs:spPr>
    <cs:defRPr sz="10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pattFill prst="pct75">
        <a:fgClr>
          <a:schemeClr val="dk1">
            <a:lumMod val="75000"/>
            <a:lumOff val="25000"/>
          </a:schemeClr>
        </a:fgClr>
        <a:bgClr>
          <a:schemeClr val="dk1">
            <a:lumMod val="65000"/>
            <a:lumOff val="35000"/>
          </a:schemeClr>
        </a:bgClr>
      </a:pattFill>
      <a:effectLst>
        <a:outerShdw blurRad="50800" dist="38100" dir="2700000" algn="tl" rotWithShape="0">
          <a:prstClr val="black">
            <a:alpha val="40000"/>
          </a:prstClr>
        </a:outerShdw>
      </a:effectLst>
    </cs:spPr>
    <cs:defRPr sz="1000" b="1" i="0" u="none" strike="noStrike" kern="1200" baseline="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2540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254000" sx="102000" sy="102000" algn="ctr" rotWithShape="0">
          <a:prstClr val="black">
            <a:alpha val="20000"/>
          </a:prstClr>
        </a:out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trlProps/ctrlProp1.xml><?xml version="1.0" encoding="utf-8"?>
<formControlPr xmlns="http://schemas.microsoft.com/office/spreadsheetml/2009/9/main" objectType="Drop" dropStyle="combo" dx="16" fmlaLink="$O$3" fmlaRange="$D$3:$D$102" val="0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0</xdr:colOff>
      <xdr:row>27</xdr:row>
      <xdr:rowOff>180975</xdr:rowOff>
    </xdr:from>
    <xdr:to>
      <xdr:col>20</xdr:col>
      <xdr:colOff>739588</xdr:colOff>
      <xdr:row>39</xdr:row>
      <xdr:rowOff>123825</xdr:rowOff>
    </xdr:to>
    <xdr:graphicFrame macro="">
      <xdr:nvGraphicFramePr>
        <xdr:cNvPr id="3" name="Диаграмма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600075</xdr:colOff>
          <xdr:row>1</xdr:row>
          <xdr:rowOff>19050</xdr:rowOff>
        </xdr:from>
        <xdr:to>
          <xdr:col>18</xdr:col>
          <xdr:colOff>904875</xdr:colOff>
          <xdr:row>3</xdr:row>
          <xdr:rowOff>76200</xdr:rowOff>
        </xdr:to>
        <xdr:sp macro="" textlink="">
          <xdr:nvSpPr>
            <xdr:cNvPr id="1026" name="Drop Down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ables/table1.xml><?xml version="1.0" encoding="utf-8"?>
<table xmlns="http://schemas.openxmlformats.org/spreadsheetml/2006/main" id="1" name="Таблица1" displayName="Таблица1" ref="C6:P107" totalsRowCount="1" headerRowDxfId="96" dataDxfId="95" totalsRowDxfId="93" tableBorderDxfId="94">
  <autoFilter ref="C6:P106"/>
  <tableColumns count="14">
    <tableColumn id="1" name="№п/п" totalsRowLabel="Итого:" dataDxfId="92"/>
    <tableColumn id="14" name="№ в ИПР" totalsRowFunction="count" dataDxfId="91"/>
    <tableColumn id="12" name="№ТЗ/Заявитель" dataDxfId="90"/>
    <tableColumn id="11" name="Перечень работ" dataDxfId="89"/>
    <tableColumn id="2" name="Индекс" dataDxfId="88"/>
    <tableColumn id="9" name="ТПиР/НСиР" dataDxfId="87"/>
    <tableColumn id="3" name="кол-во" dataDxfId="86"/>
    <tableColumn id="4" name="ПИР" totalsRowFunction="sum" dataDxfId="85" totalsRowDxfId="6"/>
    <tableColumn id="5" name="СМР" totalsRowFunction="sum" dataDxfId="84" totalsRowDxfId="5"/>
    <tableColumn id="6" name="ПНР" totalsRowFunction="sum" dataDxfId="83" totalsRowDxfId="4"/>
    <tableColumn id="7" name="Оборудование" totalsRowFunction="sum" dataDxfId="82" totalsRowDxfId="3"/>
    <tableColumn id="8" name="Прочие" totalsRowFunction="sum" dataDxfId="81" totalsRowDxfId="2"/>
    <tableColumn id="10" name="Сумма" totalsRowFunction="sum" dataDxfId="80" totalsRowDxfId="1" dataCellStyle="Финансовый">
      <calculatedColumnFormula>IFERROR(SUM(Таблица1[[#This Row],[ПИР]:[Прочие]]),)</calculatedColumnFormula>
    </tableColumn>
    <tableColumn id="13" name="УП" dataDxfId="79" totalsRowDxfId="0">
      <calculatedColumnFormula>результат!P5</calculatedColumnFormula>
    </tableColumn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6" name="Таблица6" displayName="Таблица6" ref="A4:P105" totalsRowCount="1" headerRowDxfId="74" dataDxfId="72" totalsRowDxfId="70" headerRowBorderDxfId="73" tableBorderDxfId="71" totalsRowBorderDxfId="69">
  <autoFilter ref="A4:P104"/>
  <tableColumns count="16">
    <tableColumn id="1" name="№п/п" totalsRowLabel="Итог" dataDxfId="68" totalsRowDxfId="67">
      <calculatedColumnFormula>IF(калькулятор!C7=0,"",калькулятор!C7)</calculatedColumnFormula>
    </tableColumn>
    <tableColumn id="2" name="№ в ИПР" dataDxfId="66" totalsRowDxfId="65">
      <calculatedColumnFormula>IF(калькулятор!D7=0,"",калькулятор!D7)</calculatedColumnFormula>
    </tableColumn>
    <tableColumn id="4" name="№ТЗ/Заявитель" dataDxfId="64" totalsRowDxfId="63">
      <calculatedColumnFormula>IF(калькулятор!E7=0,"",калькулятор!E7)</calculatedColumnFormula>
    </tableColumn>
    <tableColumn id="5" name="Перечень работ" dataDxfId="62" totalsRowDxfId="61">
      <calculatedColumnFormula>IF(калькулятор!F7=0,"",калькулятор!F7)</calculatedColumnFormula>
    </tableColumn>
    <tableColumn id="8" name="кол-во" dataDxfId="60" totalsRowDxfId="59" dataCellStyle="Финансовый">
      <calculatedColumnFormula>IF(калькулятор!I7=0,"",калькулятор!I7)</calculatedColumnFormula>
    </tableColumn>
    <tableColumn id="9" name="в базовых ценах" totalsRowFunction="sum" dataDxfId="58" totalsRowDxfId="57" dataCellStyle="Финансовый">
      <calculatedColumnFormula>данные!AE3</calculatedColumnFormula>
    </tableColumn>
    <tableColumn id="10" name="в текущих ценах" totalsRowFunction="sum" dataDxfId="56" totalsRowDxfId="55" dataCellStyle="Финансовый">
      <calculatedColumnFormula>данные!AF3</calculatedColumnFormula>
    </tableColumn>
    <tableColumn id="11" name="4 кв 2010" totalsRowFunction="sum" dataDxfId="54" totalsRowDxfId="53" dataCellStyle="Финансовый">
      <calculatedColumnFormula>данные!AC3</calculatedColumnFormula>
    </tableColumn>
    <tableColumn id="12" name="в ценах 4 кв 2012г" totalsRowFunction="sum" dataDxfId="52" totalsRowDxfId="51" dataCellStyle="Финансовый">
      <calculatedColumnFormula>данные!AG3+данные!AH3+данные!AI3+данные!AJ3+данные!AK3</calculatedColumnFormula>
    </tableColumn>
    <tableColumn id="15" name="ПИР" totalsRowFunction="sum" dataDxfId="50" totalsRowDxfId="49">
      <calculatedColumnFormula>IF($K$2=2014,IF((SUM(данные!AG3:AK3)*данные!$AT$3-данные!AD3)&gt;0,данные!AX3,данные!AG3*данные!$AT$3),данные!AG3*данные!$AT$3)</calculatedColumnFormula>
    </tableColumn>
    <tableColumn id="3" name="СМР" totalsRowFunction="sum" dataDxfId="48" totalsRowDxfId="47" dataCellStyle="Финансовый">
      <calculatedColumnFormula>IF($K$2=2014,IF((SUM(данные!AH3:AL3)*данные!$AT$3-данные!AE3)&gt;0,данные!AY3,данные!AH3*данные!$AT$3),данные!AH3*данные!$AT$3)</calculatedColumnFormula>
    </tableColumn>
    <tableColumn id="6" name="ПНР" totalsRowFunction="sum" dataDxfId="46" totalsRowDxfId="45" dataCellStyle="Финансовый">
      <calculatedColumnFormula>IF($K$2=2014,IF((SUM(данные!AI3:AM3)*данные!$AT$3-данные!AF3)&gt;0,данные!AZ3,данные!AI3*данные!$AT$3),данные!AI3*данные!$AT$3)</calculatedColumnFormula>
    </tableColumn>
    <tableColumn id="7" name="Оборудование" totalsRowFunction="sum" dataDxfId="44" totalsRowDxfId="43" dataCellStyle="Финансовый">
      <calculatedColumnFormula>IF($K$2=2014,IF((SUM(данные!AJ3:AN3)*данные!$AT$3-данные!AG3)&gt;0,данные!BA3,данные!AJ3*данные!$AT$3),данные!AJ3*данные!$AT$3)</calculatedColumnFormula>
    </tableColumn>
    <tableColumn id="14" name="Прочие" totalsRowFunction="sum" dataDxfId="42" totalsRowDxfId="41" dataCellStyle="Финансовый">
      <calculatedColumnFormula>IF($K$2=2014,IF((SUM(данные!AK3:AO3)*данные!$AT$3-данные!AH3)&gt;0,данные!BB3,данные!AK3*данные!$AT$3),данные!AK3*данные!$AT$3)</calculatedColumnFormula>
    </tableColumn>
    <tableColumn id="16" name="Итого в прогнозных ценах с применением методики снижения" totalsRowFunction="sum" dataDxfId="40" totalsRowDxfId="39" dataCellStyle="Финансовый">
      <calculatedColumnFormula>SUM(Таблица6[[#This Row],[ПИР]:[Прочие]])</calculatedColumnFormula>
    </tableColumn>
    <tableColumn id="13" name="удельный показатель" dataDxfId="38" totalsRowDxfId="37" dataCellStyle="Финансовый">
      <calculatedColumnFormula>IFERROR(Таблица6[[#This Row],[Итого в прогнозных ценах с применением методики снижения]]/Таблица6[[#This Row],[кол-во]],"")</calculatedColumnFormula>
    </tableColumn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id="2" name="Таблица2" displayName="Таблица2" ref="C3:Z135" totalsRowShown="0" headerRowDxfId="35" headerRowBorderDxfId="34" tableBorderDxfId="33" totalsRowBorderDxfId="32">
  <autoFilter ref="C3:Z135"/>
  <tableColumns count="24">
    <tableColumn id="1" name="Филиал" dataDxfId="31"/>
    <tableColumn id="2" name="ФЕР/ТЕР" dataDxfId="30"/>
    <tableColumn id="3" name="ТПиР/НСиР" dataDxfId="29"/>
    <tableColumn id="14" name="Наименование работ" dataDxfId="28"/>
    <tableColumn id="4" name="ПИР2010" dataCellStyle="Финансовый"/>
    <tableColumn id="5" name="СМР2010" dataCellStyle="Финансовый"/>
    <tableColumn id="6" name="ПНР2010" dataCellStyle="Финансовый"/>
    <tableColumn id="7" name="Оборудование2010" dataCellStyle="Финансовый"/>
    <tableColumn id="8" name="Прочие2010" dataCellStyle="Финансовый"/>
    <tableColumn id="9" name="ПИР2013-10" dataDxfId="27" dataCellStyle="Финансовый">
      <calculatedColumnFormula>Таблица2[[#This Row],[ПИР2010]]*0.9*1.082*1.068*1.059*1.058</calculatedColumnFormula>
    </tableColumn>
    <tableColumn id="10" name="СМР2013-10" dataDxfId="26" dataCellStyle="Финансовый">
      <calculatedColumnFormula>Таблица2[[#This Row],[СМР2010]]*0.9*1.082*1.068*1.059*1.058</calculatedColumnFormula>
    </tableColumn>
    <tableColumn id="11" name="ПНР2013-10" dataDxfId="25" dataCellStyle="Финансовый">
      <calculatedColumnFormula>Таблица2[[#This Row],[ПНР2010]]*0.9*1.082*1.068*1.059*1.058</calculatedColumnFormula>
    </tableColumn>
    <tableColumn id="12" name="Оборудование2013-10" dataDxfId="24" dataCellStyle="Финансовый">
      <calculatedColumnFormula>Таблица2[[#This Row],[Оборудование2010]]*0.9*1.082*1.068*1.059*1.058</calculatedColumnFormula>
    </tableColumn>
    <tableColumn id="13" name="Прочие2013-10" dataDxfId="23" dataCellStyle="Финансовый">
      <calculatedColumnFormula>Таблица2[[#This Row],[Прочие2010]]*0.9*1.082*1.068*1.059*1.058</calculatedColumnFormula>
    </tableColumn>
    <tableColumn id="15" name="ПИР2013" dataCellStyle="Финансовый"/>
    <tableColumn id="16" name="СМР2013" dataCellStyle="Финансовый"/>
    <tableColumn id="17" name="ПНР2013" dataCellStyle="Финансовый"/>
    <tableColumn id="18" name="Оборудование2013" dataCellStyle="Финансовый"/>
    <tableColumn id="19" name="Прочие3" dataCellStyle="Финансовый"/>
    <tableColumn id="20" name="ПИР2012" dataCellStyle="Финансовый"/>
    <tableColumn id="21" name="СМР2012" dataCellStyle="Финансовый"/>
    <tableColumn id="22" name="ПНР2012" dataCellStyle="Финансовый"/>
    <tableColumn id="23" name="Оборудование2012" dataCellStyle="Финансовый"/>
    <tableColumn id="24" name="Прочее2012" dataCellStyle="Финансовый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id="4" name="Таблица4" displayName="Таблица4" ref="A1:M101" totalsRowShown="0" headerRowDxfId="22" dataDxfId="21" tableBorderDxfId="20" headerRowCellStyle="Финансовый" dataCellStyle="Финансовый">
  <autoFilter ref="A1:M101"/>
  <tableColumns count="13">
    <tableColumn id="1" name="№п/п" dataDxfId="19">
      <calculatedColumnFormula>калькулятор!C7</calculatedColumnFormula>
    </tableColumn>
    <tableColumn id="2" name="№ в ИПР" dataDxfId="18">
      <calculatedColumnFormula>калькулятор!D7</calculatedColumnFormula>
    </tableColumn>
    <tableColumn id="3" name="№ТЗ/Заявитель" dataDxfId="17">
      <calculatedColumnFormula>калькулятор!E7</calculatedColumnFormula>
    </tableColumn>
    <tableColumn id="4" name="Перечень работ" dataDxfId="16">
      <calculatedColumnFormula>калькулятор!F7</calculatedColumnFormula>
    </tableColumn>
    <tableColumn id="5" name="Индекс" dataDxfId="15">
      <calculatedColumnFormula>калькулятор!G7</calculatedColumnFormula>
    </tableColumn>
    <tableColumn id="6" name="ТПиР/НСиР" dataDxfId="14">
      <calculatedColumnFormula>калькулятор!H7</calculatedColumnFormula>
    </tableColumn>
    <tableColumn id="7" name="кол-во" dataDxfId="13" dataCellStyle="Финансовый">
      <calculatedColumnFormula>калькулятор!I7</calculatedColumnFormula>
    </tableColumn>
    <tableColumn id="8" name="ПИР" dataDxfId="12" dataCellStyle="Финансовый">
      <calculatedColumnFormula>IF((данные!N3+данные!O3+данные!P3+данные!Q3+данные!R3)&gt;результат!G5,данные!X3*0.9,данные!N3)</calculatedColumnFormula>
    </tableColumn>
    <tableColumn id="9" name="СМР" dataDxfId="11" dataCellStyle="Финансовый">
      <calculatedColumnFormula>IF((данные!N3+данные!O3+данные!P3+данные!Q3+данные!R3)&gt;результат!G5,данные!Y3*0.9,данные!O3)</calculatedColumnFormula>
    </tableColumn>
    <tableColumn id="10" name="ПНР" dataDxfId="10" dataCellStyle="Финансовый">
      <calculatedColumnFormula>IF((данные!N3+данные!O3+данные!P3+данные!Q3+данные!R3)&gt;результат!G5,данные!Z3*0.9,данные!P3)</calculatedColumnFormula>
    </tableColumn>
    <tableColumn id="11" name="Оборудование" dataDxfId="9" dataCellStyle="Финансовый">
      <calculatedColumnFormula>IF((данные!N3+данные!O3+данные!P3+данные!Q3+данные!R3)&gt;результат!G5,данные!AA3*0.9,данные!Q3)</calculatedColumnFormula>
    </tableColumn>
    <tableColumn id="12" name="Прочие" dataDxfId="8" dataCellStyle="Финансовый">
      <calculatedColumnFormula>IF((данные!N3+данные!O3+данные!P3+данные!Q3+данные!R3)&gt;результат!G5,данные!AB3*0.9,данные!R3)</calculatedColumnFormula>
    </tableColumn>
    <tableColumn id="13" name="Сумма" dataDxfId="7">
      <calculatedColumnFormula>SUM(H2:L2)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Relationship Id="rId4" Type="http://schemas.openxmlformats.org/officeDocument/2006/relationships/ctrlProp" Target="../ctrlProps/ctrlProp1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table" Target="../tables/table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X112"/>
  <sheetViews>
    <sheetView zoomScale="75" zoomScaleNormal="75" zoomScaleSheetLayoutView="80" zoomScalePageLayoutView="70" workbookViewId="0">
      <pane xSplit="9" ySplit="6" topLeftCell="J7" activePane="bottomRight" state="frozen"/>
      <selection pane="topRight" activeCell="J1" sqref="J1"/>
      <selection pane="bottomLeft" activeCell="A7" sqref="A7"/>
      <selection pane="bottomRight" activeCell="N8" sqref="N8"/>
    </sheetView>
  </sheetViews>
  <sheetFormatPr defaultRowHeight="15" x14ac:dyDescent="0.25"/>
  <cols>
    <col min="1" max="1" width="17.85546875" style="22" customWidth="1"/>
    <col min="2" max="2" width="16.28515625" style="22" customWidth="1"/>
    <col min="3" max="4" width="12.85546875" style="22" customWidth="1"/>
    <col min="5" max="5" width="27.28515625" style="22" customWidth="1"/>
    <col min="6" max="6" width="26.42578125" style="22" customWidth="1"/>
    <col min="7" max="7" width="12.5703125" style="22" customWidth="1"/>
    <col min="8" max="8" width="14.7109375" style="22" customWidth="1"/>
    <col min="9" max="9" width="12.140625" style="22" customWidth="1"/>
    <col min="10" max="10" width="12.7109375" style="22" customWidth="1"/>
    <col min="11" max="11" width="12.85546875" style="22" customWidth="1"/>
    <col min="12" max="12" width="12.7109375" style="22" customWidth="1"/>
    <col min="13" max="13" width="17.7109375" style="22" customWidth="1"/>
    <col min="14" max="14" width="12.7109375" style="22" customWidth="1"/>
    <col min="15" max="15" width="13.140625" style="22" customWidth="1"/>
    <col min="16" max="16" width="15.5703125" style="22" customWidth="1"/>
    <col min="17" max="17" width="12.7109375" style="22" customWidth="1"/>
    <col min="18" max="18" width="17" style="22" customWidth="1"/>
    <col min="19" max="19" width="15.42578125" style="22" customWidth="1"/>
    <col min="20" max="20" width="15.42578125" customWidth="1"/>
    <col min="21" max="21" width="15.42578125" style="22" customWidth="1"/>
    <col min="22" max="22" width="15.42578125" customWidth="1"/>
    <col min="23" max="23" width="18.5703125" style="22" customWidth="1"/>
    <col min="25" max="25" width="11.85546875" style="22" customWidth="1"/>
    <col min="26" max="27" width="11.140625" style="22" customWidth="1"/>
    <col min="28" max="16384" width="9.140625" style="22"/>
  </cols>
  <sheetData>
    <row r="1" spans="1:24" ht="15.75" thickBot="1" x14ac:dyDescent="0.3">
      <c r="T1" s="22"/>
      <c r="V1" s="22"/>
      <c r="X1" s="22"/>
    </row>
    <row r="2" spans="1:24" ht="15.75" thickBot="1" x14ac:dyDescent="0.3">
      <c r="A2" s="30" t="s">
        <v>26</v>
      </c>
      <c r="B2" s="31" t="s">
        <v>15</v>
      </c>
      <c r="C2" s="32"/>
      <c r="T2" s="22"/>
      <c r="V2" s="22"/>
      <c r="X2" s="22"/>
    </row>
    <row r="3" spans="1:24" ht="18" customHeight="1" thickBot="1" x14ac:dyDescent="0.35">
      <c r="A3" s="30" t="s">
        <v>39</v>
      </c>
      <c r="B3" s="23" t="s">
        <v>19</v>
      </c>
      <c r="E3" s="29" t="s">
        <v>88</v>
      </c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T3" s="22"/>
      <c r="U3" s="29"/>
      <c r="V3" s="22"/>
      <c r="X3" s="22"/>
    </row>
    <row r="4" spans="1:24" ht="15.75" thickBot="1" x14ac:dyDescent="0.3">
      <c r="A4" s="30" t="s">
        <v>40</v>
      </c>
      <c r="B4" s="23" t="s">
        <v>32</v>
      </c>
      <c r="C4" s="23" t="s">
        <v>41</v>
      </c>
      <c r="T4" s="22"/>
      <c r="V4" s="22"/>
      <c r="X4" s="22"/>
    </row>
    <row r="5" spans="1:24" ht="15.75" thickBot="1" x14ac:dyDescent="0.3">
      <c r="A5" s="22" t="s">
        <v>69</v>
      </c>
      <c r="B5" s="23">
        <v>2014</v>
      </c>
      <c r="T5" s="22"/>
      <c r="V5" s="22"/>
      <c r="X5" s="22"/>
    </row>
    <row r="6" spans="1:24" x14ac:dyDescent="0.25">
      <c r="C6" s="26" t="s">
        <v>34</v>
      </c>
      <c r="D6" s="26" t="s">
        <v>54</v>
      </c>
      <c r="E6" s="26" t="s">
        <v>55</v>
      </c>
      <c r="F6" s="27" t="s">
        <v>56</v>
      </c>
      <c r="G6" s="28" t="s">
        <v>57</v>
      </c>
      <c r="H6" s="28" t="s">
        <v>20</v>
      </c>
      <c r="I6" s="28" t="s">
        <v>1</v>
      </c>
      <c r="J6" s="28" t="s">
        <v>2</v>
      </c>
      <c r="K6" s="28" t="s">
        <v>3</v>
      </c>
      <c r="L6" s="28" t="s">
        <v>4</v>
      </c>
      <c r="M6" s="28" t="s">
        <v>5</v>
      </c>
      <c r="N6" s="28" t="s">
        <v>36</v>
      </c>
      <c r="O6" s="67" t="s">
        <v>42</v>
      </c>
      <c r="P6" s="69" t="s">
        <v>89</v>
      </c>
      <c r="S6"/>
      <c r="T6" s="22"/>
      <c r="U6"/>
      <c r="V6" s="22"/>
      <c r="X6" s="22"/>
    </row>
    <row r="7" spans="1:24" x14ac:dyDescent="0.25">
      <c r="C7" s="28">
        <v>1</v>
      </c>
      <c r="D7" s="28">
        <v>2882</v>
      </c>
      <c r="E7" s="161" t="s">
        <v>105</v>
      </c>
      <c r="F7" s="160" t="s">
        <v>106</v>
      </c>
      <c r="G7" s="159" t="s">
        <v>29</v>
      </c>
      <c r="H7" s="159" t="s">
        <v>22</v>
      </c>
      <c r="I7" s="162">
        <v>2</v>
      </c>
      <c r="J7" s="67">
        <v>40.22</v>
      </c>
      <c r="K7" s="67">
        <v>497.26</v>
      </c>
      <c r="L7" s="67">
        <v>1.3680000000000001</v>
      </c>
      <c r="M7" s="67"/>
      <c r="N7" s="67">
        <v>11.75</v>
      </c>
      <c r="O7" s="67">
        <f>IFERROR(SUM(Таблица1[[#This Row],[ПИР]:[Прочие]]),)</f>
        <v>550.59800000000007</v>
      </c>
      <c r="P7" s="68">
        <f>результат!P5</f>
        <v>1118.6444647799999</v>
      </c>
      <c r="S7"/>
      <c r="T7" s="22"/>
      <c r="U7"/>
      <c r="V7" s="22"/>
      <c r="X7" s="22"/>
    </row>
    <row r="8" spans="1:24" x14ac:dyDescent="0.25">
      <c r="C8" s="28"/>
      <c r="D8" s="28"/>
      <c r="E8" s="28"/>
      <c r="F8" s="28"/>
      <c r="G8" s="28"/>
      <c r="H8" s="28"/>
      <c r="I8" s="28"/>
      <c r="J8" s="67"/>
      <c r="K8" s="67"/>
      <c r="L8" s="67"/>
      <c r="M8" s="67"/>
      <c r="N8" s="67"/>
      <c r="O8" s="67"/>
      <c r="P8" s="68" t="str">
        <f>результат!P6</f>
        <v/>
      </c>
      <c r="S8"/>
      <c r="T8" s="22"/>
      <c r="U8"/>
      <c r="V8" s="22"/>
      <c r="X8" s="22"/>
    </row>
    <row r="9" spans="1:24" x14ac:dyDescent="0.25">
      <c r="C9" s="28"/>
      <c r="D9" s="28"/>
      <c r="E9" s="28"/>
      <c r="F9" s="28"/>
      <c r="G9" s="28"/>
      <c r="H9" s="28"/>
      <c r="I9" s="28"/>
      <c r="J9" s="67"/>
      <c r="K9" s="67"/>
      <c r="L9" s="67"/>
      <c r="M9" s="67"/>
      <c r="N9" s="67"/>
      <c r="O9" s="67"/>
      <c r="P9" s="68" t="str">
        <f>результат!P7</f>
        <v/>
      </c>
      <c r="S9"/>
      <c r="T9" s="22"/>
      <c r="U9"/>
      <c r="V9" s="22"/>
      <c r="X9" s="22"/>
    </row>
    <row r="10" spans="1:24" x14ac:dyDescent="0.25">
      <c r="C10" s="28"/>
      <c r="D10" s="28"/>
      <c r="E10" s="28"/>
      <c r="F10" s="28"/>
      <c r="G10" s="28"/>
      <c r="H10" s="28"/>
      <c r="I10" s="28"/>
      <c r="J10" s="67"/>
      <c r="K10" s="67"/>
      <c r="L10" s="67"/>
      <c r="M10" s="67"/>
      <c r="N10" s="67"/>
      <c r="O10" s="67">
        <f>IFERROR(SUM(Таблица1[[#This Row],[ПИР]:[Прочие]]),)</f>
        <v>0</v>
      </c>
      <c r="P10" s="68" t="str">
        <f>результат!P8</f>
        <v/>
      </c>
      <c r="S10"/>
      <c r="T10" s="22"/>
      <c r="U10"/>
      <c r="V10" s="22"/>
      <c r="X10" s="22"/>
    </row>
    <row r="11" spans="1:24" x14ac:dyDescent="0.25">
      <c r="C11" s="28"/>
      <c r="D11" s="28"/>
      <c r="E11" s="28"/>
      <c r="F11" s="28"/>
      <c r="G11" s="28"/>
      <c r="H11" s="28"/>
      <c r="I11" s="28"/>
      <c r="J11" s="67"/>
      <c r="K11" s="67"/>
      <c r="L11" s="67"/>
      <c r="M11" s="67"/>
      <c r="N11" s="67"/>
      <c r="O11" s="67">
        <f>IFERROR(SUM(Таблица1[[#This Row],[ПИР]:[Прочие]]),)</f>
        <v>0</v>
      </c>
      <c r="P11" s="68" t="str">
        <f>результат!P9</f>
        <v/>
      </c>
      <c r="S11"/>
      <c r="T11" s="22"/>
      <c r="U11"/>
      <c r="V11" s="22"/>
      <c r="X11" s="22"/>
    </row>
    <row r="12" spans="1:24" x14ac:dyDescent="0.25">
      <c r="C12" s="28"/>
      <c r="D12" s="28"/>
      <c r="E12" s="28"/>
      <c r="F12" s="28"/>
      <c r="G12" s="28"/>
      <c r="H12" s="28"/>
      <c r="I12" s="28"/>
      <c r="J12" s="67"/>
      <c r="K12" s="67"/>
      <c r="L12" s="67"/>
      <c r="M12" s="67"/>
      <c r="N12" s="67"/>
      <c r="O12" s="67">
        <f>IFERROR(SUM(Таблица1[[#This Row],[ПИР]:[Прочие]]),)</f>
        <v>0</v>
      </c>
      <c r="P12" s="68" t="str">
        <f>результат!P10</f>
        <v/>
      </c>
      <c r="S12"/>
      <c r="T12" s="22"/>
      <c r="U12"/>
      <c r="V12" s="22"/>
      <c r="X12" s="22"/>
    </row>
    <row r="13" spans="1:24" x14ac:dyDescent="0.25">
      <c r="C13" s="28"/>
      <c r="D13" s="28"/>
      <c r="E13" s="28"/>
      <c r="F13" s="28"/>
      <c r="G13" s="28"/>
      <c r="H13" s="28"/>
      <c r="I13" s="28"/>
      <c r="J13" s="67"/>
      <c r="K13" s="67"/>
      <c r="L13" s="67"/>
      <c r="M13" s="67"/>
      <c r="N13" s="67"/>
      <c r="O13" s="67">
        <f>IFERROR(SUM(Таблица1[[#This Row],[ПИР]:[Прочие]]),)</f>
        <v>0</v>
      </c>
      <c r="P13" s="68" t="str">
        <f>результат!P11</f>
        <v/>
      </c>
      <c r="S13"/>
      <c r="T13" s="22"/>
      <c r="U13"/>
      <c r="V13" s="22"/>
      <c r="X13" s="22"/>
    </row>
    <row r="14" spans="1:24" x14ac:dyDescent="0.25">
      <c r="C14" s="28"/>
      <c r="D14" s="28"/>
      <c r="E14" s="28"/>
      <c r="F14" s="28"/>
      <c r="G14" s="28"/>
      <c r="H14" s="28"/>
      <c r="I14" s="28"/>
      <c r="J14" s="67"/>
      <c r="K14" s="67"/>
      <c r="L14" s="67"/>
      <c r="M14" s="67"/>
      <c r="N14" s="67"/>
      <c r="O14" s="67">
        <f>IFERROR(SUM(Таблица1[[#This Row],[ПИР]:[Прочие]]),)</f>
        <v>0</v>
      </c>
      <c r="P14" s="68" t="str">
        <f>результат!P12</f>
        <v/>
      </c>
      <c r="S14"/>
      <c r="T14" s="22"/>
      <c r="U14"/>
      <c r="V14" s="22"/>
      <c r="X14" s="22"/>
    </row>
    <row r="15" spans="1:24" x14ac:dyDescent="0.25">
      <c r="C15" s="28"/>
      <c r="D15" s="28"/>
      <c r="E15" s="28"/>
      <c r="F15" s="28"/>
      <c r="G15" s="28"/>
      <c r="H15" s="28"/>
      <c r="I15" s="28"/>
      <c r="J15" s="67"/>
      <c r="K15" s="67"/>
      <c r="L15" s="67"/>
      <c r="M15" s="67"/>
      <c r="N15" s="67"/>
      <c r="O15" s="67">
        <f>IFERROR(SUM(Таблица1[[#This Row],[ПИР]:[Прочие]]),)</f>
        <v>0</v>
      </c>
      <c r="P15" s="68" t="str">
        <f>результат!P13</f>
        <v/>
      </c>
      <c r="S15"/>
      <c r="T15" s="22"/>
      <c r="U15"/>
      <c r="V15" s="22"/>
      <c r="X15" s="22"/>
    </row>
    <row r="16" spans="1:24" x14ac:dyDescent="0.25">
      <c r="C16" s="28"/>
      <c r="D16" s="28"/>
      <c r="E16" s="28"/>
      <c r="F16" s="28"/>
      <c r="G16" s="28"/>
      <c r="H16" s="28"/>
      <c r="I16" s="28"/>
      <c r="J16" s="67"/>
      <c r="K16" s="67"/>
      <c r="L16" s="67"/>
      <c r="M16" s="67"/>
      <c r="N16" s="67"/>
      <c r="O16" s="67">
        <f>IFERROR(SUM(Таблица1[[#This Row],[ПИР]:[Прочие]]),)</f>
        <v>0</v>
      </c>
      <c r="P16" s="68" t="str">
        <f>результат!P14</f>
        <v/>
      </c>
      <c r="S16"/>
      <c r="T16" s="22"/>
      <c r="U16"/>
      <c r="V16" s="22"/>
      <c r="X16" s="22"/>
    </row>
    <row r="17" spans="3:24" x14ac:dyDescent="0.25">
      <c r="C17" s="28"/>
      <c r="D17" s="28"/>
      <c r="E17" s="28"/>
      <c r="F17" s="28"/>
      <c r="G17" s="28"/>
      <c r="H17" s="28"/>
      <c r="I17" s="28"/>
      <c r="J17" s="67"/>
      <c r="K17" s="67"/>
      <c r="L17" s="67"/>
      <c r="M17" s="67"/>
      <c r="N17" s="67"/>
      <c r="O17" s="67">
        <f>IFERROR(SUM(Таблица1[[#This Row],[ПИР]:[Прочие]]),)</f>
        <v>0</v>
      </c>
      <c r="P17" s="68" t="str">
        <f>результат!P15</f>
        <v/>
      </c>
      <c r="S17"/>
      <c r="T17" s="22"/>
      <c r="U17"/>
      <c r="V17" s="22"/>
      <c r="X17" s="22"/>
    </row>
    <row r="18" spans="3:24" x14ac:dyDescent="0.25">
      <c r="C18" s="28"/>
      <c r="D18" s="28"/>
      <c r="E18" s="28"/>
      <c r="F18" s="28"/>
      <c r="G18" s="28"/>
      <c r="H18" s="28"/>
      <c r="I18" s="28"/>
      <c r="J18" s="67"/>
      <c r="K18" s="67"/>
      <c r="L18" s="67"/>
      <c r="M18" s="67"/>
      <c r="N18" s="67"/>
      <c r="O18" s="67">
        <f>IFERROR(SUM(Таблица1[[#This Row],[ПИР]:[Прочие]]),)</f>
        <v>0</v>
      </c>
      <c r="P18" s="68" t="str">
        <f>результат!P16</f>
        <v/>
      </c>
      <c r="S18"/>
      <c r="T18" s="22"/>
      <c r="U18"/>
      <c r="V18" s="22"/>
      <c r="X18" s="22"/>
    </row>
    <row r="19" spans="3:24" x14ac:dyDescent="0.25">
      <c r="C19" s="28"/>
      <c r="D19" s="28"/>
      <c r="E19" s="28"/>
      <c r="F19" s="28"/>
      <c r="G19" s="28"/>
      <c r="H19" s="28"/>
      <c r="I19" s="28"/>
      <c r="J19" s="67"/>
      <c r="K19" s="67"/>
      <c r="L19" s="67"/>
      <c r="M19" s="67"/>
      <c r="N19" s="67"/>
      <c r="O19" s="67">
        <f>IFERROR(SUM(Таблица1[[#This Row],[ПИР]:[Прочие]]),)</f>
        <v>0</v>
      </c>
      <c r="P19" s="68" t="str">
        <f>результат!P17</f>
        <v/>
      </c>
      <c r="S19"/>
      <c r="T19" s="22"/>
      <c r="U19"/>
      <c r="V19" s="22"/>
      <c r="X19" s="22"/>
    </row>
    <row r="20" spans="3:24" x14ac:dyDescent="0.25">
      <c r="C20" s="28"/>
      <c r="D20" s="28"/>
      <c r="E20" s="28"/>
      <c r="F20" s="28"/>
      <c r="G20" s="28"/>
      <c r="H20" s="28"/>
      <c r="I20" s="28"/>
      <c r="J20" s="67"/>
      <c r="K20" s="67"/>
      <c r="L20" s="67"/>
      <c r="M20" s="67"/>
      <c r="N20" s="67"/>
      <c r="O20" s="67">
        <f>IFERROR(SUM(Таблица1[[#This Row],[ПИР]:[Прочие]]),)</f>
        <v>0</v>
      </c>
      <c r="P20" s="68" t="str">
        <f>результат!P18</f>
        <v/>
      </c>
      <c r="S20"/>
      <c r="T20" s="22"/>
      <c r="U20"/>
      <c r="V20" s="22"/>
      <c r="X20" s="22"/>
    </row>
    <row r="21" spans="3:24" x14ac:dyDescent="0.25">
      <c r="C21" s="28"/>
      <c r="D21" s="28"/>
      <c r="E21" s="28"/>
      <c r="F21" s="28"/>
      <c r="G21" s="28"/>
      <c r="H21" s="28"/>
      <c r="I21" s="28"/>
      <c r="J21" s="67"/>
      <c r="K21" s="67"/>
      <c r="L21" s="67"/>
      <c r="M21" s="67"/>
      <c r="N21" s="67"/>
      <c r="O21" s="67">
        <f>IFERROR(SUM(Таблица1[[#This Row],[ПИР]:[Прочие]]),)</f>
        <v>0</v>
      </c>
      <c r="P21" s="68" t="str">
        <f>результат!P19</f>
        <v/>
      </c>
      <c r="S21"/>
      <c r="T21" s="22"/>
      <c r="U21"/>
      <c r="V21" s="22"/>
      <c r="X21" s="22"/>
    </row>
    <row r="22" spans="3:24" x14ac:dyDescent="0.25">
      <c r="C22" s="28"/>
      <c r="D22" s="28"/>
      <c r="E22" s="28"/>
      <c r="F22" s="28"/>
      <c r="G22" s="28"/>
      <c r="H22" s="28"/>
      <c r="I22" s="28"/>
      <c r="J22" s="67"/>
      <c r="K22" s="67"/>
      <c r="L22" s="67"/>
      <c r="M22" s="67"/>
      <c r="N22" s="67"/>
      <c r="O22" s="67">
        <f>IFERROR(SUM(Таблица1[[#This Row],[ПИР]:[Прочие]]),)</f>
        <v>0</v>
      </c>
      <c r="P22" s="68" t="str">
        <f>результат!P20</f>
        <v/>
      </c>
      <c r="S22"/>
      <c r="T22" s="22"/>
      <c r="U22"/>
      <c r="V22" s="22"/>
      <c r="X22" s="22"/>
    </row>
    <row r="23" spans="3:24" x14ac:dyDescent="0.25">
      <c r="C23" s="28"/>
      <c r="D23" s="28"/>
      <c r="E23" s="28"/>
      <c r="F23" s="28"/>
      <c r="G23" s="28"/>
      <c r="H23" s="28"/>
      <c r="I23" s="28"/>
      <c r="J23" s="67"/>
      <c r="K23" s="67"/>
      <c r="L23" s="67"/>
      <c r="M23" s="67"/>
      <c r="N23" s="67"/>
      <c r="O23" s="67">
        <f>IFERROR(SUM(Таблица1[[#This Row],[ПИР]:[Прочие]]),)</f>
        <v>0</v>
      </c>
      <c r="P23" s="68" t="str">
        <f>результат!P21</f>
        <v/>
      </c>
      <c r="S23"/>
      <c r="T23" s="22"/>
      <c r="U23"/>
      <c r="V23" s="22"/>
      <c r="X23" s="22"/>
    </row>
    <row r="24" spans="3:24" x14ac:dyDescent="0.25">
      <c r="C24" s="28"/>
      <c r="D24" s="28"/>
      <c r="E24" s="28"/>
      <c r="F24" s="28"/>
      <c r="G24" s="28"/>
      <c r="H24" s="28"/>
      <c r="I24" s="28"/>
      <c r="J24" s="67"/>
      <c r="K24" s="67"/>
      <c r="L24" s="67"/>
      <c r="M24" s="67"/>
      <c r="N24" s="67"/>
      <c r="O24" s="67">
        <f>IFERROR(SUM(Таблица1[[#This Row],[ПИР]:[Прочие]]),)</f>
        <v>0</v>
      </c>
      <c r="P24" s="68" t="str">
        <f>результат!P22</f>
        <v/>
      </c>
      <c r="S24"/>
      <c r="T24" s="22"/>
      <c r="U24"/>
      <c r="V24" s="22"/>
      <c r="X24" s="22"/>
    </row>
    <row r="25" spans="3:24" s="50" customFormat="1" x14ac:dyDescent="0.25">
      <c r="C25" s="28"/>
      <c r="D25" s="48"/>
      <c r="E25" s="48"/>
      <c r="F25" s="48"/>
      <c r="G25" s="28"/>
      <c r="H25" s="28"/>
      <c r="I25" s="28"/>
      <c r="J25" s="67"/>
      <c r="K25" s="67"/>
      <c r="L25" s="67"/>
      <c r="M25" s="67"/>
      <c r="N25" s="67"/>
      <c r="O25" s="67">
        <f>IFERROR(SUM(Таблица1[[#This Row],[ПИР]:[Прочие]]),)</f>
        <v>0</v>
      </c>
      <c r="P25" s="68" t="str">
        <f>результат!P23</f>
        <v/>
      </c>
      <c r="S25" s="51"/>
      <c r="U25" s="51"/>
    </row>
    <row r="26" spans="3:24" s="50" customFormat="1" x14ac:dyDescent="0.25">
      <c r="C26" s="28"/>
      <c r="D26" s="48"/>
      <c r="E26" s="48"/>
      <c r="F26" s="48"/>
      <c r="G26" s="28"/>
      <c r="H26" s="28"/>
      <c r="I26" s="28"/>
      <c r="J26" s="67"/>
      <c r="K26" s="67"/>
      <c r="L26" s="67"/>
      <c r="M26" s="67"/>
      <c r="N26" s="67"/>
      <c r="O26" s="67">
        <f>IFERROR(SUM(Таблица1[[#This Row],[ПИР]:[Прочие]]),)</f>
        <v>0</v>
      </c>
      <c r="P26" s="68" t="str">
        <f>результат!P24</f>
        <v/>
      </c>
      <c r="S26" s="51"/>
      <c r="U26" s="51"/>
    </row>
    <row r="27" spans="3:24" s="50" customFormat="1" x14ac:dyDescent="0.25">
      <c r="C27" s="48"/>
      <c r="D27" s="48"/>
      <c r="E27" s="48"/>
      <c r="F27" s="48"/>
      <c r="G27" s="48"/>
      <c r="H27" s="48"/>
      <c r="I27" s="28"/>
      <c r="J27" s="67"/>
      <c r="K27" s="67"/>
      <c r="L27" s="67"/>
      <c r="M27" s="67"/>
      <c r="N27" s="67"/>
      <c r="O27" s="67">
        <f>IFERROR(SUM(Таблица1[[#This Row],[ПИР]:[Прочие]]),)</f>
        <v>0</v>
      </c>
      <c r="P27" s="68" t="str">
        <f>результат!P25</f>
        <v/>
      </c>
      <c r="S27" s="51"/>
      <c r="U27" s="51"/>
    </row>
    <row r="28" spans="3:24" s="50" customFormat="1" x14ac:dyDescent="0.25">
      <c r="C28" s="48"/>
      <c r="D28" s="48"/>
      <c r="E28" s="48"/>
      <c r="F28" s="48"/>
      <c r="G28" s="48"/>
      <c r="H28" s="48"/>
      <c r="I28" s="28"/>
      <c r="J28" s="67"/>
      <c r="K28" s="67"/>
      <c r="L28" s="67"/>
      <c r="M28" s="67"/>
      <c r="N28" s="67"/>
      <c r="O28" s="67">
        <f>IFERROR(SUM(Таблица1[[#This Row],[ПИР]:[Прочие]]),)</f>
        <v>0</v>
      </c>
      <c r="P28" s="68" t="str">
        <f>результат!P26</f>
        <v/>
      </c>
      <c r="S28" s="51"/>
      <c r="U28" s="51"/>
    </row>
    <row r="29" spans="3:24" s="50" customFormat="1" x14ac:dyDescent="0.25">
      <c r="C29" s="48"/>
      <c r="D29" s="48"/>
      <c r="E29" s="48"/>
      <c r="F29" s="48"/>
      <c r="G29" s="48"/>
      <c r="H29" s="48"/>
      <c r="I29" s="28"/>
      <c r="J29" s="67"/>
      <c r="K29" s="67"/>
      <c r="L29" s="67"/>
      <c r="M29" s="67"/>
      <c r="N29" s="67"/>
      <c r="O29" s="67">
        <f>IFERROR(SUM(Таблица1[[#This Row],[ПИР]:[Прочие]]),)</f>
        <v>0</v>
      </c>
      <c r="P29" s="68" t="str">
        <f>результат!P27</f>
        <v/>
      </c>
      <c r="S29" s="51"/>
      <c r="U29" s="51"/>
    </row>
    <row r="30" spans="3:24" s="50" customFormat="1" x14ac:dyDescent="0.25">
      <c r="C30" s="48"/>
      <c r="D30" s="48"/>
      <c r="E30" s="48"/>
      <c r="F30" s="48"/>
      <c r="G30" s="48"/>
      <c r="H30" s="48"/>
      <c r="I30" s="28"/>
      <c r="J30" s="67"/>
      <c r="K30" s="67"/>
      <c r="L30" s="67"/>
      <c r="M30" s="67"/>
      <c r="N30" s="67"/>
      <c r="O30" s="67">
        <f>IFERROR(SUM(Таблица1[[#This Row],[ПИР]:[Прочие]]),)</f>
        <v>0</v>
      </c>
      <c r="P30" s="68" t="str">
        <f>результат!P28</f>
        <v/>
      </c>
      <c r="S30" s="51"/>
      <c r="U30" s="51"/>
    </row>
    <row r="31" spans="3:24" s="50" customFormat="1" x14ac:dyDescent="0.25">
      <c r="C31" s="48"/>
      <c r="D31" s="48"/>
      <c r="E31" s="48"/>
      <c r="F31" s="49"/>
      <c r="G31" s="48"/>
      <c r="H31" s="48"/>
      <c r="I31" s="28"/>
      <c r="J31" s="67"/>
      <c r="K31" s="67"/>
      <c r="L31" s="67"/>
      <c r="M31" s="67"/>
      <c r="N31" s="67"/>
      <c r="O31" s="67">
        <f>IFERROR(SUM(Таблица1[[#This Row],[ПИР]:[Прочие]]),)</f>
        <v>0</v>
      </c>
      <c r="P31" s="68" t="str">
        <f>результат!P29</f>
        <v/>
      </c>
      <c r="S31" s="51"/>
      <c r="U31" s="51"/>
    </row>
    <row r="32" spans="3:24" s="50" customFormat="1" x14ac:dyDescent="0.25">
      <c r="C32" s="48"/>
      <c r="D32" s="48"/>
      <c r="E32" s="48"/>
      <c r="F32" s="48"/>
      <c r="G32" s="48"/>
      <c r="H32" s="48"/>
      <c r="I32" s="28"/>
      <c r="J32" s="67"/>
      <c r="K32" s="67"/>
      <c r="L32" s="67"/>
      <c r="M32" s="67"/>
      <c r="N32" s="67"/>
      <c r="O32" s="67">
        <f>IFERROR(SUM(Таблица1[[#This Row],[ПИР]:[Прочие]]),)</f>
        <v>0</v>
      </c>
      <c r="P32" s="68" t="str">
        <f>результат!P30</f>
        <v/>
      </c>
      <c r="S32" s="51"/>
      <c r="U32" s="51"/>
    </row>
    <row r="33" spans="3:24" s="50" customFormat="1" x14ac:dyDescent="0.25">
      <c r="C33" s="48"/>
      <c r="D33" s="48"/>
      <c r="E33" s="48"/>
      <c r="F33" s="49"/>
      <c r="G33" s="48"/>
      <c r="H33" s="48"/>
      <c r="I33" s="28"/>
      <c r="J33" s="67"/>
      <c r="K33" s="67"/>
      <c r="L33" s="67"/>
      <c r="M33" s="67"/>
      <c r="N33" s="67"/>
      <c r="O33" s="67">
        <f>IFERROR(SUM(Таблица1[[#This Row],[ПИР]:[Прочие]]),)</f>
        <v>0</v>
      </c>
      <c r="P33" s="68" t="str">
        <f>результат!P31</f>
        <v/>
      </c>
      <c r="S33" s="51"/>
      <c r="U33" s="51"/>
    </row>
    <row r="34" spans="3:24" s="50" customFormat="1" x14ac:dyDescent="0.25">
      <c r="C34" s="48"/>
      <c r="D34" s="48"/>
      <c r="E34" s="48"/>
      <c r="F34" s="49"/>
      <c r="G34" s="48"/>
      <c r="H34" s="48"/>
      <c r="I34" s="28"/>
      <c r="J34" s="67"/>
      <c r="K34" s="67"/>
      <c r="L34" s="67"/>
      <c r="M34" s="67"/>
      <c r="N34" s="67"/>
      <c r="O34" s="67">
        <f>IFERROR(SUM(Таблица1[[#This Row],[ПИР]:[Прочие]]),)</f>
        <v>0</v>
      </c>
      <c r="P34" s="68" t="str">
        <f>результат!P32</f>
        <v/>
      </c>
      <c r="S34" s="51"/>
      <c r="U34" s="51"/>
    </row>
    <row r="35" spans="3:24" s="50" customFormat="1" x14ac:dyDescent="0.25">
      <c r="C35" s="48"/>
      <c r="D35" s="48"/>
      <c r="E35" s="48"/>
      <c r="F35" s="52"/>
      <c r="G35" s="48"/>
      <c r="H35" s="48"/>
      <c r="I35" s="28"/>
      <c r="J35" s="67"/>
      <c r="K35" s="67"/>
      <c r="L35" s="67"/>
      <c r="M35" s="67"/>
      <c r="N35" s="67"/>
      <c r="O35" s="67">
        <f>IFERROR(SUM(Таблица1[[#This Row],[ПИР]:[Прочие]]),)</f>
        <v>0</v>
      </c>
      <c r="P35" s="68" t="str">
        <f>результат!P33</f>
        <v/>
      </c>
      <c r="S35" s="51"/>
      <c r="U35" s="51"/>
    </row>
    <row r="36" spans="3:24" s="50" customFormat="1" x14ac:dyDescent="0.25">
      <c r="C36" s="48"/>
      <c r="D36" s="48"/>
      <c r="E36" s="48"/>
      <c r="F36" s="49"/>
      <c r="G36" s="48"/>
      <c r="H36" s="48"/>
      <c r="I36" s="28"/>
      <c r="J36" s="67"/>
      <c r="K36" s="67"/>
      <c r="L36" s="67"/>
      <c r="M36" s="67"/>
      <c r="N36" s="67"/>
      <c r="O36" s="67">
        <f>IFERROR(SUM(Таблица1[[#This Row],[ПИР]:[Прочие]]),)</f>
        <v>0</v>
      </c>
      <c r="P36" s="68" t="str">
        <f>результат!P34</f>
        <v/>
      </c>
      <c r="S36" s="51"/>
      <c r="U36" s="51"/>
    </row>
    <row r="37" spans="3:24" s="50" customFormat="1" x14ac:dyDescent="0.25">
      <c r="C37" s="48"/>
      <c r="D37" s="48"/>
      <c r="E37" s="48"/>
      <c r="F37" s="49"/>
      <c r="G37" s="48"/>
      <c r="H37" s="48"/>
      <c r="I37" s="28"/>
      <c r="J37" s="67"/>
      <c r="K37" s="67"/>
      <c r="L37" s="67"/>
      <c r="M37" s="67"/>
      <c r="N37" s="67"/>
      <c r="O37" s="67">
        <f>IFERROR(SUM(Таблица1[[#This Row],[ПИР]:[Прочие]]),)</f>
        <v>0</v>
      </c>
      <c r="P37" s="68" t="str">
        <f>результат!P35</f>
        <v/>
      </c>
      <c r="S37" s="51"/>
      <c r="U37" s="51"/>
    </row>
    <row r="38" spans="3:24" s="50" customFormat="1" x14ac:dyDescent="0.25">
      <c r="C38" s="48"/>
      <c r="D38" s="48"/>
      <c r="E38" s="48"/>
      <c r="F38" s="49"/>
      <c r="G38" s="48"/>
      <c r="H38" s="48"/>
      <c r="I38" s="28"/>
      <c r="J38" s="67"/>
      <c r="K38" s="67"/>
      <c r="L38" s="67"/>
      <c r="M38" s="67"/>
      <c r="N38" s="67"/>
      <c r="O38" s="67">
        <f>IFERROR(SUM(Таблица1[[#This Row],[ПИР]:[Прочие]]),)</f>
        <v>0</v>
      </c>
      <c r="P38" s="68" t="str">
        <f>результат!P36</f>
        <v/>
      </c>
      <c r="S38" s="51"/>
      <c r="U38" s="51"/>
    </row>
    <row r="39" spans="3:24" s="50" customFormat="1" x14ac:dyDescent="0.25">
      <c r="C39" s="48"/>
      <c r="D39" s="48"/>
      <c r="E39" s="48"/>
      <c r="F39" s="49"/>
      <c r="G39" s="48"/>
      <c r="H39" s="48"/>
      <c r="I39" s="28"/>
      <c r="J39" s="67"/>
      <c r="K39" s="67"/>
      <c r="L39" s="67"/>
      <c r="M39" s="67"/>
      <c r="N39" s="67"/>
      <c r="O39" s="67">
        <f>IFERROR(SUM(Таблица1[[#This Row],[ПИР]:[Прочие]]),)</f>
        <v>0</v>
      </c>
      <c r="P39" s="68" t="str">
        <f>результат!P37</f>
        <v/>
      </c>
      <c r="S39" s="51"/>
      <c r="U39" s="51"/>
    </row>
    <row r="40" spans="3:24" s="50" customFormat="1" x14ac:dyDescent="0.25">
      <c r="C40" s="48"/>
      <c r="D40" s="48"/>
      <c r="E40" s="48"/>
      <c r="F40" s="49"/>
      <c r="G40" s="48"/>
      <c r="H40" s="48"/>
      <c r="I40" s="28"/>
      <c r="J40" s="67"/>
      <c r="K40" s="67"/>
      <c r="L40" s="67"/>
      <c r="M40" s="67"/>
      <c r="N40" s="67"/>
      <c r="O40" s="67">
        <f>IFERROR(SUM(Таблица1[[#This Row],[ПИР]:[Прочие]]),)</f>
        <v>0</v>
      </c>
      <c r="P40" s="68" t="str">
        <f>результат!P38</f>
        <v/>
      </c>
      <c r="S40" s="51"/>
      <c r="U40" s="51"/>
    </row>
    <row r="41" spans="3:24" s="50" customFormat="1" x14ac:dyDescent="0.25">
      <c r="C41" s="48"/>
      <c r="D41" s="48"/>
      <c r="E41" s="48"/>
      <c r="F41" s="49"/>
      <c r="G41" s="48"/>
      <c r="H41" s="48"/>
      <c r="I41" s="28"/>
      <c r="J41" s="67"/>
      <c r="K41" s="67"/>
      <c r="L41" s="67"/>
      <c r="M41" s="67"/>
      <c r="N41" s="67"/>
      <c r="O41" s="67">
        <f>IFERROR(SUM(Таблица1[[#This Row],[ПИР]:[Прочие]]),)</f>
        <v>0</v>
      </c>
      <c r="P41" s="68" t="str">
        <f>результат!P39</f>
        <v/>
      </c>
      <c r="S41" s="51"/>
      <c r="U41" s="51"/>
    </row>
    <row r="42" spans="3:24" s="50" customFormat="1" x14ac:dyDescent="0.25">
      <c r="C42" s="48"/>
      <c r="D42" s="48"/>
      <c r="E42" s="48"/>
      <c r="F42" s="49"/>
      <c r="G42" s="48"/>
      <c r="H42" s="48"/>
      <c r="I42" s="28"/>
      <c r="J42" s="67"/>
      <c r="K42" s="67"/>
      <c r="L42" s="67"/>
      <c r="M42" s="67"/>
      <c r="N42" s="67"/>
      <c r="O42" s="67">
        <f>IFERROR(SUM(Таблица1[[#This Row],[ПИР]:[Прочие]]),)</f>
        <v>0</v>
      </c>
      <c r="P42" s="68" t="str">
        <f>результат!P40</f>
        <v/>
      </c>
      <c r="S42" s="51"/>
      <c r="U42" s="51"/>
    </row>
    <row r="43" spans="3:24" s="50" customFormat="1" x14ac:dyDescent="0.25">
      <c r="C43" s="48"/>
      <c r="D43" s="48"/>
      <c r="E43" s="48"/>
      <c r="F43" s="49"/>
      <c r="G43" s="48"/>
      <c r="H43" s="48"/>
      <c r="I43" s="28"/>
      <c r="J43" s="67"/>
      <c r="K43" s="67"/>
      <c r="L43" s="67"/>
      <c r="M43" s="67"/>
      <c r="N43" s="67"/>
      <c r="O43" s="67">
        <f>IFERROR(SUM(Таблица1[[#This Row],[ПИР]:[Прочие]]),)</f>
        <v>0</v>
      </c>
      <c r="P43" s="68" t="str">
        <f>результат!P41</f>
        <v/>
      </c>
      <c r="S43" s="51"/>
      <c r="U43" s="51"/>
    </row>
    <row r="44" spans="3:24" s="50" customFormat="1" x14ac:dyDescent="0.25">
      <c r="C44" s="48"/>
      <c r="D44" s="48"/>
      <c r="E44" s="48"/>
      <c r="F44" s="49"/>
      <c r="G44" s="48"/>
      <c r="H44" s="48"/>
      <c r="I44" s="28"/>
      <c r="J44" s="67"/>
      <c r="K44" s="67"/>
      <c r="L44" s="67"/>
      <c r="M44" s="67"/>
      <c r="N44" s="67"/>
      <c r="O44" s="67">
        <f>IFERROR(SUM(Таблица1[[#This Row],[ПИР]:[Прочие]]),)</f>
        <v>0</v>
      </c>
      <c r="P44" s="68" t="str">
        <f>результат!P42</f>
        <v/>
      </c>
      <c r="S44" s="51"/>
      <c r="U44" s="51"/>
    </row>
    <row r="45" spans="3:24" s="50" customFormat="1" x14ac:dyDescent="0.25">
      <c r="C45" s="48"/>
      <c r="D45" s="48"/>
      <c r="E45" s="48"/>
      <c r="F45" s="49"/>
      <c r="G45" s="48"/>
      <c r="H45" s="48"/>
      <c r="I45" s="28"/>
      <c r="J45" s="67"/>
      <c r="K45" s="67"/>
      <c r="L45" s="67"/>
      <c r="M45" s="67"/>
      <c r="N45" s="67"/>
      <c r="O45" s="67">
        <f>IFERROR(SUM(Таблица1[[#This Row],[ПИР]:[Прочие]]),)</f>
        <v>0</v>
      </c>
      <c r="P45" s="68" t="str">
        <f>результат!P43</f>
        <v/>
      </c>
      <c r="S45" s="51"/>
      <c r="U45" s="51"/>
    </row>
    <row r="46" spans="3:24" s="50" customFormat="1" x14ac:dyDescent="0.25">
      <c r="C46" s="48"/>
      <c r="D46" s="48"/>
      <c r="E46" s="48"/>
      <c r="F46" s="49"/>
      <c r="G46" s="48"/>
      <c r="H46" s="48"/>
      <c r="I46" s="28"/>
      <c r="J46" s="67"/>
      <c r="K46" s="67"/>
      <c r="L46" s="67"/>
      <c r="M46" s="67"/>
      <c r="N46" s="67"/>
      <c r="O46" s="67">
        <f>IFERROR(SUM(Таблица1[[#This Row],[ПИР]:[Прочие]]),)</f>
        <v>0</v>
      </c>
      <c r="P46" s="68" t="str">
        <f>результат!P44</f>
        <v/>
      </c>
      <c r="S46" s="51"/>
      <c r="U46" s="51"/>
    </row>
    <row r="47" spans="3:24" s="50" customFormat="1" x14ac:dyDescent="0.25">
      <c r="C47" s="48"/>
      <c r="D47" s="48"/>
      <c r="E47" s="48"/>
      <c r="F47" s="49"/>
      <c r="G47" s="48"/>
      <c r="H47" s="48"/>
      <c r="I47" s="28"/>
      <c r="J47" s="67"/>
      <c r="K47" s="67"/>
      <c r="L47" s="67"/>
      <c r="M47" s="67"/>
      <c r="N47" s="67"/>
      <c r="O47" s="67">
        <f>IFERROR(SUM(Таблица1[[#This Row],[ПИР]:[Прочие]]),)</f>
        <v>0</v>
      </c>
      <c r="P47" s="68" t="str">
        <f>результат!P45</f>
        <v/>
      </c>
      <c r="T47" s="51"/>
      <c r="V47" s="51"/>
      <c r="X47" s="51"/>
    </row>
    <row r="48" spans="3:24" s="50" customFormat="1" x14ac:dyDescent="0.25">
      <c r="C48" s="48"/>
      <c r="D48" s="48"/>
      <c r="E48" s="48"/>
      <c r="F48" s="49"/>
      <c r="G48" s="48"/>
      <c r="H48" s="48"/>
      <c r="I48" s="28"/>
      <c r="J48" s="67"/>
      <c r="K48" s="67"/>
      <c r="L48" s="67"/>
      <c r="M48" s="67"/>
      <c r="N48" s="67"/>
      <c r="O48" s="67">
        <f>IFERROR(SUM(Таблица1[[#This Row],[ПИР]:[Прочие]]),)</f>
        <v>0</v>
      </c>
      <c r="P48" s="68" t="str">
        <f>результат!P46</f>
        <v/>
      </c>
      <c r="T48" s="51"/>
      <c r="V48" s="51"/>
      <c r="X48" s="51"/>
    </row>
    <row r="49" spans="3:24" s="50" customFormat="1" x14ac:dyDescent="0.25">
      <c r="C49" s="48"/>
      <c r="D49" s="48"/>
      <c r="E49" s="48"/>
      <c r="F49" s="49"/>
      <c r="G49" s="48"/>
      <c r="H49" s="48"/>
      <c r="I49" s="28"/>
      <c r="J49" s="67"/>
      <c r="K49" s="67"/>
      <c r="L49" s="67"/>
      <c r="M49" s="67"/>
      <c r="N49" s="67"/>
      <c r="O49" s="67">
        <f>IFERROR(SUM(Таблица1[[#This Row],[ПИР]:[Прочие]]),)</f>
        <v>0</v>
      </c>
      <c r="P49" s="68" t="str">
        <f>результат!P47</f>
        <v/>
      </c>
      <c r="T49" s="51"/>
      <c r="V49" s="51"/>
      <c r="X49" s="51"/>
    </row>
    <row r="50" spans="3:24" s="50" customFormat="1" x14ac:dyDescent="0.25">
      <c r="C50" s="48"/>
      <c r="D50" s="48"/>
      <c r="E50" s="48"/>
      <c r="F50" s="49"/>
      <c r="G50" s="48"/>
      <c r="H50" s="48"/>
      <c r="I50" s="28"/>
      <c r="J50" s="67"/>
      <c r="K50" s="67"/>
      <c r="L50" s="67"/>
      <c r="M50" s="67"/>
      <c r="N50" s="67"/>
      <c r="O50" s="67">
        <f>IFERROR(SUM(Таблица1[[#This Row],[ПИР]:[Прочие]]),)</f>
        <v>0</v>
      </c>
      <c r="P50" s="68" t="str">
        <f>результат!P48</f>
        <v/>
      </c>
      <c r="T50" s="51"/>
      <c r="V50" s="51"/>
      <c r="X50" s="51"/>
    </row>
    <row r="51" spans="3:24" s="50" customFormat="1" x14ac:dyDescent="0.25">
      <c r="C51" s="48"/>
      <c r="D51" s="48"/>
      <c r="E51" s="48"/>
      <c r="F51" s="49"/>
      <c r="G51" s="48"/>
      <c r="H51" s="48"/>
      <c r="I51" s="28"/>
      <c r="J51" s="67"/>
      <c r="K51" s="67"/>
      <c r="L51" s="67"/>
      <c r="M51" s="67"/>
      <c r="N51" s="67"/>
      <c r="O51" s="67">
        <f>IFERROR(SUM(Таблица1[[#This Row],[ПИР]:[Прочие]]),)</f>
        <v>0</v>
      </c>
      <c r="P51" s="68" t="str">
        <f>результат!P49</f>
        <v/>
      </c>
      <c r="T51" s="51"/>
      <c r="V51" s="51"/>
      <c r="X51" s="51"/>
    </row>
    <row r="52" spans="3:24" s="50" customFormat="1" x14ac:dyDescent="0.25">
      <c r="C52" s="48"/>
      <c r="D52" s="48"/>
      <c r="E52" s="48"/>
      <c r="F52" s="49"/>
      <c r="G52" s="48"/>
      <c r="H52" s="48"/>
      <c r="I52" s="28"/>
      <c r="J52" s="67"/>
      <c r="K52" s="67"/>
      <c r="L52" s="67"/>
      <c r="M52" s="67"/>
      <c r="N52" s="67"/>
      <c r="O52" s="67">
        <f>IFERROR(SUM(Таблица1[[#This Row],[ПИР]:[Прочие]]),)</f>
        <v>0</v>
      </c>
      <c r="P52" s="68" t="str">
        <f>результат!P50</f>
        <v/>
      </c>
      <c r="T52" s="51"/>
      <c r="V52" s="51"/>
      <c r="X52" s="51"/>
    </row>
    <row r="53" spans="3:24" s="50" customFormat="1" x14ac:dyDescent="0.25">
      <c r="C53" s="48"/>
      <c r="D53" s="48"/>
      <c r="E53" s="48"/>
      <c r="F53" s="49"/>
      <c r="G53" s="48"/>
      <c r="H53" s="48"/>
      <c r="I53" s="28"/>
      <c r="J53" s="67"/>
      <c r="K53" s="67"/>
      <c r="L53" s="67"/>
      <c r="M53" s="67"/>
      <c r="N53" s="67"/>
      <c r="O53" s="67">
        <f>IFERROR(SUM(Таблица1[[#This Row],[ПИР]:[Прочие]]),)</f>
        <v>0</v>
      </c>
      <c r="P53" s="68" t="str">
        <f>результат!P51</f>
        <v/>
      </c>
      <c r="T53" s="51"/>
      <c r="V53" s="51"/>
      <c r="X53" s="51"/>
    </row>
    <row r="54" spans="3:24" s="50" customFormat="1" x14ac:dyDescent="0.25">
      <c r="C54" s="48"/>
      <c r="D54" s="48"/>
      <c r="E54" s="48"/>
      <c r="F54" s="49"/>
      <c r="G54" s="48"/>
      <c r="H54" s="48"/>
      <c r="I54" s="28"/>
      <c r="J54" s="67"/>
      <c r="K54" s="67"/>
      <c r="L54" s="67"/>
      <c r="M54" s="67"/>
      <c r="N54" s="67"/>
      <c r="O54" s="67">
        <f>IFERROR(SUM(Таблица1[[#This Row],[ПИР]:[Прочие]]),)</f>
        <v>0</v>
      </c>
      <c r="P54" s="68" t="str">
        <f>результат!P52</f>
        <v/>
      </c>
      <c r="T54" s="51"/>
      <c r="V54" s="51"/>
      <c r="X54" s="51"/>
    </row>
    <row r="55" spans="3:24" s="50" customFormat="1" x14ac:dyDescent="0.25">
      <c r="C55" s="48"/>
      <c r="D55" s="48"/>
      <c r="E55" s="48"/>
      <c r="F55" s="49"/>
      <c r="G55" s="48"/>
      <c r="H55" s="48"/>
      <c r="I55" s="28"/>
      <c r="J55" s="67"/>
      <c r="K55" s="67"/>
      <c r="L55" s="67"/>
      <c r="M55" s="67"/>
      <c r="N55" s="67"/>
      <c r="O55" s="67">
        <f>IFERROR(SUM(Таблица1[[#This Row],[ПИР]:[Прочие]]),)</f>
        <v>0</v>
      </c>
      <c r="P55" s="68" t="str">
        <f>результат!P53</f>
        <v/>
      </c>
      <c r="T55" s="51"/>
      <c r="V55" s="51"/>
      <c r="X55" s="51"/>
    </row>
    <row r="56" spans="3:24" s="50" customFormat="1" x14ac:dyDescent="0.25">
      <c r="C56" s="48"/>
      <c r="D56" s="48"/>
      <c r="E56" s="48"/>
      <c r="F56" s="49"/>
      <c r="G56" s="48"/>
      <c r="H56" s="48"/>
      <c r="I56" s="28"/>
      <c r="J56" s="67"/>
      <c r="K56" s="67"/>
      <c r="L56" s="67"/>
      <c r="M56" s="67"/>
      <c r="N56" s="67"/>
      <c r="O56" s="67">
        <f>IFERROR(SUM(Таблица1[[#This Row],[ПИР]:[Прочие]]),)</f>
        <v>0</v>
      </c>
      <c r="P56" s="68" t="str">
        <f>результат!P54</f>
        <v/>
      </c>
      <c r="T56" s="51"/>
      <c r="V56" s="51"/>
      <c r="X56" s="51"/>
    </row>
    <row r="57" spans="3:24" s="50" customFormat="1" x14ac:dyDescent="0.25">
      <c r="C57" s="48"/>
      <c r="D57" s="48"/>
      <c r="E57" s="48"/>
      <c r="F57" s="49"/>
      <c r="G57" s="48"/>
      <c r="H57" s="48"/>
      <c r="I57" s="28"/>
      <c r="J57" s="67"/>
      <c r="K57" s="67"/>
      <c r="L57" s="67"/>
      <c r="M57" s="67"/>
      <c r="N57" s="67"/>
      <c r="O57" s="67">
        <f>IFERROR(SUM(Таблица1[[#This Row],[ПИР]:[Прочие]]),)</f>
        <v>0</v>
      </c>
      <c r="P57" s="68" t="str">
        <f>результат!P55</f>
        <v/>
      </c>
      <c r="T57" s="51"/>
      <c r="V57" s="51"/>
      <c r="X57" s="51"/>
    </row>
    <row r="58" spans="3:24" s="50" customFormat="1" x14ac:dyDescent="0.25">
      <c r="C58" s="48"/>
      <c r="D58" s="48"/>
      <c r="E58" s="48"/>
      <c r="F58" s="49"/>
      <c r="G58" s="48"/>
      <c r="H58" s="48"/>
      <c r="I58" s="28"/>
      <c r="J58" s="67"/>
      <c r="K58" s="67"/>
      <c r="L58" s="67"/>
      <c r="M58" s="67"/>
      <c r="N58" s="67"/>
      <c r="O58" s="67">
        <f>IFERROR(SUM(Таблица1[[#This Row],[ПИР]:[Прочие]]),)</f>
        <v>0</v>
      </c>
      <c r="P58" s="68" t="str">
        <f>результат!P56</f>
        <v/>
      </c>
      <c r="T58" s="51"/>
      <c r="V58" s="51"/>
      <c r="X58" s="51"/>
    </row>
    <row r="59" spans="3:24" s="50" customFormat="1" x14ac:dyDescent="0.25">
      <c r="C59" s="48"/>
      <c r="D59" s="48"/>
      <c r="E59" s="48"/>
      <c r="F59" s="49"/>
      <c r="G59" s="48"/>
      <c r="H59" s="48"/>
      <c r="I59" s="28"/>
      <c r="J59" s="67"/>
      <c r="K59" s="67"/>
      <c r="L59" s="67"/>
      <c r="M59" s="67"/>
      <c r="N59" s="67"/>
      <c r="O59" s="67">
        <f>IFERROR(SUM(Таблица1[[#This Row],[ПИР]:[Прочие]]),)</f>
        <v>0</v>
      </c>
      <c r="P59" s="68" t="str">
        <f>результат!P57</f>
        <v/>
      </c>
      <c r="T59" s="51"/>
      <c r="V59" s="51"/>
      <c r="X59" s="51"/>
    </row>
    <row r="60" spans="3:24" s="50" customFormat="1" x14ac:dyDescent="0.25">
      <c r="C60" s="48"/>
      <c r="D60" s="48"/>
      <c r="E60" s="48"/>
      <c r="F60" s="49"/>
      <c r="G60" s="48"/>
      <c r="H60" s="48"/>
      <c r="I60" s="28"/>
      <c r="J60" s="67"/>
      <c r="K60" s="67"/>
      <c r="L60" s="67"/>
      <c r="M60" s="67"/>
      <c r="N60" s="67"/>
      <c r="O60" s="67">
        <f>IFERROR(SUM(Таблица1[[#This Row],[ПИР]:[Прочие]]),)</f>
        <v>0</v>
      </c>
      <c r="P60" s="68" t="str">
        <f>результат!P58</f>
        <v/>
      </c>
      <c r="T60" s="51"/>
      <c r="V60" s="51"/>
      <c r="X60" s="51"/>
    </row>
    <row r="61" spans="3:24" s="50" customFormat="1" x14ac:dyDescent="0.25">
      <c r="C61" s="48"/>
      <c r="D61" s="48"/>
      <c r="E61" s="48"/>
      <c r="F61" s="49"/>
      <c r="G61" s="48"/>
      <c r="H61" s="48"/>
      <c r="I61" s="28"/>
      <c r="J61" s="67"/>
      <c r="K61" s="67"/>
      <c r="L61" s="67"/>
      <c r="M61" s="67"/>
      <c r="N61" s="67"/>
      <c r="O61" s="67">
        <f>IFERROR(SUM(Таблица1[[#This Row],[ПИР]:[Прочие]]),)</f>
        <v>0</v>
      </c>
      <c r="P61" s="68" t="str">
        <f>результат!P59</f>
        <v/>
      </c>
      <c r="T61" s="51"/>
      <c r="V61" s="51"/>
      <c r="X61" s="51"/>
    </row>
    <row r="62" spans="3:24" s="50" customFormat="1" x14ac:dyDescent="0.25">
      <c r="C62" s="48"/>
      <c r="D62" s="48"/>
      <c r="E62" s="48"/>
      <c r="F62" s="49"/>
      <c r="G62" s="48"/>
      <c r="H62" s="48"/>
      <c r="I62" s="28"/>
      <c r="J62" s="67"/>
      <c r="K62" s="67"/>
      <c r="L62" s="67"/>
      <c r="M62" s="67"/>
      <c r="N62" s="67"/>
      <c r="O62" s="67">
        <f>IFERROR(SUM(Таблица1[[#This Row],[ПИР]:[Прочие]]),)</f>
        <v>0</v>
      </c>
      <c r="P62" s="68" t="str">
        <f>результат!P60</f>
        <v/>
      </c>
      <c r="T62" s="51"/>
      <c r="V62" s="51"/>
      <c r="X62" s="51"/>
    </row>
    <row r="63" spans="3:24" s="50" customFormat="1" x14ac:dyDescent="0.25">
      <c r="C63" s="48"/>
      <c r="D63" s="48"/>
      <c r="E63" s="48"/>
      <c r="F63" s="49"/>
      <c r="G63" s="48"/>
      <c r="H63" s="48"/>
      <c r="I63" s="28"/>
      <c r="J63" s="67"/>
      <c r="K63" s="67"/>
      <c r="L63" s="67"/>
      <c r="M63" s="67"/>
      <c r="N63" s="67"/>
      <c r="O63" s="67">
        <f>IFERROR(SUM(Таблица1[[#This Row],[ПИР]:[Прочие]]),)</f>
        <v>0</v>
      </c>
      <c r="P63" s="68" t="str">
        <f>результат!P61</f>
        <v/>
      </c>
      <c r="T63" s="51"/>
      <c r="V63" s="51"/>
      <c r="X63" s="51"/>
    </row>
    <row r="64" spans="3:24" s="50" customFormat="1" x14ac:dyDescent="0.25">
      <c r="C64" s="48"/>
      <c r="D64" s="48"/>
      <c r="E64" s="48"/>
      <c r="F64" s="49"/>
      <c r="G64" s="48"/>
      <c r="H64" s="48"/>
      <c r="I64" s="28"/>
      <c r="J64" s="67"/>
      <c r="K64" s="67"/>
      <c r="L64" s="67"/>
      <c r="M64" s="67"/>
      <c r="N64" s="67"/>
      <c r="O64" s="67">
        <f>IFERROR(SUM(Таблица1[[#This Row],[ПИР]:[Прочие]]),)</f>
        <v>0</v>
      </c>
      <c r="P64" s="68" t="str">
        <f>результат!P62</f>
        <v/>
      </c>
      <c r="T64" s="51"/>
      <c r="V64" s="51"/>
      <c r="X64" s="51"/>
    </row>
    <row r="65" spans="3:24" s="50" customFormat="1" x14ac:dyDescent="0.25">
      <c r="C65" s="48"/>
      <c r="D65" s="48"/>
      <c r="E65" s="48"/>
      <c r="F65" s="49"/>
      <c r="G65" s="48"/>
      <c r="H65" s="48"/>
      <c r="I65" s="28"/>
      <c r="J65" s="67"/>
      <c r="K65" s="67"/>
      <c r="L65" s="67"/>
      <c r="M65" s="67"/>
      <c r="N65" s="67"/>
      <c r="O65" s="67">
        <f>IFERROR(SUM(Таблица1[[#This Row],[ПИР]:[Прочие]]),)</f>
        <v>0</v>
      </c>
      <c r="P65" s="68" t="str">
        <f>результат!P63</f>
        <v/>
      </c>
      <c r="T65" s="51"/>
      <c r="V65" s="51"/>
      <c r="X65" s="51"/>
    </row>
    <row r="66" spans="3:24" s="50" customFormat="1" x14ac:dyDescent="0.25">
      <c r="C66" s="48"/>
      <c r="D66" s="48"/>
      <c r="E66" s="48"/>
      <c r="F66" s="49"/>
      <c r="G66" s="48"/>
      <c r="H66" s="48"/>
      <c r="I66" s="28"/>
      <c r="J66" s="67"/>
      <c r="K66" s="67"/>
      <c r="L66" s="67"/>
      <c r="M66" s="67"/>
      <c r="N66" s="67"/>
      <c r="O66" s="67">
        <f>IFERROR(SUM(Таблица1[[#This Row],[ПИР]:[Прочие]]),)</f>
        <v>0</v>
      </c>
      <c r="P66" s="68" t="str">
        <f>результат!P64</f>
        <v/>
      </c>
      <c r="T66" s="51"/>
      <c r="V66" s="51"/>
      <c r="X66" s="51"/>
    </row>
    <row r="67" spans="3:24" s="50" customFormat="1" x14ac:dyDescent="0.25">
      <c r="C67" s="48"/>
      <c r="D67" s="48"/>
      <c r="E67" s="48"/>
      <c r="F67" s="49"/>
      <c r="G67" s="48"/>
      <c r="H67" s="48"/>
      <c r="I67" s="28"/>
      <c r="J67" s="67"/>
      <c r="K67" s="67"/>
      <c r="L67" s="67"/>
      <c r="M67" s="67"/>
      <c r="N67" s="67"/>
      <c r="O67" s="67">
        <f>IFERROR(SUM(Таблица1[[#This Row],[ПИР]:[Прочие]]),)</f>
        <v>0</v>
      </c>
      <c r="P67" s="68" t="str">
        <f>результат!P65</f>
        <v/>
      </c>
      <c r="T67" s="51"/>
      <c r="V67" s="51"/>
      <c r="X67" s="51"/>
    </row>
    <row r="68" spans="3:24" s="50" customFormat="1" x14ac:dyDescent="0.25">
      <c r="C68" s="48"/>
      <c r="D68" s="48"/>
      <c r="E68" s="48"/>
      <c r="F68" s="49"/>
      <c r="G68" s="48"/>
      <c r="H68" s="48"/>
      <c r="I68" s="28"/>
      <c r="J68" s="67"/>
      <c r="K68" s="67"/>
      <c r="L68" s="67"/>
      <c r="M68" s="67"/>
      <c r="N68" s="67"/>
      <c r="O68" s="67">
        <f>IFERROR(SUM(Таблица1[[#This Row],[ПИР]:[Прочие]]),)</f>
        <v>0</v>
      </c>
      <c r="P68" s="68" t="str">
        <f>результат!P66</f>
        <v/>
      </c>
      <c r="T68" s="51"/>
      <c r="V68" s="51"/>
      <c r="X68" s="51"/>
    </row>
    <row r="69" spans="3:24" s="50" customFormat="1" x14ac:dyDescent="0.25">
      <c r="C69" s="48"/>
      <c r="D69" s="48"/>
      <c r="E69" s="48"/>
      <c r="F69" s="49"/>
      <c r="G69" s="48"/>
      <c r="H69" s="48"/>
      <c r="I69" s="28"/>
      <c r="J69" s="67"/>
      <c r="K69" s="67"/>
      <c r="L69" s="67"/>
      <c r="M69" s="67"/>
      <c r="N69" s="67"/>
      <c r="O69" s="67">
        <f>IFERROR(SUM(Таблица1[[#This Row],[ПИР]:[Прочие]]),)</f>
        <v>0</v>
      </c>
      <c r="P69" s="68" t="str">
        <f>результат!P67</f>
        <v/>
      </c>
      <c r="T69" s="51"/>
      <c r="V69" s="51"/>
      <c r="X69" s="51"/>
    </row>
    <row r="70" spans="3:24" s="50" customFormat="1" x14ac:dyDescent="0.25">
      <c r="C70" s="48"/>
      <c r="D70" s="48"/>
      <c r="E70" s="48"/>
      <c r="F70" s="49"/>
      <c r="G70" s="48"/>
      <c r="H70" s="48"/>
      <c r="I70" s="28"/>
      <c r="J70" s="67"/>
      <c r="K70" s="67"/>
      <c r="L70" s="67"/>
      <c r="M70" s="67"/>
      <c r="N70" s="67"/>
      <c r="O70" s="67">
        <f>IFERROR(SUM(Таблица1[[#This Row],[ПИР]:[Прочие]]),)</f>
        <v>0</v>
      </c>
      <c r="P70" s="68" t="str">
        <f>результат!P68</f>
        <v/>
      </c>
      <c r="T70" s="51"/>
      <c r="V70" s="51"/>
      <c r="X70" s="51"/>
    </row>
    <row r="71" spans="3:24" s="50" customFormat="1" x14ac:dyDescent="0.25">
      <c r="C71" s="48"/>
      <c r="D71" s="48"/>
      <c r="E71" s="48"/>
      <c r="F71" s="49"/>
      <c r="G71" s="48"/>
      <c r="H71" s="48"/>
      <c r="I71" s="28"/>
      <c r="J71" s="67"/>
      <c r="K71" s="67"/>
      <c r="L71" s="67"/>
      <c r="M71" s="67"/>
      <c r="N71" s="67"/>
      <c r="O71" s="67">
        <f>IFERROR(SUM(Таблица1[[#This Row],[ПИР]:[Прочие]]),)</f>
        <v>0</v>
      </c>
      <c r="P71" s="68" t="str">
        <f>результат!P69</f>
        <v/>
      </c>
      <c r="T71" s="51"/>
      <c r="V71" s="51"/>
      <c r="X71" s="51"/>
    </row>
    <row r="72" spans="3:24" s="50" customFormat="1" x14ac:dyDescent="0.25">
      <c r="C72" s="48"/>
      <c r="D72" s="48"/>
      <c r="E72" s="48"/>
      <c r="F72" s="49"/>
      <c r="G72" s="48"/>
      <c r="H72" s="48"/>
      <c r="I72" s="28"/>
      <c r="J72" s="67"/>
      <c r="K72" s="67"/>
      <c r="L72" s="67"/>
      <c r="M72" s="67"/>
      <c r="N72" s="67"/>
      <c r="O72" s="67">
        <f>IFERROR(SUM(Таблица1[[#This Row],[ПИР]:[Прочие]]),)</f>
        <v>0</v>
      </c>
      <c r="P72" s="68" t="str">
        <f>результат!P70</f>
        <v/>
      </c>
      <c r="T72" s="51"/>
      <c r="V72" s="51"/>
      <c r="X72" s="51"/>
    </row>
    <row r="73" spans="3:24" s="50" customFormat="1" x14ac:dyDescent="0.25">
      <c r="C73" s="48"/>
      <c r="D73" s="48"/>
      <c r="E73" s="48"/>
      <c r="F73" s="49"/>
      <c r="G73" s="48"/>
      <c r="H73" s="48"/>
      <c r="I73" s="28"/>
      <c r="J73" s="67"/>
      <c r="K73" s="67"/>
      <c r="L73" s="67"/>
      <c r="M73" s="67"/>
      <c r="N73" s="67"/>
      <c r="O73" s="67">
        <f>IFERROR(SUM(Таблица1[[#This Row],[ПИР]:[Прочие]]),)</f>
        <v>0</v>
      </c>
      <c r="P73" s="68" t="str">
        <f>результат!P71</f>
        <v/>
      </c>
      <c r="T73" s="51"/>
      <c r="V73" s="51"/>
      <c r="X73" s="51"/>
    </row>
    <row r="74" spans="3:24" s="50" customFormat="1" x14ac:dyDescent="0.25">
      <c r="C74" s="48"/>
      <c r="D74" s="48"/>
      <c r="E74" s="48"/>
      <c r="F74" s="49"/>
      <c r="G74" s="48"/>
      <c r="H74" s="48"/>
      <c r="I74" s="28"/>
      <c r="J74" s="67"/>
      <c r="K74" s="67"/>
      <c r="L74" s="67"/>
      <c r="M74" s="67"/>
      <c r="N74" s="67"/>
      <c r="O74" s="67">
        <f>IFERROR(SUM(Таблица1[[#This Row],[ПИР]:[Прочие]]),)</f>
        <v>0</v>
      </c>
      <c r="P74" s="68" t="str">
        <f>результат!P72</f>
        <v/>
      </c>
      <c r="T74" s="51"/>
      <c r="V74" s="51"/>
      <c r="X74" s="51"/>
    </row>
    <row r="75" spans="3:24" s="50" customFormat="1" x14ac:dyDescent="0.25">
      <c r="C75" s="48"/>
      <c r="D75" s="48"/>
      <c r="E75" s="48"/>
      <c r="F75" s="49"/>
      <c r="G75" s="48"/>
      <c r="H75" s="48"/>
      <c r="I75" s="28"/>
      <c r="J75" s="67"/>
      <c r="K75" s="67"/>
      <c r="L75" s="67"/>
      <c r="M75" s="67"/>
      <c r="N75" s="67"/>
      <c r="O75" s="67">
        <f>IFERROR(SUM(Таблица1[[#This Row],[ПИР]:[Прочие]]),)</f>
        <v>0</v>
      </c>
      <c r="P75" s="68" t="str">
        <f>результат!P73</f>
        <v/>
      </c>
      <c r="T75" s="51"/>
      <c r="V75" s="51"/>
      <c r="X75" s="51"/>
    </row>
    <row r="76" spans="3:24" s="50" customFormat="1" x14ac:dyDescent="0.25">
      <c r="C76" s="48"/>
      <c r="D76" s="48"/>
      <c r="E76" s="48"/>
      <c r="F76" s="49"/>
      <c r="G76" s="48"/>
      <c r="H76" s="48"/>
      <c r="I76" s="28"/>
      <c r="J76" s="67"/>
      <c r="K76" s="67"/>
      <c r="L76" s="67"/>
      <c r="M76" s="67"/>
      <c r="N76" s="67"/>
      <c r="O76" s="67">
        <f>IFERROR(SUM(Таблица1[[#This Row],[ПИР]:[Прочие]]),)</f>
        <v>0</v>
      </c>
      <c r="P76" s="68" t="str">
        <f>результат!P74</f>
        <v/>
      </c>
      <c r="T76" s="51"/>
      <c r="V76" s="51"/>
      <c r="X76" s="51"/>
    </row>
    <row r="77" spans="3:24" s="50" customFormat="1" x14ac:dyDescent="0.25">
      <c r="C77" s="48"/>
      <c r="D77" s="48"/>
      <c r="E77" s="48"/>
      <c r="F77" s="49"/>
      <c r="G77" s="48"/>
      <c r="H77" s="48"/>
      <c r="I77" s="28"/>
      <c r="J77" s="67"/>
      <c r="K77" s="67"/>
      <c r="L77" s="67"/>
      <c r="M77" s="67"/>
      <c r="N77" s="67"/>
      <c r="O77" s="67">
        <f>IFERROR(SUM(Таблица1[[#This Row],[ПИР]:[Прочие]]),)</f>
        <v>0</v>
      </c>
      <c r="P77" s="68" t="str">
        <f>результат!P75</f>
        <v/>
      </c>
      <c r="T77" s="51"/>
      <c r="V77" s="51"/>
      <c r="X77" s="51"/>
    </row>
    <row r="78" spans="3:24" s="50" customFormat="1" x14ac:dyDescent="0.25">
      <c r="C78" s="48"/>
      <c r="D78" s="48"/>
      <c r="E78" s="48"/>
      <c r="F78" s="49"/>
      <c r="G78" s="48"/>
      <c r="H78" s="48"/>
      <c r="I78" s="28"/>
      <c r="J78" s="67"/>
      <c r="K78" s="67"/>
      <c r="L78" s="67"/>
      <c r="M78" s="67"/>
      <c r="N78" s="67"/>
      <c r="O78" s="67">
        <f>IFERROR(SUM(Таблица1[[#This Row],[ПИР]:[Прочие]]),)</f>
        <v>0</v>
      </c>
      <c r="P78" s="68" t="str">
        <f>результат!P76</f>
        <v/>
      </c>
      <c r="T78" s="51"/>
      <c r="V78" s="51"/>
      <c r="X78" s="51"/>
    </row>
    <row r="79" spans="3:24" s="50" customFormat="1" x14ac:dyDescent="0.25">
      <c r="C79" s="48"/>
      <c r="D79" s="48"/>
      <c r="E79" s="48"/>
      <c r="F79" s="49"/>
      <c r="G79" s="48"/>
      <c r="H79" s="48"/>
      <c r="I79" s="28"/>
      <c r="J79" s="67"/>
      <c r="K79" s="67"/>
      <c r="L79" s="67"/>
      <c r="M79" s="67"/>
      <c r="N79" s="67"/>
      <c r="O79" s="67">
        <f>IFERROR(SUM(Таблица1[[#This Row],[ПИР]:[Прочие]]),)</f>
        <v>0</v>
      </c>
      <c r="P79" s="68" t="str">
        <f>результат!P77</f>
        <v/>
      </c>
      <c r="T79" s="51"/>
      <c r="V79" s="51"/>
      <c r="X79" s="51"/>
    </row>
    <row r="80" spans="3:24" s="50" customFormat="1" x14ac:dyDescent="0.25">
      <c r="C80" s="48"/>
      <c r="D80" s="48"/>
      <c r="E80" s="48"/>
      <c r="F80" s="49"/>
      <c r="G80" s="48"/>
      <c r="H80" s="48"/>
      <c r="I80" s="28"/>
      <c r="J80" s="67"/>
      <c r="K80" s="67"/>
      <c r="L80" s="67"/>
      <c r="M80" s="67"/>
      <c r="N80" s="67"/>
      <c r="O80" s="67">
        <f>IFERROR(SUM(Таблица1[[#This Row],[ПИР]:[Прочие]]),)</f>
        <v>0</v>
      </c>
      <c r="P80" s="68" t="str">
        <f>результат!P78</f>
        <v/>
      </c>
      <c r="T80" s="51"/>
      <c r="V80" s="51"/>
      <c r="X80" s="51"/>
    </row>
    <row r="81" spans="3:24" s="50" customFormat="1" x14ac:dyDescent="0.25">
      <c r="C81" s="48"/>
      <c r="D81" s="48"/>
      <c r="E81" s="48"/>
      <c r="F81" s="49"/>
      <c r="G81" s="48"/>
      <c r="H81" s="48"/>
      <c r="I81" s="28"/>
      <c r="J81" s="67"/>
      <c r="K81" s="67"/>
      <c r="L81" s="67"/>
      <c r="M81" s="67"/>
      <c r="N81" s="67"/>
      <c r="O81" s="67">
        <f>IFERROR(SUM(Таблица1[[#This Row],[ПИР]:[Прочие]]),)</f>
        <v>0</v>
      </c>
      <c r="P81" s="68" t="str">
        <f>результат!P79</f>
        <v/>
      </c>
      <c r="T81" s="51"/>
      <c r="V81" s="51"/>
      <c r="X81" s="51"/>
    </row>
    <row r="82" spans="3:24" s="50" customFormat="1" x14ac:dyDescent="0.25">
      <c r="C82" s="48"/>
      <c r="D82" s="48"/>
      <c r="E82" s="48"/>
      <c r="F82" s="49"/>
      <c r="G82" s="48"/>
      <c r="H82" s="48"/>
      <c r="I82" s="28"/>
      <c r="J82" s="67"/>
      <c r="K82" s="67"/>
      <c r="L82" s="67"/>
      <c r="M82" s="67"/>
      <c r="N82" s="67"/>
      <c r="O82" s="67">
        <f>IFERROR(SUM(Таблица1[[#This Row],[ПИР]:[Прочие]]),)</f>
        <v>0</v>
      </c>
      <c r="P82" s="68" t="str">
        <f>результат!P80</f>
        <v/>
      </c>
      <c r="T82" s="51"/>
      <c r="V82" s="51"/>
      <c r="X82" s="51"/>
    </row>
    <row r="83" spans="3:24" s="50" customFormat="1" x14ac:dyDescent="0.25">
      <c r="C83" s="48"/>
      <c r="D83" s="48"/>
      <c r="E83" s="48"/>
      <c r="F83" s="49"/>
      <c r="G83" s="48"/>
      <c r="H83" s="48"/>
      <c r="I83" s="28"/>
      <c r="J83" s="67"/>
      <c r="K83" s="67"/>
      <c r="L83" s="67"/>
      <c r="M83" s="67"/>
      <c r="N83" s="67"/>
      <c r="O83" s="67">
        <f>IFERROR(SUM(Таблица1[[#This Row],[ПИР]:[Прочие]]),)</f>
        <v>0</v>
      </c>
      <c r="P83" s="68" t="str">
        <f>результат!P81</f>
        <v/>
      </c>
      <c r="T83" s="51"/>
      <c r="V83" s="51"/>
      <c r="X83" s="51"/>
    </row>
    <row r="84" spans="3:24" s="50" customFormat="1" x14ac:dyDescent="0.25">
      <c r="C84" s="48"/>
      <c r="D84" s="48"/>
      <c r="E84" s="48"/>
      <c r="F84" s="49"/>
      <c r="G84" s="48"/>
      <c r="H84" s="48"/>
      <c r="I84" s="28"/>
      <c r="J84" s="67"/>
      <c r="K84" s="67"/>
      <c r="L84" s="67"/>
      <c r="M84" s="67"/>
      <c r="N84" s="67"/>
      <c r="O84" s="67">
        <f>IFERROR(SUM(Таблица1[[#This Row],[ПИР]:[Прочие]]),)</f>
        <v>0</v>
      </c>
      <c r="P84" s="68" t="str">
        <f>результат!P82</f>
        <v/>
      </c>
      <c r="T84" s="51"/>
      <c r="V84" s="51"/>
      <c r="X84" s="51"/>
    </row>
    <row r="85" spans="3:24" s="50" customFormat="1" x14ac:dyDescent="0.25">
      <c r="C85" s="48"/>
      <c r="D85" s="48"/>
      <c r="E85" s="48"/>
      <c r="F85" s="49"/>
      <c r="G85" s="48"/>
      <c r="H85" s="48"/>
      <c r="I85" s="28"/>
      <c r="J85" s="67"/>
      <c r="K85" s="67"/>
      <c r="L85" s="67"/>
      <c r="M85" s="67"/>
      <c r="N85" s="67"/>
      <c r="O85" s="67">
        <f>IFERROR(SUM(Таблица1[[#This Row],[ПИР]:[Прочие]]),)</f>
        <v>0</v>
      </c>
      <c r="P85" s="68" t="str">
        <f>результат!P83</f>
        <v/>
      </c>
      <c r="T85" s="51"/>
      <c r="V85" s="51"/>
      <c r="X85" s="51"/>
    </row>
    <row r="86" spans="3:24" s="50" customFormat="1" x14ac:dyDescent="0.25">
      <c r="C86" s="48"/>
      <c r="D86" s="48"/>
      <c r="E86" s="48"/>
      <c r="F86" s="49"/>
      <c r="G86" s="48"/>
      <c r="H86" s="48"/>
      <c r="I86" s="28"/>
      <c r="J86" s="67"/>
      <c r="K86" s="67"/>
      <c r="L86" s="67"/>
      <c r="M86" s="67"/>
      <c r="N86" s="67"/>
      <c r="O86" s="67">
        <f>IFERROR(SUM(Таблица1[[#This Row],[ПИР]:[Прочие]]),)</f>
        <v>0</v>
      </c>
      <c r="P86" s="68" t="str">
        <f>результат!P84</f>
        <v/>
      </c>
      <c r="T86" s="51"/>
      <c r="V86" s="51"/>
      <c r="X86" s="51"/>
    </row>
    <row r="87" spans="3:24" s="50" customFormat="1" x14ac:dyDescent="0.25">
      <c r="C87" s="48"/>
      <c r="D87" s="48"/>
      <c r="E87" s="48"/>
      <c r="F87" s="49"/>
      <c r="G87" s="48"/>
      <c r="H87" s="48"/>
      <c r="I87" s="28"/>
      <c r="J87" s="67"/>
      <c r="K87" s="67"/>
      <c r="L87" s="67"/>
      <c r="M87" s="67"/>
      <c r="N87" s="67"/>
      <c r="O87" s="67">
        <f>IFERROR(SUM(Таблица1[[#This Row],[ПИР]:[Прочие]]),)</f>
        <v>0</v>
      </c>
      <c r="P87" s="68" t="str">
        <f>результат!P85</f>
        <v/>
      </c>
      <c r="T87" s="51"/>
      <c r="V87" s="51"/>
      <c r="X87" s="51"/>
    </row>
    <row r="88" spans="3:24" s="50" customFormat="1" x14ac:dyDescent="0.25">
      <c r="C88" s="48"/>
      <c r="D88" s="48"/>
      <c r="E88" s="48"/>
      <c r="F88" s="49"/>
      <c r="G88" s="48"/>
      <c r="H88" s="48"/>
      <c r="I88" s="28"/>
      <c r="J88" s="67"/>
      <c r="K88" s="67"/>
      <c r="L88" s="67"/>
      <c r="M88" s="67"/>
      <c r="N88" s="67"/>
      <c r="O88" s="67">
        <f>IFERROR(SUM(Таблица1[[#This Row],[ПИР]:[Прочие]]),)</f>
        <v>0</v>
      </c>
      <c r="P88" s="68" t="str">
        <f>результат!P86</f>
        <v/>
      </c>
      <c r="T88" s="51"/>
      <c r="V88" s="51"/>
      <c r="X88" s="51"/>
    </row>
    <row r="89" spans="3:24" s="50" customFormat="1" x14ac:dyDescent="0.25">
      <c r="C89" s="48"/>
      <c r="D89" s="48"/>
      <c r="E89" s="48"/>
      <c r="F89" s="49"/>
      <c r="G89" s="48"/>
      <c r="H89" s="48"/>
      <c r="I89" s="28"/>
      <c r="J89" s="67"/>
      <c r="K89" s="67"/>
      <c r="L89" s="67"/>
      <c r="M89" s="67"/>
      <c r="N89" s="67"/>
      <c r="O89" s="67">
        <f>IFERROR(SUM(Таблица1[[#This Row],[ПИР]:[Прочие]]),)</f>
        <v>0</v>
      </c>
      <c r="P89" s="68" t="str">
        <f>результат!P87</f>
        <v/>
      </c>
      <c r="T89" s="51"/>
      <c r="V89" s="51"/>
      <c r="X89" s="51"/>
    </row>
    <row r="90" spans="3:24" s="50" customFormat="1" x14ac:dyDescent="0.25">
      <c r="C90" s="48"/>
      <c r="D90" s="48"/>
      <c r="E90" s="48"/>
      <c r="F90" s="49"/>
      <c r="G90" s="48"/>
      <c r="H90" s="48"/>
      <c r="I90" s="28"/>
      <c r="J90" s="67"/>
      <c r="K90" s="67"/>
      <c r="L90" s="67"/>
      <c r="M90" s="67"/>
      <c r="N90" s="67"/>
      <c r="O90" s="67">
        <f>IFERROR(SUM(Таблица1[[#This Row],[ПИР]:[Прочие]]),)</f>
        <v>0</v>
      </c>
      <c r="P90" s="68" t="str">
        <f>результат!P88</f>
        <v/>
      </c>
      <c r="T90" s="51"/>
      <c r="V90" s="51"/>
      <c r="X90" s="51"/>
    </row>
    <row r="91" spans="3:24" s="50" customFormat="1" x14ac:dyDescent="0.25">
      <c r="C91" s="48"/>
      <c r="D91" s="48"/>
      <c r="E91" s="48"/>
      <c r="F91" s="49"/>
      <c r="G91" s="48"/>
      <c r="H91" s="48"/>
      <c r="I91" s="28"/>
      <c r="J91" s="67"/>
      <c r="K91" s="67"/>
      <c r="L91" s="67"/>
      <c r="M91" s="67"/>
      <c r="N91" s="67"/>
      <c r="O91" s="67">
        <f>IFERROR(SUM(Таблица1[[#This Row],[ПИР]:[Прочие]]),)</f>
        <v>0</v>
      </c>
      <c r="P91" s="68" t="str">
        <f>результат!P89</f>
        <v/>
      </c>
      <c r="T91" s="51"/>
      <c r="V91" s="51"/>
      <c r="X91" s="51"/>
    </row>
    <row r="92" spans="3:24" s="50" customFormat="1" x14ac:dyDescent="0.25">
      <c r="C92" s="48"/>
      <c r="D92" s="48"/>
      <c r="E92" s="48"/>
      <c r="F92" s="49"/>
      <c r="G92" s="48"/>
      <c r="H92" s="48"/>
      <c r="I92" s="28"/>
      <c r="J92" s="67"/>
      <c r="K92" s="67"/>
      <c r="L92" s="67"/>
      <c r="M92" s="67"/>
      <c r="N92" s="67"/>
      <c r="O92" s="67">
        <f>IFERROR(SUM(Таблица1[[#This Row],[ПИР]:[Прочие]]),)</f>
        <v>0</v>
      </c>
      <c r="P92" s="68" t="str">
        <f>результат!P90</f>
        <v/>
      </c>
      <c r="T92" s="51"/>
      <c r="V92" s="51"/>
      <c r="X92" s="51"/>
    </row>
    <row r="93" spans="3:24" s="50" customFormat="1" x14ac:dyDescent="0.25">
      <c r="C93" s="48"/>
      <c r="D93" s="48"/>
      <c r="E93" s="48"/>
      <c r="F93" s="49"/>
      <c r="G93" s="48"/>
      <c r="H93" s="48"/>
      <c r="I93" s="28"/>
      <c r="J93" s="67"/>
      <c r="K93" s="67"/>
      <c r="L93" s="67"/>
      <c r="M93" s="67"/>
      <c r="N93" s="67"/>
      <c r="O93" s="67">
        <f>IFERROR(SUM(Таблица1[[#This Row],[ПИР]:[Прочие]]),)</f>
        <v>0</v>
      </c>
      <c r="P93" s="68" t="str">
        <f>результат!P91</f>
        <v/>
      </c>
      <c r="T93" s="51"/>
      <c r="V93" s="51"/>
      <c r="X93" s="51"/>
    </row>
    <row r="94" spans="3:24" s="50" customFormat="1" x14ac:dyDescent="0.25">
      <c r="C94" s="48"/>
      <c r="D94" s="48"/>
      <c r="E94" s="48"/>
      <c r="F94" s="49"/>
      <c r="G94" s="48"/>
      <c r="H94" s="48"/>
      <c r="I94" s="28"/>
      <c r="J94" s="67"/>
      <c r="K94" s="67"/>
      <c r="L94" s="67"/>
      <c r="M94" s="67"/>
      <c r="N94" s="67"/>
      <c r="O94" s="67">
        <f>IFERROR(SUM(Таблица1[[#This Row],[ПИР]:[Прочие]]),)</f>
        <v>0</v>
      </c>
      <c r="P94" s="68" t="str">
        <f>результат!P92</f>
        <v/>
      </c>
      <c r="T94" s="51"/>
      <c r="V94" s="51"/>
      <c r="X94" s="51"/>
    </row>
    <row r="95" spans="3:24" s="50" customFormat="1" x14ac:dyDescent="0.25">
      <c r="C95" s="48"/>
      <c r="D95" s="48"/>
      <c r="E95" s="48"/>
      <c r="F95" s="49"/>
      <c r="G95" s="48"/>
      <c r="H95" s="48"/>
      <c r="I95" s="28"/>
      <c r="J95" s="67"/>
      <c r="K95" s="67"/>
      <c r="L95" s="67"/>
      <c r="M95" s="67"/>
      <c r="N95" s="67"/>
      <c r="O95" s="67">
        <f>IFERROR(SUM(Таблица1[[#This Row],[ПИР]:[Прочие]]),)</f>
        <v>0</v>
      </c>
      <c r="P95" s="68" t="str">
        <f>результат!P93</f>
        <v/>
      </c>
      <c r="T95" s="51"/>
      <c r="V95" s="51"/>
      <c r="X95" s="51"/>
    </row>
    <row r="96" spans="3:24" s="50" customFormat="1" x14ac:dyDescent="0.25">
      <c r="C96" s="48"/>
      <c r="D96" s="48"/>
      <c r="E96" s="48"/>
      <c r="F96" s="49"/>
      <c r="G96" s="48"/>
      <c r="H96" s="48"/>
      <c r="I96" s="28"/>
      <c r="J96" s="67"/>
      <c r="K96" s="67"/>
      <c r="L96" s="67"/>
      <c r="M96" s="67"/>
      <c r="N96" s="67"/>
      <c r="O96" s="67">
        <f>IFERROR(SUM(Таблица1[[#This Row],[ПИР]:[Прочие]]),)</f>
        <v>0</v>
      </c>
      <c r="P96" s="68" t="str">
        <f>результат!P94</f>
        <v/>
      </c>
      <c r="T96" s="51"/>
      <c r="V96" s="51"/>
      <c r="X96" s="51"/>
    </row>
    <row r="97" spans="3:24" s="50" customFormat="1" x14ac:dyDescent="0.25">
      <c r="C97" s="48"/>
      <c r="D97" s="48"/>
      <c r="E97" s="48"/>
      <c r="F97" s="49"/>
      <c r="G97" s="48"/>
      <c r="H97" s="48"/>
      <c r="I97" s="28"/>
      <c r="J97" s="67"/>
      <c r="K97" s="67"/>
      <c r="L97" s="67"/>
      <c r="M97" s="67"/>
      <c r="N97" s="67"/>
      <c r="O97" s="67">
        <f>IFERROR(SUM(Таблица1[[#This Row],[ПИР]:[Прочие]]),)</f>
        <v>0</v>
      </c>
      <c r="P97" s="68" t="str">
        <f>результат!P95</f>
        <v/>
      </c>
      <c r="T97" s="51"/>
      <c r="V97" s="51"/>
      <c r="X97" s="51"/>
    </row>
    <row r="98" spans="3:24" s="50" customFormat="1" x14ac:dyDescent="0.25">
      <c r="C98" s="48"/>
      <c r="D98" s="48"/>
      <c r="E98" s="48"/>
      <c r="F98" s="49"/>
      <c r="G98" s="48"/>
      <c r="H98" s="48"/>
      <c r="I98" s="28"/>
      <c r="J98" s="67"/>
      <c r="K98" s="67"/>
      <c r="L98" s="67"/>
      <c r="M98" s="67"/>
      <c r="N98" s="67"/>
      <c r="O98" s="67">
        <f>IFERROR(SUM(Таблица1[[#This Row],[ПИР]:[Прочие]]),)</f>
        <v>0</v>
      </c>
      <c r="P98" s="68" t="str">
        <f>результат!P96</f>
        <v/>
      </c>
      <c r="T98" s="51"/>
      <c r="V98" s="51"/>
      <c r="X98" s="51"/>
    </row>
    <row r="99" spans="3:24" s="50" customFormat="1" x14ac:dyDescent="0.25">
      <c r="C99" s="48"/>
      <c r="D99" s="48"/>
      <c r="E99" s="48"/>
      <c r="F99" s="49"/>
      <c r="G99" s="48"/>
      <c r="H99" s="48"/>
      <c r="I99" s="28"/>
      <c r="J99" s="67"/>
      <c r="K99" s="67"/>
      <c r="L99" s="67"/>
      <c r="M99" s="67"/>
      <c r="N99" s="67"/>
      <c r="O99" s="67">
        <f>IFERROR(SUM(Таблица1[[#This Row],[ПИР]:[Прочие]]),)</f>
        <v>0</v>
      </c>
      <c r="P99" s="68" t="str">
        <f>результат!P97</f>
        <v/>
      </c>
      <c r="T99" s="51"/>
      <c r="V99" s="51"/>
      <c r="X99" s="51"/>
    </row>
    <row r="100" spans="3:24" s="50" customFormat="1" x14ac:dyDescent="0.25">
      <c r="C100" s="48"/>
      <c r="D100" s="48"/>
      <c r="E100" s="48"/>
      <c r="F100" s="49"/>
      <c r="G100" s="48"/>
      <c r="H100" s="48"/>
      <c r="I100" s="28"/>
      <c r="J100" s="67"/>
      <c r="K100" s="67"/>
      <c r="L100" s="67"/>
      <c r="M100" s="67"/>
      <c r="N100" s="67"/>
      <c r="O100" s="67">
        <f>IFERROR(SUM(Таблица1[[#This Row],[ПИР]:[Прочие]]),)</f>
        <v>0</v>
      </c>
      <c r="P100" s="68" t="str">
        <f>результат!P98</f>
        <v/>
      </c>
      <c r="T100" s="51"/>
      <c r="V100" s="51"/>
      <c r="X100" s="51"/>
    </row>
    <row r="101" spans="3:24" s="50" customFormat="1" x14ac:dyDescent="0.25">
      <c r="C101" s="48"/>
      <c r="D101" s="48"/>
      <c r="E101" s="48"/>
      <c r="F101" s="49"/>
      <c r="G101" s="48"/>
      <c r="H101" s="48"/>
      <c r="I101" s="28"/>
      <c r="J101" s="67"/>
      <c r="K101" s="67"/>
      <c r="L101" s="67"/>
      <c r="M101" s="67"/>
      <c r="N101" s="67"/>
      <c r="O101" s="67">
        <f>IFERROR(SUM(Таблица1[[#This Row],[ПИР]:[Прочие]]),)</f>
        <v>0</v>
      </c>
      <c r="P101" s="68" t="str">
        <f>результат!P99</f>
        <v/>
      </c>
      <c r="T101" s="51"/>
      <c r="V101" s="51"/>
      <c r="X101" s="51"/>
    </row>
    <row r="102" spans="3:24" s="50" customFormat="1" x14ac:dyDescent="0.25">
      <c r="C102" s="48"/>
      <c r="D102" s="48"/>
      <c r="E102" s="48"/>
      <c r="F102" s="49"/>
      <c r="G102" s="48"/>
      <c r="H102" s="48"/>
      <c r="I102" s="28"/>
      <c r="J102" s="67"/>
      <c r="K102" s="67"/>
      <c r="L102" s="67"/>
      <c r="M102" s="67"/>
      <c r="N102" s="67"/>
      <c r="O102" s="67">
        <f>IFERROR(SUM(Таблица1[[#This Row],[ПИР]:[Прочие]]),)</f>
        <v>0</v>
      </c>
      <c r="P102" s="68" t="str">
        <f>результат!P100</f>
        <v/>
      </c>
      <c r="T102" s="51"/>
      <c r="V102" s="51"/>
      <c r="X102" s="51"/>
    </row>
    <row r="103" spans="3:24" s="50" customFormat="1" x14ac:dyDescent="0.25">
      <c r="C103" s="48"/>
      <c r="D103" s="48"/>
      <c r="E103" s="48"/>
      <c r="F103" s="49"/>
      <c r="G103" s="48"/>
      <c r="H103" s="48"/>
      <c r="I103" s="28"/>
      <c r="J103" s="67"/>
      <c r="K103" s="67"/>
      <c r="L103" s="67"/>
      <c r="M103" s="67"/>
      <c r="N103" s="67"/>
      <c r="O103" s="67">
        <f>IFERROR(SUM(Таблица1[[#This Row],[ПИР]:[Прочие]]),)</f>
        <v>0</v>
      </c>
      <c r="P103" s="68" t="str">
        <f>результат!P101</f>
        <v/>
      </c>
      <c r="T103" s="51"/>
      <c r="V103" s="51"/>
      <c r="X103" s="51"/>
    </row>
    <row r="104" spans="3:24" s="50" customFormat="1" x14ac:dyDescent="0.25">
      <c r="C104" s="48"/>
      <c r="D104" s="48"/>
      <c r="E104" s="48"/>
      <c r="F104" s="49"/>
      <c r="G104" s="48"/>
      <c r="H104" s="48"/>
      <c r="I104" s="28"/>
      <c r="J104" s="67"/>
      <c r="K104" s="67"/>
      <c r="L104" s="67"/>
      <c r="M104" s="67"/>
      <c r="N104" s="67"/>
      <c r="O104" s="67">
        <f>IFERROR(SUM(Таблица1[[#This Row],[ПИР]:[Прочие]]),)</f>
        <v>0</v>
      </c>
      <c r="P104" s="68" t="str">
        <f>результат!P102</f>
        <v/>
      </c>
      <c r="T104" s="51"/>
      <c r="V104" s="51"/>
      <c r="X104" s="51"/>
    </row>
    <row r="105" spans="3:24" s="50" customFormat="1" x14ac:dyDescent="0.25">
      <c r="C105" s="48"/>
      <c r="D105" s="48"/>
      <c r="E105" s="48"/>
      <c r="F105" s="49"/>
      <c r="G105" s="48"/>
      <c r="H105" s="48"/>
      <c r="I105" s="28"/>
      <c r="J105" s="67"/>
      <c r="K105" s="67"/>
      <c r="L105" s="67"/>
      <c r="M105" s="67"/>
      <c r="N105" s="67"/>
      <c r="O105" s="67">
        <f>IFERROR(SUM(Таблица1[[#This Row],[ПИР]:[Прочие]]),)</f>
        <v>0</v>
      </c>
      <c r="P105" s="68" t="str">
        <f>результат!P103</f>
        <v/>
      </c>
      <c r="T105" s="51"/>
      <c r="V105" s="51"/>
      <c r="X105" s="51"/>
    </row>
    <row r="106" spans="3:24" s="50" customFormat="1" x14ac:dyDescent="0.25">
      <c r="C106" s="48"/>
      <c r="D106" s="48"/>
      <c r="E106" s="48"/>
      <c r="F106" s="49"/>
      <c r="G106" s="48"/>
      <c r="H106" s="48"/>
      <c r="I106" s="48"/>
      <c r="J106" s="53"/>
      <c r="K106" s="53"/>
      <c r="L106" s="48"/>
      <c r="M106" s="48"/>
      <c r="N106" s="48"/>
      <c r="O106" s="54">
        <f>IFERROR(SUM(Таблица1[[#This Row],[ПИР]:[Прочие]]),)</f>
        <v>0</v>
      </c>
      <c r="P106" s="68" t="str">
        <f>результат!P104</f>
        <v/>
      </c>
      <c r="T106" s="51"/>
      <c r="V106" s="51"/>
      <c r="X106" s="51"/>
    </row>
    <row r="107" spans="3:24" x14ac:dyDescent="0.25">
      <c r="C107" t="s">
        <v>99</v>
      </c>
      <c r="D107">
        <f>SUBTOTAL(103,Таблица1[№ в ИПР])</f>
        <v>1</v>
      </c>
      <c r="E107"/>
      <c r="F107"/>
      <c r="G107"/>
      <c r="H107"/>
      <c r="I107"/>
      <c r="J107" s="66">
        <f>SUBTOTAL(109,Таблица1[ПИР])</f>
        <v>40.22</v>
      </c>
      <c r="K107" s="66">
        <f>SUBTOTAL(109,Таблица1[СМР])</f>
        <v>497.26</v>
      </c>
      <c r="L107" s="66">
        <f>SUBTOTAL(109,Таблица1[ПНР])</f>
        <v>1.3680000000000001</v>
      </c>
      <c r="M107" s="66">
        <f>SUBTOTAL(109,Таблица1[Оборудование])</f>
        <v>0</v>
      </c>
      <c r="N107" s="66">
        <f>SUBTOTAL(109,Таблица1[Прочие])</f>
        <v>11.75</v>
      </c>
      <c r="O107" s="66">
        <f>SUBTOTAL(109,Таблица1[Сумма])</f>
        <v>550.59800000000007</v>
      </c>
    </row>
    <row r="109" spans="3:24" ht="15.75" thickBot="1" x14ac:dyDescent="0.3"/>
    <row r="110" spans="3:24" ht="15.75" thickBot="1" x14ac:dyDescent="0.3">
      <c r="H110" s="24" t="s">
        <v>37</v>
      </c>
      <c r="I110" s="163"/>
      <c r="J110" s="164"/>
    </row>
    <row r="111" spans="3:24" ht="15.75" thickBot="1" x14ac:dyDescent="0.3">
      <c r="I111" s="25"/>
      <c r="J111" s="25"/>
    </row>
    <row r="112" spans="3:24" ht="15.75" thickBot="1" x14ac:dyDescent="0.3">
      <c r="H112" s="24" t="s">
        <v>38</v>
      </c>
      <c r="I112" s="163"/>
      <c r="J112" s="164"/>
    </row>
  </sheetData>
  <mergeCells count="2">
    <mergeCell ref="I112:J112"/>
    <mergeCell ref="I110:J110"/>
  </mergeCells>
  <dataValidations count="8">
    <dataValidation type="list" allowBlank="1" showInputMessage="1" showErrorMessage="1" sqref="G7:G106">
      <formula1>А</formula1>
    </dataValidation>
    <dataValidation type="decimal" operator="greaterThan" allowBlank="1" showInputMessage="1" showErrorMessage="1" sqref="I7:N106">
      <formula1>0</formula1>
    </dataValidation>
    <dataValidation type="list" allowBlank="1" showInputMessage="1" showErrorMessage="1" sqref="B2">
      <formula1>В</formula1>
    </dataValidation>
    <dataValidation type="list" allowBlank="1" showInputMessage="1" showErrorMessage="1" sqref="B3">
      <formula1>D</formula1>
    </dataValidation>
    <dataValidation type="list" operator="greaterThan" allowBlank="1" showInputMessage="1" showErrorMessage="1" sqref="H7:H106">
      <formula1>E</formula1>
    </dataValidation>
    <dataValidation operator="greaterThan" allowBlank="1" showInputMessage="1" showErrorMessage="1" sqref="F33:F34 F31 F36:F106"/>
    <dataValidation type="list" allowBlank="1" showInputMessage="1" showErrorMessage="1" sqref="B4">
      <formula1>F</formula1>
    </dataValidation>
    <dataValidation type="list" allowBlank="1" showInputMessage="1" showErrorMessage="1" sqref="B5">
      <formula1>год</formula1>
    </dataValidation>
  </dataValidations>
  <pageMargins left="0.25" right="0.25" top="0.75" bottom="0.75" header="0.3" footer="0.3"/>
  <pageSetup paperSize="9" scale="30" orientation="landscape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/>
  <dimension ref="A2:T105"/>
  <sheetViews>
    <sheetView tabSelected="1" zoomScale="91" zoomScaleNormal="91" workbookViewId="0">
      <pane xSplit="5" ySplit="4" topLeftCell="G5" activePane="bottomRight" state="frozen"/>
      <selection pane="topRight" activeCell="F1" sqref="F1"/>
      <selection pane="bottomLeft" activeCell="A5" sqref="A5"/>
      <selection pane="bottomRight" activeCell="H1" sqref="H1:H1048576"/>
    </sheetView>
  </sheetViews>
  <sheetFormatPr defaultRowHeight="15" x14ac:dyDescent="0.25"/>
  <cols>
    <col min="1" max="1" width="8.85546875" style="76" bestFit="1" customWidth="1"/>
    <col min="2" max="2" width="12.140625" style="76" customWidth="1"/>
    <col min="3" max="3" width="17.5703125" style="76" customWidth="1"/>
    <col min="4" max="4" width="40.5703125" style="76" customWidth="1"/>
    <col min="5" max="5" width="9.7109375" style="76" customWidth="1"/>
    <col min="6" max="6" width="19.42578125" style="76" customWidth="1"/>
    <col min="7" max="7" width="16.85546875" style="76" customWidth="1"/>
    <col min="8" max="8" width="13.42578125" style="76" customWidth="1"/>
    <col min="9" max="9" width="18.42578125" style="76" customWidth="1"/>
    <col min="10" max="10" width="17.28515625" style="76" customWidth="1"/>
    <col min="11" max="11" width="15.42578125" style="76" customWidth="1"/>
    <col min="12" max="13" width="14.7109375" style="76" customWidth="1"/>
    <col min="14" max="14" width="16" style="76" customWidth="1"/>
    <col min="15" max="15" width="25.5703125" style="76" customWidth="1"/>
    <col min="16" max="16" width="21.28515625" style="76" customWidth="1"/>
    <col min="17" max="17" width="9.140625" style="76"/>
    <col min="18" max="18" width="14.140625" style="76" customWidth="1"/>
    <col min="19" max="19" width="14.7109375" style="76" customWidth="1"/>
    <col min="20" max="20" width="16.42578125" style="76" customWidth="1"/>
    <col min="21" max="16384" width="9.140625" style="76"/>
  </cols>
  <sheetData>
    <row r="2" spans="1:20" ht="23.25" thickBot="1" x14ac:dyDescent="0.35">
      <c r="A2" s="165" t="s">
        <v>68</v>
      </c>
      <c r="B2" s="165"/>
      <c r="C2" s="165"/>
      <c r="D2" s="165"/>
      <c r="E2" s="165"/>
      <c r="F2" s="165"/>
      <c r="G2" s="165"/>
      <c r="H2" s="165"/>
      <c r="I2" s="165"/>
      <c r="J2" s="165"/>
      <c r="K2" s="98">
        <f>калькулятор!B5</f>
        <v>2014</v>
      </c>
      <c r="L2" s="75"/>
      <c r="M2" s="75"/>
    </row>
    <row r="3" spans="1:20" ht="15.75" thickBot="1" x14ac:dyDescent="0.3">
      <c r="R3" s="166" t="s">
        <v>100</v>
      </c>
      <c r="S3" s="167"/>
      <c r="T3" s="158" t="s">
        <v>101</v>
      </c>
    </row>
    <row r="4" spans="1:20" s="104" customFormat="1" ht="45" x14ac:dyDescent="0.25">
      <c r="A4" s="102" t="s">
        <v>34</v>
      </c>
      <c r="B4" s="103" t="s">
        <v>54</v>
      </c>
      <c r="C4" s="103" t="s">
        <v>55</v>
      </c>
      <c r="D4" s="105" t="s">
        <v>56</v>
      </c>
      <c r="E4" s="105" t="s">
        <v>1</v>
      </c>
      <c r="F4" s="106" t="s">
        <v>32</v>
      </c>
      <c r="G4" s="106" t="s">
        <v>33</v>
      </c>
      <c r="H4" s="106" t="s">
        <v>24</v>
      </c>
      <c r="I4" s="106" t="s">
        <v>66</v>
      </c>
      <c r="J4" s="107" t="s">
        <v>2</v>
      </c>
      <c r="K4" s="106" t="s">
        <v>3</v>
      </c>
      <c r="L4" s="106" t="s">
        <v>4</v>
      </c>
      <c r="M4" s="106" t="s">
        <v>5</v>
      </c>
      <c r="N4" s="106" t="s">
        <v>36</v>
      </c>
      <c r="O4" s="108" t="s">
        <v>98</v>
      </c>
      <c r="P4" s="107" t="s">
        <v>53</v>
      </c>
      <c r="R4" s="151" t="s">
        <v>103</v>
      </c>
      <c r="S4" s="150" t="s">
        <v>102</v>
      </c>
      <c r="T4" s="152" t="s">
        <v>104</v>
      </c>
    </row>
    <row r="5" spans="1:20" x14ac:dyDescent="0.25">
      <c r="A5" s="77">
        <f>IF(калькулятор!C7=0,"",калькулятор!C7)</f>
        <v>1</v>
      </c>
      <c r="B5" s="78">
        <f>IF(калькулятор!D7=0,"",калькулятор!D7)</f>
        <v>2882</v>
      </c>
      <c r="C5" s="78" t="str">
        <f>IF(калькулятор!E7=0,"",калькулятор!E7)</f>
        <v>ООО Капитал</v>
      </c>
      <c r="D5" s="78" t="str">
        <f>IF(калькулятор!F7=0,"",калькулятор!F7)</f>
        <v>Строительство ВЛ 10 кВ</v>
      </c>
      <c r="E5" s="79">
        <f>IF(калькулятор!I7=0,"",калькулятор!I7)</f>
        <v>2</v>
      </c>
      <c r="F5" s="79">
        <f>данные!AE3</f>
        <v>550.59800000000007</v>
      </c>
      <c r="G5" s="79">
        <f>данные!AF3</f>
        <v>2349.5998</v>
      </c>
      <c r="H5" s="79">
        <f>данные!AC3</f>
        <v>2695.4762200000005</v>
      </c>
      <c r="I5" s="79">
        <f>данные!AG3+данные!AH3+данные!AI3+данные!AJ3+данные!AK3</f>
        <v>2302.6536999999998</v>
      </c>
      <c r="J5" s="80">
        <f>IF($K$2=2014,IF((SUM(данные!AG3:AK3)*данные!$AT$3-данные!AD3)&gt;0,данные!AX3,данные!AG3*данные!$AT$3),данные!AG3*данные!$AT$3)</f>
        <v>139.40284176000003</v>
      </c>
      <c r="K5" s="80">
        <f>IF($K$2=2014,IF((SUM(данные!AH3:AL3)*данные!$AT$3-данные!AE3)&gt;0,данные!AY3,данные!AH3*данные!$AT$3),данные!AH3*данные!$AT$3)</f>
        <v>1998.1319018400002</v>
      </c>
      <c r="L5" s="80">
        <f>IF($K$2=2014,IF((SUM(данные!AI3:AM3)*данные!$AT$3-данные!AF3)&gt;0,данные!AZ3,данные!AI3*данные!$AT$3),данные!AI3*данные!$AT$3)</f>
        <v>13.156356960000002</v>
      </c>
      <c r="M5" s="80">
        <f>IF($K$2=2014,IF((SUM(данные!AJ3:AN3)*данные!$AT$3-данные!AG3)&gt;0,данные!BA3,данные!AJ3*данные!$AT$3),данные!AJ3*данные!$AT$3)</f>
        <v>0</v>
      </c>
      <c r="N5" s="80">
        <f>IF($K$2=2014,IF((SUM(данные!AK3:AO3)*данные!$AT$3-данные!AH3)&gt;0,данные!BB3,данные!AK3*данные!$AT$3),данные!AK3*данные!$AT$3)</f>
        <v>86.597829000000019</v>
      </c>
      <c r="O5" s="80">
        <f>SUM(Таблица6[[#This Row],[ПИР]:[Прочие]])</f>
        <v>2237.2889295599998</v>
      </c>
      <c r="P5" s="109">
        <f>IFERROR(Таблица6[[#This Row],[Итого в прогнозных ценах с применением методики снижения]]/Таблица6[[#This Row],[кол-во]],"")</f>
        <v>1118.6444647799999</v>
      </c>
      <c r="R5" s="153">
        <f>SUM(данные!N3:R3)</f>
        <v>3140.9292609632089</v>
      </c>
      <c r="S5" s="146">
        <f>SUM(данные!X3:AB3)*0.9*1.058</f>
        <v>2237.2889295599998</v>
      </c>
      <c r="T5" s="154">
        <f>Таблица6[[#This Row],[в ценах 4 кв 2012г]]*данные!$AT$3</f>
        <v>2386.448074071795</v>
      </c>
    </row>
    <row r="6" spans="1:20" x14ac:dyDescent="0.25">
      <c r="A6" s="77" t="str">
        <f>IF(калькулятор!C8=0,"",калькулятор!C8)</f>
        <v/>
      </c>
      <c r="B6" s="78" t="str">
        <f>IF(калькулятор!D8=0,"",калькулятор!D8)</f>
        <v/>
      </c>
      <c r="C6" s="78" t="str">
        <f>IF(калькулятор!E8=0,"",калькулятор!E8)</f>
        <v/>
      </c>
      <c r="D6" s="78" t="str">
        <f>IF(калькулятор!F8=0,"",калькулятор!F8)</f>
        <v/>
      </c>
      <c r="E6" s="79" t="str">
        <f>IF(калькулятор!I8=0,"",калькулятор!I8)</f>
        <v/>
      </c>
      <c r="F6" s="79">
        <f>данные!AE4</f>
        <v>0</v>
      </c>
      <c r="G6" s="79">
        <f>данные!AF4</f>
        <v>0</v>
      </c>
      <c r="H6" s="79">
        <f>данные!AC4</f>
        <v>0</v>
      </c>
      <c r="I6" s="79">
        <f>данные!AG4+данные!AH4+данные!AI4+данные!AJ4+данные!AK4</f>
        <v>0</v>
      </c>
      <c r="J6" s="80">
        <f>IF($K$2=2014,IF((SUM(данные!AG4:AK4)*данные!$AT$3-данные!AD4)&gt;0,данные!AX4,данные!AG4*данные!$AT$3),данные!AG4*данные!$AT$3)</f>
        <v>0</v>
      </c>
      <c r="K6" s="80">
        <f>IF($K$2=2014,IF((SUM(данные!AH4:AL4)*данные!$AT$3-данные!AE4)&gt;0,данные!AY4,данные!AH4*данные!$AT$3),данные!AH4*данные!$AT$3)</f>
        <v>0</v>
      </c>
      <c r="L6" s="80">
        <f>IF($K$2=2014,IF((SUM(данные!AI4:AM4)*данные!$AT$3-данные!AF4)&gt;0,данные!AZ4,данные!AI4*данные!$AT$3),данные!AI4*данные!$AT$3)</f>
        <v>0</v>
      </c>
      <c r="M6" s="80">
        <f>IF($K$2=2014,IF((SUM(данные!AJ4:AN4)*данные!$AT$3-данные!AG4)&gt;0,данные!BA4,данные!AJ4*данные!$AT$3),данные!AJ4*данные!$AT$3)</f>
        <v>0</v>
      </c>
      <c r="N6" s="80">
        <f>IF($K$2=2014,IF((SUM(данные!AK4:AO4)*данные!$AT$3-данные!AH4)&gt;0,данные!BB4,данные!AK4*данные!$AT$3),данные!AK4*данные!$AT$3)</f>
        <v>0</v>
      </c>
      <c r="O6" s="81">
        <f>SUM(Таблица6[[#This Row],[ПИР]:[Прочие]])</f>
        <v>0</v>
      </c>
      <c r="P6" s="110" t="str">
        <f>IFERROR(Таблица6[[#This Row],[Итого в прогнозных ценах с применением методики снижения]]/Таблица6[[#This Row],[кол-во]],"")</f>
        <v/>
      </c>
      <c r="R6" s="153">
        <f>SUM(данные!N4:R4)</f>
        <v>0</v>
      </c>
      <c r="S6" s="146">
        <f>SUM(данные!X4:AB4)*0.9*1.058</f>
        <v>0</v>
      </c>
      <c r="T6" s="154">
        <f>Таблица6[[#This Row],[в ценах 4 кв 2012г]]*данные!$AT$3</f>
        <v>0</v>
      </c>
    </row>
    <row r="7" spans="1:20" x14ac:dyDescent="0.25">
      <c r="A7" s="77" t="str">
        <f>IF(калькулятор!C9=0,"",калькулятор!C9)</f>
        <v/>
      </c>
      <c r="B7" s="78" t="str">
        <f>IF(калькулятор!D9=0,"",калькулятор!D9)</f>
        <v/>
      </c>
      <c r="C7" s="78" t="str">
        <f>IF(калькулятор!E9=0,"",калькулятор!E9)</f>
        <v/>
      </c>
      <c r="D7" s="78" t="str">
        <f>IF(калькулятор!F9=0,"",калькулятор!F9)</f>
        <v/>
      </c>
      <c r="E7" s="79" t="str">
        <f>IF(калькулятор!I9=0,"",калькулятор!I9)</f>
        <v/>
      </c>
      <c r="F7" s="79">
        <f>данные!AE5</f>
        <v>0</v>
      </c>
      <c r="G7" s="79">
        <f>данные!AF5</f>
        <v>0</v>
      </c>
      <c r="H7" s="79">
        <f>данные!AC5</f>
        <v>0</v>
      </c>
      <c r="I7" s="79">
        <f>данные!AG5+данные!AH5+данные!AI5+данные!AJ5+данные!AK5</f>
        <v>0</v>
      </c>
      <c r="J7" s="80">
        <f>IF($K$2=2014,IF((SUM(данные!AG5:AK5)*данные!$AT$3-данные!AD5)&gt;0,данные!AX5,данные!AG5*данные!$AT$3),данные!AG5*данные!$AT$3)</f>
        <v>0</v>
      </c>
      <c r="K7" s="80">
        <f>IF($K$2=2014,IF((SUM(данные!AH5:AL5)*данные!$AT$3-данные!AE5)&gt;0,данные!AY5,данные!AH5*данные!$AT$3),данные!AH5*данные!$AT$3)</f>
        <v>0</v>
      </c>
      <c r="L7" s="80">
        <f>IF($K$2=2014,IF((SUM(данные!AI5:AM5)*данные!$AT$3-данные!AF5)&gt;0,данные!AZ5,данные!AI5*данные!$AT$3),данные!AI5*данные!$AT$3)</f>
        <v>0</v>
      </c>
      <c r="M7" s="80">
        <f>IF($K$2=2014,IF((SUM(данные!AJ5:AN5)*данные!$AT$3-данные!AG5)&gt;0,данные!BA5,данные!AJ5*данные!$AT$3),данные!AJ5*данные!$AT$3)</f>
        <v>0</v>
      </c>
      <c r="N7" s="80">
        <f>IF($K$2=2014,IF((SUM(данные!AK5:AO5)*данные!$AT$3-данные!AH5)&gt;0,данные!BB5,данные!AK5*данные!$AT$3),данные!AK5*данные!$AT$3)</f>
        <v>0</v>
      </c>
      <c r="O7" s="81">
        <f>SUM(Таблица6[[#This Row],[ПИР]:[Прочие]])</f>
        <v>0</v>
      </c>
      <c r="P7" s="110" t="str">
        <f>IFERROR(Таблица6[[#This Row],[Итого в прогнозных ценах с применением методики снижения]]/Таблица6[[#This Row],[кол-во]],"")</f>
        <v/>
      </c>
      <c r="R7" s="153">
        <f>SUM(данные!N5:R5)</f>
        <v>0</v>
      </c>
      <c r="S7" s="146">
        <f>SUM(данные!X5:AB5)*0.9*1.058</f>
        <v>0</v>
      </c>
      <c r="T7" s="154">
        <f>Таблица6[[#This Row],[в ценах 4 кв 2012г]]*данные!$AT$3</f>
        <v>0</v>
      </c>
    </row>
    <row r="8" spans="1:20" x14ac:dyDescent="0.25">
      <c r="A8" s="77" t="str">
        <f>IF(калькулятор!C10=0,"",калькулятор!C10)</f>
        <v/>
      </c>
      <c r="B8" s="78" t="str">
        <f>IF(калькулятор!D10=0,"",калькулятор!D10)</f>
        <v/>
      </c>
      <c r="C8" s="78" t="str">
        <f>IF(калькулятор!E10=0,"",калькулятор!E10)</f>
        <v/>
      </c>
      <c r="D8" s="78" t="str">
        <f>IF(калькулятор!F10=0,"",калькулятор!F10)</f>
        <v/>
      </c>
      <c r="E8" s="79" t="str">
        <f>IF(калькулятор!I10=0,"",калькулятор!I10)</f>
        <v/>
      </c>
      <c r="F8" s="79">
        <f>данные!AE6</f>
        <v>0</v>
      </c>
      <c r="G8" s="79">
        <f>данные!AF6</f>
        <v>0</v>
      </c>
      <c r="H8" s="79">
        <f>данные!AC6</f>
        <v>0</v>
      </c>
      <c r="I8" s="79">
        <f>данные!AG6+данные!AH6+данные!AI6+данные!AJ6+данные!AK6</f>
        <v>0</v>
      </c>
      <c r="J8" s="80">
        <f>IF($K$2=2014,IF((SUM(данные!AG6:AK6)*данные!$AT$3-данные!AD6)&gt;0,данные!AX6,данные!AG6*данные!$AT$3),данные!AG6*данные!$AT$3)</f>
        <v>0</v>
      </c>
      <c r="K8" s="80">
        <f>IF($K$2=2014,IF((SUM(данные!AH6:AL6)*данные!$AT$3-данные!AE6)&gt;0,данные!AY6,данные!AH6*данные!$AT$3),данные!AH6*данные!$AT$3)</f>
        <v>0</v>
      </c>
      <c r="L8" s="80">
        <f>IF($K$2=2014,IF((SUM(данные!AI6:AM6)*данные!$AT$3-данные!AF6)&gt;0,данные!AZ6,данные!AI6*данные!$AT$3),данные!AI6*данные!$AT$3)</f>
        <v>0</v>
      </c>
      <c r="M8" s="80">
        <f>IF($K$2=2014,IF((SUM(данные!AJ6:AN6)*данные!$AT$3-данные!AG6)&gt;0,данные!BA6,данные!AJ6*данные!$AT$3),данные!AJ6*данные!$AT$3)</f>
        <v>0</v>
      </c>
      <c r="N8" s="80">
        <f>IF($K$2=2014,IF((SUM(данные!AK6:AO6)*данные!$AT$3-данные!AH6)&gt;0,данные!BB6,данные!AK6*данные!$AT$3),данные!AK6*данные!$AT$3)</f>
        <v>0</v>
      </c>
      <c r="O8" s="81">
        <f>SUM(Таблица6[[#This Row],[ПИР]:[Прочие]])</f>
        <v>0</v>
      </c>
      <c r="P8" s="110" t="str">
        <f>IFERROR(Таблица6[[#This Row],[Итого в прогнозных ценах с применением методики снижения]]/Таблица6[[#This Row],[кол-во]],"")</f>
        <v/>
      </c>
      <c r="R8" s="153">
        <f>SUM(данные!N6:R6)</f>
        <v>0</v>
      </c>
      <c r="S8" s="146">
        <f>SUM(данные!X6:AB6)*0.9*1.058</f>
        <v>0</v>
      </c>
      <c r="T8" s="154">
        <f>Таблица6[[#This Row],[в ценах 4 кв 2012г]]*данные!$AT$3</f>
        <v>0</v>
      </c>
    </row>
    <row r="9" spans="1:20" x14ac:dyDescent="0.25">
      <c r="A9" s="77" t="str">
        <f>IF(калькулятор!C11=0,"",калькулятор!C11)</f>
        <v/>
      </c>
      <c r="B9" s="78" t="str">
        <f>IF(калькулятор!D11=0,"",калькулятор!D11)</f>
        <v/>
      </c>
      <c r="C9" s="78" t="str">
        <f>IF(калькулятор!E11=0,"",калькулятор!E11)</f>
        <v/>
      </c>
      <c r="D9" s="78" t="str">
        <f>IF(калькулятор!F11=0,"",калькулятор!F11)</f>
        <v/>
      </c>
      <c r="E9" s="79" t="str">
        <f>IF(калькулятор!I11=0,"",калькулятор!I11)</f>
        <v/>
      </c>
      <c r="F9" s="79">
        <f>данные!AE7</f>
        <v>0</v>
      </c>
      <c r="G9" s="79">
        <f>данные!AF7</f>
        <v>0</v>
      </c>
      <c r="H9" s="79">
        <f>данные!AC7</f>
        <v>0</v>
      </c>
      <c r="I9" s="79">
        <f>данные!AG7+данные!AH7+данные!AI7+данные!AJ7+данные!AK7</f>
        <v>0</v>
      </c>
      <c r="J9" s="80">
        <f>IF($K$2=2014,IF((SUM(данные!AG7:AK7)*данные!$AT$3-данные!AD7)&gt;0,данные!AX7,данные!AG7*данные!$AT$3),данные!AG7*данные!$AT$3)</f>
        <v>0</v>
      </c>
      <c r="K9" s="80">
        <f>IF($K$2=2014,IF((SUM(данные!AH7:AL7)*данные!$AT$3-данные!AE7)&gt;0,данные!AY7,данные!AH7*данные!$AT$3),данные!AH7*данные!$AT$3)</f>
        <v>0</v>
      </c>
      <c r="L9" s="80">
        <f>IF($K$2=2014,IF((SUM(данные!AI7:AM7)*данные!$AT$3-данные!AF7)&gt;0,данные!AZ7,данные!AI7*данные!$AT$3),данные!AI7*данные!$AT$3)</f>
        <v>0</v>
      </c>
      <c r="M9" s="80">
        <f>IF($K$2=2014,IF((SUM(данные!AJ7:AN7)*данные!$AT$3-данные!AG7)&gt;0,данные!BA7,данные!AJ7*данные!$AT$3),данные!AJ7*данные!$AT$3)</f>
        <v>0</v>
      </c>
      <c r="N9" s="80">
        <f>IF($K$2=2014,IF((SUM(данные!AK7:AO7)*данные!$AT$3-данные!AH7)&gt;0,данные!BB7,данные!AK7*данные!$AT$3),данные!AK7*данные!$AT$3)</f>
        <v>0</v>
      </c>
      <c r="O9" s="81">
        <f>SUM(Таблица6[[#This Row],[ПИР]:[Прочие]])</f>
        <v>0</v>
      </c>
      <c r="P9" s="110" t="str">
        <f>IFERROR(Таблица6[[#This Row],[Итого в прогнозных ценах с применением методики снижения]]/Таблица6[[#This Row],[кол-во]],"")</f>
        <v/>
      </c>
      <c r="R9" s="153">
        <f>SUM(данные!N7:R7)</f>
        <v>0</v>
      </c>
      <c r="S9" s="146">
        <f>SUM(данные!X7:AB7)*0.9*1.058</f>
        <v>0</v>
      </c>
      <c r="T9" s="154">
        <f>Таблица6[[#This Row],[в ценах 4 кв 2012г]]*данные!$AT$3</f>
        <v>0</v>
      </c>
    </row>
    <row r="10" spans="1:20" x14ac:dyDescent="0.25">
      <c r="A10" s="77" t="str">
        <f>IF(калькулятор!C12=0,"",калькулятор!C12)</f>
        <v/>
      </c>
      <c r="B10" s="78" t="str">
        <f>IF(калькулятор!D12=0,"",калькулятор!D12)</f>
        <v/>
      </c>
      <c r="C10" s="78" t="str">
        <f>IF(калькулятор!E12=0,"",калькулятор!E12)</f>
        <v/>
      </c>
      <c r="D10" s="78" t="str">
        <f>IF(калькулятор!F12=0,"",калькулятор!F12)</f>
        <v/>
      </c>
      <c r="E10" s="79" t="str">
        <f>IF(калькулятор!I12=0,"",калькулятор!I12)</f>
        <v/>
      </c>
      <c r="F10" s="79">
        <f>данные!AE8</f>
        <v>0</v>
      </c>
      <c r="G10" s="79">
        <f>данные!AF8</f>
        <v>0</v>
      </c>
      <c r="H10" s="79">
        <f>данные!AC8</f>
        <v>0</v>
      </c>
      <c r="I10" s="79">
        <f>данные!AG8+данные!AH8+данные!AI8+данные!AJ8+данные!AK8</f>
        <v>0</v>
      </c>
      <c r="J10" s="80">
        <f>IF($K$2=2014,IF((SUM(данные!AG8:AK8)*данные!$AT$3-данные!AD8)&gt;0,данные!AX8,данные!AG8*данные!$AT$3),данные!AG8*данные!$AT$3)</f>
        <v>0</v>
      </c>
      <c r="K10" s="80">
        <f>IF($K$2=2014,IF((SUM(данные!AH8:AL8)*данные!$AT$3-данные!AE8)&gt;0,данные!AY8,данные!AH8*данные!$AT$3),данные!AH8*данные!$AT$3)</f>
        <v>0</v>
      </c>
      <c r="L10" s="80">
        <f>IF($K$2=2014,IF((SUM(данные!AI8:AM8)*данные!$AT$3-данные!AF8)&gt;0,данные!AZ8,данные!AI8*данные!$AT$3),данные!AI8*данные!$AT$3)</f>
        <v>0</v>
      </c>
      <c r="M10" s="80">
        <f>IF($K$2=2014,IF((SUM(данные!AJ8:AN8)*данные!$AT$3-данные!AG8)&gt;0,данные!BA8,данные!AJ8*данные!$AT$3),данные!AJ8*данные!$AT$3)</f>
        <v>0</v>
      </c>
      <c r="N10" s="80">
        <f>IF($K$2=2014,IF((SUM(данные!AK8:AO8)*данные!$AT$3-данные!AH8)&gt;0,данные!BB8,данные!AK8*данные!$AT$3),данные!AK8*данные!$AT$3)</f>
        <v>0</v>
      </c>
      <c r="O10" s="81">
        <f>SUM(Таблица6[[#This Row],[ПИР]:[Прочие]])</f>
        <v>0</v>
      </c>
      <c r="P10" s="110" t="str">
        <f>IFERROR(Таблица6[[#This Row],[Итого в прогнозных ценах с применением методики снижения]]/Таблица6[[#This Row],[кол-во]],"")</f>
        <v/>
      </c>
      <c r="R10" s="153">
        <f>SUM(данные!N8:R8)</f>
        <v>0</v>
      </c>
      <c r="S10" s="146">
        <f>SUM(данные!X8:AB8)*0.9*1.058</f>
        <v>0</v>
      </c>
      <c r="T10" s="154">
        <f>Таблица6[[#This Row],[в ценах 4 кв 2012г]]*данные!$AT$3</f>
        <v>0</v>
      </c>
    </row>
    <row r="11" spans="1:20" x14ac:dyDescent="0.25">
      <c r="A11" s="77" t="str">
        <f>IF(калькулятор!C13=0,"",калькулятор!C13)</f>
        <v/>
      </c>
      <c r="B11" s="78" t="str">
        <f>IF(калькулятор!D13=0,"",калькулятор!D13)</f>
        <v/>
      </c>
      <c r="C11" s="78" t="str">
        <f>IF(калькулятор!E13=0,"",калькулятор!E13)</f>
        <v/>
      </c>
      <c r="D11" s="78" t="str">
        <f>IF(калькулятор!F13=0,"",калькулятор!F13)</f>
        <v/>
      </c>
      <c r="E11" s="79" t="str">
        <f>IF(калькулятор!I13=0,"",калькулятор!I13)</f>
        <v/>
      </c>
      <c r="F11" s="79">
        <f>данные!AE9</f>
        <v>0</v>
      </c>
      <c r="G11" s="79">
        <f>данные!AF9</f>
        <v>0</v>
      </c>
      <c r="H11" s="79">
        <f>данные!AC9</f>
        <v>0</v>
      </c>
      <c r="I11" s="79">
        <f>данные!AG9+данные!AH9+данные!AI9+данные!AJ9+данные!AK9</f>
        <v>0</v>
      </c>
      <c r="J11" s="80">
        <f>IF($K$2=2014,IF((SUM(данные!AG9:AK9)*данные!$AT$3-данные!AD9)&gt;0,данные!AX9,данные!AG9*данные!$AT$3),данные!AG9*данные!$AT$3)</f>
        <v>0</v>
      </c>
      <c r="K11" s="80">
        <f>IF($K$2=2014,IF((SUM(данные!AH9:AL9)*данные!$AT$3-данные!AE9)&gt;0,данные!AY9,данные!AH9*данные!$AT$3),данные!AH9*данные!$AT$3)</f>
        <v>0</v>
      </c>
      <c r="L11" s="80">
        <f>IF($K$2=2014,IF((SUM(данные!AI9:AM9)*данные!$AT$3-данные!AF9)&gt;0,данные!AZ9,данные!AI9*данные!$AT$3),данные!AI9*данные!$AT$3)</f>
        <v>0</v>
      </c>
      <c r="M11" s="80">
        <f>IF($K$2=2014,IF((SUM(данные!AJ9:AN9)*данные!$AT$3-данные!AG9)&gt;0,данные!BA9,данные!AJ9*данные!$AT$3),данные!AJ9*данные!$AT$3)</f>
        <v>0</v>
      </c>
      <c r="N11" s="80">
        <f>IF($K$2=2014,IF((SUM(данные!AK9:AO9)*данные!$AT$3-данные!AH9)&gt;0,данные!BB9,данные!AK9*данные!$AT$3),данные!AK9*данные!$AT$3)</f>
        <v>0</v>
      </c>
      <c r="O11" s="81">
        <f>SUM(Таблица6[[#This Row],[ПИР]:[Прочие]])</f>
        <v>0</v>
      </c>
      <c r="P11" s="110" t="str">
        <f>IFERROR(Таблица6[[#This Row],[Итого в прогнозных ценах с применением методики снижения]]/Таблица6[[#This Row],[кол-во]],"")</f>
        <v/>
      </c>
      <c r="R11" s="153">
        <f>SUM(данные!N9:R9)</f>
        <v>0</v>
      </c>
      <c r="S11" s="146">
        <f>SUM(данные!X9:AB9)*0.9*1.058</f>
        <v>0</v>
      </c>
      <c r="T11" s="154">
        <f>Таблица6[[#This Row],[в ценах 4 кв 2012г]]*данные!$AT$3</f>
        <v>0</v>
      </c>
    </row>
    <row r="12" spans="1:20" x14ac:dyDescent="0.25">
      <c r="A12" s="77" t="str">
        <f>IF(калькулятор!C14=0,"",калькулятор!C14)</f>
        <v/>
      </c>
      <c r="B12" s="78" t="str">
        <f>IF(калькулятор!D14=0,"",калькулятор!D14)</f>
        <v/>
      </c>
      <c r="C12" s="78" t="str">
        <f>IF(калькулятор!E14=0,"",калькулятор!E14)</f>
        <v/>
      </c>
      <c r="D12" s="78" t="str">
        <f>IF(калькулятор!F14=0,"",калькулятор!F14)</f>
        <v/>
      </c>
      <c r="E12" s="79" t="str">
        <f>IF(калькулятор!I14=0,"",калькулятор!I14)</f>
        <v/>
      </c>
      <c r="F12" s="79">
        <f>данные!AE10</f>
        <v>0</v>
      </c>
      <c r="G12" s="79">
        <f>данные!AF10</f>
        <v>0</v>
      </c>
      <c r="H12" s="79">
        <f>данные!AC10</f>
        <v>0</v>
      </c>
      <c r="I12" s="79">
        <f>данные!AG10+данные!AH10+данные!AI10+данные!AJ10+данные!AK10</f>
        <v>0</v>
      </c>
      <c r="J12" s="80">
        <f>IF($K$2=2014,IF((SUM(данные!AG10:AK10)*данные!$AT$3-данные!AD10)&gt;0,данные!AX10,данные!AG10*данные!$AT$3),данные!AG10*данные!$AT$3)</f>
        <v>0</v>
      </c>
      <c r="K12" s="80">
        <f>IF($K$2=2014,IF((SUM(данные!AH10:AL10)*данные!$AT$3-данные!AE10)&gt;0,данные!AY10,данные!AH10*данные!$AT$3),данные!AH10*данные!$AT$3)</f>
        <v>0</v>
      </c>
      <c r="L12" s="80">
        <f>IF($K$2=2014,IF((SUM(данные!AI10:AM10)*данные!$AT$3-данные!AF10)&gt;0,данные!AZ10,данные!AI10*данные!$AT$3),данные!AI10*данные!$AT$3)</f>
        <v>0</v>
      </c>
      <c r="M12" s="80">
        <f>IF($K$2=2014,IF((SUM(данные!AJ10:AN10)*данные!$AT$3-данные!AG10)&gt;0,данные!BA10,данные!AJ10*данные!$AT$3),данные!AJ10*данные!$AT$3)</f>
        <v>0</v>
      </c>
      <c r="N12" s="80">
        <f>IF($K$2=2014,IF((SUM(данные!AK10:AO10)*данные!$AT$3-данные!AH10)&gt;0,данные!BB10,данные!AK10*данные!$AT$3),данные!AK10*данные!$AT$3)</f>
        <v>0</v>
      </c>
      <c r="O12" s="81">
        <f>SUM(Таблица6[[#This Row],[ПИР]:[Прочие]])</f>
        <v>0</v>
      </c>
      <c r="P12" s="110" t="str">
        <f>IFERROR(Таблица6[[#This Row],[Итого в прогнозных ценах с применением методики снижения]]/Таблица6[[#This Row],[кол-во]],"")</f>
        <v/>
      </c>
      <c r="R12" s="153">
        <f>SUM(данные!N10:R10)</f>
        <v>0</v>
      </c>
      <c r="S12" s="146">
        <f>SUM(данные!X10:AB10)*0.9*1.058</f>
        <v>0</v>
      </c>
      <c r="T12" s="154">
        <f>Таблица6[[#This Row],[в ценах 4 кв 2012г]]*данные!$AT$3</f>
        <v>0</v>
      </c>
    </row>
    <row r="13" spans="1:20" x14ac:dyDescent="0.25">
      <c r="A13" s="77" t="str">
        <f>IF(калькулятор!C15=0,"",калькулятор!C15)</f>
        <v/>
      </c>
      <c r="B13" s="78" t="str">
        <f>IF(калькулятор!D15=0,"",калькулятор!D15)</f>
        <v/>
      </c>
      <c r="C13" s="78" t="str">
        <f>IF(калькулятор!E15=0,"",калькулятор!E15)</f>
        <v/>
      </c>
      <c r="D13" s="78" t="str">
        <f>IF(калькулятор!F15=0,"",калькулятор!F15)</f>
        <v/>
      </c>
      <c r="E13" s="79" t="str">
        <f>IF(калькулятор!I15=0,"",калькулятор!I15)</f>
        <v/>
      </c>
      <c r="F13" s="79">
        <f>данные!AE11</f>
        <v>0</v>
      </c>
      <c r="G13" s="79">
        <f>данные!AF11</f>
        <v>0</v>
      </c>
      <c r="H13" s="79">
        <f>данные!AC11</f>
        <v>0</v>
      </c>
      <c r="I13" s="79">
        <f>данные!AG11+данные!AH11+данные!AI11+данные!AJ11+данные!AK11</f>
        <v>0</v>
      </c>
      <c r="J13" s="80">
        <f>IF($K$2=2014,IF((SUM(данные!AG11:AK11)*данные!$AT$3-данные!AD11)&gt;0,данные!AX11,данные!AG11*данные!$AT$3),данные!AG11*данные!$AT$3)</f>
        <v>0</v>
      </c>
      <c r="K13" s="80">
        <f>IF($K$2=2014,IF((SUM(данные!AH11:AL11)*данные!$AT$3-данные!AE11)&gt;0,данные!AY11,данные!AH11*данные!$AT$3),данные!AH11*данные!$AT$3)</f>
        <v>0</v>
      </c>
      <c r="L13" s="80">
        <f>IF($K$2=2014,IF((SUM(данные!AI11:AM11)*данные!$AT$3-данные!AF11)&gt;0,данные!AZ11,данные!AI11*данные!$AT$3),данные!AI11*данные!$AT$3)</f>
        <v>0</v>
      </c>
      <c r="M13" s="80">
        <f>IF($K$2=2014,IF((SUM(данные!AJ11:AN11)*данные!$AT$3-данные!AG11)&gt;0,данные!BA11,данные!AJ11*данные!$AT$3),данные!AJ11*данные!$AT$3)</f>
        <v>0</v>
      </c>
      <c r="N13" s="80">
        <f>IF($K$2=2014,IF((SUM(данные!AK11:AO11)*данные!$AT$3-данные!AH11)&gt;0,данные!BB11,данные!AK11*данные!$AT$3),данные!AK11*данные!$AT$3)</f>
        <v>0</v>
      </c>
      <c r="O13" s="81">
        <f>SUM(Таблица6[[#This Row],[ПИР]:[Прочие]])</f>
        <v>0</v>
      </c>
      <c r="P13" s="110" t="str">
        <f>IFERROR(Таблица6[[#This Row],[Итого в прогнозных ценах с применением методики снижения]]/Таблица6[[#This Row],[кол-во]],"")</f>
        <v/>
      </c>
      <c r="R13" s="153">
        <f>SUM(данные!N11:R11)</f>
        <v>0</v>
      </c>
      <c r="S13" s="146">
        <f>SUM(данные!X11:AB11)*0.9*1.058</f>
        <v>0</v>
      </c>
      <c r="T13" s="154">
        <f>Таблица6[[#This Row],[в ценах 4 кв 2012г]]*данные!$AT$3</f>
        <v>0</v>
      </c>
    </row>
    <row r="14" spans="1:20" x14ac:dyDescent="0.25">
      <c r="A14" s="77" t="str">
        <f>IF(калькулятор!C16=0,"",калькулятор!C16)</f>
        <v/>
      </c>
      <c r="B14" s="78" t="str">
        <f>IF(калькулятор!D16=0,"",калькулятор!D16)</f>
        <v/>
      </c>
      <c r="C14" s="78" t="str">
        <f>IF(калькулятор!E16=0,"",калькулятор!E16)</f>
        <v/>
      </c>
      <c r="D14" s="78" t="str">
        <f>IF(калькулятор!F16=0,"",калькулятор!F16)</f>
        <v/>
      </c>
      <c r="E14" s="79" t="str">
        <f>IF(калькулятор!I16=0,"",калькулятор!I16)</f>
        <v/>
      </c>
      <c r="F14" s="79">
        <f>данные!AE12</f>
        <v>0</v>
      </c>
      <c r="G14" s="79">
        <f>данные!AF12</f>
        <v>0</v>
      </c>
      <c r="H14" s="79">
        <f>данные!AC12</f>
        <v>0</v>
      </c>
      <c r="I14" s="79">
        <f>данные!AG12+данные!AH12+данные!AI12+данные!AJ12+данные!AK12</f>
        <v>0</v>
      </c>
      <c r="J14" s="80">
        <f>IF($K$2=2014,IF((SUM(данные!AG12:AK12)*данные!$AT$3-данные!AD12)&gt;0,данные!AX12,данные!AG12*данные!$AT$3),данные!AG12*данные!$AT$3)</f>
        <v>0</v>
      </c>
      <c r="K14" s="80">
        <f>IF($K$2=2014,IF((SUM(данные!AH12:AL12)*данные!$AT$3-данные!AE12)&gt;0,данные!AY12,данные!AH12*данные!$AT$3),данные!AH12*данные!$AT$3)</f>
        <v>0</v>
      </c>
      <c r="L14" s="80">
        <f>IF($K$2=2014,IF((SUM(данные!AI12:AM12)*данные!$AT$3-данные!AF12)&gt;0,данные!AZ12,данные!AI12*данные!$AT$3),данные!AI12*данные!$AT$3)</f>
        <v>0</v>
      </c>
      <c r="M14" s="80">
        <f>IF($K$2=2014,IF((SUM(данные!AJ12:AN12)*данные!$AT$3-данные!AG12)&gt;0,данные!BA12,данные!AJ12*данные!$AT$3),данные!AJ12*данные!$AT$3)</f>
        <v>0</v>
      </c>
      <c r="N14" s="80">
        <f>IF($K$2=2014,IF((SUM(данные!AK12:AO12)*данные!$AT$3-данные!AH12)&gt;0,данные!BB12,данные!AK12*данные!$AT$3),данные!AK12*данные!$AT$3)</f>
        <v>0</v>
      </c>
      <c r="O14" s="81">
        <f>SUM(Таблица6[[#This Row],[ПИР]:[Прочие]])</f>
        <v>0</v>
      </c>
      <c r="P14" s="110" t="str">
        <f>IFERROR(Таблица6[[#This Row],[Итого в прогнозных ценах с применением методики снижения]]/Таблица6[[#This Row],[кол-во]],"")</f>
        <v/>
      </c>
      <c r="R14" s="153">
        <f>SUM(данные!N12:R12)</f>
        <v>0</v>
      </c>
      <c r="S14" s="146">
        <f>SUM(данные!X12:AB12)*0.9*1.058</f>
        <v>0</v>
      </c>
      <c r="T14" s="154">
        <f>Таблица6[[#This Row],[в ценах 4 кв 2012г]]*данные!$AT$3</f>
        <v>0</v>
      </c>
    </row>
    <row r="15" spans="1:20" x14ac:dyDescent="0.25">
      <c r="A15" s="77" t="str">
        <f>IF(калькулятор!C17=0,"",калькулятор!C17)</f>
        <v/>
      </c>
      <c r="B15" s="78" t="str">
        <f>IF(калькулятор!D17=0,"",калькулятор!D17)</f>
        <v/>
      </c>
      <c r="C15" s="78" t="str">
        <f>IF(калькулятор!E17=0,"",калькулятор!E17)</f>
        <v/>
      </c>
      <c r="D15" s="78" t="str">
        <f>IF(калькулятор!F17=0,"",калькулятор!F17)</f>
        <v/>
      </c>
      <c r="E15" s="79" t="str">
        <f>IF(калькулятор!I17=0,"",калькулятор!I17)</f>
        <v/>
      </c>
      <c r="F15" s="79">
        <f>данные!AE13</f>
        <v>0</v>
      </c>
      <c r="G15" s="79">
        <f>данные!AF13</f>
        <v>0</v>
      </c>
      <c r="H15" s="79">
        <f>данные!AC13</f>
        <v>0</v>
      </c>
      <c r="I15" s="79">
        <f>данные!AG13+данные!AH13+данные!AI13+данные!AJ13+данные!AK13</f>
        <v>0</v>
      </c>
      <c r="J15" s="80">
        <f>IF($K$2=2014,IF((SUM(данные!AG13:AK13)*данные!$AT$3-данные!AD13)&gt;0,данные!AX13,данные!AG13*данные!$AT$3),данные!AG13*данные!$AT$3)</f>
        <v>0</v>
      </c>
      <c r="K15" s="80">
        <f>IF($K$2=2014,IF((SUM(данные!AH13:AL13)*данные!$AT$3-данные!AE13)&gt;0,данные!AY13,данные!AH13*данные!$AT$3),данные!AH13*данные!$AT$3)</f>
        <v>0</v>
      </c>
      <c r="L15" s="80">
        <f>IF($K$2=2014,IF((SUM(данные!AI13:AM13)*данные!$AT$3-данные!AF13)&gt;0,данные!AZ13,данные!AI13*данные!$AT$3),данные!AI13*данные!$AT$3)</f>
        <v>0</v>
      </c>
      <c r="M15" s="80">
        <f>IF($K$2=2014,IF((SUM(данные!AJ13:AN13)*данные!$AT$3-данные!AG13)&gt;0,данные!BA13,данные!AJ13*данные!$AT$3),данные!AJ13*данные!$AT$3)</f>
        <v>0</v>
      </c>
      <c r="N15" s="80">
        <f>IF($K$2=2014,IF((SUM(данные!AK13:AO13)*данные!$AT$3-данные!AH13)&gt;0,данные!BB13,данные!AK13*данные!$AT$3),данные!AK13*данные!$AT$3)</f>
        <v>0</v>
      </c>
      <c r="O15" s="81">
        <f>SUM(Таблица6[[#This Row],[ПИР]:[Прочие]])</f>
        <v>0</v>
      </c>
      <c r="P15" s="110" t="str">
        <f>IFERROR(Таблица6[[#This Row],[Итого в прогнозных ценах с применением методики снижения]]/Таблица6[[#This Row],[кол-во]],"")</f>
        <v/>
      </c>
      <c r="R15" s="153">
        <f>SUM(данные!N13:R13)</f>
        <v>0</v>
      </c>
      <c r="S15" s="146">
        <f>SUM(данные!X13:AB13)*0.9*1.058</f>
        <v>0</v>
      </c>
      <c r="T15" s="154">
        <f>Таблица6[[#This Row],[в ценах 4 кв 2012г]]*данные!$AT$3</f>
        <v>0</v>
      </c>
    </row>
    <row r="16" spans="1:20" x14ac:dyDescent="0.25">
      <c r="A16" s="77" t="str">
        <f>IF(калькулятор!C18=0,"",калькулятор!C18)</f>
        <v/>
      </c>
      <c r="B16" s="78" t="str">
        <f>IF(калькулятор!D18=0,"",калькулятор!D18)</f>
        <v/>
      </c>
      <c r="C16" s="78" t="str">
        <f>IF(калькулятор!E18=0,"",калькулятор!E18)</f>
        <v/>
      </c>
      <c r="D16" s="78" t="str">
        <f>IF(калькулятор!F18=0,"",калькулятор!F18)</f>
        <v/>
      </c>
      <c r="E16" s="79" t="str">
        <f>IF(калькулятор!I18=0,"",калькулятор!I18)</f>
        <v/>
      </c>
      <c r="F16" s="79">
        <f>данные!AE14</f>
        <v>0</v>
      </c>
      <c r="G16" s="79">
        <f>данные!AF14</f>
        <v>0</v>
      </c>
      <c r="H16" s="79">
        <f>данные!AC14</f>
        <v>0</v>
      </c>
      <c r="I16" s="79">
        <f>данные!AG14+данные!AH14+данные!AI14+данные!AJ14+данные!AK14</f>
        <v>0</v>
      </c>
      <c r="J16" s="80">
        <f>IF($K$2=2014,IF((SUM(данные!AG14:AK14)*данные!$AT$3-данные!AD14)&gt;0,данные!AX14,данные!AG14*данные!$AT$3),данные!AG14*данные!$AT$3)</f>
        <v>0</v>
      </c>
      <c r="K16" s="80">
        <f>IF($K$2=2014,IF((SUM(данные!AH14:AL14)*данные!$AT$3-данные!AE14)&gt;0,данные!AY14,данные!AH14*данные!$AT$3),данные!AH14*данные!$AT$3)</f>
        <v>0</v>
      </c>
      <c r="L16" s="80">
        <f>IF($K$2=2014,IF((SUM(данные!AI14:AM14)*данные!$AT$3-данные!AF14)&gt;0,данные!AZ14,данные!AI14*данные!$AT$3),данные!AI14*данные!$AT$3)</f>
        <v>0</v>
      </c>
      <c r="M16" s="80">
        <f>IF($K$2=2014,IF((SUM(данные!AJ14:AN14)*данные!$AT$3-данные!AG14)&gt;0,данные!BA14,данные!AJ14*данные!$AT$3),данные!AJ14*данные!$AT$3)</f>
        <v>0</v>
      </c>
      <c r="N16" s="80">
        <f>IF($K$2=2014,IF((SUM(данные!AK14:AO14)*данные!$AT$3-данные!AH14)&gt;0,данные!BB14,данные!AK14*данные!$AT$3),данные!AK14*данные!$AT$3)</f>
        <v>0</v>
      </c>
      <c r="O16" s="81">
        <f>SUM(Таблица6[[#This Row],[ПИР]:[Прочие]])</f>
        <v>0</v>
      </c>
      <c r="P16" s="110" t="str">
        <f>IFERROR(Таблица6[[#This Row],[Итого в прогнозных ценах с применением методики снижения]]/Таблица6[[#This Row],[кол-во]],"")</f>
        <v/>
      </c>
      <c r="R16" s="153">
        <f>SUM(данные!N14:R14)</f>
        <v>0</v>
      </c>
      <c r="S16" s="146">
        <f>SUM(данные!X14:AB14)*0.9*1.058</f>
        <v>0</v>
      </c>
      <c r="T16" s="154">
        <f>Таблица6[[#This Row],[в ценах 4 кв 2012г]]*данные!$AT$3</f>
        <v>0</v>
      </c>
    </row>
    <row r="17" spans="1:20" x14ac:dyDescent="0.25">
      <c r="A17" s="77" t="str">
        <f>IF(калькулятор!C19=0,"",калькулятор!C19)</f>
        <v/>
      </c>
      <c r="B17" s="78" t="str">
        <f>IF(калькулятор!D19=0,"",калькулятор!D19)</f>
        <v/>
      </c>
      <c r="C17" s="78" t="str">
        <f>IF(калькулятор!E19=0,"",калькулятор!E19)</f>
        <v/>
      </c>
      <c r="D17" s="78" t="str">
        <f>IF(калькулятор!F19=0,"",калькулятор!F19)</f>
        <v/>
      </c>
      <c r="E17" s="79" t="str">
        <f>IF(калькулятор!I19=0,"",калькулятор!I19)</f>
        <v/>
      </c>
      <c r="F17" s="79">
        <f>данные!AE15</f>
        <v>0</v>
      </c>
      <c r="G17" s="79">
        <f>данные!AF15</f>
        <v>0</v>
      </c>
      <c r="H17" s="79">
        <f>данные!AC15</f>
        <v>0</v>
      </c>
      <c r="I17" s="79">
        <f>данные!AG15+данные!AH15+данные!AI15+данные!AJ15+данные!AK15</f>
        <v>0</v>
      </c>
      <c r="J17" s="80">
        <f>IF($K$2=2014,IF((SUM(данные!AG15:AK15)*данные!$AT$3-данные!AD15)&gt;0,данные!AX15,данные!AG15*данные!$AT$3),данные!AG15*данные!$AT$3)</f>
        <v>0</v>
      </c>
      <c r="K17" s="80">
        <f>IF($K$2=2014,IF((SUM(данные!AH15:AL15)*данные!$AT$3-данные!AE15)&gt;0,данные!AY15,данные!AH15*данные!$AT$3),данные!AH15*данные!$AT$3)</f>
        <v>0</v>
      </c>
      <c r="L17" s="80">
        <f>IF($K$2=2014,IF((SUM(данные!AI15:AM15)*данные!$AT$3-данные!AF15)&gt;0,данные!AZ15,данные!AI15*данные!$AT$3),данные!AI15*данные!$AT$3)</f>
        <v>0</v>
      </c>
      <c r="M17" s="80">
        <f>IF($K$2=2014,IF((SUM(данные!AJ15:AN15)*данные!$AT$3-данные!AG15)&gt;0,данные!BA15,данные!AJ15*данные!$AT$3),данные!AJ15*данные!$AT$3)</f>
        <v>0</v>
      </c>
      <c r="N17" s="80">
        <f>IF($K$2=2014,IF((SUM(данные!AK15:AO15)*данные!$AT$3-данные!AH15)&gt;0,данные!BB15,данные!AK15*данные!$AT$3),данные!AK15*данные!$AT$3)</f>
        <v>0</v>
      </c>
      <c r="O17" s="81">
        <f>SUM(Таблица6[[#This Row],[ПИР]:[Прочие]])</f>
        <v>0</v>
      </c>
      <c r="P17" s="110" t="str">
        <f>IFERROR(Таблица6[[#This Row],[Итого в прогнозных ценах с применением методики снижения]]/Таблица6[[#This Row],[кол-во]],"")</f>
        <v/>
      </c>
      <c r="R17" s="153">
        <f>SUM(данные!N15:R15)</f>
        <v>0</v>
      </c>
      <c r="S17" s="146">
        <f>SUM(данные!X15:AB15)*0.9*1.058</f>
        <v>0</v>
      </c>
      <c r="T17" s="154">
        <f>Таблица6[[#This Row],[в ценах 4 кв 2012г]]*данные!$AT$3</f>
        <v>0</v>
      </c>
    </row>
    <row r="18" spans="1:20" x14ac:dyDescent="0.25">
      <c r="A18" s="77" t="str">
        <f>IF(калькулятор!C20=0,"",калькулятор!C20)</f>
        <v/>
      </c>
      <c r="B18" s="78" t="str">
        <f>IF(калькулятор!D20=0,"",калькулятор!D20)</f>
        <v/>
      </c>
      <c r="C18" s="78" t="str">
        <f>IF(калькулятор!E20=0,"",калькулятор!E20)</f>
        <v/>
      </c>
      <c r="D18" s="78" t="str">
        <f>IF(калькулятор!F20=0,"",калькулятор!F20)</f>
        <v/>
      </c>
      <c r="E18" s="79" t="str">
        <f>IF(калькулятор!I20=0,"",калькулятор!I20)</f>
        <v/>
      </c>
      <c r="F18" s="79">
        <f>данные!AE16</f>
        <v>0</v>
      </c>
      <c r="G18" s="79">
        <f>данные!AF16</f>
        <v>0</v>
      </c>
      <c r="H18" s="79">
        <f>данные!AC16</f>
        <v>0</v>
      </c>
      <c r="I18" s="79">
        <f>данные!AG16+данные!AH16+данные!AI16+данные!AJ16+данные!AK16</f>
        <v>0</v>
      </c>
      <c r="J18" s="80">
        <f>IF($K$2=2014,IF((SUM(данные!AG16:AK16)*данные!$AT$3-данные!AD16)&gt;0,данные!AX16,данные!AG16*данные!$AT$3),данные!AG16*данные!$AT$3)</f>
        <v>0</v>
      </c>
      <c r="K18" s="80">
        <f>IF($K$2=2014,IF((SUM(данные!AH16:AL16)*данные!$AT$3-данные!AE16)&gt;0,данные!AY16,данные!AH16*данные!$AT$3),данные!AH16*данные!$AT$3)</f>
        <v>0</v>
      </c>
      <c r="L18" s="80">
        <f>IF($K$2=2014,IF((SUM(данные!AI16:AM16)*данные!$AT$3-данные!AF16)&gt;0,данные!AZ16,данные!AI16*данные!$AT$3),данные!AI16*данные!$AT$3)</f>
        <v>0</v>
      </c>
      <c r="M18" s="80">
        <f>IF($K$2=2014,IF((SUM(данные!AJ16:AN16)*данные!$AT$3-данные!AG16)&gt;0,данные!BA16,данные!AJ16*данные!$AT$3),данные!AJ16*данные!$AT$3)</f>
        <v>0</v>
      </c>
      <c r="N18" s="80">
        <f>IF($K$2=2014,IF((SUM(данные!AK16:AO16)*данные!$AT$3-данные!AH16)&gt;0,данные!BB16,данные!AK16*данные!$AT$3),данные!AK16*данные!$AT$3)</f>
        <v>0</v>
      </c>
      <c r="O18" s="81">
        <f>SUM(Таблица6[[#This Row],[ПИР]:[Прочие]])</f>
        <v>0</v>
      </c>
      <c r="P18" s="110" t="str">
        <f>IFERROR(Таблица6[[#This Row],[Итого в прогнозных ценах с применением методики снижения]]/Таблица6[[#This Row],[кол-во]],"")</f>
        <v/>
      </c>
      <c r="R18" s="153">
        <f>SUM(данные!N16:R16)</f>
        <v>0</v>
      </c>
      <c r="S18" s="146">
        <f>SUM(данные!X16:AB16)*0.9*1.058</f>
        <v>0</v>
      </c>
      <c r="T18" s="154">
        <f>Таблица6[[#This Row],[в ценах 4 кв 2012г]]*данные!$AT$3</f>
        <v>0</v>
      </c>
    </row>
    <row r="19" spans="1:20" x14ac:dyDescent="0.25">
      <c r="A19" s="77" t="str">
        <f>IF(калькулятор!C21=0,"",калькулятор!C21)</f>
        <v/>
      </c>
      <c r="B19" s="78" t="str">
        <f>IF(калькулятор!D21=0,"",калькулятор!D21)</f>
        <v/>
      </c>
      <c r="C19" s="78" t="str">
        <f>IF(калькулятор!E21=0,"",калькулятор!E21)</f>
        <v/>
      </c>
      <c r="D19" s="78" t="str">
        <f>IF(калькулятор!F21=0,"",калькулятор!F21)</f>
        <v/>
      </c>
      <c r="E19" s="79" t="str">
        <f>IF(калькулятор!I21=0,"",калькулятор!I21)</f>
        <v/>
      </c>
      <c r="F19" s="79">
        <f>данные!AE17</f>
        <v>0</v>
      </c>
      <c r="G19" s="79">
        <f>данные!AF17</f>
        <v>0</v>
      </c>
      <c r="H19" s="79">
        <f>данные!AC17</f>
        <v>0</v>
      </c>
      <c r="I19" s="79">
        <f>данные!AG17+данные!AH17+данные!AI17+данные!AJ17+данные!AK17</f>
        <v>0</v>
      </c>
      <c r="J19" s="80">
        <f>IF($K$2=2014,IF((SUM(данные!AG17:AK17)*данные!$AT$3-данные!AD17)&gt;0,данные!AX17,данные!AG17*данные!$AT$3),данные!AG17*данные!$AT$3)</f>
        <v>0</v>
      </c>
      <c r="K19" s="80">
        <f>IF($K$2=2014,IF((SUM(данные!AH17:AL17)*данные!$AT$3-данные!AE17)&gt;0,данные!AY17,данные!AH17*данные!$AT$3),данные!AH17*данные!$AT$3)</f>
        <v>0</v>
      </c>
      <c r="L19" s="80">
        <f>IF($K$2=2014,IF((SUM(данные!AI17:AM17)*данные!$AT$3-данные!AF17)&gt;0,данные!AZ17,данные!AI17*данные!$AT$3),данные!AI17*данные!$AT$3)</f>
        <v>0</v>
      </c>
      <c r="M19" s="80">
        <f>IF($K$2=2014,IF((SUM(данные!AJ17:AN17)*данные!$AT$3-данные!AG17)&gt;0,данные!BA17,данные!AJ17*данные!$AT$3),данные!AJ17*данные!$AT$3)</f>
        <v>0</v>
      </c>
      <c r="N19" s="80">
        <f>IF($K$2=2014,IF((SUM(данные!AK17:AO17)*данные!$AT$3-данные!AH17)&gt;0,данные!BB17,данные!AK17*данные!$AT$3),данные!AK17*данные!$AT$3)</f>
        <v>0</v>
      </c>
      <c r="O19" s="81">
        <f>SUM(Таблица6[[#This Row],[ПИР]:[Прочие]])</f>
        <v>0</v>
      </c>
      <c r="P19" s="110" t="str">
        <f>IFERROR(Таблица6[[#This Row],[Итого в прогнозных ценах с применением методики снижения]]/Таблица6[[#This Row],[кол-во]],"")</f>
        <v/>
      </c>
      <c r="R19" s="153">
        <f>SUM(данные!N17:R17)</f>
        <v>0</v>
      </c>
      <c r="S19" s="146">
        <f>SUM(данные!X17:AB17)*0.9*1.058</f>
        <v>0</v>
      </c>
      <c r="T19" s="154">
        <f>Таблица6[[#This Row],[в ценах 4 кв 2012г]]*данные!$AT$3</f>
        <v>0</v>
      </c>
    </row>
    <row r="20" spans="1:20" x14ac:dyDescent="0.25">
      <c r="A20" s="77" t="str">
        <f>IF(калькулятор!C22=0,"",калькулятор!C22)</f>
        <v/>
      </c>
      <c r="B20" s="78" t="str">
        <f>IF(калькулятор!D22=0,"",калькулятор!D22)</f>
        <v/>
      </c>
      <c r="C20" s="78" t="str">
        <f>IF(калькулятор!E22=0,"",калькулятор!E22)</f>
        <v/>
      </c>
      <c r="D20" s="78" t="str">
        <f>IF(калькулятор!F22=0,"",калькулятор!F22)</f>
        <v/>
      </c>
      <c r="E20" s="79" t="str">
        <f>IF(калькулятор!I22=0,"",калькулятор!I22)</f>
        <v/>
      </c>
      <c r="F20" s="79">
        <f>данные!AE18</f>
        <v>0</v>
      </c>
      <c r="G20" s="79">
        <f>данные!AF18</f>
        <v>0</v>
      </c>
      <c r="H20" s="79">
        <f>данные!AC18</f>
        <v>0</v>
      </c>
      <c r="I20" s="79">
        <f>данные!AG18+данные!AH18+данные!AI18+данные!AJ18+данные!AK18</f>
        <v>0</v>
      </c>
      <c r="J20" s="80">
        <f>IF($K$2=2014,IF((SUM(данные!AG18:AK18)*данные!$AT$3-данные!AD18)&gt;0,данные!AX18,данные!AG18*данные!$AT$3),данные!AG18*данные!$AT$3)</f>
        <v>0</v>
      </c>
      <c r="K20" s="80">
        <f>IF($K$2=2014,IF((SUM(данные!AH18:AL18)*данные!$AT$3-данные!AE18)&gt;0,данные!AY18,данные!AH18*данные!$AT$3),данные!AH18*данные!$AT$3)</f>
        <v>0</v>
      </c>
      <c r="L20" s="80">
        <f>IF($K$2=2014,IF((SUM(данные!AI18:AM18)*данные!$AT$3-данные!AF18)&gt;0,данные!AZ18,данные!AI18*данные!$AT$3),данные!AI18*данные!$AT$3)</f>
        <v>0</v>
      </c>
      <c r="M20" s="80">
        <f>IF($K$2=2014,IF((SUM(данные!AJ18:AN18)*данные!$AT$3-данные!AG18)&gt;0,данные!BA18,данные!AJ18*данные!$AT$3),данные!AJ18*данные!$AT$3)</f>
        <v>0</v>
      </c>
      <c r="N20" s="80">
        <f>IF($K$2=2014,IF((SUM(данные!AK18:AO18)*данные!$AT$3-данные!AH18)&gt;0,данные!BB18,данные!AK18*данные!$AT$3),данные!AK18*данные!$AT$3)</f>
        <v>0</v>
      </c>
      <c r="O20" s="81">
        <f>SUM(Таблица6[[#This Row],[ПИР]:[Прочие]])</f>
        <v>0</v>
      </c>
      <c r="P20" s="110" t="str">
        <f>IFERROR(Таблица6[[#This Row],[Итого в прогнозных ценах с применением методики снижения]]/Таблица6[[#This Row],[кол-во]],"")</f>
        <v/>
      </c>
      <c r="R20" s="153">
        <f>SUM(данные!N18:R18)</f>
        <v>0</v>
      </c>
      <c r="S20" s="146">
        <f>SUM(данные!X18:AB18)*0.9*1.058</f>
        <v>0</v>
      </c>
      <c r="T20" s="154">
        <f>Таблица6[[#This Row],[в ценах 4 кв 2012г]]*данные!$AT$3</f>
        <v>0</v>
      </c>
    </row>
    <row r="21" spans="1:20" x14ac:dyDescent="0.25">
      <c r="A21" s="77" t="str">
        <f>IF(калькулятор!C23=0,"",калькулятор!C23)</f>
        <v/>
      </c>
      <c r="B21" s="78" t="str">
        <f>IF(калькулятор!D23=0,"",калькулятор!D23)</f>
        <v/>
      </c>
      <c r="C21" s="78" t="str">
        <f>IF(калькулятор!E23=0,"",калькулятор!E23)</f>
        <v/>
      </c>
      <c r="D21" s="78" t="str">
        <f>IF(калькулятор!F23=0,"",калькулятор!F23)</f>
        <v/>
      </c>
      <c r="E21" s="79" t="str">
        <f>IF(калькулятор!I23=0,"",калькулятор!I23)</f>
        <v/>
      </c>
      <c r="F21" s="79">
        <f>данные!AE19</f>
        <v>0</v>
      </c>
      <c r="G21" s="79">
        <f>данные!AF19</f>
        <v>0</v>
      </c>
      <c r="H21" s="79">
        <f>данные!AC19</f>
        <v>0</v>
      </c>
      <c r="I21" s="79">
        <f>данные!AG19+данные!AH19+данные!AI19+данные!AJ19+данные!AK19</f>
        <v>0</v>
      </c>
      <c r="J21" s="80">
        <f>IF($K$2=2014,IF((SUM(данные!AG19:AK19)*данные!$AT$3-данные!AD19)&gt;0,данные!AX19,данные!AG19*данные!$AT$3),данные!AG19*данные!$AT$3)</f>
        <v>0</v>
      </c>
      <c r="K21" s="80">
        <f>IF($K$2=2014,IF((SUM(данные!AH19:AL19)*данные!$AT$3-данные!AE19)&gt;0,данные!AY19,данные!AH19*данные!$AT$3),данные!AH19*данные!$AT$3)</f>
        <v>0</v>
      </c>
      <c r="L21" s="80">
        <f>IF($K$2=2014,IF((SUM(данные!AI19:AM19)*данные!$AT$3-данные!AF19)&gt;0,данные!AZ19,данные!AI19*данные!$AT$3),данные!AI19*данные!$AT$3)</f>
        <v>0</v>
      </c>
      <c r="M21" s="80">
        <f>IF($K$2=2014,IF((SUM(данные!AJ19:AN19)*данные!$AT$3-данные!AG19)&gt;0,данные!BA19,данные!AJ19*данные!$AT$3),данные!AJ19*данные!$AT$3)</f>
        <v>0</v>
      </c>
      <c r="N21" s="80">
        <f>IF($K$2=2014,IF((SUM(данные!AK19:AO19)*данные!$AT$3-данные!AH19)&gt;0,данные!BB19,данные!AK19*данные!$AT$3),данные!AK19*данные!$AT$3)</f>
        <v>0</v>
      </c>
      <c r="O21" s="81">
        <f>SUM(Таблица6[[#This Row],[ПИР]:[Прочие]])</f>
        <v>0</v>
      </c>
      <c r="P21" s="110" t="str">
        <f>IFERROR(Таблица6[[#This Row],[Итого в прогнозных ценах с применением методики снижения]]/Таблица6[[#This Row],[кол-во]],"")</f>
        <v/>
      </c>
      <c r="R21" s="153">
        <f>SUM(данные!N19:R19)</f>
        <v>0</v>
      </c>
      <c r="S21" s="146">
        <f>SUM(данные!X19:AB19)*0.9*1.058</f>
        <v>0</v>
      </c>
      <c r="T21" s="154">
        <f>Таблица6[[#This Row],[в ценах 4 кв 2012г]]*данные!$AT$3</f>
        <v>0</v>
      </c>
    </row>
    <row r="22" spans="1:20" x14ac:dyDescent="0.25">
      <c r="A22" s="77" t="str">
        <f>IF(калькулятор!C24=0,"",калькулятор!C24)</f>
        <v/>
      </c>
      <c r="B22" s="78" t="str">
        <f>IF(калькулятор!D24=0,"",калькулятор!D24)</f>
        <v/>
      </c>
      <c r="C22" s="78" t="str">
        <f>IF(калькулятор!E24=0,"",калькулятор!E24)</f>
        <v/>
      </c>
      <c r="D22" s="78" t="str">
        <f>IF(калькулятор!F24=0,"",калькулятор!F24)</f>
        <v/>
      </c>
      <c r="E22" s="79" t="str">
        <f>IF(калькулятор!I24=0,"",калькулятор!I24)</f>
        <v/>
      </c>
      <c r="F22" s="79">
        <f>данные!AE20</f>
        <v>0</v>
      </c>
      <c r="G22" s="79">
        <f>данные!AF20</f>
        <v>0</v>
      </c>
      <c r="H22" s="79">
        <f>данные!AC20</f>
        <v>0</v>
      </c>
      <c r="I22" s="79">
        <f>данные!AG20+данные!AH20+данные!AI20+данные!AJ20+данные!AK20</f>
        <v>0</v>
      </c>
      <c r="J22" s="80">
        <f>IF($K$2=2014,IF((SUM(данные!AG20:AK20)*данные!$AT$3-данные!AD20)&gt;0,данные!AX20,данные!AG20*данные!$AT$3),данные!AG20*данные!$AT$3)</f>
        <v>0</v>
      </c>
      <c r="K22" s="80">
        <f>IF($K$2=2014,IF((SUM(данные!AH20:AL20)*данные!$AT$3-данные!AE20)&gt;0,данные!AY20,данные!AH20*данные!$AT$3),данные!AH20*данные!$AT$3)</f>
        <v>0</v>
      </c>
      <c r="L22" s="80">
        <f>IF($K$2=2014,IF((SUM(данные!AI20:AM20)*данные!$AT$3-данные!AF20)&gt;0,данные!AZ20,данные!AI20*данные!$AT$3),данные!AI20*данные!$AT$3)</f>
        <v>0</v>
      </c>
      <c r="M22" s="80">
        <f>IF($K$2=2014,IF((SUM(данные!AJ20:AN20)*данные!$AT$3-данные!AG20)&gt;0,данные!BA20,данные!AJ20*данные!$AT$3),данные!AJ20*данные!$AT$3)</f>
        <v>0</v>
      </c>
      <c r="N22" s="80">
        <f>IF($K$2=2014,IF((SUM(данные!AK20:AO20)*данные!$AT$3-данные!AH20)&gt;0,данные!BB20,данные!AK20*данные!$AT$3),данные!AK20*данные!$AT$3)</f>
        <v>0</v>
      </c>
      <c r="O22" s="81">
        <f>SUM(Таблица6[[#This Row],[ПИР]:[Прочие]])</f>
        <v>0</v>
      </c>
      <c r="P22" s="110" t="str">
        <f>IFERROR(Таблица6[[#This Row],[Итого в прогнозных ценах с применением методики снижения]]/Таблица6[[#This Row],[кол-во]],"")</f>
        <v/>
      </c>
      <c r="R22" s="153">
        <f>SUM(данные!N20:R20)</f>
        <v>0</v>
      </c>
      <c r="S22" s="146">
        <f>SUM(данные!X20:AB20)*0.9*1.058</f>
        <v>0</v>
      </c>
      <c r="T22" s="154">
        <f>Таблица6[[#This Row],[в ценах 4 кв 2012г]]*данные!$AT$3</f>
        <v>0</v>
      </c>
    </row>
    <row r="23" spans="1:20" x14ac:dyDescent="0.25">
      <c r="A23" s="77" t="str">
        <f>IF(калькулятор!C25=0,"",калькулятор!C25)</f>
        <v/>
      </c>
      <c r="B23" s="78" t="str">
        <f>IF(калькулятор!D25=0,"",калькулятор!D25)</f>
        <v/>
      </c>
      <c r="C23" s="78" t="str">
        <f>IF(калькулятор!E25=0,"",калькулятор!E25)</f>
        <v/>
      </c>
      <c r="D23" s="78" t="str">
        <f>IF(калькулятор!F25=0,"",калькулятор!F25)</f>
        <v/>
      </c>
      <c r="E23" s="79" t="str">
        <f>IF(калькулятор!I25=0,"",калькулятор!I25)</f>
        <v/>
      </c>
      <c r="F23" s="79">
        <f>данные!AE21</f>
        <v>0</v>
      </c>
      <c r="G23" s="79">
        <f>данные!AF21</f>
        <v>0</v>
      </c>
      <c r="H23" s="79">
        <f>данные!AC21</f>
        <v>0</v>
      </c>
      <c r="I23" s="79">
        <f>данные!AG21+данные!AH21+данные!AI21+данные!AJ21+данные!AK21</f>
        <v>0</v>
      </c>
      <c r="J23" s="80">
        <f>IF($K$2=2014,IF((SUM(данные!AG21:AK21)*данные!$AT$3-данные!AD21)&gt;0,данные!AX21,данные!AG21*данные!$AT$3),данные!AG21*данные!$AT$3)</f>
        <v>0</v>
      </c>
      <c r="K23" s="80">
        <f>IF($K$2=2014,IF((SUM(данные!AH21:AL21)*данные!$AT$3-данные!AE21)&gt;0,данные!AY21,данные!AH21*данные!$AT$3),данные!AH21*данные!$AT$3)</f>
        <v>0</v>
      </c>
      <c r="L23" s="80">
        <f>IF($K$2=2014,IF((SUM(данные!AI21:AM21)*данные!$AT$3-данные!AF21)&gt;0,данные!AZ21,данные!AI21*данные!$AT$3),данные!AI21*данные!$AT$3)</f>
        <v>0</v>
      </c>
      <c r="M23" s="80">
        <f>IF($K$2=2014,IF((SUM(данные!AJ21:AN21)*данные!$AT$3-данные!AG21)&gt;0,данные!BA21,данные!AJ21*данные!$AT$3),данные!AJ21*данные!$AT$3)</f>
        <v>0</v>
      </c>
      <c r="N23" s="80">
        <f>IF($K$2=2014,IF((SUM(данные!AK21:AO21)*данные!$AT$3-данные!AH21)&gt;0,данные!BB21,данные!AK21*данные!$AT$3),данные!AK21*данные!$AT$3)</f>
        <v>0</v>
      </c>
      <c r="O23" s="81">
        <f>SUM(Таблица6[[#This Row],[ПИР]:[Прочие]])</f>
        <v>0</v>
      </c>
      <c r="P23" s="110" t="str">
        <f>IFERROR(Таблица6[[#This Row],[Итого в прогнозных ценах с применением методики снижения]]/Таблица6[[#This Row],[кол-во]],"")</f>
        <v/>
      </c>
      <c r="R23" s="153">
        <f>SUM(данные!N21:R21)</f>
        <v>0</v>
      </c>
      <c r="S23" s="146">
        <f>SUM(данные!X21:AB21)*0.9*1.058</f>
        <v>0</v>
      </c>
      <c r="T23" s="154">
        <f>Таблица6[[#This Row],[в ценах 4 кв 2012г]]*данные!$AT$3</f>
        <v>0</v>
      </c>
    </row>
    <row r="24" spans="1:20" x14ac:dyDescent="0.25">
      <c r="A24" s="77" t="str">
        <f>IF(калькулятор!C26=0,"",калькулятор!C26)</f>
        <v/>
      </c>
      <c r="B24" s="78" t="str">
        <f>IF(калькулятор!D26=0,"",калькулятор!D26)</f>
        <v/>
      </c>
      <c r="C24" s="78" t="str">
        <f>IF(калькулятор!E26=0,"",калькулятор!E26)</f>
        <v/>
      </c>
      <c r="D24" s="78" t="str">
        <f>IF(калькулятор!F26=0,"",калькулятор!F26)</f>
        <v/>
      </c>
      <c r="E24" s="79" t="str">
        <f>IF(калькулятор!I26=0,"",калькулятор!I26)</f>
        <v/>
      </c>
      <c r="F24" s="79">
        <f>данные!AE22</f>
        <v>0</v>
      </c>
      <c r="G24" s="79">
        <f>данные!AF22</f>
        <v>0</v>
      </c>
      <c r="H24" s="79">
        <f>данные!AC22</f>
        <v>0</v>
      </c>
      <c r="I24" s="79">
        <f>данные!AG22+данные!AH22+данные!AI22+данные!AJ22+данные!AK22</f>
        <v>0</v>
      </c>
      <c r="J24" s="80">
        <f>IF($K$2=2014,IF((SUM(данные!AG22:AK22)*данные!$AT$3-данные!AD22)&gt;0,данные!AX22,данные!AG22*данные!$AT$3),данные!AG22*данные!$AT$3)</f>
        <v>0</v>
      </c>
      <c r="K24" s="80">
        <f>IF($K$2=2014,IF((SUM(данные!AH22:AL22)*данные!$AT$3-данные!AE22)&gt;0,данные!AY22,данные!AH22*данные!$AT$3),данные!AH22*данные!$AT$3)</f>
        <v>0</v>
      </c>
      <c r="L24" s="80">
        <f>IF($K$2=2014,IF((SUM(данные!AI22:AM22)*данные!$AT$3-данные!AF22)&gt;0,данные!AZ22,данные!AI22*данные!$AT$3),данные!AI22*данные!$AT$3)</f>
        <v>0</v>
      </c>
      <c r="M24" s="80">
        <f>IF($K$2=2014,IF((SUM(данные!AJ22:AN22)*данные!$AT$3-данные!AG22)&gt;0,данные!BA22,данные!AJ22*данные!$AT$3),данные!AJ22*данные!$AT$3)</f>
        <v>0</v>
      </c>
      <c r="N24" s="80">
        <f>IF($K$2=2014,IF((SUM(данные!AK22:AO22)*данные!$AT$3-данные!AH22)&gt;0,данные!BB22,данные!AK22*данные!$AT$3),данные!AK22*данные!$AT$3)</f>
        <v>0</v>
      </c>
      <c r="O24" s="81">
        <f>SUM(Таблица6[[#This Row],[ПИР]:[Прочие]])</f>
        <v>0</v>
      </c>
      <c r="P24" s="110" t="str">
        <f>IFERROR(Таблица6[[#This Row],[Итого в прогнозных ценах с применением методики снижения]]/Таблица6[[#This Row],[кол-во]],"")</f>
        <v/>
      </c>
      <c r="R24" s="153">
        <f>SUM(данные!N22:R22)</f>
        <v>0</v>
      </c>
      <c r="S24" s="146">
        <f>SUM(данные!X22:AB22)*0.9*1.058</f>
        <v>0</v>
      </c>
      <c r="T24" s="154">
        <f>Таблица6[[#This Row],[в ценах 4 кв 2012г]]*данные!$AT$3</f>
        <v>0</v>
      </c>
    </row>
    <row r="25" spans="1:20" x14ac:dyDescent="0.25">
      <c r="A25" s="77" t="str">
        <f>IF(калькулятор!C27=0,"",калькулятор!C27)</f>
        <v/>
      </c>
      <c r="B25" s="78" t="str">
        <f>IF(калькулятор!D27=0,"",калькулятор!D27)</f>
        <v/>
      </c>
      <c r="C25" s="78" t="str">
        <f>IF(калькулятор!E27=0,"",калькулятор!E27)</f>
        <v/>
      </c>
      <c r="D25" s="78" t="str">
        <f>IF(калькулятор!F27=0,"",калькулятор!F27)</f>
        <v/>
      </c>
      <c r="E25" s="79" t="str">
        <f>IF(калькулятор!I27=0,"",калькулятор!I27)</f>
        <v/>
      </c>
      <c r="F25" s="79">
        <f>данные!AE23</f>
        <v>0</v>
      </c>
      <c r="G25" s="79">
        <f>данные!AF23</f>
        <v>0</v>
      </c>
      <c r="H25" s="79">
        <f>данные!AC23</f>
        <v>0</v>
      </c>
      <c r="I25" s="79">
        <f>данные!AG23+данные!AH23+данные!AI23+данные!AJ23+данные!AK23</f>
        <v>0</v>
      </c>
      <c r="J25" s="80">
        <f>IF($K$2=2014,IF((SUM(данные!AG23:AK23)*данные!$AT$3-данные!AD23)&gt;0,данные!AX23,данные!AG23*данные!$AT$3),данные!AG23*данные!$AT$3)</f>
        <v>0</v>
      </c>
      <c r="K25" s="80">
        <f>IF($K$2=2014,IF((SUM(данные!AH23:AL23)*данные!$AT$3-данные!AE23)&gt;0,данные!AY23,данные!AH23*данные!$AT$3),данные!AH23*данные!$AT$3)</f>
        <v>0</v>
      </c>
      <c r="L25" s="80">
        <f>IF($K$2=2014,IF((SUM(данные!AI23:AM23)*данные!$AT$3-данные!AF23)&gt;0,данные!AZ23,данные!AI23*данные!$AT$3),данные!AI23*данные!$AT$3)</f>
        <v>0</v>
      </c>
      <c r="M25" s="80">
        <f>IF($K$2=2014,IF((SUM(данные!AJ23:AN23)*данные!$AT$3-данные!AG23)&gt;0,данные!BA23,данные!AJ23*данные!$AT$3),данные!AJ23*данные!$AT$3)</f>
        <v>0</v>
      </c>
      <c r="N25" s="80">
        <f>IF($K$2=2014,IF((SUM(данные!AK23:AO23)*данные!$AT$3-данные!AH23)&gt;0,данные!BB23,данные!AK23*данные!$AT$3),данные!AK23*данные!$AT$3)</f>
        <v>0</v>
      </c>
      <c r="O25" s="81">
        <f>SUM(Таблица6[[#This Row],[ПИР]:[Прочие]])</f>
        <v>0</v>
      </c>
      <c r="P25" s="110" t="str">
        <f>IFERROR(Таблица6[[#This Row],[Итого в прогнозных ценах с применением методики снижения]]/Таблица6[[#This Row],[кол-во]],"")</f>
        <v/>
      </c>
      <c r="R25" s="153">
        <f>SUM(данные!N23:R23)</f>
        <v>0</v>
      </c>
      <c r="S25" s="146">
        <f>SUM(данные!X23:AB23)*0.9*1.058</f>
        <v>0</v>
      </c>
      <c r="T25" s="154">
        <f>Таблица6[[#This Row],[в ценах 4 кв 2012г]]*данные!$AT$3</f>
        <v>0</v>
      </c>
    </row>
    <row r="26" spans="1:20" x14ac:dyDescent="0.25">
      <c r="A26" s="77" t="str">
        <f>IF(калькулятор!C28=0,"",калькулятор!C28)</f>
        <v/>
      </c>
      <c r="B26" s="78" t="str">
        <f>IF(калькулятор!D28=0,"",калькулятор!D28)</f>
        <v/>
      </c>
      <c r="C26" s="78" t="str">
        <f>IF(калькулятор!E28=0,"",калькулятор!E28)</f>
        <v/>
      </c>
      <c r="D26" s="78" t="str">
        <f>IF(калькулятор!F28=0,"",калькулятор!F28)</f>
        <v/>
      </c>
      <c r="E26" s="79" t="str">
        <f>IF(калькулятор!I28=0,"",калькулятор!I28)</f>
        <v/>
      </c>
      <c r="F26" s="79">
        <f>данные!AE24</f>
        <v>0</v>
      </c>
      <c r="G26" s="79">
        <f>данные!AF24</f>
        <v>0</v>
      </c>
      <c r="H26" s="79">
        <f>данные!AC24</f>
        <v>0</v>
      </c>
      <c r="I26" s="79">
        <f>данные!AG24+данные!AH24+данные!AI24+данные!AJ24+данные!AK24</f>
        <v>0</v>
      </c>
      <c r="J26" s="80">
        <f>IF($K$2=2014,IF((SUM(данные!AG24:AK24)*данные!$AT$3-данные!AD24)&gt;0,данные!AX24,данные!AG24*данные!$AT$3),данные!AG24*данные!$AT$3)</f>
        <v>0</v>
      </c>
      <c r="K26" s="80">
        <f>IF($K$2=2014,IF((SUM(данные!AH24:AL24)*данные!$AT$3-данные!AE24)&gt;0,данные!AY24,данные!AH24*данные!$AT$3),данные!AH24*данные!$AT$3)</f>
        <v>0</v>
      </c>
      <c r="L26" s="80">
        <f>IF($K$2=2014,IF((SUM(данные!AI24:AM24)*данные!$AT$3-данные!AF24)&gt;0,данные!AZ24,данные!AI24*данные!$AT$3),данные!AI24*данные!$AT$3)</f>
        <v>0</v>
      </c>
      <c r="M26" s="80">
        <f>IF($K$2=2014,IF((SUM(данные!AJ24:AN24)*данные!$AT$3-данные!AG24)&gt;0,данные!BA24,данные!AJ24*данные!$AT$3),данные!AJ24*данные!$AT$3)</f>
        <v>0</v>
      </c>
      <c r="N26" s="80">
        <f>IF($K$2=2014,IF((SUM(данные!AK24:AO24)*данные!$AT$3-данные!AH24)&gt;0,данные!BB24,данные!AK24*данные!$AT$3),данные!AK24*данные!$AT$3)</f>
        <v>0</v>
      </c>
      <c r="O26" s="81">
        <f>SUM(Таблица6[[#This Row],[ПИР]:[Прочие]])</f>
        <v>0</v>
      </c>
      <c r="P26" s="110" t="str">
        <f>IFERROR(Таблица6[[#This Row],[Итого в прогнозных ценах с применением методики снижения]]/Таблица6[[#This Row],[кол-во]],"")</f>
        <v/>
      </c>
      <c r="R26" s="153">
        <f>SUM(данные!N24:R24)</f>
        <v>0</v>
      </c>
      <c r="S26" s="146">
        <f>SUM(данные!X24:AB24)*0.9*1.058</f>
        <v>0</v>
      </c>
      <c r="T26" s="154">
        <f>Таблица6[[#This Row],[в ценах 4 кв 2012г]]*данные!$AT$3</f>
        <v>0</v>
      </c>
    </row>
    <row r="27" spans="1:20" x14ac:dyDescent="0.25">
      <c r="A27" s="77" t="str">
        <f>IF(калькулятор!C29=0,"",калькулятор!C29)</f>
        <v/>
      </c>
      <c r="B27" s="78" t="str">
        <f>IF(калькулятор!D29=0,"",калькулятор!D29)</f>
        <v/>
      </c>
      <c r="C27" s="78" t="str">
        <f>IF(калькулятор!E29=0,"",калькулятор!E29)</f>
        <v/>
      </c>
      <c r="D27" s="78" t="str">
        <f>IF(калькулятор!F29=0,"",калькулятор!F29)</f>
        <v/>
      </c>
      <c r="E27" s="79" t="str">
        <f>IF(калькулятор!I29=0,"",калькулятор!I29)</f>
        <v/>
      </c>
      <c r="F27" s="79">
        <f>данные!AE25</f>
        <v>0</v>
      </c>
      <c r="G27" s="79">
        <f>данные!AF25</f>
        <v>0</v>
      </c>
      <c r="H27" s="79">
        <f>данные!AC25</f>
        <v>0</v>
      </c>
      <c r="I27" s="79">
        <f>данные!AG25+данные!AH25+данные!AI25+данные!AJ25+данные!AK25</f>
        <v>0</v>
      </c>
      <c r="J27" s="80">
        <f>IF($K$2=2014,IF((SUM(данные!AG25:AK25)*данные!$AT$3-данные!AD25)&gt;0,данные!AX25,данные!AG25*данные!$AT$3),данные!AG25*данные!$AT$3)</f>
        <v>0</v>
      </c>
      <c r="K27" s="80">
        <f>IF($K$2=2014,IF((SUM(данные!AH25:AL25)*данные!$AT$3-данные!AE25)&gt;0,данные!AY25,данные!AH25*данные!$AT$3),данные!AH25*данные!$AT$3)</f>
        <v>0</v>
      </c>
      <c r="L27" s="80">
        <f>IF($K$2=2014,IF((SUM(данные!AI25:AM25)*данные!$AT$3-данные!AF25)&gt;0,данные!AZ25,данные!AI25*данные!$AT$3),данные!AI25*данные!$AT$3)</f>
        <v>0</v>
      </c>
      <c r="M27" s="80">
        <f>IF($K$2=2014,IF((SUM(данные!AJ25:AN25)*данные!$AT$3-данные!AG25)&gt;0,данные!BA25,данные!AJ25*данные!$AT$3),данные!AJ25*данные!$AT$3)</f>
        <v>0</v>
      </c>
      <c r="N27" s="80">
        <f>IF($K$2=2014,IF((SUM(данные!AK25:AO25)*данные!$AT$3-данные!AH25)&gt;0,данные!BB25,данные!AK25*данные!$AT$3),данные!AK25*данные!$AT$3)</f>
        <v>0</v>
      </c>
      <c r="O27" s="81">
        <f>SUM(Таблица6[[#This Row],[ПИР]:[Прочие]])</f>
        <v>0</v>
      </c>
      <c r="P27" s="110" t="str">
        <f>IFERROR(Таблица6[[#This Row],[Итого в прогнозных ценах с применением методики снижения]]/Таблица6[[#This Row],[кол-во]],"")</f>
        <v/>
      </c>
      <c r="R27" s="153">
        <f>SUM(данные!N25:R25)</f>
        <v>0</v>
      </c>
      <c r="S27" s="146">
        <f>SUM(данные!X25:AB25)*0.9*1.058</f>
        <v>0</v>
      </c>
      <c r="T27" s="154">
        <f>Таблица6[[#This Row],[в ценах 4 кв 2012г]]*данные!$AT$3</f>
        <v>0</v>
      </c>
    </row>
    <row r="28" spans="1:20" x14ac:dyDescent="0.25">
      <c r="A28" s="77" t="str">
        <f>IF(калькулятор!C30=0,"",калькулятор!C30)</f>
        <v/>
      </c>
      <c r="B28" s="78" t="str">
        <f>IF(калькулятор!D30=0,"",калькулятор!D30)</f>
        <v/>
      </c>
      <c r="C28" s="78" t="str">
        <f>IF(калькулятор!E30=0,"",калькулятор!E30)</f>
        <v/>
      </c>
      <c r="D28" s="78" t="str">
        <f>IF(калькулятор!F30=0,"",калькулятор!F30)</f>
        <v/>
      </c>
      <c r="E28" s="79" t="str">
        <f>IF(калькулятор!I30=0,"",калькулятор!I30)</f>
        <v/>
      </c>
      <c r="F28" s="79">
        <f>данные!AE26</f>
        <v>0</v>
      </c>
      <c r="G28" s="79">
        <f>данные!AF26</f>
        <v>0</v>
      </c>
      <c r="H28" s="79">
        <f>данные!AC26</f>
        <v>0</v>
      </c>
      <c r="I28" s="79">
        <f>данные!AG26+данные!AH26+данные!AI26+данные!AJ26+данные!AK26</f>
        <v>0</v>
      </c>
      <c r="J28" s="80">
        <f>IF($K$2=2014,IF((SUM(данные!AG26:AK26)*данные!$AT$3-данные!AD26)&gt;0,данные!AX26,данные!AG26*данные!$AT$3),данные!AG26*данные!$AT$3)</f>
        <v>0</v>
      </c>
      <c r="K28" s="80">
        <f>IF($K$2=2014,IF((SUM(данные!AH26:AL26)*данные!$AT$3-данные!AE26)&gt;0,данные!AY26,данные!AH26*данные!$AT$3),данные!AH26*данные!$AT$3)</f>
        <v>0</v>
      </c>
      <c r="L28" s="80">
        <f>IF($K$2=2014,IF((SUM(данные!AI26:AM26)*данные!$AT$3-данные!AF26)&gt;0,данные!AZ26,данные!AI26*данные!$AT$3),данные!AI26*данные!$AT$3)</f>
        <v>0</v>
      </c>
      <c r="M28" s="80">
        <f>IF($K$2=2014,IF((SUM(данные!AJ26:AN26)*данные!$AT$3-данные!AG26)&gt;0,данные!BA26,данные!AJ26*данные!$AT$3),данные!AJ26*данные!$AT$3)</f>
        <v>0</v>
      </c>
      <c r="N28" s="80">
        <f>IF($K$2=2014,IF((SUM(данные!AK26:AO26)*данные!$AT$3-данные!AH26)&gt;0,данные!BB26,данные!AK26*данные!$AT$3),данные!AK26*данные!$AT$3)</f>
        <v>0</v>
      </c>
      <c r="O28" s="81">
        <f>SUM(Таблица6[[#This Row],[ПИР]:[Прочие]])</f>
        <v>0</v>
      </c>
      <c r="P28" s="110" t="str">
        <f>IFERROR(Таблица6[[#This Row],[Итого в прогнозных ценах с применением методики снижения]]/Таблица6[[#This Row],[кол-во]],"")</f>
        <v/>
      </c>
      <c r="R28" s="153">
        <f>SUM(данные!N26:R26)</f>
        <v>0</v>
      </c>
      <c r="S28" s="146">
        <f>SUM(данные!X26:AB26)*0.9*1.058</f>
        <v>0</v>
      </c>
      <c r="T28" s="154">
        <f>Таблица6[[#This Row],[в ценах 4 кв 2012г]]*данные!$AT$3</f>
        <v>0</v>
      </c>
    </row>
    <row r="29" spans="1:20" x14ac:dyDescent="0.25">
      <c r="A29" s="77" t="str">
        <f>IF(калькулятор!C31=0,"",калькулятор!C31)</f>
        <v/>
      </c>
      <c r="B29" s="78" t="str">
        <f>IF(калькулятор!D31=0,"",калькулятор!D31)</f>
        <v/>
      </c>
      <c r="C29" s="78" t="str">
        <f>IF(калькулятор!E31=0,"",калькулятор!E31)</f>
        <v/>
      </c>
      <c r="D29" s="78" t="str">
        <f>IF(калькулятор!F31=0,"",калькулятор!F31)</f>
        <v/>
      </c>
      <c r="E29" s="79" t="str">
        <f>IF(калькулятор!I31=0,"",калькулятор!I31)</f>
        <v/>
      </c>
      <c r="F29" s="79">
        <f>данные!AE27</f>
        <v>0</v>
      </c>
      <c r="G29" s="79">
        <f>данные!AF27</f>
        <v>0</v>
      </c>
      <c r="H29" s="79">
        <f>данные!AC27</f>
        <v>0</v>
      </c>
      <c r="I29" s="79">
        <f>данные!AG27+данные!AH27+данные!AI27+данные!AJ27+данные!AK27</f>
        <v>0</v>
      </c>
      <c r="J29" s="80">
        <f>IF($K$2=2014,IF((SUM(данные!AG27:AK27)*данные!$AT$3-данные!AD27)&gt;0,данные!AX27,данные!AG27*данные!$AT$3),данные!AG27*данные!$AT$3)</f>
        <v>0</v>
      </c>
      <c r="K29" s="80">
        <f>IF($K$2=2014,IF((SUM(данные!AH27:AL27)*данные!$AT$3-данные!AE27)&gt;0,данные!AY27,данные!AH27*данные!$AT$3),данные!AH27*данные!$AT$3)</f>
        <v>0</v>
      </c>
      <c r="L29" s="80">
        <f>IF($K$2=2014,IF((SUM(данные!AI27:AM27)*данные!$AT$3-данные!AF27)&gt;0,данные!AZ27,данные!AI27*данные!$AT$3),данные!AI27*данные!$AT$3)</f>
        <v>0</v>
      </c>
      <c r="M29" s="80">
        <f>IF($K$2=2014,IF((SUM(данные!AJ27:AN27)*данные!$AT$3-данные!AG27)&gt;0,данные!BA27,данные!AJ27*данные!$AT$3),данные!AJ27*данные!$AT$3)</f>
        <v>0</v>
      </c>
      <c r="N29" s="80">
        <f>IF($K$2=2014,IF((SUM(данные!AK27:AO27)*данные!$AT$3-данные!AH27)&gt;0,данные!BB27,данные!AK27*данные!$AT$3),данные!AK27*данные!$AT$3)</f>
        <v>0</v>
      </c>
      <c r="O29" s="81">
        <f>SUM(Таблица6[[#This Row],[ПИР]:[Прочие]])</f>
        <v>0</v>
      </c>
      <c r="P29" s="110" t="str">
        <f>IFERROR(Таблица6[[#This Row],[Итого в прогнозных ценах с применением методики снижения]]/Таблица6[[#This Row],[кол-во]],"")</f>
        <v/>
      </c>
      <c r="R29" s="153">
        <f>SUM(данные!N27:R27)</f>
        <v>0</v>
      </c>
      <c r="S29" s="146">
        <f>SUM(данные!X27:AB27)*0.9*1.058</f>
        <v>0</v>
      </c>
      <c r="T29" s="154">
        <f>Таблица6[[#This Row],[в ценах 4 кв 2012г]]*данные!$AT$3</f>
        <v>0</v>
      </c>
    </row>
    <row r="30" spans="1:20" x14ac:dyDescent="0.25">
      <c r="A30" s="77" t="str">
        <f>IF(калькулятор!C32=0,"",калькулятор!C32)</f>
        <v/>
      </c>
      <c r="B30" s="78" t="str">
        <f>IF(калькулятор!D32=0,"",калькулятор!D32)</f>
        <v/>
      </c>
      <c r="C30" s="78" t="str">
        <f>IF(калькулятор!E32=0,"",калькулятор!E32)</f>
        <v/>
      </c>
      <c r="D30" s="78" t="str">
        <f>IF(калькулятор!F32=0,"",калькулятор!F32)</f>
        <v/>
      </c>
      <c r="E30" s="79" t="str">
        <f>IF(калькулятор!I32=0,"",калькулятор!I32)</f>
        <v/>
      </c>
      <c r="F30" s="79">
        <f>данные!AE28</f>
        <v>0</v>
      </c>
      <c r="G30" s="79">
        <f>данные!AF28</f>
        <v>0</v>
      </c>
      <c r="H30" s="79">
        <f>данные!AC28</f>
        <v>0</v>
      </c>
      <c r="I30" s="79">
        <f>данные!AG28+данные!AH28+данные!AI28+данные!AJ28+данные!AK28</f>
        <v>0</v>
      </c>
      <c r="J30" s="80">
        <f>IF($K$2=2014,IF((SUM(данные!AG28:AK28)*данные!$AT$3-данные!AD28)&gt;0,данные!AX28,данные!AG28*данные!$AT$3),данные!AG28*данные!$AT$3)</f>
        <v>0</v>
      </c>
      <c r="K30" s="80">
        <f>IF($K$2=2014,IF((SUM(данные!AH28:AL28)*данные!$AT$3-данные!AE28)&gt;0,данные!AY28,данные!AH28*данные!$AT$3),данные!AH28*данные!$AT$3)</f>
        <v>0</v>
      </c>
      <c r="L30" s="80">
        <f>IF($K$2=2014,IF((SUM(данные!AI28:AM28)*данные!$AT$3-данные!AF28)&gt;0,данные!AZ28,данные!AI28*данные!$AT$3),данные!AI28*данные!$AT$3)</f>
        <v>0</v>
      </c>
      <c r="M30" s="80">
        <f>IF($K$2=2014,IF((SUM(данные!AJ28:AN28)*данные!$AT$3-данные!AG28)&gt;0,данные!BA28,данные!AJ28*данные!$AT$3),данные!AJ28*данные!$AT$3)</f>
        <v>0</v>
      </c>
      <c r="N30" s="80">
        <f>IF($K$2=2014,IF((SUM(данные!AK28:AO28)*данные!$AT$3-данные!AH28)&gt;0,данные!BB28,данные!AK28*данные!$AT$3),данные!AK28*данные!$AT$3)</f>
        <v>0</v>
      </c>
      <c r="O30" s="81">
        <f>SUM(Таблица6[[#This Row],[ПИР]:[Прочие]])</f>
        <v>0</v>
      </c>
      <c r="P30" s="110" t="str">
        <f>IFERROR(Таблица6[[#This Row],[Итого в прогнозных ценах с применением методики снижения]]/Таблица6[[#This Row],[кол-во]],"")</f>
        <v/>
      </c>
      <c r="R30" s="153">
        <f>SUM(данные!N28:R28)</f>
        <v>0</v>
      </c>
      <c r="S30" s="146">
        <f>SUM(данные!X28:AB28)*0.9*1.058</f>
        <v>0</v>
      </c>
      <c r="T30" s="154">
        <f>Таблица6[[#This Row],[в ценах 4 кв 2012г]]*данные!$AT$3</f>
        <v>0</v>
      </c>
    </row>
    <row r="31" spans="1:20" x14ac:dyDescent="0.25">
      <c r="A31" s="77" t="str">
        <f>IF(калькулятор!C33=0,"",калькулятор!C33)</f>
        <v/>
      </c>
      <c r="B31" s="78" t="str">
        <f>IF(калькулятор!D33=0,"",калькулятор!D33)</f>
        <v/>
      </c>
      <c r="C31" s="78" t="str">
        <f>IF(калькулятор!E33=0,"",калькулятор!E33)</f>
        <v/>
      </c>
      <c r="D31" s="78" t="str">
        <f>IF(калькулятор!F33=0,"",калькулятор!F33)</f>
        <v/>
      </c>
      <c r="E31" s="79" t="str">
        <f>IF(калькулятор!I33=0,"",калькулятор!I33)</f>
        <v/>
      </c>
      <c r="F31" s="79">
        <f>данные!AE29</f>
        <v>0</v>
      </c>
      <c r="G31" s="79">
        <f>данные!AF29</f>
        <v>0</v>
      </c>
      <c r="H31" s="79">
        <f>данные!AC29</f>
        <v>0</v>
      </c>
      <c r="I31" s="79">
        <f>данные!AG29+данные!AH29+данные!AI29+данные!AJ29+данные!AK29</f>
        <v>0</v>
      </c>
      <c r="J31" s="80">
        <f>IF($K$2=2014,IF((SUM(данные!AG29:AK29)*данные!$AT$3-данные!AD29)&gt;0,данные!AX29,данные!AG29*данные!$AT$3),данные!AG29*данные!$AT$3)</f>
        <v>0</v>
      </c>
      <c r="K31" s="80">
        <f>IF($K$2=2014,IF((SUM(данные!AH29:AL29)*данные!$AT$3-данные!AE29)&gt;0,данные!AY29,данные!AH29*данные!$AT$3),данные!AH29*данные!$AT$3)</f>
        <v>0</v>
      </c>
      <c r="L31" s="80">
        <f>IF($K$2=2014,IF((SUM(данные!AI29:AM29)*данные!$AT$3-данные!AF29)&gt;0,данные!AZ29,данные!AI29*данные!$AT$3),данные!AI29*данные!$AT$3)</f>
        <v>0</v>
      </c>
      <c r="M31" s="80">
        <f>IF($K$2=2014,IF((SUM(данные!AJ29:AN29)*данные!$AT$3-данные!AG29)&gt;0,данные!BA29,данные!AJ29*данные!$AT$3),данные!AJ29*данные!$AT$3)</f>
        <v>0</v>
      </c>
      <c r="N31" s="80">
        <f>IF($K$2=2014,IF((SUM(данные!AK29:AO29)*данные!$AT$3-данные!AH29)&gt;0,данные!BB29,данные!AK29*данные!$AT$3),данные!AK29*данные!$AT$3)</f>
        <v>0</v>
      </c>
      <c r="O31" s="81">
        <f>SUM(Таблица6[[#This Row],[ПИР]:[Прочие]])</f>
        <v>0</v>
      </c>
      <c r="P31" s="110" t="str">
        <f>IFERROR(Таблица6[[#This Row],[Итого в прогнозных ценах с применением методики снижения]]/Таблица6[[#This Row],[кол-во]],"")</f>
        <v/>
      </c>
      <c r="R31" s="153">
        <f>SUM(данные!N29:R29)</f>
        <v>0</v>
      </c>
      <c r="S31" s="146">
        <f>SUM(данные!X29:AB29)*0.9*1.058</f>
        <v>0</v>
      </c>
      <c r="T31" s="154">
        <f>Таблица6[[#This Row],[в ценах 4 кв 2012г]]*данные!$AT$3</f>
        <v>0</v>
      </c>
    </row>
    <row r="32" spans="1:20" x14ac:dyDescent="0.25">
      <c r="A32" s="77" t="str">
        <f>IF(калькулятор!C34=0,"",калькулятор!C34)</f>
        <v/>
      </c>
      <c r="B32" s="78" t="str">
        <f>IF(калькулятор!D34=0,"",калькулятор!D34)</f>
        <v/>
      </c>
      <c r="C32" s="78" t="str">
        <f>IF(калькулятор!E34=0,"",калькулятор!E34)</f>
        <v/>
      </c>
      <c r="D32" s="78" t="str">
        <f>IF(калькулятор!F34=0,"",калькулятор!F34)</f>
        <v/>
      </c>
      <c r="E32" s="79" t="str">
        <f>IF(калькулятор!I34=0,"",калькулятор!I34)</f>
        <v/>
      </c>
      <c r="F32" s="79">
        <f>данные!AE30</f>
        <v>0</v>
      </c>
      <c r="G32" s="79">
        <f>данные!AF30</f>
        <v>0</v>
      </c>
      <c r="H32" s="79">
        <f>данные!AC30</f>
        <v>0</v>
      </c>
      <c r="I32" s="79">
        <f>данные!AG30+данные!AH30+данные!AI30+данные!AJ30+данные!AK30</f>
        <v>0</v>
      </c>
      <c r="J32" s="80">
        <f>IF($K$2=2014,IF((SUM(данные!AG30:AK30)*данные!$AT$3-данные!AD30)&gt;0,данные!AX30,данные!AG30*данные!$AT$3),данные!AG30*данные!$AT$3)</f>
        <v>0</v>
      </c>
      <c r="K32" s="80">
        <f>IF($K$2=2014,IF((SUM(данные!AH30:AL30)*данные!$AT$3-данные!AE30)&gt;0,данные!AY30,данные!AH30*данные!$AT$3),данные!AH30*данные!$AT$3)</f>
        <v>0</v>
      </c>
      <c r="L32" s="80">
        <f>IF($K$2=2014,IF((SUM(данные!AI30:AM30)*данные!$AT$3-данные!AF30)&gt;0,данные!AZ30,данные!AI30*данные!$AT$3),данные!AI30*данные!$AT$3)</f>
        <v>0</v>
      </c>
      <c r="M32" s="80">
        <f>IF($K$2=2014,IF((SUM(данные!AJ30:AN30)*данные!$AT$3-данные!AG30)&gt;0,данные!BA30,данные!AJ30*данные!$AT$3),данные!AJ30*данные!$AT$3)</f>
        <v>0</v>
      </c>
      <c r="N32" s="80">
        <f>IF($K$2=2014,IF((SUM(данные!AK30:AO30)*данные!$AT$3-данные!AH30)&gt;0,данные!BB30,данные!AK30*данные!$AT$3),данные!AK30*данные!$AT$3)</f>
        <v>0</v>
      </c>
      <c r="O32" s="81">
        <f>SUM(Таблица6[[#This Row],[ПИР]:[Прочие]])</f>
        <v>0</v>
      </c>
      <c r="P32" s="110" t="str">
        <f>IFERROR(Таблица6[[#This Row],[Итого в прогнозных ценах с применением методики снижения]]/Таблица6[[#This Row],[кол-во]],"")</f>
        <v/>
      </c>
      <c r="R32" s="153">
        <f>SUM(данные!N30:R30)</f>
        <v>0</v>
      </c>
      <c r="S32" s="146">
        <f>SUM(данные!X30:AB30)*0.9*1.058</f>
        <v>0</v>
      </c>
      <c r="T32" s="154">
        <f>Таблица6[[#This Row],[в ценах 4 кв 2012г]]*данные!$AT$3</f>
        <v>0</v>
      </c>
    </row>
    <row r="33" spans="1:20" x14ac:dyDescent="0.25">
      <c r="A33" s="77" t="str">
        <f>IF(калькулятор!C35=0,"",калькулятор!C35)</f>
        <v/>
      </c>
      <c r="B33" s="78" t="str">
        <f>IF(калькулятор!D35=0,"",калькулятор!D35)</f>
        <v/>
      </c>
      <c r="C33" s="78" t="str">
        <f>IF(калькулятор!E35=0,"",калькулятор!E35)</f>
        <v/>
      </c>
      <c r="D33" s="78" t="str">
        <f>IF(калькулятор!F35=0,"",калькулятор!F35)</f>
        <v/>
      </c>
      <c r="E33" s="79" t="str">
        <f>IF(калькулятор!I35=0,"",калькулятор!I35)</f>
        <v/>
      </c>
      <c r="F33" s="79">
        <f>данные!AE31</f>
        <v>0</v>
      </c>
      <c r="G33" s="79">
        <f>данные!AF31</f>
        <v>0</v>
      </c>
      <c r="H33" s="79">
        <f>данные!AC31</f>
        <v>0</v>
      </c>
      <c r="I33" s="79">
        <f>данные!AG31+данные!AH31+данные!AI31+данные!AJ31+данные!AK31</f>
        <v>0</v>
      </c>
      <c r="J33" s="80">
        <f>IF($K$2=2014,IF((SUM(данные!AG31:AK31)*данные!$AT$3-данные!AD31)&gt;0,данные!AX31,данные!AG31*данные!$AT$3),данные!AG31*данные!$AT$3)</f>
        <v>0</v>
      </c>
      <c r="K33" s="80">
        <f>IF($K$2=2014,IF((SUM(данные!AH31:AL31)*данные!$AT$3-данные!AE31)&gt;0,данные!AY31,данные!AH31*данные!$AT$3),данные!AH31*данные!$AT$3)</f>
        <v>0</v>
      </c>
      <c r="L33" s="80">
        <f>IF($K$2=2014,IF((SUM(данные!AI31:AM31)*данные!$AT$3-данные!AF31)&gt;0,данные!AZ31,данные!AI31*данные!$AT$3),данные!AI31*данные!$AT$3)</f>
        <v>0</v>
      </c>
      <c r="M33" s="80">
        <f>IF($K$2=2014,IF((SUM(данные!AJ31:AN31)*данные!$AT$3-данные!AG31)&gt;0,данные!BA31,данные!AJ31*данные!$AT$3),данные!AJ31*данные!$AT$3)</f>
        <v>0</v>
      </c>
      <c r="N33" s="80">
        <f>IF($K$2=2014,IF((SUM(данные!AK31:AO31)*данные!$AT$3-данные!AH31)&gt;0,данные!BB31,данные!AK31*данные!$AT$3),данные!AK31*данные!$AT$3)</f>
        <v>0</v>
      </c>
      <c r="O33" s="81">
        <f>SUM(Таблица6[[#This Row],[ПИР]:[Прочие]])</f>
        <v>0</v>
      </c>
      <c r="P33" s="110" t="str">
        <f>IFERROR(Таблица6[[#This Row],[Итого в прогнозных ценах с применением методики снижения]]/Таблица6[[#This Row],[кол-во]],"")</f>
        <v/>
      </c>
      <c r="R33" s="153">
        <f>SUM(данные!N31:R31)</f>
        <v>0</v>
      </c>
      <c r="S33" s="146">
        <f>SUM(данные!X31:AB31)*0.9*1.058</f>
        <v>0</v>
      </c>
      <c r="T33" s="154">
        <f>Таблица6[[#This Row],[в ценах 4 кв 2012г]]*данные!$AT$3</f>
        <v>0</v>
      </c>
    </row>
    <row r="34" spans="1:20" x14ac:dyDescent="0.25">
      <c r="A34" s="77" t="str">
        <f>IF(калькулятор!C36=0,"",калькулятор!C36)</f>
        <v/>
      </c>
      <c r="B34" s="78" t="str">
        <f>IF(калькулятор!D36=0,"",калькулятор!D36)</f>
        <v/>
      </c>
      <c r="C34" s="78" t="str">
        <f>IF(калькулятор!E36=0,"",калькулятор!E36)</f>
        <v/>
      </c>
      <c r="D34" s="78" t="str">
        <f>IF(калькулятор!F36=0,"",калькулятор!F36)</f>
        <v/>
      </c>
      <c r="E34" s="79" t="str">
        <f>IF(калькулятор!I36=0,"",калькулятор!I36)</f>
        <v/>
      </c>
      <c r="F34" s="79">
        <f>данные!AE32</f>
        <v>0</v>
      </c>
      <c r="G34" s="79">
        <f>данные!AF32</f>
        <v>0</v>
      </c>
      <c r="H34" s="79">
        <f>данные!AC32</f>
        <v>0</v>
      </c>
      <c r="I34" s="79">
        <f>данные!AG32+данные!AH32+данные!AI32+данные!AJ32+данные!AK32</f>
        <v>0</v>
      </c>
      <c r="J34" s="80">
        <f>IF($K$2=2014,IF((SUM(данные!AG32:AK32)*данные!$AT$3-данные!AD32)&gt;0,данные!AX32,данные!AG32*данные!$AT$3),данные!AG32*данные!$AT$3)</f>
        <v>0</v>
      </c>
      <c r="K34" s="80">
        <f>IF($K$2=2014,IF((SUM(данные!AH32:AL32)*данные!$AT$3-данные!AE32)&gt;0,данные!AY32,данные!AH32*данные!$AT$3),данные!AH32*данные!$AT$3)</f>
        <v>0</v>
      </c>
      <c r="L34" s="80">
        <f>IF($K$2=2014,IF((SUM(данные!AI32:AM32)*данные!$AT$3-данные!AF32)&gt;0,данные!AZ32,данные!AI32*данные!$AT$3),данные!AI32*данные!$AT$3)</f>
        <v>0</v>
      </c>
      <c r="M34" s="80">
        <f>IF($K$2=2014,IF((SUM(данные!AJ32:AN32)*данные!$AT$3-данные!AG32)&gt;0,данные!BA32,данные!AJ32*данные!$AT$3),данные!AJ32*данные!$AT$3)</f>
        <v>0</v>
      </c>
      <c r="N34" s="80">
        <f>IF($K$2=2014,IF((SUM(данные!AK32:AO32)*данные!$AT$3-данные!AH32)&gt;0,данные!BB32,данные!AK32*данные!$AT$3),данные!AK32*данные!$AT$3)</f>
        <v>0</v>
      </c>
      <c r="O34" s="81">
        <f>SUM(Таблица6[[#This Row],[ПИР]:[Прочие]])</f>
        <v>0</v>
      </c>
      <c r="P34" s="110" t="str">
        <f>IFERROR(Таблица6[[#This Row],[Итого в прогнозных ценах с применением методики снижения]]/Таблица6[[#This Row],[кол-во]],"")</f>
        <v/>
      </c>
      <c r="R34" s="153">
        <f>SUM(данные!N32:R32)</f>
        <v>0</v>
      </c>
      <c r="S34" s="146">
        <f>SUM(данные!X32:AB32)*0.9*1.058</f>
        <v>0</v>
      </c>
      <c r="T34" s="154">
        <f>Таблица6[[#This Row],[в ценах 4 кв 2012г]]*данные!$AT$3</f>
        <v>0</v>
      </c>
    </row>
    <row r="35" spans="1:20" x14ac:dyDescent="0.25">
      <c r="A35" s="77" t="str">
        <f>IF(калькулятор!C37=0,"",калькулятор!C37)</f>
        <v/>
      </c>
      <c r="B35" s="78" t="str">
        <f>IF(калькулятор!D37=0,"",калькулятор!D37)</f>
        <v/>
      </c>
      <c r="C35" s="78" t="str">
        <f>IF(калькулятор!E37=0,"",калькулятор!E37)</f>
        <v/>
      </c>
      <c r="D35" s="78" t="str">
        <f>IF(калькулятор!F37=0,"",калькулятор!F37)</f>
        <v/>
      </c>
      <c r="E35" s="79" t="str">
        <f>IF(калькулятор!I37=0,"",калькулятор!I37)</f>
        <v/>
      </c>
      <c r="F35" s="79">
        <f>данные!AE33</f>
        <v>0</v>
      </c>
      <c r="G35" s="79">
        <f>данные!AF33</f>
        <v>0</v>
      </c>
      <c r="H35" s="79">
        <f>данные!AC33</f>
        <v>0</v>
      </c>
      <c r="I35" s="79">
        <f>данные!AG33+данные!AH33+данные!AI33+данные!AJ33+данные!AK33</f>
        <v>0</v>
      </c>
      <c r="J35" s="80">
        <f>IF($K$2=2014,IF((SUM(данные!AG33:AK33)*данные!$AT$3-данные!AD33)&gt;0,данные!AX33,данные!AG33*данные!$AT$3),данные!AG33*данные!$AT$3)</f>
        <v>0</v>
      </c>
      <c r="K35" s="80">
        <f>IF($K$2=2014,IF((SUM(данные!AH33:AL33)*данные!$AT$3-данные!AE33)&gt;0,данные!AY33,данные!AH33*данные!$AT$3),данные!AH33*данные!$AT$3)</f>
        <v>0</v>
      </c>
      <c r="L35" s="80">
        <f>IF($K$2=2014,IF((SUM(данные!AI33:AM33)*данные!$AT$3-данные!AF33)&gt;0,данные!AZ33,данные!AI33*данные!$AT$3),данные!AI33*данные!$AT$3)</f>
        <v>0</v>
      </c>
      <c r="M35" s="80">
        <f>IF($K$2=2014,IF((SUM(данные!AJ33:AN33)*данные!$AT$3-данные!AG33)&gt;0,данные!BA33,данные!AJ33*данные!$AT$3),данные!AJ33*данные!$AT$3)</f>
        <v>0</v>
      </c>
      <c r="N35" s="80">
        <f>IF($K$2=2014,IF((SUM(данные!AK33:AO33)*данные!$AT$3-данные!AH33)&gt;0,данные!BB33,данные!AK33*данные!$AT$3),данные!AK33*данные!$AT$3)</f>
        <v>0</v>
      </c>
      <c r="O35" s="81">
        <f>SUM(Таблица6[[#This Row],[ПИР]:[Прочие]])</f>
        <v>0</v>
      </c>
      <c r="P35" s="110" t="str">
        <f>IFERROR(Таблица6[[#This Row],[Итого в прогнозных ценах с применением методики снижения]]/Таблица6[[#This Row],[кол-во]],"")</f>
        <v/>
      </c>
      <c r="R35" s="153">
        <f>SUM(данные!N33:R33)</f>
        <v>0</v>
      </c>
      <c r="S35" s="146">
        <f>SUM(данные!X33:AB33)*0.9*1.058</f>
        <v>0</v>
      </c>
      <c r="T35" s="154">
        <f>Таблица6[[#This Row],[в ценах 4 кв 2012г]]*данные!$AT$3</f>
        <v>0</v>
      </c>
    </row>
    <row r="36" spans="1:20" x14ac:dyDescent="0.25">
      <c r="A36" s="77" t="str">
        <f>IF(калькулятор!C38=0,"",калькулятор!C38)</f>
        <v/>
      </c>
      <c r="B36" s="78" t="str">
        <f>IF(калькулятор!D38=0,"",калькулятор!D38)</f>
        <v/>
      </c>
      <c r="C36" s="78" t="str">
        <f>IF(калькулятор!E38=0,"",калькулятор!E38)</f>
        <v/>
      </c>
      <c r="D36" s="78" t="str">
        <f>IF(калькулятор!F38=0,"",калькулятор!F38)</f>
        <v/>
      </c>
      <c r="E36" s="79" t="str">
        <f>IF(калькулятор!I38=0,"",калькулятор!I38)</f>
        <v/>
      </c>
      <c r="F36" s="79">
        <f>данные!AE34</f>
        <v>0</v>
      </c>
      <c r="G36" s="79">
        <f>данные!AF34</f>
        <v>0</v>
      </c>
      <c r="H36" s="79">
        <f>данные!AC34</f>
        <v>0</v>
      </c>
      <c r="I36" s="79">
        <f>данные!AG34+данные!AH34+данные!AI34+данные!AJ34+данные!AK34</f>
        <v>0</v>
      </c>
      <c r="J36" s="80">
        <f>IF($K$2=2014,IF((SUM(данные!AG34:AK34)*данные!$AT$3-данные!AD34)&gt;0,данные!AX34,данные!AG34*данные!$AT$3),данные!AG34*данные!$AT$3)</f>
        <v>0</v>
      </c>
      <c r="K36" s="80">
        <f>IF($K$2=2014,IF((SUM(данные!AH34:AL34)*данные!$AT$3-данные!AE34)&gt;0,данные!AY34,данные!AH34*данные!$AT$3),данные!AH34*данные!$AT$3)</f>
        <v>0</v>
      </c>
      <c r="L36" s="80">
        <f>IF($K$2=2014,IF((SUM(данные!AI34:AM34)*данные!$AT$3-данные!AF34)&gt;0,данные!AZ34,данные!AI34*данные!$AT$3),данные!AI34*данные!$AT$3)</f>
        <v>0</v>
      </c>
      <c r="M36" s="80">
        <f>IF($K$2=2014,IF((SUM(данные!AJ34:AN34)*данные!$AT$3-данные!AG34)&gt;0,данные!BA34,данные!AJ34*данные!$AT$3),данные!AJ34*данные!$AT$3)</f>
        <v>0</v>
      </c>
      <c r="N36" s="80">
        <f>IF($K$2=2014,IF((SUM(данные!AK34:AO34)*данные!$AT$3-данные!AH34)&gt;0,данные!BB34,данные!AK34*данные!$AT$3),данные!AK34*данные!$AT$3)</f>
        <v>0</v>
      </c>
      <c r="O36" s="81">
        <f>SUM(Таблица6[[#This Row],[ПИР]:[Прочие]])</f>
        <v>0</v>
      </c>
      <c r="P36" s="110" t="str">
        <f>IFERROR(Таблица6[[#This Row],[Итого в прогнозных ценах с применением методики снижения]]/Таблица6[[#This Row],[кол-во]],"")</f>
        <v/>
      </c>
      <c r="R36" s="153">
        <f>SUM(данные!N34:R34)</f>
        <v>0</v>
      </c>
      <c r="S36" s="146">
        <f>SUM(данные!X34:AB34)*0.9*1.058</f>
        <v>0</v>
      </c>
      <c r="T36" s="154">
        <f>Таблица6[[#This Row],[в ценах 4 кв 2012г]]*данные!$AT$3</f>
        <v>0</v>
      </c>
    </row>
    <row r="37" spans="1:20" x14ac:dyDescent="0.25">
      <c r="A37" s="77" t="str">
        <f>IF(калькулятор!C39=0,"",калькулятор!C39)</f>
        <v/>
      </c>
      <c r="B37" s="78" t="str">
        <f>IF(калькулятор!D39=0,"",калькулятор!D39)</f>
        <v/>
      </c>
      <c r="C37" s="78" t="str">
        <f>IF(калькулятор!E39=0,"",калькулятор!E39)</f>
        <v/>
      </c>
      <c r="D37" s="78" t="str">
        <f>IF(калькулятор!F39=0,"",калькулятор!F39)</f>
        <v/>
      </c>
      <c r="E37" s="79" t="str">
        <f>IF(калькулятор!I39=0,"",калькулятор!I39)</f>
        <v/>
      </c>
      <c r="F37" s="79">
        <f>данные!AE35</f>
        <v>0</v>
      </c>
      <c r="G37" s="79">
        <f>данные!AF35</f>
        <v>0</v>
      </c>
      <c r="H37" s="79">
        <f>данные!AC35</f>
        <v>0</v>
      </c>
      <c r="I37" s="79">
        <f>данные!AG35+данные!AH35+данные!AI35+данные!AJ35+данные!AK35</f>
        <v>0</v>
      </c>
      <c r="J37" s="80">
        <f>IF($K$2=2014,IF((SUM(данные!AG35:AK35)*данные!$AT$3-данные!AD35)&gt;0,данные!AX35,данные!AG35*данные!$AT$3),данные!AG35*данные!$AT$3)</f>
        <v>0</v>
      </c>
      <c r="K37" s="80">
        <f>IF($K$2=2014,IF((SUM(данные!AH35:AL35)*данные!$AT$3-данные!AE35)&gt;0,данные!AY35,данные!AH35*данные!$AT$3),данные!AH35*данные!$AT$3)</f>
        <v>0</v>
      </c>
      <c r="L37" s="80">
        <f>IF($K$2=2014,IF((SUM(данные!AI35:AM35)*данные!$AT$3-данные!AF35)&gt;0,данные!AZ35,данные!AI35*данные!$AT$3),данные!AI35*данные!$AT$3)</f>
        <v>0</v>
      </c>
      <c r="M37" s="80">
        <f>IF($K$2=2014,IF((SUM(данные!AJ35:AN35)*данные!$AT$3-данные!AG35)&gt;0,данные!BA35,данные!AJ35*данные!$AT$3),данные!AJ35*данные!$AT$3)</f>
        <v>0</v>
      </c>
      <c r="N37" s="80">
        <f>IF($K$2=2014,IF((SUM(данные!AK35:AO35)*данные!$AT$3-данные!AH35)&gt;0,данные!BB35,данные!AK35*данные!$AT$3),данные!AK35*данные!$AT$3)</f>
        <v>0</v>
      </c>
      <c r="O37" s="81">
        <f>SUM(Таблица6[[#This Row],[ПИР]:[Прочие]])</f>
        <v>0</v>
      </c>
      <c r="P37" s="110" t="str">
        <f>IFERROR(Таблица6[[#This Row],[Итого в прогнозных ценах с применением методики снижения]]/Таблица6[[#This Row],[кол-во]],"")</f>
        <v/>
      </c>
      <c r="R37" s="153">
        <f>SUM(данные!N35:R35)</f>
        <v>0</v>
      </c>
      <c r="S37" s="146">
        <f>SUM(данные!X35:AB35)*0.9*1.058</f>
        <v>0</v>
      </c>
      <c r="T37" s="154">
        <f>Таблица6[[#This Row],[в ценах 4 кв 2012г]]*данные!$AT$3</f>
        <v>0</v>
      </c>
    </row>
    <row r="38" spans="1:20" x14ac:dyDescent="0.25">
      <c r="A38" s="77" t="str">
        <f>IF(калькулятор!C40=0,"",калькулятор!C40)</f>
        <v/>
      </c>
      <c r="B38" s="78" t="str">
        <f>IF(калькулятор!D40=0,"",калькулятор!D40)</f>
        <v/>
      </c>
      <c r="C38" s="78" t="str">
        <f>IF(калькулятор!E40=0,"",калькулятор!E40)</f>
        <v/>
      </c>
      <c r="D38" s="78" t="str">
        <f>IF(калькулятор!F40=0,"",калькулятор!F40)</f>
        <v/>
      </c>
      <c r="E38" s="79" t="str">
        <f>IF(калькулятор!I40=0,"",калькулятор!I40)</f>
        <v/>
      </c>
      <c r="F38" s="79">
        <f>данные!AE36</f>
        <v>0</v>
      </c>
      <c r="G38" s="79">
        <f>данные!AF36</f>
        <v>0</v>
      </c>
      <c r="H38" s="79">
        <f>данные!AC36</f>
        <v>0</v>
      </c>
      <c r="I38" s="79">
        <f>данные!AG36+данные!AH36+данные!AI36+данные!AJ36+данные!AK36</f>
        <v>0</v>
      </c>
      <c r="J38" s="80">
        <f>IF($K$2=2014,IF((SUM(данные!AG36:AK36)*данные!$AT$3-данные!AD36)&gt;0,данные!AX36,данные!AG36*данные!$AT$3),данные!AG36*данные!$AT$3)</f>
        <v>0</v>
      </c>
      <c r="K38" s="80">
        <f>IF($K$2=2014,IF((SUM(данные!AH36:AL36)*данные!$AT$3-данные!AE36)&gt;0,данные!AY36,данные!AH36*данные!$AT$3),данные!AH36*данные!$AT$3)</f>
        <v>0</v>
      </c>
      <c r="L38" s="80">
        <f>IF($K$2=2014,IF((SUM(данные!AI36:AM36)*данные!$AT$3-данные!AF36)&gt;0,данные!AZ36,данные!AI36*данные!$AT$3),данные!AI36*данные!$AT$3)</f>
        <v>0</v>
      </c>
      <c r="M38" s="80">
        <f>IF($K$2=2014,IF((SUM(данные!AJ36:AN36)*данные!$AT$3-данные!AG36)&gt;0,данные!BA36,данные!AJ36*данные!$AT$3),данные!AJ36*данные!$AT$3)</f>
        <v>0</v>
      </c>
      <c r="N38" s="80">
        <f>IF($K$2=2014,IF((SUM(данные!AK36:AO36)*данные!$AT$3-данные!AH36)&gt;0,данные!BB36,данные!AK36*данные!$AT$3),данные!AK36*данные!$AT$3)</f>
        <v>0</v>
      </c>
      <c r="O38" s="81">
        <f>SUM(Таблица6[[#This Row],[ПИР]:[Прочие]])</f>
        <v>0</v>
      </c>
      <c r="P38" s="110" t="str">
        <f>IFERROR(Таблица6[[#This Row],[Итого в прогнозных ценах с применением методики снижения]]/Таблица6[[#This Row],[кол-во]],"")</f>
        <v/>
      </c>
      <c r="R38" s="153">
        <f>SUM(данные!N36:R36)</f>
        <v>0</v>
      </c>
      <c r="S38" s="146">
        <f>SUM(данные!X36:AB36)*0.9*1.058</f>
        <v>0</v>
      </c>
      <c r="T38" s="154">
        <f>Таблица6[[#This Row],[в ценах 4 кв 2012г]]*данные!$AT$3</f>
        <v>0</v>
      </c>
    </row>
    <row r="39" spans="1:20" x14ac:dyDescent="0.25">
      <c r="A39" s="77" t="str">
        <f>IF(калькулятор!C41=0,"",калькулятор!C41)</f>
        <v/>
      </c>
      <c r="B39" s="78" t="str">
        <f>IF(калькулятор!D41=0,"",калькулятор!D41)</f>
        <v/>
      </c>
      <c r="C39" s="78" t="str">
        <f>IF(калькулятор!E41=0,"",калькулятор!E41)</f>
        <v/>
      </c>
      <c r="D39" s="78" t="str">
        <f>IF(калькулятор!F41=0,"",калькулятор!F41)</f>
        <v/>
      </c>
      <c r="E39" s="79" t="str">
        <f>IF(калькулятор!I41=0,"",калькулятор!I41)</f>
        <v/>
      </c>
      <c r="F39" s="79">
        <f>данные!AE37</f>
        <v>0</v>
      </c>
      <c r="G39" s="79">
        <f>данные!AF37</f>
        <v>0</v>
      </c>
      <c r="H39" s="79">
        <f>данные!AC37</f>
        <v>0</v>
      </c>
      <c r="I39" s="79">
        <f>данные!AG37+данные!AH37+данные!AI37+данные!AJ37+данные!AK37</f>
        <v>0</v>
      </c>
      <c r="J39" s="80">
        <f>IF($K$2=2014,IF((SUM(данные!AG37:AK37)*данные!$AT$3-данные!AD37)&gt;0,данные!AX37,данные!AG37*данные!$AT$3),данные!AG37*данные!$AT$3)</f>
        <v>0</v>
      </c>
      <c r="K39" s="80">
        <f>IF($K$2=2014,IF((SUM(данные!AH37:AL37)*данные!$AT$3-данные!AE37)&gt;0,данные!AY37,данные!AH37*данные!$AT$3),данные!AH37*данные!$AT$3)</f>
        <v>0</v>
      </c>
      <c r="L39" s="80">
        <f>IF($K$2=2014,IF((SUM(данные!AI37:AM37)*данные!$AT$3-данные!AF37)&gt;0,данные!AZ37,данные!AI37*данные!$AT$3),данные!AI37*данные!$AT$3)</f>
        <v>0</v>
      </c>
      <c r="M39" s="80">
        <f>IF($K$2=2014,IF((SUM(данные!AJ37:AN37)*данные!$AT$3-данные!AG37)&gt;0,данные!BA37,данные!AJ37*данные!$AT$3),данные!AJ37*данные!$AT$3)</f>
        <v>0</v>
      </c>
      <c r="N39" s="80">
        <f>IF($K$2=2014,IF((SUM(данные!AK37:AO37)*данные!$AT$3-данные!AH37)&gt;0,данные!BB37,данные!AK37*данные!$AT$3),данные!AK37*данные!$AT$3)</f>
        <v>0</v>
      </c>
      <c r="O39" s="81">
        <f>SUM(Таблица6[[#This Row],[ПИР]:[Прочие]])</f>
        <v>0</v>
      </c>
      <c r="P39" s="110" t="str">
        <f>IFERROR(Таблица6[[#This Row],[Итого в прогнозных ценах с применением методики снижения]]/Таблица6[[#This Row],[кол-во]],"")</f>
        <v/>
      </c>
      <c r="R39" s="153">
        <f>SUM(данные!N37:R37)</f>
        <v>0</v>
      </c>
      <c r="S39" s="146">
        <f>SUM(данные!X37:AB37)*0.9*1.058</f>
        <v>0</v>
      </c>
      <c r="T39" s="154">
        <f>Таблица6[[#This Row],[в ценах 4 кв 2012г]]*данные!$AT$3</f>
        <v>0</v>
      </c>
    </row>
    <row r="40" spans="1:20" x14ac:dyDescent="0.25">
      <c r="A40" s="77" t="str">
        <f>IF(калькулятор!C42=0,"",калькулятор!C42)</f>
        <v/>
      </c>
      <c r="B40" s="78" t="str">
        <f>IF(калькулятор!D42=0,"",калькулятор!D42)</f>
        <v/>
      </c>
      <c r="C40" s="78" t="str">
        <f>IF(калькулятор!E42=0,"",калькулятор!E42)</f>
        <v/>
      </c>
      <c r="D40" s="78" t="str">
        <f>IF(калькулятор!F42=0,"",калькулятор!F42)</f>
        <v/>
      </c>
      <c r="E40" s="79" t="str">
        <f>IF(калькулятор!I42=0,"",калькулятор!I42)</f>
        <v/>
      </c>
      <c r="F40" s="79">
        <f>данные!AE38</f>
        <v>0</v>
      </c>
      <c r="G40" s="79">
        <f>данные!AF38</f>
        <v>0</v>
      </c>
      <c r="H40" s="79">
        <f>данные!AC38</f>
        <v>0</v>
      </c>
      <c r="I40" s="79">
        <f>данные!AG38+данные!AH38+данные!AI38+данные!AJ38+данные!AK38</f>
        <v>0</v>
      </c>
      <c r="J40" s="80">
        <f>IF($K$2=2014,IF((SUM(данные!AG38:AK38)*данные!$AT$3-данные!AD38)&gt;0,данные!AX38,данные!AG38*данные!$AT$3),данные!AG38*данные!$AT$3)</f>
        <v>0</v>
      </c>
      <c r="K40" s="80">
        <f>IF($K$2=2014,IF((SUM(данные!AH38:AL38)*данные!$AT$3-данные!AE38)&gt;0,данные!AY38,данные!AH38*данные!$AT$3),данные!AH38*данные!$AT$3)</f>
        <v>0</v>
      </c>
      <c r="L40" s="80">
        <f>IF($K$2=2014,IF((SUM(данные!AI38:AM38)*данные!$AT$3-данные!AF38)&gt;0,данные!AZ38,данные!AI38*данные!$AT$3),данные!AI38*данные!$AT$3)</f>
        <v>0</v>
      </c>
      <c r="M40" s="80">
        <f>IF($K$2=2014,IF((SUM(данные!AJ38:AN38)*данные!$AT$3-данные!AG38)&gt;0,данные!BA38,данные!AJ38*данные!$AT$3),данные!AJ38*данные!$AT$3)</f>
        <v>0</v>
      </c>
      <c r="N40" s="80">
        <f>IF($K$2=2014,IF((SUM(данные!AK38:AO38)*данные!$AT$3-данные!AH38)&gt;0,данные!BB38,данные!AK38*данные!$AT$3),данные!AK38*данные!$AT$3)</f>
        <v>0</v>
      </c>
      <c r="O40" s="81">
        <f>SUM(Таблица6[[#This Row],[ПИР]:[Прочие]])</f>
        <v>0</v>
      </c>
      <c r="P40" s="110" t="str">
        <f>IFERROR(Таблица6[[#This Row],[Итого в прогнозных ценах с применением методики снижения]]/Таблица6[[#This Row],[кол-во]],"")</f>
        <v/>
      </c>
      <c r="R40" s="153">
        <f>SUM(данные!N38:R38)</f>
        <v>0</v>
      </c>
      <c r="S40" s="146">
        <f>SUM(данные!X38:AB38)*0.9*1.058</f>
        <v>0</v>
      </c>
      <c r="T40" s="154">
        <f>Таблица6[[#This Row],[в ценах 4 кв 2012г]]*данные!$AT$3</f>
        <v>0</v>
      </c>
    </row>
    <row r="41" spans="1:20" x14ac:dyDescent="0.25">
      <c r="A41" s="77" t="str">
        <f>IF(калькулятор!C43=0,"",калькулятор!C43)</f>
        <v/>
      </c>
      <c r="B41" s="78" t="str">
        <f>IF(калькулятор!D43=0,"",калькулятор!D43)</f>
        <v/>
      </c>
      <c r="C41" s="78" t="str">
        <f>IF(калькулятор!E43=0,"",калькулятор!E43)</f>
        <v/>
      </c>
      <c r="D41" s="78" t="str">
        <f>IF(калькулятор!F43=0,"",калькулятор!F43)</f>
        <v/>
      </c>
      <c r="E41" s="79" t="str">
        <f>IF(калькулятор!I43=0,"",калькулятор!I43)</f>
        <v/>
      </c>
      <c r="F41" s="79">
        <f>данные!AE39</f>
        <v>0</v>
      </c>
      <c r="G41" s="79">
        <f>данные!AF39</f>
        <v>0</v>
      </c>
      <c r="H41" s="79">
        <f>данные!AC39</f>
        <v>0</v>
      </c>
      <c r="I41" s="79">
        <f>данные!AG39+данные!AH39+данные!AI39+данные!AJ39+данные!AK39</f>
        <v>0</v>
      </c>
      <c r="J41" s="80">
        <f>IF($K$2=2014,IF((SUM(данные!AG39:AK39)*данные!$AT$3-данные!AD39)&gt;0,данные!AX39,данные!AG39*данные!$AT$3),данные!AG39*данные!$AT$3)</f>
        <v>0</v>
      </c>
      <c r="K41" s="80">
        <f>IF($K$2=2014,IF((SUM(данные!AH39:AL39)*данные!$AT$3-данные!AE39)&gt;0,данные!AY39,данные!AH39*данные!$AT$3),данные!AH39*данные!$AT$3)</f>
        <v>0</v>
      </c>
      <c r="L41" s="80">
        <f>IF($K$2=2014,IF((SUM(данные!AI39:AM39)*данные!$AT$3-данные!AF39)&gt;0,данные!AZ39,данные!AI39*данные!$AT$3),данные!AI39*данные!$AT$3)</f>
        <v>0</v>
      </c>
      <c r="M41" s="80">
        <f>IF($K$2=2014,IF((SUM(данные!AJ39:AN39)*данные!$AT$3-данные!AG39)&gt;0,данные!BA39,данные!AJ39*данные!$AT$3),данные!AJ39*данные!$AT$3)</f>
        <v>0</v>
      </c>
      <c r="N41" s="80">
        <f>IF($K$2=2014,IF((SUM(данные!AK39:AO39)*данные!$AT$3-данные!AH39)&gt;0,данные!BB39,данные!AK39*данные!$AT$3),данные!AK39*данные!$AT$3)</f>
        <v>0</v>
      </c>
      <c r="O41" s="81">
        <f>SUM(Таблица6[[#This Row],[ПИР]:[Прочие]])</f>
        <v>0</v>
      </c>
      <c r="P41" s="110" t="str">
        <f>IFERROR(Таблица6[[#This Row],[Итого в прогнозных ценах с применением методики снижения]]/Таблица6[[#This Row],[кол-во]],"")</f>
        <v/>
      </c>
      <c r="R41" s="153">
        <f>SUM(данные!N39:R39)</f>
        <v>0</v>
      </c>
      <c r="S41" s="146">
        <f>SUM(данные!X39:AB39)*0.9*1.058</f>
        <v>0</v>
      </c>
      <c r="T41" s="154">
        <f>Таблица6[[#This Row],[в ценах 4 кв 2012г]]*данные!$AT$3</f>
        <v>0</v>
      </c>
    </row>
    <row r="42" spans="1:20" x14ac:dyDescent="0.25">
      <c r="A42" s="77" t="str">
        <f>IF(калькулятор!C44=0,"",калькулятор!C44)</f>
        <v/>
      </c>
      <c r="B42" s="78" t="str">
        <f>IF(калькулятор!D44=0,"",калькулятор!D44)</f>
        <v/>
      </c>
      <c r="C42" s="78" t="str">
        <f>IF(калькулятор!E44=0,"",калькулятор!E44)</f>
        <v/>
      </c>
      <c r="D42" s="78" t="str">
        <f>IF(калькулятор!F44=0,"",калькулятор!F44)</f>
        <v/>
      </c>
      <c r="E42" s="79" t="str">
        <f>IF(калькулятор!I44=0,"",калькулятор!I44)</f>
        <v/>
      </c>
      <c r="F42" s="79">
        <f>данные!AE40</f>
        <v>0</v>
      </c>
      <c r="G42" s="79">
        <f>данные!AF40</f>
        <v>0</v>
      </c>
      <c r="H42" s="79">
        <f>данные!AC40</f>
        <v>0</v>
      </c>
      <c r="I42" s="79">
        <f>данные!AG40+данные!AH40+данные!AI40+данные!AJ40+данные!AK40</f>
        <v>0</v>
      </c>
      <c r="J42" s="80">
        <f>IF($K$2=2014,IF((SUM(данные!AG40:AK40)*данные!$AT$3-данные!AD40)&gt;0,данные!AX40,данные!AG40*данные!$AT$3),данные!AG40*данные!$AT$3)</f>
        <v>0</v>
      </c>
      <c r="K42" s="80">
        <f>IF($K$2=2014,IF((SUM(данные!AH40:AL40)*данные!$AT$3-данные!AE40)&gt;0,данные!AY40,данные!AH40*данные!$AT$3),данные!AH40*данные!$AT$3)</f>
        <v>0</v>
      </c>
      <c r="L42" s="80">
        <f>IF($K$2=2014,IF((SUM(данные!AI40:AM40)*данные!$AT$3-данные!AF40)&gt;0,данные!AZ40,данные!AI40*данные!$AT$3),данные!AI40*данные!$AT$3)</f>
        <v>0</v>
      </c>
      <c r="M42" s="80">
        <f>IF($K$2=2014,IF((SUM(данные!AJ40:AN40)*данные!$AT$3-данные!AG40)&gt;0,данные!BA40,данные!AJ40*данные!$AT$3),данные!AJ40*данные!$AT$3)</f>
        <v>0</v>
      </c>
      <c r="N42" s="80">
        <f>IF($K$2=2014,IF((SUM(данные!AK40:AO40)*данные!$AT$3-данные!AH40)&gt;0,данные!BB40,данные!AK40*данные!$AT$3),данные!AK40*данные!$AT$3)</f>
        <v>0</v>
      </c>
      <c r="O42" s="81">
        <f>SUM(Таблица6[[#This Row],[ПИР]:[Прочие]])</f>
        <v>0</v>
      </c>
      <c r="P42" s="110" t="str">
        <f>IFERROR(Таблица6[[#This Row],[Итого в прогнозных ценах с применением методики снижения]]/Таблица6[[#This Row],[кол-во]],"")</f>
        <v/>
      </c>
      <c r="R42" s="153">
        <f>SUM(данные!N40:R40)</f>
        <v>0</v>
      </c>
      <c r="S42" s="146">
        <f>SUM(данные!X40:AB40)*0.9*1.058</f>
        <v>0</v>
      </c>
      <c r="T42" s="154">
        <f>Таблица6[[#This Row],[в ценах 4 кв 2012г]]*данные!$AT$3</f>
        <v>0</v>
      </c>
    </row>
    <row r="43" spans="1:20" x14ac:dyDescent="0.25">
      <c r="A43" s="77" t="str">
        <f>IF(калькулятор!C45=0,"",калькулятор!C45)</f>
        <v/>
      </c>
      <c r="B43" s="78" t="str">
        <f>IF(калькулятор!D45=0,"",калькулятор!D45)</f>
        <v/>
      </c>
      <c r="C43" s="78" t="str">
        <f>IF(калькулятор!E45=0,"",калькулятор!E45)</f>
        <v/>
      </c>
      <c r="D43" s="78" t="str">
        <f>IF(калькулятор!F45=0,"",калькулятор!F45)</f>
        <v/>
      </c>
      <c r="E43" s="79" t="str">
        <f>IF(калькулятор!I45=0,"",калькулятор!I45)</f>
        <v/>
      </c>
      <c r="F43" s="79">
        <f>данные!AE41</f>
        <v>0</v>
      </c>
      <c r="G43" s="79">
        <f>данные!AF41</f>
        <v>0</v>
      </c>
      <c r="H43" s="79">
        <f>данные!AC41</f>
        <v>0</v>
      </c>
      <c r="I43" s="79">
        <f>данные!AG41+данные!AH41+данные!AI41+данные!AJ41+данные!AK41</f>
        <v>0</v>
      </c>
      <c r="J43" s="80">
        <f>IF($K$2=2014,IF((SUM(данные!AG41:AK41)*данные!$AT$3-данные!AD41)&gt;0,данные!AX41,данные!AG41*данные!$AT$3),данные!AG41*данные!$AT$3)</f>
        <v>0</v>
      </c>
      <c r="K43" s="80">
        <f>IF($K$2=2014,IF((SUM(данные!AH41:AL41)*данные!$AT$3-данные!AE41)&gt;0,данные!AY41,данные!AH41*данные!$AT$3),данные!AH41*данные!$AT$3)</f>
        <v>0</v>
      </c>
      <c r="L43" s="80">
        <f>IF($K$2=2014,IF((SUM(данные!AI41:AM41)*данные!$AT$3-данные!AF41)&gt;0,данные!AZ41,данные!AI41*данные!$AT$3),данные!AI41*данные!$AT$3)</f>
        <v>0</v>
      </c>
      <c r="M43" s="80">
        <f>IF($K$2=2014,IF((SUM(данные!AJ41:AN41)*данные!$AT$3-данные!AG41)&gt;0,данные!BA41,данные!AJ41*данные!$AT$3),данные!AJ41*данные!$AT$3)</f>
        <v>0</v>
      </c>
      <c r="N43" s="80">
        <f>IF($K$2=2014,IF((SUM(данные!AK41:AO41)*данные!$AT$3-данные!AH41)&gt;0,данные!BB41,данные!AK41*данные!$AT$3),данные!AK41*данные!$AT$3)</f>
        <v>0</v>
      </c>
      <c r="O43" s="81">
        <f>SUM(Таблица6[[#This Row],[ПИР]:[Прочие]])</f>
        <v>0</v>
      </c>
      <c r="P43" s="110" t="str">
        <f>IFERROR(Таблица6[[#This Row],[Итого в прогнозных ценах с применением методики снижения]]/Таблица6[[#This Row],[кол-во]],"")</f>
        <v/>
      </c>
      <c r="R43" s="153">
        <f>SUM(данные!N41:R41)</f>
        <v>0</v>
      </c>
      <c r="S43" s="146">
        <f>SUM(данные!X41:AB41)*0.9*1.058</f>
        <v>0</v>
      </c>
      <c r="T43" s="154">
        <f>Таблица6[[#This Row],[в ценах 4 кв 2012г]]*данные!$AT$3</f>
        <v>0</v>
      </c>
    </row>
    <row r="44" spans="1:20" x14ac:dyDescent="0.25">
      <c r="A44" s="82" t="str">
        <f>IF(калькулятор!C46=0,"",калькулятор!C46)</f>
        <v/>
      </c>
      <c r="B44" s="83" t="str">
        <f>IF(калькулятор!D46=0,"",калькулятор!D46)</f>
        <v/>
      </c>
      <c r="C44" s="83" t="str">
        <f>IF(калькулятор!E46=0,"",калькулятор!E46)</f>
        <v/>
      </c>
      <c r="D44" s="83" t="str">
        <f>IF(калькулятор!F46=0,"",калькулятор!F46)</f>
        <v/>
      </c>
      <c r="E44" s="84" t="str">
        <f>IF(калькулятор!I46=0,"",калькулятор!I46)</f>
        <v/>
      </c>
      <c r="F44" s="84">
        <f>данные!AE42</f>
        <v>0</v>
      </c>
      <c r="G44" s="84">
        <f>данные!AF42</f>
        <v>0</v>
      </c>
      <c r="H44" s="84">
        <f>данные!AC42</f>
        <v>0</v>
      </c>
      <c r="I44" s="84">
        <f>данные!AG42+данные!AH42+данные!AI42+данные!AJ42+данные!AK42</f>
        <v>0</v>
      </c>
      <c r="J44" s="80">
        <f>IF($K$2=2014,IF((SUM(данные!AG42:AK42)*данные!$AT$3-данные!AD42)&gt;0,данные!AX42,данные!AG42*данные!$AT$3),данные!AG42*данные!$AT$3)</f>
        <v>0</v>
      </c>
      <c r="K44" s="80">
        <f>IF($K$2=2014,IF((SUM(данные!AH42:AL42)*данные!$AT$3-данные!AE42)&gt;0,данные!AY42,данные!AH42*данные!$AT$3),данные!AH42*данные!$AT$3)</f>
        <v>0</v>
      </c>
      <c r="L44" s="80">
        <f>IF($K$2=2014,IF((SUM(данные!AI42:AM42)*данные!$AT$3-данные!AF42)&gt;0,данные!AZ42,данные!AI42*данные!$AT$3),данные!AI42*данные!$AT$3)</f>
        <v>0</v>
      </c>
      <c r="M44" s="80">
        <f>IF($K$2=2014,IF((SUM(данные!AJ42:AN42)*данные!$AT$3-данные!AG42)&gt;0,данные!BA42,данные!AJ42*данные!$AT$3),данные!AJ42*данные!$AT$3)</f>
        <v>0</v>
      </c>
      <c r="N44" s="80">
        <f>IF($K$2=2014,IF((SUM(данные!AK42:AO42)*данные!$AT$3-данные!AH42)&gt;0,данные!BB42,данные!AK42*данные!$AT$3),данные!AK42*данные!$AT$3)</f>
        <v>0</v>
      </c>
      <c r="O44" s="81">
        <f>SUM(Таблица6[[#This Row],[ПИР]:[Прочие]])</f>
        <v>0</v>
      </c>
      <c r="P44" s="110" t="str">
        <f>IFERROR(Таблица6[[#This Row],[Итого в прогнозных ценах с применением методики снижения]]/Таблица6[[#This Row],[кол-во]],"")</f>
        <v/>
      </c>
      <c r="R44" s="153">
        <f>SUM(данные!N42:R42)</f>
        <v>0</v>
      </c>
      <c r="S44" s="146">
        <f>SUM(данные!X42:AB42)*0.9*1.058</f>
        <v>0</v>
      </c>
      <c r="T44" s="154">
        <f>Таблица6[[#This Row],[в ценах 4 кв 2012г]]*данные!$AT$3</f>
        <v>0</v>
      </c>
    </row>
    <row r="45" spans="1:20" x14ac:dyDescent="0.25">
      <c r="A45" s="85" t="str">
        <f>IF(калькулятор!C47=0,"",калькулятор!C47)</f>
        <v/>
      </c>
      <c r="B45" s="86" t="str">
        <f>IF(калькулятор!D47=0,"",калькулятор!D47)</f>
        <v/>
      </c>
      <c r="C45" s="87" t="str">
        <f>IF(калькулятор!E47=0,"",калькулятор!E47)</f>
        <v/>
      </c>
      <c r="D45" s="88" t="str">
        <f>IF(калькулятор!F47=0,"",калькулятор!F47)</f>
        <v/>
      </c>
      <c r="E45" s="89" t="str">
        <f>IF(калькулятор!I47=0,"",калькулятор!I47)</f>
        <v/>
      </c>
      <c r="F45" s="90">
        <f>данные!AE43</f>
        <v>0</v>
      </c>
      <c r="G45" s="91">
        <f>данные!AF43</f>
        <v>0</v>
      </c>
      <c r="H45" s="91">
        <f>данные!AC43</f>
        <v>0</v>
      </c>
      <c r="I45" s="91">
        <f>данные!AG43+данные!AH43+данные!AI43+данные!AJ43+данные!AK43</f>
        <v>0</v>
      </c>
      <c r="J45" s="80">
        <f>IF($K$2=2014,IF((SUM(данные!AG43:AK43)*данные!$AT$3-данные!AD43)&gt;0,данные!AX43,данные!AG43*данные!$AT$3),данные!AG43*данные!$AT$3)</f>
        <v>0</v>
      </c>
      <c r="K45" s="80">
        <f>IF($K$2=2014,IF((SUM(данные!AH43:AL43)*данные!$AT$3-данные!AE43)&gt;0,данные!AY43,данные!AH43*данные!$AT$3),данные!AH43*данные!$AT$3)</f>
        <v>0</v>
      </c>
      <c r="L45" s="80">
        <f>IF($K$2=2014,IF((SUM(данные!AI43:AM43)*данные!$AT$3-данные!AF43)&gt;0,данные!AZ43,данные!AI43*данные!$AT$3),данные!AI43*данные!$AT$3)</f>
        <v>0</v>
      </c>
      <c r="M45" s="80">
        <f>IF($K$2=2014,IF((SUM(данные!AJ43:AN43)*данные!$AT$3-данные!AG43)&gt;0,данные!BA43,данные!AJ43*данные!$AT$3),данные!AJ43*данные!$AT$3)</f>
        <v>0</v>
      </c>
      <c r="N45" s="80">
        <f>IF($K$2=2014,IF((SUM(данные!AK43:AO43)*данные!$AT$3-данные!AH43)&gt;0,данные!BB43,данные!AK43*данные!$AT$3),данные!AK43*данные!$AT$3)</f>
        <v>0</v>
      </c>
      <c r="O45" s="81">
        <f>SUM(Таблица6[[#This Row],[ПИР]:[Прочие]])</f>
        <v>0</v>
      </c>
      <c r="P45" s="110" t="str">
        <f>IFERROR(Таблица6[[#This Row],[Итого в прогнозных ценах с применением методики снижения]]/Таблица6[[#This Row],[кол-во]],"")</f>
        <v/>
      </c>
      <c r="R45" s="153">
        <f>SUM(данные!N43:R43)</f>
        <v>0</v>
      </c>
      <c r="S45" s="146">
        <f>SUM(данные!X43:AB43)*0.9*1.058</f>
        <v>0</v>
      </c>
      <c r="T45" s="154">
        <f>Таблица6[[#This Row],[в ценах 4 кв 2012г]]*данные!$AT$3</f>
        <v>0</v>
      </c>
    </row>
    <row r="46" spans="1:20" x14ac:dyDescent="0.25">
      <c r="A46" s="77" t="str">
        <f>IF(калькулятор!C48=0,"",калькулятор!C48)</f>
        <v/>
      </c>
      <c r="B46" s="78" t="str">
        <f>IF(калькулятор!D48=0,"",калькулятор!D48)</f>
        <v/>
      </c>
      <c r="C46" s="78" t="str">
        <f>IF(калькулятор!E48=0,"",калькулятор!E48)</f>
        <v/>
      </c>
      <c r="D46" s="78" t="str">
        <f>IF(калькулятор!F48=0,"",калькулятор!F48)</f>
        <v/>
      </c>
      <c r="E46" s="79" t="str">
        <f>IF(калькулятор!I48=0,"",калькулятор!I48)</f>
        <v/>
      </c>
      <c r="F46" s="79">
        <f>данные!AE44</f>
        <v>0</v>
      </c>
      <c r="G46" s="79">
        <f>данные!AF44</f>
        <v>0</v>
      </c>
      <c r="H46" s="79">
        <f>данные!AC44</f>
        <v>0</v>
      </c>
      <c r="I46" s="79">
        <f>данные!AG44+данные!AH44+данные!AI44+данные!AJ44+данные!AK44</f>
        <v>0</v>
      </c>
      <c r="J46" s="80">
        <f>IF($K$2=2014,IF((SUM(данные!AG44:AK44)*данные!$AT$3-данные!AD44)&gt;0,данные!AX44,данные!AG44*данные!$AT$3),данные!AG44*данные!$AT$3)</f>
        <v>0</v>
      </c>
      <c r="K46" s="80">
        <f>IF($K$2=2014,IF((SUM(данные!AH44:AL44)*данные!$AT$3-данные!AE44)&gt;0,данные!AY44,данные!AH44*данные!$AT$3),данные!AH44*данные!$AT$3)</f>
        <v>0</v>
      </c>
      <c r="L46" s="80">
        <f>IF($K$2=2014,IF((SUM(данные!AI44:AM44)*данные!$AT$3-данные!AF44)&gt;0,данные!AZ44,данные!AI44*данные!$AT$3),данные!AI44*данные!$AT$3)</f>
        <v>0</v>
      </c>
      <c r="M46" s="80">
        <f>IF($K$2=2014,IF((SUM(данные!AJ44:AN44)*данные!$AT$3-данные!AG44)&gt;0,данные!BA44,данные!AJ44*данные!$AT$3),данные!AJ44*данные!$AT$3)</f>
        <v>0</v>
      </c>
      <c r="N46" s="80">
        <f>IF($K$2=2014,IF((SUM(данные!AK44:AO44)*данные!$AT$3-данные!AH44)&gt;0,данные!BB44,данные!AK44*данные!$AT$3),данные!AK44*данные!$AT$3)</f>
        <v>0</v>
      </c>
      <c r="O46" s="81">
        <f>SUM(Таблица6[[#This Row],[ПИР]:[Прочие]])</f>
        <v>0</v>
      </c>
      <c r="P46" s="110" t="str">
        <f>IFERROR(Таблица6[[#This Row],[Итого в прогнозных ценах с применением методики снижения]]/Таблица6[[#This Row],[кол-во]],"")</f>
        <v/>
      </c>
      <c r="R46" s="153">
        <f>SUM(данные!N44:R44)</f>
        <v>0</v>
      </c>
      <c r="S46" s="146">
        <f>SUM(данные!X44:AB44)*0.9*1.058</f>
        <v>0</v>
      </c>
      <c r="T46" s="154">
        <f>Таблица6[[#This Row],[в ценах 4 кв 2012г]]*данные!$AT$3</f>
        <v>0</v>
      </c>
    </row>
    <row r="47" spans="1:20" x14ac:dyDescent="0.25">
      <c r="A47" s="77" t="str">
        <f>IF(калькулятор!C49=0,"",калькулятор!C49)</f>
        <v/>
      </c>
      <c r="B47" s="78" t="str">
        <f>IF(калькулятор!D49=0,"",калькулятор!D49)</f>
        <v/>
      </c>
      <c r="C47" s="78" t="str">
        <f>IF(калькулятор!E49=0,"",калькулятор!E49)</f>
        <v/>
      </c>
      <c r="D47" s="78" t="str">
        <f>IF(калькулятор!F49=0,"",калькулятор!F49)</f>
        <v/>
      </c>
      <c r="E47" s="79" t="str">
        <f>IF(калькулятор!I49=0,"",калькулятор!I49)</f>
        <v/>
      </c>
      <c r="F47" s="79">
        <f>данные!AE45</f>
        <v>0</v>
      </c>
      <c r="G47" s="79">
        <f>данные!AF45</f>
        <v>0</v>
      </c>
      <c r="H47" s="79">
        <f>данные!AC45</f>
        <v>0</v>
      </c>
      <c r="I47" s="79">
        <f>данные!AG45+данные!AH45+данные!AI45+данные!AJ45+данные!AK45</f>
        <v>0</v>
      </c>
      <c r="J47" s="80">
        <f>IF($K$2=2014,IF((SUM(данные!AG45:AK45)*данные!$AT$3-данные!AD45)&gt;0,данные!AX45,данные!AG45*данные!$AT$3),данные!AG45*данные!$AT$3)</f>
        <v>0</v>
      </c>
      <c r="K47" s="80">
        <f>IF($K$2=2014,IF((SUM(данные!AH45:AL45)*данные!$AT$3-данные!AE45)&gt;0,данные!AY45,данные!AH45*данные!$AT$3),данные!AH45*данные!$AT$3)</f>
        <v>0</v>
      </c>
      <c r="L47" s="80">
        <f>IF($K$2=2014,IF((SUM(данные!AI45:AM45)*данные!$AT$3-данные!AF45)&gt;0,данные!AZ45,данные!AI45*данные!$AT$3),данные!AI45*данные!$AT$3)</f>
        <v>0</v>
      </c>
      <c r="M47" s="80">
        <f>IF($K$2=2014,IF((SUM(данные!AJ45:AN45)*данные!$AT$3-данные!AG45)&gt;0,данные!BA45,данные!AJ45*данные!$AT$3),данные!AJ45*данные!$AT$3)</f>
        <v>0</v>
      </c>
      <c r="N47" s="80">
        <f>IF($K$2=2014,IF((SUM(данные!AK45:AO45)*данные!$AT$3-данные!AH45)&gt;0,данные!BB45,данные!AK45*данные!$AT$3),данные!AK45*данные!$AT$3)</f>
        <v>0</v>
      </c>
      <c r="O47" s="81">
        <f>SUM(Таблица6[[#This Row],[ПИР]:[Прочие]])</f>
        <v>0</v>
      </c>
      <c r="P47" s="110" t="str">
        <f>IFERROR(Таблица6[[#This Row],[Итого в прогнозных ценах с применением методики снижения]]/Таблица6[[#This Row],[кол-во]],"")</f>
        <v/>
      </c>
      <c r="R47" s="153">
        <f>SUM(данные!N45:R45)</f>
        <v>0</v>
      </c>
      <c r="S47" s="146">
        <f>SUM(данные!X45:AB45)*0.9*1.058</f>
        <v>0</v>
      </c>
      <c r="T47" s="154">
        <f>Таблица6[[#This Row],[в ценах 4 кв 2012г]]*данные!$AT$3</f>
        <v>0</v>
      </c>
    </row>
    <row r="48" spans="1:20" x14ac:dyDescent="0.25">
      <c r="A48" s="77" t="str">
        <f>IF(калькулятор!C50=0,"",калькулятор!C50)</f>
        <v/>
      </c>
      <c r="B48" s="78" t="str">
        <f>IF(калькулятор!D50=0,"",калькулятор!D50)</f>
        <v/>
      </c>
      <c r="C48" s="78" t="str">
        <f>IF(калькулятор!E50=0,"",калькулятор!E50)</f>
        <v/>
      </c>
      <c r="D48" s="78" t="str">
        <f>IF(калькулятор!F50=0,"",калькулятор!F50)</f>
        <v/>
      </c>
      <c r="E48" s="79" t="str">
        <f>IF(калькулятор!I50=0,"",калькулятор!I50)</f>
        <v/>
      </c>
      <c r="F48" s="79">
        <f>данные!AE46</f>
        <v>0</v>
      </c>
      <c r="G48" s="79">
        <f>данные!AF46</f>
        <v>0</v>
      </c>
      <c r="H48" s="79">
        <f>данные!AC46</f>
        <v>0</v>
      </c>
      <c r="I48" s="79">
        <f>данные!AG46+данные!AH46+данные!AI46+данные!AJ46+данные!AK46</f>
        <v>0</v>
      </c>
      <c r="J48" s="80">
        <f>IF($K$2=2014,IF((SUM(данные!AG46:AK46)*данные!$AT$3-данные!AD46)&gt;0,данные!AX46,данные!AG46*данные!$AT$3),данные!AG46*данные!$AT$3)</f>
        <v>0</v>
      </c>
      <c r="K48" s="80">
        <f>IF($K$2=2014,IF((SUM(данные!AH46:AL46)*данные!$AT$3-данные!AE46)&gt;0,данные!AY46,данные!AH46*данные!$AT$3),данные!AH46*данные!$AT$3)</f>
        <v>0</v>
      </c>
      <c r="L48" s="80">
        <f>IF($K$2=2014,IF((SUM(данные!AI46:AM46)*данные!$AT$3-данные!AF46)&gt;0,данные!AZ46,данные!AI46*данные!$AT$3),данные!AI46*данные!$AT$3)</f>
        <v>0</v>
      </c>
      <c r="M48" s="80">
        <f>IF($K$2=2014,IF((SUM(данные!AJ46:AN46)*данные!$AT$3-данные!AG46)&gt;0,данные!BA46,данные!AJ46*данные!$AT$3),данные!AJ46*данные!$AT$3)</f>
        <v>0</v>
      </c>
      <c r="N48" s="80">
        <f>IF($K$2=2014,IF((SUM(данные!AK46:AO46)*данные!$AT$3-данные!AH46)&gt;0,данные!BB46,данные!AK46*данные!$AT$3),данные!AK46*данные!$AT$3)</f>
        <v>0</v>
      </c>
      <c r="O48" s="81">
        <f>SUM(Таблица6[[#This Row],[ПИР]:[Прочие]])</f>
        <v>0</v>
      </c>
      <c r="P48" s="110" t="str">
        <f>IFERROR(Таблица6[[#This Row],[Итого в прогнозных ценах с применением методики снижения]]/Таблица6[[#This Row],[кол-во]],"")</f>
        <v/>
      </c>
      <c r="R48" s="153">
        <f>SUM(данные!N46:R46)</f>
        <v>0</v>
      </c>
      <c r="S48" s="146">
        <f>SUM(данные!X46:AB46)*0.9*1.058</f>
        <v>0</v>
      </c>
      <c r="T48" s="154">
        <f>Таблица6[[#This Row],[в ценах 4 кв 2012г]]*данные!$AT$3</f>
        <v>0</v>
      </c>
    </row>
    <row r="49" spans="1:20" x14ac:dyDescent="0.25">
      <c r="A49" s="77" t="str">
        <f>IF(калькулятор!C51=0,"",калькулятор!C51)</f>
        <v/>
      </c>
      <c r="B49" s="78" t="str">
        <f>IF(калькулятор!D51=0,"",калькулятор!D51)</f>
        <v/>
      </c>
      <c r="C49" s="78" t="str">
        <f>IF(калькулятор!E51=0,"",калькулятор!E51)</f>
        <v/>
      </c>
      <c r="D49" s="78" t="str">
        <f>IF(калькулятор!F51=0,"",калькулятор!F51)</f>
        <v/>
      </c>
      <c r="E49" s="79" t="str">
        <f>IF(калькулятор!I51=0,"",калькулятор!I51)</f>
        <v/>
      </c>
      <c r="F49" s="79">
        <f>данные!AE47</f>
        <v>0</v>
      </c>
      <c r="G49" s="79">
        <f>данные!AF47</f>
        <v>0</v>
      </c>
      <c r="H49" s="79">
        <f>данные!AC47</f>
        <v>0</v>
      </c>
      <c r="I49" s="79">
        <f>данные!AG47+данные!AH47+данные!AI47+данные!AJ47+данные!AK47</f>
        <v>0</v>
      </c>
      <c r="J49" s="80">
        <f>IF($K$2=2014,IF((SUM(данные!AG47:AK47)*данные!$AT$3-данные!AD47)&gt;0,данные!AX47,данные!AG47*данные!$AT$3),данные!AG47*данные!$AT$3)</f>
        <v>0</v>
      </c>
      <c r="K49" s="80">
        <f>IF($K$2=2014,IF((SUM(данные!AH47:AL47)*данные!$AT$3-данные!AE47)&gt;0,данные!AY47,данные!AH47*данные!$AT$3),данные!AH47*данные!$AT$3)</f>
        <v>0</v>
      </c>
      <c r="L49" s="80">
        <f>IF($K$2=2014,IF((SUM(данные!AI47:AM47)*данные!$AT$3-данные!AF47)&gt;0,данные!AZ47,данные!AI47*данные!$AT$3),данные!AI47*данные!$AT$3)</f>
        <v>0</v>
      </c>
      <c r="M49" s="80">
        <f>IF($K$2=2014,IF((SUM(данные!AJ47:AN47)*данные!$AT$3-данные!AG47)&gt;0,данные!BA47,данные!AJ47*данные!$AT$3),данные!AJ47*данные!$AT$3)</f>
        <v>0</v>
      </c>
      <c r="N49" s="80">
        <f>IF($K$2=2014,IF((SUM(данные!AK47:AO47)*данные!$AT$3-данные!AH47)&gt;0,данные!BB47,данные!AK47*данные!$AT$3),данные!AK47*данные!$AT$3)</f>
        <v>0</v>
      </c>
      <c r="O49" s="81">
        <f>SUM(Таблица6[[#This Row],[ПИР]:[Прочие]])</f>
        <v>0</v>
      </c>
      <c r="P49" s="110" t="str">
        <f>IFERROR(Таблица6[[#This Row],[Итого в прогнозных ценах с применением методики снижения]]/Таблица6[[#This Row],[кол-во]],"")</f>
        <v/>
      </c>
      <c r="R49" s="153">
        <f>SUM(данные!N47:R47)</f>
        <v>0</v>
      </c>
      <c r="S49" s="146">
        <f>SUM(данные!X47:AB47)*0.9*1.058</f>
        <v>0</v>
      </c>
      <c r="T49" s="154">
        <f>Таблица6[[#This Row],[в ценах 4 кв 2012г]]*данные!$AT$3</f>
        <v>0</v>
      </c>
    </row>
    <row r="50" spans="1:20" x14ac:dyDescent="0.25">
      <c r="A50" s="77" t="str">
        <f>IF(калькулятор!C52=0,"",калькулятор!C52)</f>
        <v/>
      </c>
      <c r="B50" s="78" t="str">
        <f>IF(калькулятор!D52=0,"",калькулятор!D52)</f>
        <v/>
      </c>
      <c r="C50" s="78" t="str">
        <f>IF(калькулятор!E52=0,"",калькулятор!E52)</f>
        <v/>
      </c>
      <c r="D50" s="78" t="str">
        <f>IF(калькулятор!F52=0,"",калькулятор!F52)</f>
        <v/>
      </c>
      <c r="E50" s="79" t="str">
        <f>IF(калькулятор!I52=0,"",калькулятор!I52)</f>
        <v/>
      </c>
      <c r="F50" s="79">
        <f>данные!AE48</f>
        <v>0</v>
      </c>
      <c r="G50" s="79">
        <f>данные!AF48</f>
        <v>0</v>
      </c>
      <c r="H50" s="79">
        <f>данные!AC48</f>
        <v>0</v>
      </c>
      <c r="I50" s="79">
        <f>данные!AG48+данные!AH48+данные!AI48+данные!AJ48+данные!AK48</f>
        <v>0</v>
      </c>
      <c r="J50" s="80">
        <f>IF($K$2=2014,IF((SUM(данные!AG48:AK48)*данные!$AT$3-данные!AD48)&gt;0,данные!AX48,данные!AG48*данные!$AT$3),данные!AG48*данные!$AT$3)</f>
        <v>0</v>
      </c>
      <c r="K50" s="80">
        <f>IF($K$2=2014,IF((SUM(данные!AH48:AL48)*данные!$AT$3-данные!AE48)&gt;0,данные!AY48,данные!AH48*данные!$AT$3),данные!AH48*данные!$AT$3)</f>
        <v>0</v>
      </c>
      <c r="L50" s="80">
        <f>IF($K$2=2014,IF((SUM(данные!AI48:AM48)*данные!$AT$3-данные!AF48)&gt;0,данные!AZ48,данные!AI48*данные!$AT$3),данные!AI48*данные!$AT$3)</f>
        <v>0</v>
      </c>
      <c r="M50" s="80">
        <f>IF($K$2=2014,IF((SUM(данные!AJ48:AN48)*данные!$AT$3-данные!AG48)&gt;0,данные!BA48,данные!AJ48*данные!$AT$3),данные!AJ48*данные!$AT$3)</f>
        <v>0</v>
      </c>
      <c r="N50" s="80">
        <f>IF($K$2=2014,IF((SUM(данные!AK48:AO48)*данные!$AT$3-данные!AH48)&gt;0,данные!BB48,данные!AK48*данные!$AT$3),данные!AK48*данные!$AT$3)</f>
        <v>0</v>
      </c>
      <c r="O50" s="81">
        <f>SUM(Таблица6[[#This Row],[ПИР]:[Прочие]])</f>
        <v>0</v>
      </c>
      <c r="P50" s="110" t="str">
        <f>IFERROR(Таблица6[[#This Row],[Итого в прогнозных ценах с применением методики снижения]]/Таблица6[[#This Row],[кол-во]],"")</f>
        <v/>
      </c>
      <c r="R50" s="153">
        <f>SUM(данные!N48:R48)</f>
        <v>0</v>
      </c>
      <c r="S50" s="146">
        <f>SUM(данные!X48:AB48)*0.9*1.058</f>
        <v>0</v>
      </c>
      <c r="T50" s="154">
        <f>Таблица6[[#This Row],[в ценах 4 кв 2012г]]*данные!$AT$3</f>
        <v>0</v>
      </c>
    </row>
    <row r="51" spans="1:20" x14ac:dyDescent="0.25">
      <c r="A51" s="77" t="str">
        <f>IF(калькулятор!C53=0,"",калькулятор!C53)</f>
        <v/>
      </c>
      <c r="B51" s="78" t="str">
        <f>IF(калькулятор!D53=0,"",калькулятор!D53)</f>
        <v/>
      </c>
      <c r="C51" s="78" t="str">
        <f>IF(калькулятор!E53=0,"",калькулятор!E53)</f>
        <v/>
      </c>
      <c r="D51" s="78" t="str">
        <f>IF(калькулятор!F53=0,"",калькулятор!F53)</f>
        <v/>
      </c>
      <c r="E51" s="79" t="str">
        <f>IF(калькулятор!I53=0,"",калькулятор!I53)</f>
        <v/>
      </c>
      <c r="F51" s="79">
        <f>данные!AE49</f>
        <v>0</v>
      </c>
      <c r="G51" s="79">
        <f>данные!AF49</f>
        <v>0</v>
      </c>
      <c r="H51" s="79">
        <f>данные!AC49</f>
        <v>0</v>
      </c>
      <c r="I51" s="79">
        <f>данные!AG49+данные!AH49+данные!AI49+данные!AJ49+данные!AK49</f>
        <v>0</v>
      </c>
      <c r="J51" s="80">
        <f>IF($K$2=2014,IF((SUM(данные!AG49:AK49)*данные!$AT$3-данные!AD49)&gt;0,данные!AX49,данные!AG49*данные!$AT$3),данные!AG49*данные!$AT$3)</f>
        <v>0</v>
      </c>
      <c r="K51" s="80">
        <f>IF($K$2=2014,IF((SUM(данные!AH49:AL49)*данные!$AT$3-данные!AE49)&gt;0,данные!AY49,данные!AH49*данные!$AT$3),данные!AH49*данные!$AT$3)</f>
        <v>0</v>
      </c>
      <c r="L51" s="80">
        <f>IF($K$2=2014,IF((SUM(данные!AI49:AM49)*данные!$AT$3-данные!AF49)&gt;0,данные!AZ49,данные!AI49*данные!$AT$3),данные!AI49*данные!$AT$3)</f>
        <v>0</v>
      </c>
      <c r="M51" s="80">
        <f>IF($K$2=2014,IF((SUM(данные!AJ49:AN49)*данные!$AT$3-данные!AG49)&gt;0,данные!BA49,данные!AJ49*данные!$AT$3),данные!AJ49*данные!$AT$3)</f>
        <v>0</v>
      </c>
      <c r="N51" s="80">
        <f>IF($K$2=2014,IF((SUM(данные!AK49:AO49)*данные!$AT$3-данные!AH49)&gt;0,данные!BB49,данные!AK49*данные!$AT$3),данные!AK49*данные!$AT$3)</f>
        <v>0</v>
      </c>
      <c r="O51" s="81">
        <f>SUM(Таблица6[[#This Row],[ПИР]:[Прочие]])</f>
        <v>0</v>
      </c>
      <c r="P51" s="110" t="str">
        <f>IFERROR(Таблица6[[#This Row],[Итого в прогнозных ценах с применением методики снижения]]/Таблица6[[#This Row],[кол-во]],"")</f>
        <v/>
      </c>
      <c r="R51" s="153">
        <f>SUM(данные!N49:R49)</f>
        <v>0</v>
      </c>
      <c r="S51" s="146">
        <f>SUM(данные!X49:AB49)*0.9*1.058</f>
        <v>0</v>
      </c>
      <c r="T51" s="154">
        <f>Таблица6[[#This Row],[в ценах 4 кв 2012г]]*данные!$AT$3</f>
        <v>0</v>
      </c>
    </row>
    <row r="52" spans="1:20" x14ac:dyDescent="0.25">
      <c r="A52" s="77" t="str">
        <f>IF(калькулятор!C54=0,"",калькулятор!C54)</f>
        <v/>
      </c>
      <c r="B52" s="78" t="str">
        <f>IF(калькулятор!D54=0,"",калькулятор!D54)</f>
        <v/>
      </c>
      <c r="C52" s="78" t="str">
        <f>IF(калькулятор!E54=0,"",калькулятор!E54)</f>
        <v/>
      </c>
      <c r="D52" s="78" t="str">
        <f>IF(калькулятор!F54=0,"",калькулятор!F54)</f>
        <v/>
      </c>
      <c r="E52" s="79" t="str">
        <f>IF(калькулятор!I54=0,"",калькулятор!I54)</f>
        <v/>
      </c>
      <c r="F52" s="79">
        <f>данные!AE50</f>
        <v>0</v>
      </c>
      <c r="G52" s="79">
        <f>данные!AF50</f>
        <v>0</v>
      </c>
      <c r="H52" s="79">
        <f>данные!AC50</f>
        <v>0</v>
      </c>
      <c r="I52" s="79">
        <f>данные!AG50+данные!AH50+данные!AI50+данные!AJ50+данные!AK50</f>
        <v>0</v>
      </c>
      <c r="J52" s="80">
        <f>IF($K$2=2014,IF((SUM(данные!AG50:AK50)*данные!$AT$3-данные!AD50)&gt;0,данные!AX50,данные!AG50*данные!$AT$3),данные!AG50*данные!$AT$3)</f>
        <v>0</v>
      </c>
      <c r="K52" s="80">
        <f>IF($K$2=2014,IF((SUM(данные!AH50:AL50)*данные!$AT$3-данные!AE50)&gt;0,данные!AY50,данные!AH50*данные!$AT$3),данные!AH50*данные!$AT$3)</f>
        <v>0</v>
      </c>
      <c r="L52" s="80">
        <f>IF($K$2=2014,IF((SUM(данные!AI50:AM50)*данные!$AT$3-данные!AF50)&gt;0,данные!AZ50,данные!AI50*данные!$AT$3),данные!AI50*данные!$AT$3)</f>
        <v>0</v>
      </c>
      <c r="M52" s="80">
        <f>IF($K$2=2014,IF((SUM(данные!AJ50:AN50)*данные!$AT$3-данные!AG50)&gt;0,данные!BA50,данные!AJ50*данные!$AT$3),данные!AJ50*данные!$AT$3)</f>
        <v>0</v>
      </c>
      <c r="N52" s="80">
        <f>IF($K$2=2014,IF((SUM(данные!AK50:AO50)*данные!$AT$3-данные!AH50)&gt;0,данные!BB50,данные!AK50*данные!$AT$3),данные!AK50*данные!$AT$3)</f>
        <v>0</v>
      </c>
      <c r="O52" s="81">
        <f>SUM(Таблица6[[#This Row],[ПИР]:[Прочие]])</f>
        <v>0</v>
      </c>
      <c r="P52" s="110" t="str">
        <f>IFERROR(Таблица6[[#This Row],[Итого в прогнозных ценах с применением методики снижения]]/Таблица6[[#This Row],[кол-во]],"")</f>
        <v/>
      </c>
      <c r="R52" s="153">
        <f>SUM(данные!N50:R50)</f>
        <v>0</v>
      </c>
      <c r="S52" s="146">
        <f>SUM(данные!X50:AB50)*0.9*1.058</f>
        <v>0</v>
      </c>
      <c r="T52" s="154">
        <f>Таблица6[[#This Row],[в ценах 4 кв 2012г]]*данные!$AT$3</f>
        <v>0</v>
      </c>
    </row>
    <row r="53" spans="1:20" x14ac:dyDescent="0.25">
      <c r="A53" s="77" t="str">
        <f>IF(калькулятор!C55=0,"",калькулятор!C55)</f>
        <v/>
      </c>
      <c r="B53" s="78" t="str">
        <f>IF(калькулятор!D55=0,"",калькулятор!D55)</f>
        <v/>
      </c>
      <c r="C53" s="78" t="str">
        <f>IF(калькулятор!E55=0,"",калькулятор!E55)</f>
        <v/>
      </c>
      <c r="D53" s="78" t="str">
        <f>IF(калькулятор!F55=0,"",калькулятор!F55)</f>
        <v/>
      </c>
      <c r="E53" s="79" t="str">
        <f>IF(калькулятор!I55=0,"",калькулятор!I55)</f>
        <v/>
      </c>
      <c r="F53" s="79">
        <f>данные!AE51</f>
        <v>0</v>
      </c>
      <c r="G53" s="79">
        <f>данные!AF51</f>
        <v>0</v>
      </c>
      <c r="H53" s="79">
        <f>данные!AC51</f>
        <v>0</v>
      </c>
      <c r="I53" s="79">
        <f>данные!AG51+данные!AH51+данные!AI51+данные!AJ51+данные!AK51</f>
        <v>0</v>
      </c>
      <c r="J53" s="80">
        <f>IF($K$2=2014,IF((SUM(данные!AG51:AK51)*данные!$AT$3-данные!AD51)&gt;0,данные!AX51,данные!AG51*данные!$AT$3),данные!AG51*данные!$AT$3)</f>
        <v>0</v>
      </c>
      <c r="K53" s="80">
        <f>IF($K$2=2014,IF((SUM(данные!AH51:AL51)*данные!$AT$3-данные!AE51)&gt;0,данные!AY51,данные!AH51*данные!$AT$3),данные!AH51*данные!$AT$3)</f>
        <v>0</v>
      </c>
      <c r="L53" s="80">
        <f>IF($K$2=2014,IF((SUM(данные!AI51:AM51)*данные!$AT$3-данные!AF51)&gt;0,данные!AZ51,данные!AI51*данные!$AT$3),данные!AI51*данные!$AT$3)</f>
        <v>0</v>
      </c>
      <c r="M53" s="80">
        <f>IF($K$2=2014,IF((SUM(данные!AJ51:AN51)*данные!$AT$3-данные!AG51)&gt;0,данные!BA51,данные!AJ51*данные!$AT$3),данные!AJ51*данные!$AT$3)</f>
        <v>0</v>
      </c>
      <c r="N53" s="80">
        <f>IF($K$2=2014,IF((SUM(данные!AK51:AO51)*данные!$AT$3-данные!AH51)&gt;0,данные!BB51,данные!AK51*данные!$AT$3),данные!AK51*данные!$AT$3)</f>
        <v>0</v>
      </c>
      <c r="O53" s="81">
        <f>SUM(Таблица6[[#This Row],[ПИР]:[Прочие]])</f>
        <v>0</v>
      </c>
      <c r="P53" s="110" t="str">
        <f>IFERROR(Таблица6[[#This Row],[Итого в прогнозных ценах с применением методики снижения]]/Таблица6[[#This Row],[кол-во]],"")</f>
        <v/>
      </c>
      <c r="R53" s="153">
        <f>SUM(данные!N51:R51)</f>
        <v>0</v>
      </c>
      <c r="S53" s="146">
        <f>SUM(данные!X51:AB51)*0.9*1.058</f>
        <v>0</v>
      </c>
      <c r="T53" s="154">
        <f>Таблица6[[#This Row],[в ценах 4 кв 2012г]]*данные!$AT$3</f>
        <v>0</v>
      </c>
    </row>
    <row r="54" spans="1:20" x14ac:dyDescent="0.25">
      <c r="A54" s="77" t="str">
        <f>IF(калькулятор!C56=0,"",калькулятор!C56)</f>
        <v/>
      </c>
      <c r="B54" s="78" t="str">
        <f>IF(калькулятор!D56=0,"",калькулятор!D56)</f>
        <v/>
      </c>
      <c r="C54" s="78" t="str">
        <f>IF(калькулятор!E56=0,"",калькулятор!E56)</f>
        <v/>
      </c>
      <c r="D54" s="78" t="str">
        <f>IF(калькулятор!F56=0,"",калькулятор!F56)</f>
        <v/>
      </c>
      <c r="E54" s="79" t="str">
        <f>IF(калькулятор!I56=0,"",калькулятор!I56)</f>
        <v/>
      </c>
      <c r="F54" s="79">
        <f>данные!AE52</f>
        <v>0</v>
      </c>
      <c r="G54" s="79">
        <f>данные!AF52</f>
        <v>0</v>
      </c>
      <c r="H54" s="79">
        <f>данные!AC52</f>
        <v>0</v>
      </c>
      <c r="I54" s="79">
        <f>данные!AG52+данные!AH52+данные!AI52+данные!AJ52+данные!AK52</f>
        <v>0</v>
      </c>
      <c r="J54" s="80">
        <f>IF($K$2=2014,IF((SUM(данные!AG52:AK52)*данные!$AT$3-данные!AD52)&gt;0,данные!AX52,данные!AG52*данные!$AT$3),данные!AG52*данные!$AT$3)</f>
        <v>0</v>
      </c>
      <c r="K54" s="80">
        <f>IF($K$2=2014,IF((SUM(данные!AH52:AL52)*данные!$AT$3-данные!AE52)&gt;0,данные!AY52,данные!AH52*данные!$AT$3),данные!AH52*данные!$AT$3)</f>
        <v>0</v>
      </c>
      <c r="L54" s="80">
        <f>IF($K$2=2014,IF((SUM(данные!AI52:AM52)*данные!$AT$3-данные!AF52)&gt;0,данные!AZ52,данные!AI52*данные!$AT$3),данные!AI52*данные!$AT$3)</f>
        <v>0</v>
      </c>
      <c r="M54" s="80">
        <f>IF($K$2=2014,IF((SUM(данные!AJ52:AN52)*данные!$AT$3-данные!AG52)&gt;0,данные!BA52,данные!AJ52*данные!$AT$3),данные!AJ52*данные!$AT$3)</f>
        <v>0</v>
      </c>
      <c r="N54" s="80">
        <f>IF($K$2=2014,IF((SUM(данные!AK52:AO52)*данные!$AT$3-данные!AH52)&gt;0,данные!BB52,данные!AK52*данные!$AT$3),данные!AK52*данные!$AT$3)</f>
        <v>0</v>
      </c>
      <c r="O54" s="81">
        <f>SUM(Таблица6[[#This Row],[ПИР]:[Прочие]])</f>
        <v>0</v>
      </c>
      <c r="P54" s="110" t="str">
        <f>IFERROR(Таблица6[[#This Row],[Итого в прогнозных ценах с применением методики снижения]]/Таблица6[[#This Row],[кол-во]],"")</f>
        <v/>
      </c>
      <c r="R54" s="153">
        <f>SUM(данные!N52:R52)</f>
        <v>0</v>
      </c>
      <c r="S54" s="146">
        <f>SUM(данные!X52:AB52)*0.9*1.058</f>
        <v>0</v>
      </c>
      <c r="T54" s="154">
        <f>Таблица6[[#This Row],[в ценах 4 кв 2012г]]*данные!$AT$3</f>
        <v>0</v>
      </c>
    </row>
    <row r="55" spans="1:20" x14ac:dyDescent="0.25">
      <c r="A55" s="77" t="str">
        <f>IF(калькулятор!C57=0,"",калькулятор!C57)</f>
        <v/>
      </c>
      <c r="B55" s="78" t="str">
        <f>IF(калькулятор!D57=0,"",калькулятор!D57)</f>
        <v/>
      </c>
      <c r="C55" s="78" t="str">
        <f>IF(калькулятор!E57=0,"",калькулятор!E57)</f>
        <v/>
      </c>
      <c r="D55" s="78" t="str">
        <f>IF(калькулятор!F57=0,"",калькулятор!F57)</f>
        <v/>
      </c>
      <c r="E55" s="79" t="str">
        <f>IF(калькулятор!I57=0,"",калькулятор!I57)</f>
        <v/>
      </c>
      <c r="F55" s="79">
        <f>данные!AE53</f>
        <v>0</v>
      </c>
      <c r="G55" s="79">
        <f>данные!AF53</f>
        <v>0</v>
      </c>
      <c r="H55" s="79">
        <f>данные!AC53</f>
        <v>0</v>
      </c>
      <c r="I55" s="79">
        <f>данные!AG53+данные!AH53+данные!AI53+данные!AJ53+данные!AK53</f>
        <v>0</v>
      </c>
      <c r="J55" s="80">
        <f>IF($K$2=2014,IF((SUM(данные!AG53:AK53)*данные!$AT$3-данные!AD53)&gt;0,данные!AX53,данные!AG53*данные!$AT$3),данные!AG53*данные!$AT$3)</f>
        <v>0</v>
      </c>
      <c r="K55" s="80">
        <f>IF($K$2=2014,IF((SUM(данные!AH53:AL53)*данные!$AT$3-данные!AE53)&gt;0,данные!AY53,данные!AH53*данные!$AT$3),данные!AH53*данные!$AT$3)</f>
        <v>0</v>
      </c>
      <c r="L55" s="80">
        <f>IF($K$2=2014,IF((SUM(данные!AI53:AM53)*данные!$AT$3-данные!AF53)&gt;0,данные!AZ53,данные!AI53*данные!$AT$3),данные!AI53*данные!$AT$3)</f>
        <v>0</v>
      </c>
      <c r="M55" s="80">
        <f>IF($K$2=2014,IF((SUM(данные!AJ53:AN53)*данные!$AT$3-данные!AG53)&gt;0,данные!BA53,данные!AJ53*данные!$AT$3),данные!AJ53*данные!$AT$3)</f>
        <v>0</v>
      </c>
      <c r="N55" s="80">
        <f>IF($K$2=2014,IF((SUM(данные!AK53:AO53)*данные!$AT$3-данные!AH53)&gt;0,данные!BB53,данные!AK53*данные!$AT$3),данные!AK53*данные!$AT$3)</f>
        <v>0</v>
      </c>
      <c r="O55" s="81">
        <f>SUM(Таблица6[[#This Row],[ПИР]:[Прочие]])</f>
        <v>0</v>
      </c>
      <c r="P55" s="110" t="str">
        <f>IFERROR(Таблица6[[#This Row],[Итого в прогнозных ценах с применением методики снижения]]/Таблица6[[#This Row],[кол-во]],"")</f>
        <v/>
      </c>
      <c r="R55" s="153">
        <f>SUM(данные!N53:R53)</f>
        <v>0</v>
      </c>
      <c r="S55" s="146">
        <f>SUM(данные!X53:AB53)*0.9*1.058</f>
        <v>0</v>
      </c>
      <c r="T55" s="154">
        <f>Таблица6[[#This Row],[в ценах 4 кв 2012г]]*данные!$AT$3</f>
        <v>0</v>
      </c>
    </row>
    <row r="56" spans="1:20" x14ac:dyDescent="0.25">
      <c r="A56" s="77" t="str">
        <f>IF(калькулятор!C58=0,"",калькулятор!C58)</f>
        <v/>
      </c>
      <c r="B56" s="78" t="str">
        <f>IF(калькулятор!D58=0,"",калькулятор!D58)</f>
        <v/>
      </c>
      <c r="C56" s="78" t="str">
        <f>IF(калькулятор!E58=0,"",калькулятор!E58)</f>
        <v/>
      </c>
      <c r="D56" s="78" t="str">
        <f>IF(калькулятор!F58=0,"",калькулятор!F58)</f>
        <v/>
      </c>
      <c r="E56" s="79" t="str">
        <f>IF(калькулятор!I58=0,"",калькулятор!I58)</f>
        <v/>
      </c>
      <c r="F56" s="79">
        <f>данные!AE54</f>
        <v>0</v>
      </c>
      <c r="G56" s="79">
        <f>данные!AF54</f>
        <v>0</v>
      </c>
      <c r="H56" s="79">
        <f>данные!AC54</f>
        <v>0</v>
      </c>
      <c r="I56" s="79">
        <f>данные!AG54+данные!AH54+данные!AI54+данные!AJ54+данные!AK54</f>
        <v>0</v>
      </c>
      <c r="J56" s="80">
        <f>IF($K$2=2014,IF((SUM(данные!AG54:AK54)*данные!$AT$3-данные!AD54)&gt;0,данные!AX54,данные!AG54*данные!$AT$3),данные!AG54*данные!$AT$3)</f>
        <v>0</v>
      </c>
      <c r="K56" s="80">
        <f>IF($K$2=2014,IF((SUM(данные!AH54:AL54)*данные!$AT$3-данные!AE54)&gt;0,данные!AY54,данные!AH54*данные!$AT$3),данные!AH54*данные!$AT$3)</f>
        <v>0</v>
      </c>
      <c r="L56" s="80">
        <f>IF($K$2=2014,IF((SUM(данные!AI54:AM54)*данные!$AT$3-данные!AF54)&gt;0,данные!AZ54,данные!AI54*данные!$AT$3),данные!AI54*данные!$AT$3)</f>
        <v>0</v>
      </c>
      <c r="M56" s="80">
        <f>IF($K$2=2014,IF((SUM(данные!AJ54:AN54)*данные!$AT$3-данные!AG54)&gt;0,данные!BA54,данные!AJ54*данные!$AT$3),данные!AJ54*данные!$AT$3)</f>
        <v>0</v>
      </c>
      <c r="N56" s="80">
        <f>IF($K$2=2014,IF((SUM(данные!AK54:AO54)*данные!$AT$3-данные!AH54)&gt;0,данные!BB54,данные!AK54*данные!$AT$3),данные!AK54*данные!$AT$3)</f>
        <v>0</v>
      </c>
      <c r="O56" s="81">
        <f>SUM(Таблица6[[#This Row],[ПИР]:[Прочие]])</f>
        <v>0</v>
      </c>
      <c r="P56" s="110" t="str">
        <f>IFERROR(Таблица6[[#This Row],[Итого в прогнозных ценах с применением методики снижения]]/Таблица6[[#This Row],[кол-во]],"")</f>
        <v/>
      </c>
      <c r="R56" s="153">
        <f>SUM(данные!N54:R54)</f>
        <v>0</v>
      </c>
      <c r="S56" s="146">
        <f>SUM(данные!X54:AB54)*0.9*1.058</f>
        <v>0</v>
      </c>
      <c r="T56" s="154">
        <f>Таблица6[[#This Row],[в ценах 4 кв 2012г]]*данные!$AT$3</f>
        <v>0</v>
      </c>
    </row>
    <row r="57" spans="1:20" x14ac:dyDescent="0.25">
      <c r="A57" s="77" t="str">
        <f>IF(калькулятор!C59=0,"",калькулятор!C59)</f>
        <v/>
      </c>
      <c r="B57" s="78" t="str">
        <f>IF(калькулятор!D59=0,"",калькулятор!D59)</f>
        <v/>
      </c>
      <c r="C57" s="78" t="str">
        <f>IF(калькулятор!E59=0,"",калькулятор!E59)</f>
        <v/>
      </c>
      <c r="D57" s="78" t="str">
        <f>IF(калькулятор!F59=0,"",калькулятор!F59)</f>
        <v/>
      </c>
      <c r="E57" s="79" t="str">
        <f>IF(калькулятор!I59=0,"",калькулятор!I59)</f>
        <v/>
      </c>
      <c r="F57" s="79">
        <f>данные!AE55</f>
        <v>0</v>
      </c>
      <c r="G57" s="79">
        <f>данные!AF55</f>
        <v>0</v>
      </c>
      <c r="H57" s="79">
        <f>данные!AC55</f>
        <v>0</v>
      </c>
      <c r="I57" s="79">
        <f>данные!AG55+данные!AH55+данные!AI55+данные!AJ55+данные!AK55</f>
        <v>0</v>
      </c>
      <c r="J57" s="80">
        <f>IF($K$2=2014,IF((SUM(данные!AG55:AK55)*данные!$AT$3-данные!AD55)&gt;0,данные!AX55,данные!AG55*данные!$AT$3),данные!AG55*данные!$AT$3)</f>
        <v>0</v>
      </c>
      <c r="K57" s="80">
        <f>IF($K$2=2014,IF((SUM(данные!AH55:AL55)*данные!$AT$3-данные!AE55)&gt;0,данные!AY55,данные!AH55*данные!$AT$3),данные!AH55*данные!$AT$3)</f>
        <v>0</v>
      </c>
      <c r="L57" s="80">
        <f>IF($K$2=2014,IF((SUM(данные!AI55:AM55)*данные!$AT$3-данные!AF55)&gt;0,данные!AZ55,данные!AI55*данные!$AT$3),данные!AI55*данные!$AT$3)</f>
        <v>0</v>
      </c>
      <c r="M57" s="80">
        <f>IF($K$2=2014,IF((SUM(данные!AJ55:AN55)*данные!$AT$3-данные!AG55)&gt;0,данные!BA55,данные!AJ55*данные!$AT$3),данные!AJ55*данные!$AT$3)</f>
        <v>0</v>
      </c>
      <c r="N57" s="80">
        <f>IF($K$2=2014,IF((SUM(данные!AK55:AO55)*данные!$AT$3-данные!AH55)&gt;0,данные!BB55,данные!AK55*данные!$AT$3),данные!AK55*данные!$AT$3)</f>
        <v>0</v>
      </c>
      <c r="O57" s="81">
        <f>SUM(Таблица6[[#This Row],[ПИР]:[Прочие]])</f>
        <v>0</v>
      </c>
      <c r="P57" s="110" t="str">
        <f>IFERROR(Таблица6[[#This Row],[Итого в прогнозных ценах с применением методики снижения]]/Таблица6[[#This Row],[кол-во]],"")</f>
        <v/>
      </c>
      <c r="R57" s="153">
        <f>SUM(данные!N55:R55)</f>
        <v>0</v>
      </c>
      <c r="S57" s="146">
        <f>SUM(данные!X55:AB55)*0.9*1.058</f>
        <v>0</v>
      </c>
      <c r="T57" s="154">
        <f>Таблица6[[#This Row],[в ценах 4 кв 2012г]]*данные!$AT$3</f>
        <v>0</v>
      </c>
    </row>
    <row r="58" spans="1:20" x14ac:dyDescent="0.25">
      <c r="A58" s="77" t="str">
        <f>IF(калькулятор!C60=0,"",калькулятор!C60)</f>
        <v/>
      </c>
      <c r="B58" s="78" t="str">
        <f>IF(калькулятор!D60=0,"",калькулятор!D60)</f>
        <v/>
      </c>
      <c r="C58" s="78" t="str">
        <f>IF(калькулятор!E60=0,"",калькулятор!E60)</f>
        <v/>
      </c>
      <c r="D58" s="78" t="str">
        <f>IF(калькулятор!F60=0,"",калькулятор!F60)</f>
        <v/>
      </c>
      <c r="E58" s="79" t="str">
        <f>IF(калькулятор!I60=0,"",калькулятор!I60)</f>
        <v/>
      </c>
      <c r="F58" s="79">
        <f>данные!AE56</f>
        <v>0</v>
      </c>
      <c r="G58" s="79">
        <f>данные!AF56</f>
        <v>0</v>
      </c>
      <c r="H58" s="79">
        <f>данные!AC56</f>
        <v>0</v>
      </c>
      <c r="I58" s="79">
        <f>данные!AG56+данные!AH56+данные!AI56+данные!AJ56+данные!AK56</f>
        <v>0</v>
      </c>
      <c r="J58" s="80">
        <f>IF($K$2=2014,IF((SUM(данные!AG56:AK56)*данные!$AT$3-данные!AD56)&gt;0,данные!AX56,данные!AG56*данные!$AT$3),данные!AG56*данные!$AT$3)</f>
        <v>0</v>
      </c>
      <c r="K58" s="80">
        <f>IF($K$2=2014,IF((SUM(данные!AH56:AL56)*данные!$AT$3-данные!AE56)&gt;0,данные!AY56,данные!AH56*данные!$AT$3),данные!AH56*данные!$AT$3)</f>
        <v>0</v>
      </c>
      <c r="L58" s="80">
        <f>IF($K$2=2014,IF((SUM(данные!AI56:AM56)*данные!$AT$3-данные!AF56)&gt;0,данные!AZ56,данные!AI56*данные!$AT$3),данные!AI56*данные!$AT$3)</f>
        <v>0</v>
      </c>
      <c r="M58" s="80">
        <f>IF($K$2=2014,IF((SUM(данные!AJ56:AN56)*данные!$AT$3-данные!AG56)&gt;0,данные!BA56,данные!AJ56*данные!$AT$3),данные!AJ56*данные!$AT$3)</f>
        <v>0</v>
      </c>
      <c r="N58" s="80">
        <f>IF($K$2=2014,IF((SUM(данные!AK56:AO56)*данные!$AT$3-данные!AH56)&gt;0,данные!BB56,данные!AK56*данные!$AT$3),данные!AK56*данные!$AT$3)</f>
        <v>0</v>
      </c>
      <c r="O58" s="81">
        <f>SUM(Таблица6[[#This Row],[ПИР]:[Прочие]])</f>
        <v>0</v>
      </c>
      <c r="P58" s="110" t="str">
        <f>IFERROR(Таблица6[[#This Row],[Итого в прогнозных ценах с применением методики снижения]]/Таблица6[[#This Row],[кол-во]],"")</f>
        <v/>
      </c>
      <c r="R58" s="153">
        <f>SUM(данные!N56:R56)</f>
        <v>0</v>
      </c>
      <c r="S58" s="146">
        <f>SUM(данные!X56:AB56)*0.9*1.058</f>
        <v>0</v>
      </c>
      <c r="T58" s="154">
        <f>Таблица6[[#This Row],[в ценах 4 кв 2012г]]*данные!$AT$3</f>
        <v>0</v>
      </c>
    </row>
    <row r="59" spans="1:20" x14ac:dyDescent="0.25">
      <c r="A59" s="77" t="str">
        <f>IF(калькулятор!C61=0,"",калькулятор!C61)</f>
        <v/>
      </c>
      <c r="B59" s="78" t="str">
        <f>IF(калькулятор!D61=0,"",калькулятор!D61)</f>
        <v/>
      </c>
      <c r="C59" s="78" t="str">
        <f>IF(калькулятор!E61=0,"",калькулятор!E61)</f>
        <v/>
      </c>
      <c r="D59" s="78" t="str">
        <f>IF(калькулятор!F61=0,"",калькулятор!F61)</f>
        <v/>
      </c>
      <c r="E59" s="79" t="str">
        <f>IF(калькулятор!I61=0,"",калькулятор!I61)</f>
        <v/>
      </c>
      <c r="F59" s="79">
        <f>данные!AE57</f>
        <v>0</v>
      </c>
      <c r="G59" s="79">
        <f>данные!AF57</f>
        <v>0</v>
      </c>
      <c r="H59" s="79">
        <f>данные!AC57</f>
        <v>0</v>
      </c>
      <c r="I59" s="79">
        <f>данные!AG57+данные!AH57+данные!AI57+данные!AJ57+данные!AK57</f>
        <v>0</v>
      </c>
      <c r="J59" s="80">
        <f>IF($K$2=2014,IF((SUM(данные!AG57:AK57)*данные!$AT$3-данные!AD57)&gt;0,данные!AX57,данные!AG57*данные!$AT$3),данные!AG57*данные!$AT$3)</f>
        <v>0</v>
      </c>
      <c r="K59" s="80">
        <f>IF($K$2=2014,IF((SUM(данные!AH57:AL57)*данные!$AT$3-данные!AE57)&gt;0,данные!AY57,данные!AH57*данные!$AT$3),данные!AH57*данные!$AT$3)</f>
        <v>0</v>
      </c>
      <c r="L59" s="80">
        <f>IF($K$2=2014,IF((SUM(данные!AI57:AM57)*данные!$AT$3-данные!AF57)&gt;0,данные!AZ57,данные!AI57*данные!$AT$3),данные!AI57*данные!$AT$3)</f>
        <v>0</v>
      </c>
      <c r="M59" s="80">
        <f>IF($K$2=2014,IF((SUM(данные!AJ57:AN57)*данные!$AT$3-данные!AG57)&gt;0,данные!BA57,данные!AJ57*данные!$AT$3),данные!AJ57*данные!$AT$3)</f>
        <v>0</v>
      </c>
      <c r="N59" s="80">
        <f>IF($K$2=2014,IF((SUM(данные!AK57:AO57)*данные!$AT$3-данные!AH57)&gt;0,данные!BB57,данные!AK57*данные!$AT$3),данные!AK57*данные!$AT$3)</f>
        <v>0</v>
      </c>
      <c r="O59" s="81">
        <f>SUM(Таблица6[[#This Row],[ПИР]:[Прочие]])</f>
        <v>0</v>
      </c>
      <c r="P59" s="110" t="str">
        <f>IFERROR(Таблица6[[#This Row],[Итого в прогнозных ценах с применением методики снижения]]/Таблица6[[#This Row],[кол-во]],"")</f>
        <v/>
      </c>
      <c r="R59" s="153">
        <f>SUM(данные!N57:R57)</f>
        <v>0</v>
      </c>
      <c r="S59" s="146">
        <f>SUM(данные!X57:AB57)*0.9*1.058</f>
        <v>0</v>
      </c>
      <c r="T59" s="154">
        <f>Таблица6[[#This Row],[в ценах 4 кв 2012г]]*данные!$AT$3</f>
        <v>0</v>
      </c>
    </row>
    <row r="60" spans="1:20" x14ac:dyDescent="0.25">
      <c r="A60" s="77" t="str">
        <f>IF(калькулятор!C62=0,"",калькулятор!C62)</f>
        <v/>
      </c>
      <c r="B60" s="78" t="str">
        <f>IF(калькулятор!D62=0,"",калькулятор!D62)</f>
        <v/>
      </c>
      <c r="C60" s="78" t="str">
        <f>IF(калькулятор!E62=0,"",калькулятор!E62)</f>
        <v/>
      </c>
      <c r="D60" s="78" t="str">
        <f>IF(калькулятор!F62=0,"",калькулятор!F62)</f>
        <v/>
      </c>
      <c r="E60" s="79" t="str">
        <f>IF(калькулятор!I62=0,"",калькулятор!I62)</f>
        <v/>
      </c>
      <c r="F60" s="79">
        <f>данные!AE58</f>
        <v>0</v>
      </c>
      <c r="G60" s="79">
        <f>данные!AF58</f>
        <v>0</v>
      </c>
      <c r="H60" s="79">
        <f>данные!AC58</f>
        <v>0</v>
      </c>
      <c r="I60" s="79">
        <f>данные!AG58+данные!AH58+данные!AI58+данные!AJ58+данные!AK58</f>
        <v>0</v>
      </c>
      <c r="J60" s="80">
        <f>IF($K$2=2014,IF((SUM(данные!AG58:AK58)*данные!$AT$3-данные!AD58)&gt;0,данные!AX58,данные!AG58*данные!$AT$3),данные!AG58*данные!$AT$3)</f>
        <v>0</v>
      </c>
      <c r="K60" s="80">
        <f>IF($K$2=2014,IF((SUM(данные!AH58:AL58)*данные!$AT$3-данные!AE58)&gt;0,данные!AY58,данные!AH58*данные!$AT$3),данные!AH58*данные!$AT$3)</f>
        <v>0</v>
      </c>
      <c r="L60" s="80">
        <f>IF($K$2=2014,IF((SUM(данные!AI58:AM58)*данные!$AT$3-данные!AF58)&gt;0,данные!AZ58,данные!AI58*данные!$AT$3),данные!AI58*данные!$AT$3)</f>
        <v>0</v>
      </c>
      <c r="M60" s="80">
        <f>IF($K$2=2014,IF((SUM(данные!AJ58:AN58)*данные!$AT$3-данные!AG58)&gt;0,данные!BA58,данные!AJ58*данные!$AT$3),данные!AJ58*данные!$AT$3)</f>
        <v>0</v>
      </c>
      <c r="N60" s="80">
        <f>IF($K$2=2014,IF((SUM(данные!AK58:AO58)*данные!$AT$3-данные!AH58)&gt;0,данные!BB58,данные!AK58*данные!$AT$3),данные!AK58*данные!$AT$3)</f>
        <v>0</v>
      </c>
      <c r="O60" s="81">
        <f>SUM(Таблица6[[#This Row],[ПИР]:[Прочие]])</f>
        <v>0</v>
      </c>
      <c r="P60" s="110" t="str">
        <f>IFERROR(Таблица6[[#This Row],[Итого в прогнозных ценах с применением методики снижения]]/Таблица6[[#This Row],[кол-во]],"")</f>
        <v/>
      </c>
      <c r="R60" s="153">
        <f>SUM(данные!N58:R58)</f>
        <v>0</v>
      </c>
      <c r="S60" s="146">
        <f>SUM(данные!X58:AB58)*0.9*1.058</f>
        <v>0</v>
      </c>
      <c r="T60" s="154">
        <f>Таблица6[[#This Row],[в ценах 4 кв 2012г]]*данные!$AT$3</f>
        <v>0</v>
      </c>
    </row>
    <row r="61" spans="1:20" x14ac:dyDescent="0.25">
      <c r="A61" s="77" t="str">
        <f>IF(калькулятор!C63=0,"",калькулятор!C63)</f>
        <v/>
      </c>
      <c r="B61" s="78" t="str">
        <f>IF(калькулятор!D63=0,"",калькулятор!D63)</f>
        <v/>
      </c>
      <c r="C61" s="78" t="str">
        <f>IF(калькулятор!E63=0,"",калькулятор!E63)</f>
        <v/>
      </c>
      <c r="D61" s="78" t="str">
        <f>IF(калькулятор!F63=0,"",калькулятор!F63)</f>
        <v/>
      </c>
      <c r="E61" s="79" t="str">
        <f>IF(калькулятор!I63=0,"",калькулятор!I63)</f>
        <v/>
      </c>
      <c r="F61" s="79">
        <f>данные!AE59</f>
        <v>0</v>
      </c>
      <c r="G61" s="79">
        <f>данные!AF59</f>
        <v>0</v>
      </c>
      <c r="H61" s="79">
        <f>данные!AC59</f>
        <v>0</v>
      </c>
      <c r="I61" s="79">
        <f>данные!AG59+данные!AH59+данные!AI59+данные!AJ59+данные!AK59</f>
        <v>0</v>
      </c>
      <c r="J61" s="80">
        <f>IF($K$2=2014,IF((SUM(данные!AG59:AK59)*данные!$AT$3-данные!AD59)&gt;0,данные!AX59,данные!AG59*данные!$AT$3),данные!AG59*данные!$AT$3)</f>
        <v>0</v>
      </c>
      <c r="K61" s="80">
        <f>IF($K$2=2014,IF((SUM(данные!AH59:AL59)*данные!$AT$3-данные!AE59)&gt;0,данные!AY59,данные!AH59*данные!$AT$3),данные!AH59*данные!$AT$3)</f>
        <v>0</v>
      </c>
      <c r="L61" s="80">
        <f>IF($K$2=2014,IF((SUM(данные!AI59:AM59)*данные!$AT$3-данные!AF59)&gt;0,данные!AZ59,данные!AI59*данные!$AT$3),данные!AI59*данные!$AT$3)</f>
        <v>0</v>
      </c>
      <c r="M61" s="80">
        <f>IF($K$2=2014,IF((SUM(данные!AJ59:AN59)*данные!$AT$3-данные!AG59)&gt;0,данные!BA59,данные!AJ59*данные!$AT$3),данные!AJ59*данные!$AT$3)</f>
        <v>0</v>
      </c>
      <c r="N61" s="80">
        <f>IF($K$2=2014,IF((SUM(данные!AK59:AO59)*данные!$AT$3-данные!AH59)&gt;0,данные!BB59,данные!AK59*данные!$AT$3),данные!AK59*данные!$AT$3)</f>
        <v>0</v>
      </c>
      <c r="O61" s="81">
        <f>SUM(Таблица6[[#This Row],[ПИР]:[Прочие]])</f>
        <v>0</v>
      </c>
      <c r="P61" s="110" t="str">
        <f>IFERROR(Таблица6[[#This Row],[Итого в прогнозных ценах с применением методики снижения]]/Таблица6[[#This Row],[кол-во]],"")</f>
        <v/>
      </c>
      <c r="R61" s="153">
        <f>SUM(данные!N59:R59)</f>
        <v>0</v>
      </c>
      <c r="S61" s="146">
        <f>SUM(данные!X59:AB59)*0.9*1.058</f>
        <v>0</v>
      </c>
      <c r="T61" s="154">
        <f>Таблица6[[#This Row],[в ценах 4 кв 2012г]]*данные!$AT$3</f>
        <v>0</v>
      </c>
    </row>
    <row r="62" spans="1:20" x14ac:dyDescent="0.25">
      <c r="A62" s="77" t="str">
        <f>IF(калькулятор!C64=0,"",калькулятор!C64)</f>
        <v/>
      </c>
      <c r="B62" s="78" t="str">
        <f>IF(калькулятор!D64=0,"",калькулятор!D64)</f>
        <v/>
      </c>
      <c r="C62" s="78" t="str">
        <f>IF(калькулятор!E64=0,"",калькулятор!E64)</f>
        <v/>
      </c>
      <c r="D62" s="78" t="str">
        <f>IF(калькулятор!F64=0,"",калькулятор!F64)</f>
        <v/>
      </c>
      <c r="E62" s="79" t="str">
        <f>IF(калькулятор!I64=0,"",калькулятор!I64)</f>
        <v/>
      </c>
      <c r="F62" s="79">
        <f>данные!AE60</f>
        <v>0</v>
      </c>
      <c r="G62" s="79">
        <f>данные!AF60</f>
        <v>0</v>
      </c>
      <c r="H62" s="79">
        <f>данные!AC60</f>
        <v>0</v>
      </c>
      <c r="I62" s="79">
        <f>данные!AG60+данные!AH60+данные!AI60+данные!AJ60+данные!AK60</f>
        <v>0</v>
      </c>
      <c r="J62" s="80">
        <f>IF($K$2=2014,IF((SUM(данные!AG60:AK60)*данные!$AT$3-данные!AD60)&gt;0,данные!AX60,данные!AG60*данные!$AT$3),данные!AG60*данные!$AT$3)</f>
        <v>0</v>
      </c>
      <c r="K62" s="80">
        <f>IF($K$2=2014,IF((SUM(данные!AH60:AL60)*данные!$AT$3-данные!AE60)&gt;0,данные!AY60,данные!AH60*данные!$AT$3),данные!AH60*данные!$AT$3)</f>
        <v>0</v>
      </c>
      <c r="L62" s="80">
        <f>IF($K$2=2014,IF((SUM(данные!AI60:AM60)*данные!$AT$3-данные!AF60)&gt;0,данные!AZ60,данные!AI60*данные!$AT$3),данные!AI60*данные!$AT$3)</f>
        <v>0</v>
      </c>
      <c r="M62" s="80">
        <f>IF($K$2=2014,IF((SUM(данные!AJ60:AN60)*данные!$AT$3-данные!AG60)&gt;0,данные!BA60,данные!AJ60*данные!$AT$3),данные!AJ60*данные!$AT$3)</f>
        <v>0</v>
      </c>
      <c r="N62" s="80">
        <f>IF($K$2=2014,IF((SUM(данные!AK60:AO60)*данные!$AT$3-данные!AH60)&gt;0,данные!BB60,данные!AK60*данные!$AT$3),данные!AK60*данные!$AT$3)</f>
        <v>0</v>
      </c>
      <c r="O62" s="81">
        <f>SUM(Таблица6[[#This Row],[ПИР]:[Прочие]])</f>
        <v>0</v>
      </c>
      <c r="P62" s="110" t="str">
        <f>IFERROR(Таблица6[[#This Row],[Итого в прогнозных ценах с применением методики снижения]]/Таблица6[[#This Row],[кол-во]],"")</f>
        <v/>
      </c>
      <c r="R62" s="153">
        <f>SUM(данные!N60:R60)</f>
        <v>0</v>
      </c>
      <c r="S62" s="146">
        <f>SUM(данные!X60:AB60)*0.9*1.058</f>
        <v>0</v>
      </c>
      <c r="T62" s="154">
        <f>Таблица6[[#This Row],[в ценах 4 кв 2012г]]*данные!$AT$3</f>
        <v>0</v>
      </c>
    </row>
    <row r="63" spans="1:20" x14ac:dyDescent="0.25">
      <c r="A63" s="77" t="str">
        <f>IF(калькулятор!C65=0,"",калькулятор!C65)</f>
        <v/>
      </c>
      <c r="B63" s="78" t="str">
        <f>IF(калькулятор!D65=0,"",калькулятор!D65)</f>
        <v/>
      </c>
      <c r="C63" s="78" t="str">
        <f>IF(калькулятор!E65=0,"",калькулятор!E65)</f>
        <v/>
      </c>
      <c r="D63" s="78" t="str">
        <f>IF(калькулятор!F65=0,"",калькулятор!F65)</f>
        <v/>
      </c>
      <c r="E63" s="79" t="str">
        <f>IF(калькулятор!I65=0,"",калькулятор!I65)</f>
        <v/>
      </c>
      <c r="F63" s="79">
        <f>данные!AE61</f>
        <v>0</v>
      </c>
      <c r="G63" s="79">
        <f>данные!AF61</f>
        <v>0</v>
      </c>
      <c r="H63" s="79">
        <f>данные!AC61</f>
        <v>0</v>
      </c>
      <c r="I63" s="79">
        <f>данные!AG61+данные!AH61+данные!AI61+данные!AJ61+данные!AK61</f>
        <v>0</v>
      </c>
      <c r="J63" s="80">
        <f>IF($K$2=2014,IF((SUM(данные!AG61:AK61)*данные!$AT$3-данные!AD61)&gt;0,данные!AX61,данные!AG61*данные!$AT$3),данные!AG61*данные!$AT$3)</f>
        <v>0</v>
      </c>
      <c r="K63" s="80">
        <f>IF($K$2=2014,IF((SUM(данные!AH61:AL61)*данные!$AT$3-данные!AE61)&gt;0,данные!AY61,данные!AH61*данные!$AT$3),данные!AH61*данные!$AT$3)</f>
        <v>0</v>
      </c>
      <c r="L63" s="80">
        <f>IF($K$2=2014,IF((SUM(данные!AI61:AM61)*данные!$AT$3-данные!AF61)&gt;0,данные!AZ61,данные!AI61*данные!$AT$3),данные!AI61*данные!$AT$3)</f>
        <v>0</v>
      </c>
      <c r="M63" s="80">
        <f>IF($K$2=2014,IF((SUM(данные!AJ61:AN61)*данные!$AT$3-данные!AG61)&gt;0,данные!BA61,данные!AJ61*данные!$AT$3),данные!AJ61*данные!$AT$3)</f>
        <v>0</v>
      </c>
      <c r="N63" s="80">
        <f>IF($K$2=2014,IF((SUM(данные!AK61:AO61)*данные!$AT$3-данные!AH61)&gt;0,данные!BB61,данные!AK61*данные!$AT$3),данные!AK61*данные!$AT$3)</f>
        <v>0</v>
      </c>
      <c r="O63" s="81">
        <f>SUM(Таблица6[[#This Row],[ПИР]:[Прочие]])</f>
        <v>0</v>
      </c>
      <c r="P63" s="110" t="str">
        <f>IFERROR(Таблица6[[#This Row],[Итого в прогнозных ценах с применением методики снижения]]/Таблица6[[#This Row],[кол-во]],"")</f>
        <v/>
      </c>
      <c r="R63" s="153">
        <f>SUM(данные!N61:R61)</f>
        <v>0</v>
      </c>
      <c r="S63" s="146">
        <f>SUM(данные!X61:AB61)*0.9*1.058</f>
        <v>0</v>
      </c>
      <c r="T63" s="154">
        <f>Таблица6[[#This Row],[в ценах 4 кв 2012г]]*данные!$AT$3</f>
        <v>0</v>
      </c>
    </row>
    <row r="64" spans="1:20" x14ac:dyDescent="0.25">
      <c r="A64" s="77" t="str">
        <f>IF(калькулятор!C66=0,"",калькулятор!C66)</f>
        <v/>
      </c>
      <c r="B64" s="78" t="str">
        <f>IF(калькулятор!D66=0,"",калькулятор!D66)</f>
        <v/>
      </c>
      <c r="C64" s="78" t="str">
        <f>IF(калькулятор!E66=0,"",калькулятор!E66)</f>
        <v/>
      </c>
      <c r="D64" s="78" t="str">
        <f>IF(калькулятор!F66=0,"",калькулятор!F66)</f>
        <v/>
      </c>
      <c r="E64" s="79" t="str">
        <f>IF(калькулятор!I66=0,"",калькулятор!I66)</f>
        <v/>
      </c>
      <c r="F64" s="79">
        <f>данные!AE62</f>
        <v>0</v>
      </c>
      <c r="G64" s="79">
        <f>данные!AF62</f>
        <v>0</v>
      </c>
      <c r="H64" s="79">
        <f>данные!AC62</f>
        <v>0</v>
      </c>
      <c r="I64" s="79">
        <f>данные!AG62+данные!AH62+данные!AI62+данные!AJ62+данные!AK62</f>
        <v>0</v>
      </c>
      <c r="J64" s="80">
        <f>IF($K$2=2014,IF((SUM(данные!AG62:AK62)*данные!$AT$3-данные!AD62)&gt;0,данные!AX62,данные!AG62*данные!$AT$3),данные!AG62*данные!$AT$3)</f>
        <v>0</v>
      </c>
      <c r="K64" s="80">
        <f>IF($K$2=2014,IF((SUM(данные!AH62:AL62)*данные!$AT$3-данные!AE62)&gt;0,данные!AY62,данные!AH62*данные!$AT$3),данные!AH62*данные!$AT$3)</f>
        <v>0</v>
      </c>
      <c r="L64" s="80">
        <f>IF($K$2=2014,IF((SUM(данные!AI62:AM62)*данные!$AT$3-данные!AF62)&gt;0,данные!AZ62,данные!AI62*данные!$AT$3),данные!AI62*данные!$AT$3)</f>
        <v>0</v>
      </c>
      <c r="M64" s="80">
        <f>IF($K$2=2014,IF((SUM(данные!AJ62:AN62)*данные!$AT$3-данные!AG62)&gt;0,данные!BA62,данные!AJ62*данные!$AT$3),данные!AJ62*данные!$AT$3)</f>
        <v>0</v>
      </c>
      <c r="N64" s="80">
        <f>IF($K$2=2014,IF((SUM(данные!AK62:AO62)*данные!$AT$3-данные!AH62)&gt;0,данные!BB62,данные!AK62*данные!$AT$3),данные!AK62*данные!$AT$3)</f>
        <v>0</v>
      </c>
      <c r="O64" s="81">
        <f>SUM(Таблица6[[#This Row],[ПИР]:[Прочие]])</f>
        <v>0</v>
      </c>
      <c r="P64" s="110" t="str">
        <f>IFERROR(Таблица6[[#This Row],[Итого в прогнозных ценах с применением методики снижения]]/Таблица6[[#This Row],[кол-во]],"")</f>
        <v/>
      </c>
      <c r="R64" s="153">
        <f>SUM(данные!N62:R62)</f>
        <v>0</v>
      </c>
      <c r="S64" s="146">
        <f>SUM(данные!X62:AB62)*0.9*1.058</f>
        <v>0</v>
      </c>
      <c r="T64" s="154">
        <f>Таблица6[[#This Row],[в ценах 4 кв 2012г]]*данные!$AT$3</f>
        <v>0</v>
      </c>
    </row>
    <row r="65" spans="1:20" x14ac:dyDescent="0.25">
      <c r="A65" s="77" t="str">
        <f>IF(калькулятор!C67=0,"",калькулятор!C67)</f>
        <v/>
      </c>
      <c r="B65" s="78" t="str">
        <f>IF(калькулятор!D67=0,"",калькулятор!D67)</f>
        <v/>
      </c>
      <c r="C65" s="78" t="str">
        <f>IF(калькулятор!E67=0,"",калькулятор!E67)</f>
        <v/>
      </c>
      <c r="D65" s="78" t="str">
        <f>IF(калькулятор!F67=0,"",калькулятор!F67)</f>
        <v/>
      </c>
      <c r="E65" s="79" t="str">
        <f>IF(калькулятор!I67=0,"",калькулятор!I67)</f>
        <v/>
      </c>
      <c r="F65" s="79">
        <f>данные!AE63</f>
        <v>0</v>
      </c>
      <c r="G65" s="79">
        <f>данные!AF63</f>
        <v>0</v>
      </c>
      <c r="H65" s="79">
        <f>данные!AC63</f>
        <v>0</v>
      </c>
      <c r="I65" s="79">
        <f>данные!AG63+данные!AH63+данные!AI63+данные!AJ63+данные!AK63</f>
        <v>0</v>
      </c>
      <c r="J65" s="80">
        <f>IF($K$2=2014,IF((SUM(данные!AG63:AK63)*данные!$AT$3-данные!AD63)&gt;0,данные!AX63,данные!AG63*данные!$AT$3),данные!AG63*данные!$AT$3)</f>
        <v>0</v>
      </c>
      <c r="K65" s="80">
        <f>IF($K$2=2014,IF((SUM(данные!AH63:AL63)*данные!$AT$3-данные!AE63)&gt;0,данные!AY63,данные!AH63*данные!$AT$3),данные!AH63*данные!$AT$3)</f>
        <v>0</v>
      </c>
      <c r="L65" s="80">
        <f>IF($K$2=2014,IF((SUM(данные!AI63:AM63)*данные!$AT$3-данные!AF63)&gt;0,данные!AZ63,данные!AI63*данные!$AT$3),данные!AI63*данные!$AT$3)</f>
        <v>0</v>
      </c>
      <c r="M65" s="80">
        <f>IF($K$2=2014,IF((SUM(данные!AJ63:AN63)*данные!$AT$3-данные!AG63)&gt;0,данные!BA63,данные!AJ63*данные!$AT$3),данные!AJ63*данные!$AT$3)</f>
        <v>0</v>
      </c>
      <c r="N65" s="80">
        <f>IF($K$2=2014,IF((SUM(данные!AK63:AO63)*данные!$AT$3-данные!AH63)&gt;0,данные!BB63,данные!AK63*данные!$AT$3),данные!AK63*данные!$AT$3)</f>
        <v>0</v>
      </c>
      <c r="O65" s="81">
        <f>SUM(Таблица6[[#This Row],[ПИР]:[Прочие]])</f>
        <v>0</v>
      </c>
      <c r="P65" s="110" t="str">
        <f>IFERROR(Таблица6[[#This Row],[Итого в прогнозных ценах с применением методики снижения]]/Таблица6[[#This Row],[кол-во]],"")</f>
        <v/>
      </c>
      <c r="R65" s="153">
        <f>SUM(данные!N63:R63)</f>
        <v>0</v>
      </c>
      <c r="S65" s="146">
        <f>SUM(данные!X63:AB63)*0.9*1.058</f>
        <v>0</v>
      </c>
      <c r="T65" s="154">
        <f>Таблица6[[#This Row],[в ценах 4 кв 2012г]]*данные!$AT$3</f>
        <v>0</v>
      </c>
    </row>
    <row r="66" spans="1:20" x14ac:dyDescent="0.25">
      <c r="A66" s="77" t="str">
        <f>IF(калькулятор!C68=0,"",калькулятор!C68)</f>
        <v/>
      </c>
      <c r="B66" s="78" t="str">
        <f>IF(калькулятор!D68=0,"",калькулятор!D68)</f>
        <v/>
      </c>
      <c r="C66" s="78" t="str">
        <f>IF(калькулятор!E68=0,"",калькулятор!E68)</f>
        <v/>
      </c>
      <c r="D66" s="78" t="str">
        <f>IF(калькулятор!F68=0,"",калькулятор!F68)</f>
        <v/>
      </c>
      <c r="E66" s="79" t="str">
        <f>IF(калькулятор!I68=0,"",калькулятор!I68)</f>
        <v/>
      </c>
      <c r="F66" s="79">
        <f>данные!AE64</f>
        <v>0</v>
      </c>
      <c r="G66" s="79">
        <f>данные!AF64</f>
        <v>0</v>
      </c>
      <c r="H66" s="79">
        <f>данные!AC64</f>
        <v>0</v>
      </c>
      <c r="I66" s="79">
        <f>данные!AG64+данные!AH64+данные!AI64+данные!AJ64+данные!AK64</f>
        <v>0</v>
      </c>
      <c r="J66" s="80">
        <f>IF($K$2=2014,IF((SUM(данные!AG64:AK64)*данные!$AT$3-данные!AD64)&gt;0,данные!AX64,данные!AG64*данные!$AT$3),данные!AG64*данные!$AT$3)</f>
        <v>0</v>
      </c>
      <c r="K66" s="80">
        <f>IF($K$2=2014,IF((SUM(данные!AH64:AL64)*данные!$AT$3-данные!AE64)&gt;0,данные!AY64,данные!AH64*данные!$AT$3),данные!AH64*данные!$AT$3)</f>
        <v>0</v>
      </c>
      <c r="L66" s="80">
        <f>IF($K$2=2014,IF((SUM(данные!AI64:AM64)*данные!$AT$3-данные!AF64)&gt;0,данные!AZ64,данные!AI64*данные!$AT$3),данные!AI64*данные!$AT$3)</f>
        <v>0</v>
      </c>
      <c r="M66" s="80">
        <f>IF($K$2=2014,IF((SUM(данные!AJ64:AN64)*данные!$AT$3-данные!AG64)&gt;0,данные!BA64,данные!AJ64*данные!$AT$3),данные!AJ64*данные!$AT$3)</f>
        <v>0</v>
      </c>
      <c r="N66" s="80">
        <f>IF($K$2=2014,IF((SUM(данные!AK64:AO64)*данные!$AT$3-данные!AH64)&gt;0,данные!BB64,данные!AK64*данные!$AT$3),данные!AK64*данные!$AT$3)</f>
        <v>0</v>
      </c>
      <c r="O66" s="81">
        <f>SUM(Таблица6[[#This Row],[ПИР]:[Прочие]])</f>
        <v>0</v>
      </c>
      <c r="P66" s="110" t="str">
        <f>IFERROR(Таблица6[[#This Row],[Итого в прогнозных ценах с применением методики снижения]]/Таблица6[[#This Row],[кол-во]],"")</f>
        <v/>
      </c>
      <c r="R66" s="153">
        <f>SUM(данные!N64:R64)</f>
        <v>0</v>
      </c>
      <c r="S66" s="146">
        <f>SUM(данные!X64:AB64)*0.9*1.058</f>
        <v>0</v>
      </c>
      <c r="T66" s="154">
        <f>Таблица6[[#This Row],[в ценах 4 кв 2012г]]*данные!$AT$3</f>
        <v>0</v>
      </c>
    </row>
    <row r="67" spans="1:20" x14ac:dyDescent="0.25">
      <c r="A67" s="77" t="str">
        <f>IF(калькулятор!C69=0,"",калькулятор!C69)</f>
        <v/>
      </c>
      <c r="B67" s="78" t="str">
        <f>IF(калькулятор!D69=0,"",калькулятор!D69)</f>
        <v/>
      </c>
      <c r="C67" s="78" t="str">
        <f>IF(калькулятор!E69=0,"",калькулятор!E69)</f>
        <v/>
      </c>
      <c r="D67" s="78" t="str">
        <f>IF(калькулятор!F69=0,"",калькулятор!F69)</f>
        <v/>
      </c>
      <c r="E67" s="79" t="str">
        <f>IF(калькулятор!I69=0,"",калькулятор!I69)</f>
        <v/>
      </c>
      <c r="F67" s="79">
        <f>данные!AE65</f>
        <v>0</v>
      </c>
      <c r="G67" s="79">
        <f>данные!AF65</f>
        <v>0</v>
      </c>
      <c r="H67" s="79">
        <f>данные!AC65</f>
        <v>0</v>
      </c>
      <c r="I67" s="79">
        <f>данные!AG65+данные!AH65+данные!AI65+данные!AJ65+данные!AK65</f>
        <v>0</v>
      </c>
      <c r="J67" s="80">
        <f>IF($K$2=2014,IF((SUM(данные!AG65:AK65)*данные!$AT$3-данные!AD65)&gt;0,данные!AX65,данные!AG65*данные!$AT$3),данные!AG65*данные!$AT$3)</f>
        <v>0</v>
      </c>
      <c r="K67" s="80">
        <f>IF($K$2=2014,IF((SUM(данные!AH65:AL65)*данные!$AT$3-данные!AE65)&gt;0,данные!AY65,данные!AH65*данные!$AT$3),данные!AH65*данные!$AT$3)</f>
        <v>0</v>
      </c>
      <c r="L67" s="80">
        <f>IF($K$2=2014,IF((SUM(данные!AI65:AM65)*данные!$AT$3-данные!AF65)&gt;0,данные!AZ65,данные!AI65*данные!$AT$3),данные!AI65*данные!$AT$3)</f>
        <v>0</v>
      </c>
      <c r="M67" s="80">
        <f>IF($K$2=2014,IF((SUM(данные!AJ65:AN65)*данные!$AT$3-данные!AG65)&gt;0,данные!BA65,данные!AJ65*данные!$AT$3),данные!AJ65*данные!$AT$3)</f>
        <v>0</v>
      </c>
      <c r="N67" s="80">
        <f>IF($K$2=2014,IF((SUM(данные!AK65:AO65)*данные!$AT$3-данные!AH65)&gt;0,данные!BB65,данные!AK65*данные!$AT$3),данные!AK65*данные!$AT$3)</f>
        <v>0</v>
      </c>
      <c r="O67" s="81">
        <f>SUM(Таблица6[[#This Row],[ПИР]:[Прочие]])</f>
        <v>0</v>
      </c>
      <c r="P67" s="110" t="str">
        <f>IFERROR(Таблица6[[#This Row],[Итого в прогнозных ценах с применением методики снижения]]/Таблица6[[#This Row],[кол-во]],"")</f>
        <v/>
      </c>
      <c r="R67" s="153">
        <f>SUM(данные!N65:R65)</f>
        <v>0</v>
      </c>
      <c r="S67" s="146">
        <f>SUM(данные!X65:AB65)*0.9*1.058</f>
        <v>0</v>
      </c>
      <c r="T67" s="154">
        <f>Таблица6[[#This Row],[в ценах 4 кв 2012г]]*данные!$AT$3</f>
        <v>0</v>
      </c>
    </row>
    <row r="68" spans="1:20" x14ac:dyDescent="0.25">
      <c r="A68" s="77" t="str">
        <f>IF(калькулятор!C70=0,"",калькулятор!C70)</f>
        <v/>
      </c>
      <c r="B68" s="78" t="str">
        <f>IF(калькулятор!D70=0,"",калькулятор!D70)</f>
        <v/>
      </c>
      <c r="C68" s="78" t="str">
        <f>IF(калькулятор!E70=0,"",калькулятор!E70)</f>
        <v/>
      </c>
      <c r="D68" s="78" t="str">
        <f>IF(калькулятор!F70=0,"",калькулятор!F70)</f>
        <v/>
      </c>
      <c r="E68" s="79" t="str">
        <f>IF(калькулятор!I70=0,"",калькулятор!I70)</f>
        <v/>
      </c>
      <c r="F68" s="79">
        <f>данные!AE66</f>
        <v>0</v>
      </c>
      <c r="G68" s="79">
        <f>данные!AF66</f>
        <v>0</v>
      </c>
      <c r="H68" s="79">
        <f>данные!AC66</f>
        <v>0</v>
      </c>
      <c r="I68" s="79">
        <f>данные!AG66+данные!AH66+данные!AI66+данные!AJ66+данные!AK66</f>
        <v>0</v>
      </c>
      <c r="J68" s="80">
        <f>IF($K$2=2014,IF((SUM(данные!AG66:AK66)*данные!$AT$3-данные!AD66)&gt;0,данные!AX66,данные!AG66*данные!$AT$3),данные!AG66*данные!$AT$3)</f>
        <v>0</v>
      </c>
      <c r="K68" s="80">
        <f>IF($K$2=2014,IF((SUM(данные!AH66:AL66)*данные!$AT$3-данные!AE66)&gt;0,данные!AY66,данные!AH66*данные!$AT$3),данные!AH66*данные!$AT$3)</f>
        <v>0</v>
      </c>
      <c r="L68" s="80">
        <f>IF($K$2=2014,IF((SUM(данные!AI66:AM66)*данные!$AT$3-данные!AF66)&gt;0,данные!AZ66,данные!AI66*данные!$AT$3),данные!AI66*данные!$AT$3)</f>
        <v>0</v>
      </c>
      <c r="M68" s="80">
        <f>IF($K$2=2014,IF((SUM(данные!AJ66:AN66)*данные!$AT$3-данные!AG66)&gt;0,данные!BA66,данные!AJ66*данные!$AT$3),данные!AJ66*данные!$AT$3)</f>
        <v>0</v>
      </c>
      <c r="N68" s="80">
        <f>IF($K$2=2014,IF((SUM(данные!AK66:AO66)*данные!$AT$3-данные!AH66)&gt;0,данные!BB66,данные!AK66*данные!$AT$3),данные!AK66*данные!$AT$3)</f>
        <v>0</v>
      </c>
      <c r="O68" s="81">
        <f>SUM(Таблица6[[#This Row],[ПИР]:[Прочие]])</f>
        <v>0</v>
      </c>
      <c r="P68" s="110" t="str">
        <f>IFERROR(Таблица6[[#This Row],[Итого в прогнозных ценах с применением методики снижения]]/Таблица6[[#This Row],[кол-во]],"")</f>
        <v/>
      </c>
      <c r="R68" s="153">
        <f>SUM(данные!N66:R66)</f>
        <v>0</v>
      </c>
      <c r="S68" s="146">
        <f>SUM(данные!X66:AB66)*0.9*1.058</f>
        <v>0</v>
      </c>
      <c r="T68" s="154">
        <f>Таблица6[[#This Row],[в ценах 4 кв 2012г]]*данные!$AT$3</f>
        <v>0</v>
      </c>
    </row>
    <row r="69" spans="1:20" x14ac:dyDescent="0.25">
      <c r="A69" s="77" t="str">
        <f>IF(калькулятор!C71=0,"",калькулятор!C71)</f>
        <v/>
      </c>
      <c r="B69" s="78" t="str">
        <f>IF(калькулятор!D71=0,"",калькулятор!D71)</f>
        <v/>
      </c>
      <c r="C69" s="78" t="str">
        <f>IF(калькулятор!E71=0,"",калькулятор!E71)</f>
        <v/>
      </c>
      <c r="D69" s="78" t="str">
        <f>IF(калькулятор!F71=0,"",калькулятор!F71)</f>
        <v/>
      </c>
      <c r="E69" s="79" t="str">
        <f>IF(калькулятор!I71=0,"",калькулятор!I71)</f>
        <v/>
      </c>
      <c r="F69" s="79">
        <f>данные!AE67</f>
        <v>0</v>
      </c>
      <c r="G69" s="79">
        <f>данные!AF67</f>
        <v>0</v>
      </c>
      <c r="H69" s="79">
        <f>данные!AC67</f>
        <v>0</v>
      </c>
      <c r="I69" s="79">
        <f>данные!AG67+данные!AH67+данные!AI67+данные!AJ67+данные!AK67</f>
        <v>0</v>
      </c>
      <c r="J69" s="80">
        <f>IF($K$2=2014,IF((SUM(данные!AG67:AK67)*данные!$AT$3-данные!AD67)&gt;0,данные!AX67,данные!AG67*данные!$AT$3),данные!AG67*данные!$AT$3)</f>
        <v>0</v>
      </c>
      <c r="K69" s="80">
        <f>IF($K$2=2014,IF((SUM(данные!AH67:AL67)*данные!$AT$3-данные!AE67)&gt;0,данные!AY67,данные!AH67*данные!$AT$3),данные!AH67*данные!$AT$3)</f>
        <v>0</v>
      </c>
      <c r="L69" s="80">
        <f>IF($K$2=2014,IF((SUM(данные!AI67:AM67)*данные!$AT$3-данные!AF67)&gt;0,данные!AZ67,данные!AI67*данные!$AT$3),данные!AI67*данные!$AT$3)</f>
        <v>0</v>
      </c>
      <c r="M69" s="80">
        <f>IF($K$2=2014,IF((SUM(данные!AJ67:AN67)*данные!$AT$3-данные!AG67)&gt;0,данные!BA67,данные!AJ67*данные!$AT$3),данные!AJ67*данные!$AT$3)</f>
        <v>0</v>
      </c>
      <c r="N69" s="80">
        <f>IF($K$2=2014,IF((SUM(данные!AK67:AO67)*данные!$AT$3-данные!AH67)&gt;0,данные!BB67,данные!AK67*данные!$AT$3),данные!AK67*данные!$AT$3)</f>
        <v>0</v>
      </c>
      <c r="O69" s="81">
        <f>SUM(Таблица6[[#This Row],[ПИР]:[Прочие]])</f>
        <v>0</v>
      </c>
      <c r="P69" s="110" t="str">
        <f>IFERROR(Таблица6[[#This Row],[Итого в прогнозных ценах с применением методики снижения]]/Таблица6[[#This Row],[кол-во]],"")</f>
        <v/>
      </c>
      <c r="R69" s="153">
        <f>SUM(данные!N67:R67)</f>
        <v>0</v>
      </c>
      <c r="S69" s="146">
        <f>SUM(данные!X67:AB67)*0.9*1.058</f>
        <v>0</v>
      </c>
      <c r="T69" s="154">
        <f>Таблица6[[#This Row],[в ценах 4 кв 2012г]]*данные!$AT$3</f>
        <v>0</v>
      </c>
    </row>
    <row r="70" spans="1:20" x14ac:dyDescent="0.25">
      <c r="A70" s="77" t="str">
        <f>IF(калькулятор!C72=0,"",калькулятор!C72)</f>
        <v/>
      </c>
      <c r="B70" s="78" t="str">
        <f>IF(калькулятор!D72=0,"",калькулятор!D72)</f>
        <v/>
      </c>
      <c r="C70" s="78" t="str">
        <f>IF(калькулятор!E72=0,"",калькулятор!E72)</f>
        <v/>
      </c>
      <c r="D70" s="78" t="str">
        <f>IF(калькулятор!F72=0,"",калькулятор!F72)</f>
        <v/>
      </c>
      <c r="E70" s="79" t="str">
        <f>IF(калькулятор!I72=0,"",калькулятор!I72)</f>
        <v/>
      </c>
      <c r="F70" s="79">
        <f>данные!AE68</f>
        <v>0</v>
      </c>
      <c r="G70" s="79">
        <f>данные!AF68</f>
        <v>0</v>
      </c>
      <c r="H70" s="79">
        <f>данные!AC68</f>
        <v>0</v>
      </c>
      <c r="I70" s="79">
        <f>данные!AG68+данные!AH68+данные!AI68+данные!AJ68+данные!AK68</f>
        <v>0</v>
      </c>
      <c r="J70" s="80">
        <f>IF($K$2=2014,IF((SUM(данные!AG68:AK68)*данные!$AT$3-данные!AD68)&gt;0,данные!AX68,данные!AG68*данные!$AT$3),данные!AG68*данные!$AT$3)</f>
        <v>0</v>
      </c>
      <c r="K70" s="80">
        <f>IF($K$2=2014,IF((SUM(данные!AH68:AL68)*данные!$AT$3-данные!AE68)&gt;0,данные!AY68,данные!AH68*данные!$AT$3),данные!AH68*данные!$AT$3)</f>
        <v>0</v>
      </c>
      <c r="L70" s="80">
        <f>IF($K$2=2014,IF((SUM(данные!AI68:AM68)*данные!$AT$3-данные!AF68)&gt;0,данные!AZ68,данные!AI68*данные!$AT$3),данные!AI68*данные!$AT$3)</f>
        <v>0</v>
      </c>
      <c r="M70" s="80">
        <f>IF($K$2=2014,IF((SUM(данные!AJ68:AN68)*данные!$AT$3-данные!AG68)&gt;0,данные!BA68,данные!AJ68*данные!$AT$3),данные!AJ68*данные!$AT$3)</f>
        <v>0</v>
      </c>
      <c r="N70" s="80">
        <f>IF($K$2=2014,IF((SUM(данные!AK68:AO68)*данные!$AT$3-данные!AH68)&gt;0,данные!BB68,данные!AK68*данные!$AT$3),данные!AK68*данные!$AT$3)</f>
        <v>0</v>
      </c>
      <c r="O70" s="81">
        <f>SUM(Таблица6[[#This Row],[ПИР]:[Прочие]])</f>
        <v>0</v>
      </c>
      <c r="P70" s="110" t="str">
        <f>IFERROR(Таблица6[[#This Row],[Итого в прогнозных ценах с применением методики снижения]]/Таблица6[[#This Row],[кол-во]],"")</f>
        <v/>
      </c>
      <c r="R70" s="153">
        <f>SUM(данные!N68:R68)</f>
        <v>0</v>
      </c>
      <c r="S70" s="146">
        <f>SUM(данные!X68:AB68)*0.9*1.058</f>
        <v>0</v>
      </c>
      <c r="T70" s="154">
        <f>Таблица6[[#This Row],[в ценах 4 кв 2012г]]*данные!$AT$3</f>
        <v>0</v>
      </c>
    </row>
    <row r="71" spans="1:20" x14ac:dyDescent="0.25">
      <c r="A71" s="77" t="str">
        <f>IF(калькулятор!C73=0,"",калькулятор!C73)</f>
        <v/>
      </c>
      <c r="B71" s="78" t="str">
        <f>IF(калькулятор!D73=0,"",калькулятор!D73)</f>
        <v/>
      </c>
      <c r="C71" s="78" t="str">
        <f>IF(калькулятор!E73=0,"",калькулятор!E73)</f>
        <v/>
      </c>
      <c r="D71" s="78" t="str">
        <f>IF(калькулятор!F73=0,"",калькулятор!F73)</f>
        <v/>
      </c>
      <c r="E71" s="79" t="str">
        <f>IF(калькулятор!I73=0,"",калькулятор!I73)</f>
        <v/>
      </c>
      <c r="F71" s="79">
        <f>данные!AE69</f>
        <v>0</v>
      </c>
      <c r="G71" s="79">
        <f>данные!AF69</f>
        <v>0</v>
      </c>
      <c r="H71" s="79">
        <f>данные!AC69</f>
        <v>0</v>
      </c>
      <c r="I71" s="79">
        <f>данные!AG69+данные!AH69+данные!AI69+данные!AJ69+данные!AK69</f>
        <v>0</v>
      </c>
      <c r="J71" s="80">
        <f>IF($K$2=2014,IF((SUM(данные!AG69:AK69)*данные!$AT$3-данные!AD69)&gt;0,данные!AX69,данные!AG69*данные!$AT$3),данные!AG69*данные!$AT$3)</f>
        <v>0</v>
      </c>
      <c r="K71" s="80">
        <f>IF($K$2=2014,IF((SUM(данные!AH69:AL69)*данные!$AT$3-данные!AE69)&gt;0,данные!AY69,данные!AH69*данные!$AT$3),данные!AH69*данные!$AT$3)</f>
        <v>0</v>
      </c>
      <c r="L71" s="80">
        <f>IF($K$2=2014,IF((SUM(данные!AI69:AM69)*данные!$AT$3-данные!AF69)&gt;0,данные!AZ69,данные!AI69*данные!$AT$3),данные!AI69*данные!$AT$3)</f>
        <v>0</v>
      </c>
      <c r="M71" s="80">
        <f>IF($K$2=2014,IF((SUM(данные!AJ69:AN69)*данные!$AT$3-данные!AG69)&gt;0,данные!BA69,данные!AJ69*данные!$AT$3),данные!AJ69*данные!$AT$3)</f>
        <v>0</v>
      </c>
      <c r="N71" s="80">
        <f>IF($K$2=2014,IF((SUM(данные!AK69:AO69)*данные!$AT$3-данные!AH69)&gt;0,данные!BB69,данные!AK69*данные!$AT$3),данные!AK69*данные!$AT$3)</f>
        <v>0</v>
      </c>
      <c r="O71" s="81">
        <f>SUM(Таблица6[[#This Row],[ПИР]:[Прочие]])</f>
        <v>0</v>
      </c>
      <c r="P71" s="110" t="str">
        <f>IFERROR(Таблица6[[#This Row],[Итого в прогнозных ценах с применением методики снижения]]/Таблица6[[#This Row],[кол-во]],"")</f>
        <v/>
      </c>
      <c r="R71" s="153">
        <f>SUM(данные!N69:R69)</f>
        <v>0</v>
      </c>
      <c r="S71" s="146">
        <f>SUM(данные!X69:AB69)*0.9*1.058</f>
        <v>0</v>
      </c>
      <c r="T71" s="154">
        <f>Таблица6[[#This Row],[в ценах 4 кв 2012г]]*данные!$AT$3</f>
        <v>0</v>
      </c>
    </row>
    <row r="72" spans="1:20" x14ac:dyDescent="0.25">
      <c r="A72" s="77" t="str">
        <f>IF(калькулятор!C74=0,"",калькулятор!C74)</f>
        <v/>
      </c>
      <c r="B72" s="78" t="str">
        <f>IF(калькулятор!D74=0,"",калькулятор!D74)</f>
        <v/>
      </c>
      <c r="C72" s="78" t="str">
        <f>IF(калькулятор!E74=0,"",калькулятор!E74)</f>
        <v/>
      </c>
      <c r="D72" s="78" t="str">
        <f>IF(калькулятор!F74=0,"",калькулятор!F74)</f>
        <v/>
      </c>
      <c r="E72" s="79" t="str">
        <f>IF(калькулятор!I74=0,"",калькулятор!I74)</f>
        <v/>
      </c>
      <c r="F72" s="79">
        <f>данные!AE70</f>
        <v>0</v>
      </c>
      <c r="G72" s="79">
        <f>данные!AF70</f>
        <v>0</v>
      </c>
      <c r="H72" s="79">
        <f>данные!AC70</f>
        <v>0</v>
      </c>
      <c r="I72" s="79">
        <f>данные!AG70+данные!AH70+данные!AI70+данные!AJ70+данные!AK70</f>
        <v>0</v>
      </c>
      <c r="J72" s="80">
        <f>IF($K$2=2014,IF((SUM(данные!AG70:AK70)*данные!$AT$3-данные!AD70)&gt;0,данные!AX70,данные!AG70*данные!$AT$3),данные!AG70*данные!$AT$3)</f>
        <v>0</v>
      </c>
      <c r="K72" s="80">
        <f>IF($K$2=2014,IF((SUM(данные!AH70:AL70)*данные!$AT$3-данные!AE70)&gt;0,данные!AY70,данные!AH70*данные!$AT$3),данные!AH70*данные!$AT$3)</f>
        <v>0</v>
      </c>
      <c r="L72" s="80">
        <f>IF($K$2=2014,IF((SUM(данные!AI70:AM70)*данные!$AT$3-данные!AF70)&gt;0,данные!AZ70,данные!AI70*данные!$AT$3),данные!AI70*данные!$AT$3)</f>
        <v>0</v>
      </c>
      <c r="M72" s="80">
        <f>IF($K$2=2014,IF((SUM(данные!AJ70:AN70)*данные!$AT$3-данные!AG70)&gt;0,данные!BA70,данные!AJ70*данные!$AT$3),данные!AJ70*данные!$AT$3)</f>
        <v>0</v>
      </c>
      <c r="N72" s="80">
        <f>IF($K$2=2014,IF((SUM(данные!AK70:AO70)*данные!$AT$3-данные!AH70)&gt;0,данные!BB70,данные!AK70*данные!$AT$3),данные!AK70*данные!$AT$3)</f>
        <v>0</v>
      </c>
      <c r="O72" s="81">
        <f>SUM(Таблица6[[#This Row],[ПИР]:[Прочие]])</f>
        <v>0</v>
      </c>
      <c r="P72" s="110" t="str">
        <f>IFERROR(Таблица6[[#This Row],[Итого в прогнозных ценах с применением методики снижения]]/Таблица6[[#This Row],[кол-во]],"")</f>
        <v/>
      </c>
      <c r="R72" s="153">
        <f>SUM(данные!N70:R70)</f>
        <v>0</v>
      </c>
      <c r="S72" s="146">
        <f>SUM(данные!X70:AB70)*0.9*1.058</f>
        <v>0</v>
      </c>
      <c r="T72" s="154">
        <f>Таблица6[[#This Row],[в ценах 4 кв 2012г]]*данные!$AT$3</f>
        <v>0</v>
      </c>
    </row>
    <row r="73" spans="1:20" x14ac:dyDescent="0.25">
      <c r="A73" s="77" t="str">
        <f>IF(калькулятор!C75=0,"",калькулятор!C75)</f>
        <v/>
      </c>
      <c r="B73" s="78" t="str">
        <f>IF(калькулятор!D75=0,"",калькулятор!D75)</f>
        <v/>
      </c>
      <c r="C73" s="78" t="str">
        <f>IF(калькулятор!E75=0,"",калькулятор!E75)</f>
        <v/>
      </c>
      <c r="D73" s="78" t="str">
        <f>IF(калькулятор!F75=0,"",калькулятор!F75)</f>
        <v/>
      </c>
      <c r="E73" s="79" t="str">
        <f>IF(калькулятор!I75=0,"",калькулятор!I75)</f>
        <v/>
      </c>
      <c r="F73" s="79">
        <f>данные!AE71</f>
        <v>0</v>
      </c>
      <c r="G73" s="79">
        <f>данные!AF71</f>
        <v>0</v>
      </c>
      <c r="H73" s="79">
        <f>данные!AC71</f>
        <v>0</v>
      </c>
      <c r="I73" s="79">
        <f>данные!AG71+данные!AH71+данные!AI71+данные!AJ71+данные!AK71</f>
        <v>0</v>
      </c>
      <c r="J73" s="80">
        <f>IF($K$2=2014,IF((SUM(данные!AG71:AK71)*данные!$AT$3-данные!AD71)&gt;0,данные!AX71,данные!AG71*данные!$AT$3),данные!AG71*данные!$AT$3)</f>
        <v>0</v>
      </c>
      <c r="K73" s="80">
        <f>IF($K$2=2014,IF((SUM(данные!AH71:AL71)*данные!$AT$3-данные!AE71)&gt;0,данные!AY71,данные!AH71*данные!$AT$3),данные!AH71*данные!$AT$3)</f>
        <v>0</v>
      </c>
      <c r="L73" s="80">
        <f>IF($K$2=2014,IF((SUM(данные!AI71:AM71)*данные!$AT$3-данные!AF71)&gt;0,данные!AZ71,данные!AI71*данные!$AT$3),данные!AI71*данные!$AT$3)</f>
        <v>0</v>
      </c>
      <c r="M73" s="80">
        <f>IF($K$2=2014,IF((SUM(данные!AJ71:AN71)*данные!$AT$3-данные!AG71)&gt;0,данные!BA71,данные!AJ71*данные!$AT$3),данные!AJ71*данные!$AT$3)</f>
        <v>0</v>
      </c>
      <c r="N73" s="80">
        <f>IF($K$2=2014,IF((SUM(данные!AK71:AO71)*данные!$AT$3-данные!AH71)&gt;0,данные!BB71,данные!AK71*данные!$AT$3),данные!AK71*данные!$AT$3)</f>
        <v>0</v>
      </c>
      <c r="O73" s="81">
        <f>SUM(Таблица6[[#This Row],[ПИР]:[Прочие]])</f>
        <v>0</v>
      </c>
      <c r="P73" s="110" t="str">
        <f>IFERROR(Таблица6[[#This Row],[Итого в прогнозных ценах с применением методики снижения]]/Таблица6[[#This Row],[кол-во]],"")</f>
        <v/>
      </c>
      <c r="R73" s="153">
        <f>SUM(данные!N71:R71)</f>
        <v>0</v>
      </c>
      <c r="S73" s="146">
        <f>SUM(данные!X71:AB71)*0.9*1.058</f>
        <v>0</v>
      </c>
      <c r="T73" s="154">
        <f>Таблица6[[#This Row],[в ценах 4 кв 2012г]]*данные!$AT$3</f>
        <v>0</v>
      </c>
    </row>
    <row r="74" spans="1:20" x14ac:dyDescent="0.25">
      <c r="A74" s="77" t="str">
        <f>IF(калькулятор!C76=0,"",калькулятор!C76)</f>
        <v/>
      </c>
      <c r="B74" s="78" t="str">
        <f>IF(калькулятор!D76=0,"",калькулятор!D76)</f>
        <v/>
      </c>
      <c r="C74" s="78" t="str">
        <f>IF(калькулятор!E76=0,"",калькулятор!E76)</f>
        <v/>
      </c>
      <c r="D74" s="78" t="str">
        <f>IF(калькулятор!F76=0,"",калькулятор!F76)</f>
        <v/>
      </c>
      <c r="E74" s="79" t="str">
        <f>IF(калькулятор!I76=0,"",калькулятор!I76)</f>
        <v/>
      </c>
      <c r="F74" s="79">
        <f>данные!AE72</f>
        <v>0</v>
      </c>
      <c r="G74" s="79">
        <f>данные!AF72</f>
        <v>0</v>
      </c>
      <c r="H74" s="79">
        <f>данные!AC72</f>
        <v>0</v>
      </c>
      <c r="I74" s="79">
        <f>данные!AG72+данные!AH72+данные!AI72+данные!AJ72+данные!AK72</f>
        <v>0</v>
      </c>
      <c r="J74" s="80">
        <f>IF($K$2=2014,IF((SUM(данные!AG72:AK72)*данные!$AT$3-данные!AD72)&gt;0,данные!AX72,данные!AG72*данные!$AT$3),данные!AG72*данные!$AT$3)</f>
        <v>0</v>
      </c>
      <c r="K74" s="80">
        <f>IF($K$2=2014,IF((SUM(данные!AH72:AL72)*данные!$AT$3-данные!AE72)&gt;0,данные!AY72,данные!AH72*данные!$AT$3),данные!AH72*данные!$AT$3)</f>
        <v>0</v>
      </c>
      <c r="L74" s="80">
        <f>IF($K$2=2014,IF((SUM(данные!AI72:AM72)*данные!$AT$3-данные!AF72)&gt;0,данные!AZ72,данные!AI72*данные!$AT$3),данные!AI72*данные!$AT$3)</f>
        <v>0</v>
      </c>
      <c r="M74" s="80">
        <f>IF($K$2=2014,IF((SUM(данные!AJ72:AN72)*данные!$AT$3-данные!AG72)&gt;0,данные!BA72,данные!AJ72*данные!$AT$3),данные!AJ72*данные!$AT$3)</f>
        <v>0</v>
      </c>
      <c r="N74" s="80">
        <f>IF($K$2=2014,IF((SUM(данные!AK72:AO72)*данные!$AT$3-данные!AH72)&gt;0,данные!BB72,данные!AK72*данные!$AT$3),данные!AK72*данные!$AT$3)</f>
        <v>0</v>
      </c>
      <c r="O74" s="81">
        <f>SUM(Таблица6[[#This Row],[ПИР]:[Прочие]])</f>
        <v>0</v>
      </c>
      <c r="P74" s="110" t="str">
        <f>IFERROR(Таблица6[[#This Row],[Итого в прогнозных ценах с применением методики снижения]]/Таблица6[[#This Row],[кол-во]],"")</f>
        <v/>
      </c>
      <c r="R74" s="153">
        <f>SUM(данные!N72:R72)</f>
        <v>0</v>
      </c>
      <c r="S74" s="146">
        <f>SUM(данные!X72:AB72)*0.9*1.058</f>
        <v>0</v>
      </c>
      <c r="T74" s="154">
        <f>Таблица6[[#This Row],[в ценах 4 кв 2012г]]*данные!$AT$3</f>
        <v>0</v>
      </c>
    </row>
    <row r="75" spans="1:20" x14ac:dyDescent="0.25">
      <c r="A75" s="77" t="str">
        <f>IF(калькулятор!C77=0,"",калькулятор!C77)</f>
        <v/>
      </c>
      <c r="B75" s="78" t="str">
        <f>IF(калькулятор!D77=0,"",калькулятор!D77)</f>
        <v/>
      </c>
      <c r="C75" s="78" t="str">
        <f>IF(калькулятор!E77=0,"",калькулятор!E77)</f>
        <v/>
      </c>
      <c r="D75" s="78" t="str">
        <f>IF(калькулятор!F77=0,"",калькулятор!F77)</f>
        <v/>
      </c>
      <c r="E75" s="79" t="str">
        <f>IF(калькулятор!I77=0,"",калькулятор!I77)</f>
        <v/>
      </c>
      <c r="F75" s="79">
        <f>данные!AE73</f>
        <v>0</v>
      </c>
      <c r="G75" s="79">
        <f>данные!AF73</f>
        <v>0</v>
      </c>
      <c r="H75" s="79">
        <f>данные!AC73</f>
        <v>0</v>
      </c>
      <c r="I75" s="79">
        <f>данные!AG73+данные!AH73+данные!AI73+данные!AJ73+данные!AK73</f>
        <v>0</v>
      </c>
      <c r="J75" s="80">
        <f>IF($K$2=2014,IF((SUM(данные!AG73:AK73)*данные!$AT$3-данные!AD73)&gt;0,данные!AX73,данные!AG73*данные!$AT$3),данные!AG73*данные!$AT$3)</f>
        <v>0</v>
      </c>
      <c r="K75" s="80">
        <f>IF($K$2=2014,IF((SUM(данные!AH73:AL73)*данные!$AT$3-данные!AE73)&gt;0,данные!AY73,данные!AH73*данные!$AT$3),данные!AH73*данные!$AT$3)</f>
        <v>0</v>
      </c>
      <c r="L75" s="80">
        <f>IF($K$2=2014,IF((SUM(данные!AI73:AM73)*данные!$AT$3-данные!AF73)&gt;0,данные!AZ73,данные!AI73*данные!$AT$3),данные!AI73*данные!$AT$3)</f>
        <v>0</v>
      </c>
      <c r="M75" s="80">
        <f>IF($K$2=2014,IF((SUM(данные!AJ73:AN73)*данные!$AT$3-данные!AG73)&gt;0,данные!BA73,данные!AJ73*данные!$AT$3),данные!AJ73*данные!$AT$3)</f>
        <v>0</v>
      </c>
      <c r="N75" s="80">
        <f>IF($K$2=2014,IF((SUM(данные!AK73:AO73)*данные!$AT$3-данные!AH73)&gt;0,данные!BB73,данные!AK73*данные!$AT$3),данные!AK73*данные!$AT$3)</f>
        <v>0</v>
      </c>
      <c r="O75" s="81">
        <f>SUM(Таблица6[[#This Row],[ПИР]:[Прочие]])</f>
        <v>0</v>
      </c>
      <c r="P75" s="110" t="str">
        <f>IFERROR(Таблица6[[#This Row],[Итого в прогнозных ценах с применением методики снижения]]/Таблица6[[#This Row],[кол-во]],"")</f>
        <v/>
      </c>
      <c r="R75" s="153">
        <f>SUM(данные!N73:R73)</f>
        <v>0</v>
      </c>
      <c r="S75" s="146">
        <f>SUM(данные!X73:AB73)*0.9*1.058</f>
        <v>0</v>
      </c>
      <c r="T75" s="154">
        <f>Таблица6[[#This Row],[в ценах 4 кв 2012г]]*данные!$AT$3</f>
        <v>0</v>
      </c>
    </row>
    <row r="76" spans="1:20" x14ac:dyDescent="0.25">
      <c r="A76" s="77" t="str">
        <f>IF(калькулятор!C78=0,"",калькулятор!C78)</f>
        <v/>
      </c>
      <c r="B76" s="78" t="str">
        <f>IF(калькулятор!D78=0,"",калькулятор!D78)</f>
        <v/>
      </c>
      <c r="C76" s="78" t="str">
        <f>IF(калькулятор!E78=0,"",калькулятор!E78)</f>
        <v/>
      </c>
      <c r="D76" s="78" t="str">
        <f>IF(калькулятор!F78=0,"",калькулятор!F78)</f>
        <v/>
      </c>
      <c r="E76" s="79" t="str">
        <f>IF(калькулятор!I78=0,"",калькулятор!I78)</f>
        <v/>
      </c>
      <c r="F76" s="79">
        <f>данные!AE74</f>
        <v>0</v>
      </c>
      <c r="G76" s="79">
        <f>данные!AF74</f>
        <v>0</v>
      </c>
      <c r="H76" s="79">
        <f>данные!AC74</f>
        <v>0</v>
      </c>
      <c r="I76" s="79">
        <f>данные!AG74+данные!AH74+данные!AI74+данные!AJ74+данные!AK74</f>
        <v>0</v>
      </c>
      <c r="J76" s="80">
        <f>IF($K$2=2014,IF((SUM(данные!AG74:AK74)*данные!$AT$3-данные!AD74)&gt;0,данные!AX74,данные!AG74*данные!$AT$3),данные!AG74*данные!$AT$3)</f>
        <v>0</v>
      </c>
      <c r="K76" s="80">
        <f>IF($K$2=2014,IF((SUM(данные!AH74:AL74)*данные!$AT$3-данные!AE74)&gt;0,данные!AY74,данные!AH74*данные!$AT$3),данные!AH74*данные!$AT$3)</f>
        <v>0</v>
      </c>
      <c r="L76" s="80">
        <f>IF($K$2=2014,IF((SUM(данные!AI74:AM74)*данные!$AT$3-данные!AF74)&gt;0,данные!AZ74,данные!AI74*данные!$AT$3),данные!AI74*данные!$AT$3)</f>
        <v>0</v>
      </c>
      <c r="M76" s="80">
        <f>IF($K$2=2014,IF((SUM(данные!AJ74:AN74)*данные!$AT$3-данные!AG74)&gt;0,данные!BA74,данные!AJ74*данные!$AT$3),данные!AJ74*данные!$AT$3)</f>
        <v>0</v>
      </c>
      <c r="N76" s="80">
        <f>IF($K$2=2014,IF((SUM(данные!AK74:AO74)*данные!$AT$3-данные!AH74)&gt;0,данные!BB74,данные!AK74*данные!$AT$3),данные!AK74*данные!$AT$3)</f>
        <v>0</v>
      </c>
      <c r="O76" s="81">
        <f>SUM(Таблица6[[#This Row],[ПИР]:[Прочие]])</f>
        <v>0</v>
      </c>
      <c r="P76" s="110" t="str">
        <f>IFERROR(Таблица6[[#This Row],[Итого в прогнозных ценах с применением методики снижения]]/Таблица6[[#This Row],[кол-во]],"")</f>
        <v/>
      </c>
      <c r="R76" s="153">
        <f>SUM(данные!N74:R74)</f>
        <v>0</v>
      </c>
      <c r="S76" s="146">
        <f>SUM(данные!X74:AB74)*0.9*1.058</f>
        <v>0</v>
      </c>
      <c r="T76" s="154">
        <f>Таблица6[[#This Row],[в ценах 4 кв 2012г]]*данные!$AT$3</f>
        <v>0</v>
      </c>
    </row>
    <row r="77" spans="1:20" x14ac:dyDescent="0.25">
      <c r="A77" s="77" t="str">
        <f>IF(калькулятор!C79=0,"",калькулятор!C79)</f>
        <v/>
      </c>
      <c r="B77" s="78" t="str">
        <f>IF(калькулятор!D79=0,"",калькулятор!D79)</f>
        <v/>
      </c>
      <c r="C77" s="78" t="str">
        <f>IF(калькулятор!E79=0,"",калькулятор!E79)</f>
        <v/>
      </c>
      <c r="D77" s="78" t="str">
        <f>IF(калькулятор!F79=0,"",калькулятор!F79)</f>
        <v/>
      </c>
      <c r="E77" s="79" t="str">
        <f>IF(калькулятор!I79=0,"",калькулятор!I79)</f>
        <v/>
      </c>
      <c r="F77" s="79">
        <f>данные!AE75</f>
        <v>0</v>
      </c>
      <c r="G77" s="79">
        <f>данные!AF75</f>
        <v>0</v>
      </c>
      <c r="H77" s="79">
        <f>данные!AC75</f>
        <v>0</v>
      </c>
      <c r="I77" s="79">
        <f>данные!AG75+данные!AH75+данные!AI75+данные!AJ75+данные!AK75</f>
        <v>0</v>
      </c>
      <c r="J77" s="80">
        <f>IF($K$2=2014,IF((SUM(данные!AG75:AK75)*данные!$AT$3-данные!AD75)&gt;0,данные!AX75,данные!AG75*данные!$AT$3),данные!AG75*данные!$AT$3)</f>
        <v>0</v>
      </c>
      <c r="K77" s="80">
        <f>IF($K$2=2014,IF((SUM(данные!AH75:AL75)*данные!$AT$3-данные!AE75)&gt;0,данные!AY75,данные!AH75*данные!$AT$3),данные!AH75*данные!$AT$3)</f>
        <v>0</v>
      </c>
      <c r="L77" s="80">
        <f>IF($K$2=2014,IF((SUM(данные!AI75:AM75)*данные!$AT$3-данные!AF75)&gt;0,данные!AZ75,данные!AI75*данные!$AT$3),данные!AI75*данные!$AT$3)</f>
        <v>0</v>
      </c>
      <c r="M77" s="80">
        <f>IF($K$2=2014,IF((SUM(данные!AJ75:AN75)*данные!$AT$3-данные!AG75)&gt;0,данные!BA75,данные!AJ75*данные!$AT$3),данные!AJ75*данные!$AT$3)</f>
        <v>0</v>
      </c>
      <c r="N77" s="80">
        <f>IF($K$2=2014,IF((SUM(данные!AK75:AO75)*данные!$AT$3-данные!AH75)&gt;0,данные!BB75,данные!AK75*данные!$AT$3),данные!AK75*данные!$AT$3)</f>
        <v>0</v>
      </c>
      <c r="O77" s="81">
        <f>SUM(Таблица6[[#This Row],[ПИР]:[Прочие]])</f>
        <v>0</v>
      </c>
      <c r="P77" s="110" t="str">
        <f>IFERROR(Таблица6[[#This Row],[Итого в прогнозных ценах с применением методики снижения]]/Таблица6[[#This Row],[кол-во]],"")</f>
        <v/>
      </c>
      <c r="R77" s="153">
        <f>SUM(данные!N75:R75)</f>
        <v>0</v>
      </c>
      <c r="S77" s="146">
        <f>SUM(данные!X75:AB75)*0.9*1.058</f>
        <v>0</v>
      </c>
      <c r="T77" s="154">
        <f>Таблица6[[#This Row],[в ценах 4 кв 2012г]]*данные!$AT$3</f>
        <v>0</v>
      </c>
    </row>
    <row r="78" spans="1:20" x14ac:dyDescent="0.25">
      <c r="A78" s="77" t="str">
        <f>IF(калькулятор!C80=0,"",калькулятор!C80)</f>
        <v/>
      </c>
      <c r="B78" s="78" t="str">
        <f>IF(калькулятор!D80=0,"",калькулятор!D80)</f>
        <v/>
      </c>
      <c r="C78" s="78" t="str">
        <f>IF(калькулятор!E80=0,"",калькулятор!E80)</f>
        <v/>
      </c>
      <c r="D78" s="78" t="str">
        <f>IF(калькулятор!F80=0,"",калькулятор!F80)</f>
        <v/>
      </c>
      <c r="E78" s="79" t="str">
        <f>IF(калькулятор!I80=0,"",калькулятор!I80)</f>
        <v/>
      </c>
      <c r="F78" s="79">
        <f>данные!AE76</f>
        <v>0</v>
      </c>
      <c r="G78" s="79">
        <f>данные!AF76</f>
        <v>0</v>
      </c>
      <c r="H78" s="79">
        <f>данные!AC76</f>
        <v>0</v>
      </c>
      <c r="I78" s="79">
        <f>данные!AG76+данные!AH76+данные!AI76+данные!AJ76+данные!AK76</f>
        <v>0</v>
      </c>
      <c r="J78" s="80">
        <f>IF($K$2=2014,IF((SUM(данные!AG76:AK76)*данные!$AT$3-данные!AD76)&gt;0,данные!AX76,данные!AG76*данные!$AT$3),данные!AG76*данные!$AT$3)</f>
        <v>0</v>
      </c>
      <c r="K78" s="80">
        <f>IF($K$2=2014,IF((SUM(данные!AH76:AL76)*данные!$AT$3-данные!AE76)&gt;0,данные!AY76,данные!AH76*данные!$AT$3),данные!AH76*данные!$AT$3)</f>
        <v>0</v>
      </c>
      <c r="L78" s="80">
        <f>IF($K$2=2014,IF((SUM(данные!AI76:AM76)*данные!$AT$3-данные!AF76)&gt;0,данные!AZ76,данные!AI76*данные!$AT$3),данные!AI76*данные!$AT$3)</f>
        <v>0</v>
      </c>
      <c r="M78" s="80">
        <f>IF($K$2=2014,IF((SUM(данные!AJ76:AN76)*данные!$AT$3-данные!AG76)&gt;0,данные!BA76,данные!AJ76*данные!$AT$3),данные!AJ76*данные!$AT$3)</f>
        <v>0</v>
      </c>
      <c r="N78" s="80">
        <f>IF($K$2=2014,IF((SUM(данные!AK76:AO76)*данные!$AT$3-данные!AH76)&gt;0,данные!BB76,данные!AK76*данные!$AT$3),данные!AK76*данные!$AT$3)</f>
        <v>0</v>
      </c>
      <c r="O78" s="81">
        <f>SUM(Таблица6[[#This Row],[ПИР]:[Прочие]])</f>
        <v>0</v>
      </c>
      <c r="P78" s="110" t="str">
        <f>IFERROR(Таблица6[[#This Row],[Итого в прогнозных ценах с применением методики снижения]]/Таблица6[[#This Row],[кол-во]],"")</f>
        <v/>
      </c>
      <c r="R78" s="153">
        <f>SUM(данные!N76:R76)</f>
        <v>0</v>
      </c>
      <c r="S78" s="146">
        <f>SUM(данные!X76:AB76)*0.9*1.058</f>
        <v>0</v>
      </c>
      <c r="T78" s="154">
        <f>Таблица6[[#This Row],[в ценах 4 кв 2012г]]*данные!$AT$3</f>
        <v>0</v>
      </c>
    </row>
    <row r="79" spans="1:20" x14ac:dyDescent="0.25">
      <c r="A79" s="77" t="str">
        <f>IF(калькулятор!C81=0,"",калькулятор!C81)</f>
        <v/>
      </c>
      <c r="B79" s="78" t="str">
        <f>IF(калькулятор!D81=0,"",калькулятор!D81)</f>
        <v/>
      </c>
      <c r="C79" s="78" t="str">
        <f>IF(калькулятор!E81=0,"",калькулятор!E81)</f>
        <v/>
      </c>
      <c r="D79" s="78" t="str">
        <f>IF(калькулятор!F81=0,"",калькулятор!F81)</f>
        <v/>
      </c>
      <c r="E79" s="79" t="str">
        <f>IF(калькулятор!I81=0,"",калькулятор!I81)</f>
        <v/>
      </c>
      <c r="F79" s="79">
        <f>данные!AE77</f>
        <v>0</v>
      </c>
      <c r="G79" s="79">
        <f>данные!AF77</f>
        <v>0</v>
      </c>
      <c r="H79" s="79">
        <f>данные!AC77</f>
        <v>0</v>
      </c>
      <c r="I79" s="79">
        <f>данные!AG77+данные!AH77+данные!AI77+данные!AJ77+данные!AK77</f>
        <v>0</v>
      </c>
      <c r="J79" s="80">
        <f>IF($K$2=2014,IF((SUM(данные!AG77:AK77)*данные!$AT$3-данные!AD77)&gt;0,данные!AX77,данные!AG77*данные!$AT$3),данные!AG77*данные!$AT$3)</f>
        <v>0</v>
      </c>
      <c r="K79" s="80">
        <f>IF($K$2=2014,IF((SUM(данные!AH77:AL77)*данные!$AT$3-данные!AE77)&gt;0,данные!AY77,данные!AH77*данные!$AT$3),данные!AH77*данные!$AT$3)</f>
        <v>0</v>
      </c>
      <c r="L79" s="80">
        <f>IF($K$2=2014,IF((SUM(данные!AI77:AM77)*данные!$AT$3-данные!AF77)&gt;0,данные!AZ77,данные!AI77*данные!$AT$3),данные!AI77*данные!$AT$3)</f>
        <v>0</v>
      </c>
      <c r="M79" s="80">
        <f>IF($K$2=2014,IF((SUM(данные!AJ77:AN77)*данные!$AT$3-данные!AG77)&gt;0,данные!BA77,данные!AJ77*данные!$AT$3),данные!AJ77*данные!$AT$3)</f>
        <v>0</v>
      </c>
      <c r="N79" s="80">
        <f>IF($K$2=2014,IF((SUM(данные!AK77:AO77)*данные!$AT$3-данные!AH77)&gt;0,данные!BB77,данные!AK77*данные!$AT$3),данные!AK77*данные!$AT$3)</f>
        <v>0</v>
      </c>
      <c r="O79" s="81">
        <f>SUM(Таблица6[[#This Row],[ПИР]:[Прочие]])</f>
        <v>0</v>
      </c>
      <c r="P79" s="110" t="str">
        <f>IFERROR(Таблица6[[#This Row],[Итого в прогнозных ценах с применением методики снижения]]/Таблица6[[#This Row],[кол-во]],"")</f>
        <v/>
      </c>
      <c r="R79" s="153">
        <f>SUM(данные!N77:R77)</f>
        <v>0</v>
      </c>
      <c r="S79" s="146">
        <f>SUM(данные!X77:AB77)*0.9*1.058</f>
        <v>0</v>
      </c>
      <c r="T79" s="154">
        <f>Таблица6[[#This Row],[в ценах 4 кв 2012г]]*данные!$AT$3</f>
        <v>0</v>
      </c>
    </row>
    <row r="80" spans="1:20" x14ac:dyDescent="0.25">
      <c r="A80" s="77" t="str">
        <f>IF(калькулятор!C82=0,"",калькулятор!C82)</f>
        <v/>
      </c>
      <c r="B80" s="78" t="str">
        <f>IF(калькулятор!D82=0,"",калькулятор!D82)</f>
        <v/>
      </c>
      <c r="C80" s="78" t="str">
        <f>IF(калькулятор!E82=0,"",калькулятор!E82)</f>
        <v/>
      </c>
      <c r="D80" s="78" t="str">
        <f>IF(калькулятор!F82=0,"",калькулятор!F82)</f>
        <v/>
      </c>
      <c r="E80" s="79" t="str">
        <f>IF(калькулятор!I82=0,"",калькулятор!I82)</f>
        <v/>
      </c>
      <c r="F80" s="79">
        <f>данные!AE78</f>
        <v>0</v>
      </c>
      <c r="G80" s="79">
        <f>данные!AF78</f>
        <v>0</v>
      </c>
      <c r="H80" s="79">
        <f>данные!AC78</f>
        <v>0</v>
      </c>
      <c r="I80" s="79">
        <f>данные!AG78+данные!AH78+данные!AI78+данные!AJ78+данные!AK78</f>
        <v>0</v>
      </c>
      <c r="J80" s="80">
        <f>IF($K$2=2014,IF((SUM(данные!AG78:AK78)*данные!$AT$3-данные!AD78)&gt;0,данные!AX78,данные!AG78*данные!$AT$3),данные!AG78*данные!$AT$3)</f>
        <v>0</v>
      </c>
      <c r="K80" s="80">
        <f>IF($K$2=2014,IF((SUM(данные!AH78:AL78)*данные!$AT$3-данные!AE78)&gt;0,данные!AY78,данные!AH78*данные!$AT$3),данные!AH78*данные!$AT$3)</f>
        <v>0</v>
      </c>
      <c r="L80" s="80">
        <f>IF($K$2=2014,IF((SUM(данные!AI78:AM78)*данные!$AT$3-данные!AF78)&gt;0,данные!AZ78,данные!AI78*данные!$AT$3),данные!AI78*данные!$AT$3)</f>
        <v>0</v>
      </c>
      <c r="M80" s="80">
        <f>IF($K$2=2014,IF((SUM(данные!AJ78:AN78)*данные!$AT$3-данные!AG78)&gt;0,данные!BA78,данные!AJ78*данные!$AT$3),данные!AJ78*данные!$AT$3)</f>
        <v>0</v>
      </c>
      <c r="N80" s="80">
        <f>IF($K$2=2014,IF((SUM(данные!AK78:AO78)*данные!$AT$3-данные!AH78)&gt;0,данные!BB78,данные!AK78*данные!$AT$3),данные!AK78*данные!$AT$3)</f>
        <v>0</v>
      </c>
      <c r="O80" s="81">
        <f>SUM(Таблица6[[#This Row],[ПИР]:[Прочие]])</f>
        <v>0</v>
      </c>
      <c r="P80" s="110" t="str">
        <f>IFERROR(Таблица6[[#This Row],[Итого в прогнозных ценах с применением методики снижения]]/Таблица6[[#This Row],[кол-во]],"")</f>
        <v/>
      </c>
      <c r="R80" s="153">
        <f>SUM(данные!N78:R78)</f>
        <v>0</v>
      </c>
      <c r="S80" s="146">
        <f>SUM(данные!X78:AB78)*0.9*1.058</f>
        <v>0</v>
      </c>
      <c r="T80" s="154">
        <f>Таблица6[[#This Row],[в ценах 4 кв 2012г]]*данные!$AT$3</f>
        <v>0</v>
      </c>
    </row>
    <row r="81" spans="1:20" x14ac:dyDescent="0.25">
      <c r="A81" s="77" t="str">
        <f>IF(калькулятор!C83=0,"",калькулятор!C83)</f>
        <v/>
      </c>
      <c r="B81" s="78" t="str">
        <f>IF(калькулятор!D83=0,"",калькулятор!D83)</f>
        <v/>
      </c>
      <c r="C81" s="78" t="str">
        <f>IF(калькулятор!E83=0,"",калькулятор!E83)</f>
        <v/>
      </c>
      <c r="D81" s="78" t="str">
        <f>IF(калькулятор!F83=0,"",калькулятор!F83)</f>
        <v/>
      </c>
      <c r="E81" s="79" t="str">
        <f>IF(калькулятор!I83=0,"",калькулятор!I83)</f>
        <v/>
      </c>
      <c r="F81" s="79">
        <f>данные!AE79</f>
        <v>0</v>
      </c>
      <c r="G81" s="79">
        <f>данные!AF79</f>
        <v>0</v>
      </c>
      <c r="H81" s="79">
        <f>данные!AC79</f>
        <v>0</v>
      </c>
      <c r="I81" s="79">
        <f>данные!AG79+данные!AH79+данные!AI79+данные!AJ79+данные!AK79</f>
        <v>0</v>
      </c>
      <c r="J81" s="80">
        <f>IF($K$2=2014,IF((SUM(данные!AG79:AK79)*данные!$AT$3-данные!AD79)&gt;0,данные!AX79,данные!AG79*данные!$AT$3),данные!AG79*данные!$AT$3)</f>
        <v>0</v>
      </c>
      <c r="K81" s="80">
        <f>IF($K$2=2014,IF((SUM(данные!AH79:AL79)*данные!$AT$3-данные!AE79)&gt;0,данные!AY79,данные!AH79*данные!$AT$3),данные!AH79*данные!$AT$3)</f>
        <v>0</v>
      </c>
      <c r="L81" s="80">
        <f>IF($K$2=2014,IF((SUM(данные!AI79:AM79)*данные!$AT$3-данные!AF79)&gt;0,данные!AZ79,данные!AI79*данные!$AT$3),данные!AI79*данные!$AT$3)</f>
        <v>0</v>
      </c>
      <c r="M81" s="80">
        <f>IF($K$2=2014,IF((SUM(данные!AJ79:AN79)*данные!$AT$3-данные!AG79)&gt;0,данные!BA79,данные!AJ79*данные!$AT$3),данные!AJ79*данные!$AT$3)</f>
        <v>0</v>
      </c>
      <c r="N81" s="80">
        <f>IF($K$2=2014,IF((SUM(данные!AK79:AO79)*данные!$AT$3-данные!AH79)&gt;0,данные!BB79,данные!AK79*данные!$AT$3),данные!AK79*данные!$AT$3)</f>
        <v>0</v>
      </c>
      <c r="O81" s="81">
        <f>SUM(Таблица6[[#This Row],[ПИР]:[Прочие]])</f>
        <v>0</v>
      </c>
      <c r="P81" s="110" t="str">
        <f>IFERROR(Таблица6[[#This Row],[Итого в прогнозных ценах с применением методики снижения]]/Таблица6[[#This Row],[кол-во]],"")</f>
        <v/>
      </c>
      <c r="R81" s="153">
        <f>SUM(данные!N79:R79)</f>
        <v>0</v>
      </c>
      <c r="S81" s="146">
        <f>SUM(данные!X79:AB79)*0.9*1.058</f>
        <v>0</v>
      </c>
      <c r="T81" s="154">
        <f>Таблица6[[#This Row],[в ценах 4 кв 2012г]]*данные!$AT$3</f>
        <v>0</v>
      </c>
    </row>
    <row r="82" spans="1:20" x14ac:dyDescent="0.25">
      <c r="A82" s="77" t="str">
        <f>IF(калькулятор!C84=0,"",калькулятор!C84)</f>
        <v/>
      </c>
      <c r="B82" s="78" t="str">
        <f>IF(калькулятор!D84=0,"",калькулятор!D84)</f>
        <v/>
      </c>
      <c r="C82" s="78" t="str">
        <f>IF(калькулятор!E84=0,"",калькулятор!E84)</f>
        <v/>
      </c>
      <c r="D82" s="78" t="str">
        <f>IF(калькулятор!F84=0,"",калькулятор!F84)</f>
        <v/>
      </c>
      <c r="E82" s="79" t="str">
        <f>IF(калькулятор!I84=0,"",калькулятор!I84)</f>
        <v/>
      </c>
      <c r="F82" s="79">
        <f>данные!AE80</f>
        <v>0</v>
      </c>
      <c r="G82" s="79">
        <f>данные!AF80</f>
        <v>0</v>
      </c>
      <c r="H82" s="79">
        <f>данные!AC80</f>
        <v>0</v>
      </c>
      <c r="I82" s="79">
        <f>данные!AG80+данные!AH80+данные!AI80+данные!AJ80+данные!AK80</f>
        <v>0</v>
      </c>
      <c r="J82" s="80">
        <f>IF($K$2=2014,IF((SUM(данные!AG80:AK80)*данные!$AT$3-данные!AD80)&gt;0,данные!AX80,данные!AG80*данные!$AT$3),данные!AG80*данные!$AT$3)</f>
        <v>0</v>
      </c>
      <c r="K82" s="80">
        <f>IF($K$2=2014,IF((SUM(данные!AH80:AL80)*данные!$AT$3-данные!AE80)&gt;0,данные!AY80,данные!AH80*данные!$AT$3),данные!AH80*данные!$AT$3)</f>
        <v>0</v>
      </c>
      <c r="L82" s="80">
        <f>IF($K$2=2014,IF((SUM(данные!AI80:AM80)*данные!$AT$3-данные!AF80)&gt;0,данные!AZ80,данные!AI80*данные!$AT$3),данные!AI80*данные!$AT$3)</f>
        <v>0</v>
      </c>
      <c r="M82" s="80">
        <f>IF($K$2=2014,IF((SUM(данные!AJ80:AN80)*данные!$AT$3-данные!AG80)&gt;0,данные!BA80,данные!AJ80*данные!$AT$3),данные!AJ80*данные!$AT$3)</f>
        <v>0</v>
      </c>
      <c r="N82" s="80">
        <f>IF($K$2=2014,IF((SUM(данные!AK80:AO80)*данные!$AT$3-данные!AH80)&gt;0,данные!BB80,данные!AK80*данные!$AT$3),данные!AK80*данные!$AT$3)</f>
        <v>0</v>
      </c>
      <c r="O82" s="81">
        <f>SUM(Таблица6[[#This Row],[ПИР]:[Прочие]])</f>
        <v>0</v>
      </c>
      <c r="P82" s="110" t="str">
        <f>IFERROR(Таблица6[[#This Row],[Итого в прогнозных ценах с применением методики снижения]]/Таблица6[[#This Row],[кол-во]],"")</f>
        <v/>
      </c>
      <c r="R82" s="153">
        <f>SUM(данные!N80:R80)</f>
        <v>0</v>
      </c>
      <c r="S82" s="146">
        <f>SUM(данные!X80:AB80)*0.9*1.058</f>
        <v>0</v>
      </c>
      <c r="T82" s="154">
        <f>Таблица6[[#This Row],[в ценах 4 кв 2012г]]*данные!$AT$3</f>
        <v>0</v>
      </c>
    </row>
    <row r="83" spans="1:20" x14ac:dyDescent="0.25">
      <c r="A83" s="77" t="str">
        <f>IF(калькулятор!C85=0,"",калькулятор!C85)</f>
        <v/>
      </c>
      <c r="B83" s="78" t="str">
        <f>IF(калькулятор!D85=0,"",калькулятор!D85)</f>
        <v/>
      </c>
      <c r="C83" s="78" t="str">
        <f>IF(калькулятор!E85=0,"",калькулятор!E85)</f>
        <v/>
      </c>
      <c r="D83" s="78" t="str">
        <f>IF(калькулятор!F85=0,"",калькулятор!F85)</f>
        <v/>
      </c>
      <c r="E83" s="79" t="str">
        <f>IF(калькулятор!I85=0,"",калькулятор!I85)</f>
        <v/>
      </c>
      <c r="F83" s="79">
        <f>данные!AE81</f>
        <v>0</v>
      </c>
      <c r="G83" s="79">
        <f>данные!AF81</f>
        <v>0</v>
      </c>
      <c r="H83" s="79">
        <f>данные!AC81</f>
        <v>0</v>
      </c>
      <c r="I83" s="79">
        <f>данные!AG81+данные!AH81+данные!AI81+данные!AJ81+данные!AK81</f>
        <v>0</v>
      </c>
      <c r="J83" s="80">
        <f>IF($K$2=2014,IF((SUM(данные!AG81:AK81)*данные!$AT$3-данные!AD81)&gt;0,данные!AX81,данные!AG81*данные!$AT$3),данные!AG81*данные!$AT$3)</f>
        <v>0</v>
      </c>
      <c r="K83" s="80">
        <f>IF($K$2=2014,IF((SUM(данные!AH81:AL81)*данные!$AT$3-данные!AE81)&gt;0,данные!AY81,данные!AH81*данные!$AT$3),данные!AH81*данные!$AT$3)</f>
        <v>0</v>
      </c>
      <c r="L83" s="80">
        <f>IF($K$2=2014,IF((SUM(данные!AI81:AM81)*данные!$AT$3-данные!AF81)&gt;0,данные!AZ81,данные!AI81*данные!$AT$3),данные!AI81*данные!$AT$3)</f>
        <v>0</v>
      </c>
      <c r="M83" s="80">
        <f>IF($K$2=2014,IF((SUM(данные!AJ81:AN81)*данные!$AT$3-данные!AG81)&gt;0,данные!BA81,данные!AJ81*данные!$AT$3),данные!AJ81*данные!$AT$3)</f>
        <v>0</v>
      </c>
      <c r="N83" s="80">
        <f>IF($K$2=2014,IF((SUM(данные!AK81:AO81)*данные!$AT$3-данные!AH81)&gt;0,данные!BB81,данные!AK81*данные!$AT$3),данные!AK81*данные!$AT$3)</f>
        <v>0</v>
      </c>
      <c r="O83" s="81">
        <f>SUM(Таблица6[[#This Row],[ПИР]:[Прочие]])</f>
        <v>0</v>
      </c>
      <c r="P83" s="110" t="str">
        <f>IFERROR(Таблица6[[#This Row],[Итого в прогнозных ценах с применением методики снижения]]/Таблица6[[#This Row],[кол-во]],"")</f>
        <v/>
      </c>
      <c r="R83" s="153">
        <f>SUM(данные!N81:R81)</f>
        <v>0</v>
      </c>
      <c r="S83" s="146">
        <f>SUM(данные!X81:AB81)*0.9*1.058</f>
        <v>0</v>
      </c>
      <c r="T83" s="154">
        <f>Таблица6[[#This Row],[в ценах 4 кв 2012г]]*данные!$AT$3</f>
        <v>0</v>
      </c>
    </row>
    <row r="84" spans="1:20" x14ac:dyDescent="0.25">
      <c r="A84" s="77" t="str">
        <f>IF(калькулятор!C86=0,"",калькулятор!C86)</f>
        <v/>
      </c>
      <c r="B84" s="78" t="str">
        <f>IF(калькулятор!D86=0,"",калькулятор!D86)</f>
        <v/>
      </c>
      <c r="C84" s="78" t="str">
        <f>IF(калькулятор!E86=0,"",калькулятор!E86)</f>
        <v/>
      </c>
      <c r="D84" s="78" t="str">
        <f>IF(калькулятор!F86=0,"",калькулятор!F86)</f>
        <v/>
      </c>
      <c r="E84" s="79" t="str">
        <f>IF(калькулятор!I86=0,"",калькулятор!I86)</f>
        <v/>
      </c>
      <c r="F84" s="79">
        <f>данные!AE82</f>
        <v>0</v>
      </c>
      <c r="G84" s="79">
        <f>данные!AF82</f>
        <v>0</v>
      </c>
      <c r="H84" s="79">
        <f>данные!AC82</f>
        <v>0</v>
      </c>
      <c r="I84" s="79">
        <f>данные!AG82+данные!AH82+данные!AI82+данные!AJ82+данные!AK82</f>
        <v>0</v>
      </c>
      <c r="J84" s="80">
        <f>IF($K$2=2014,IF((SUM(данные!AG82:AK82)*данные!$AT$3-данные!AD82)&gt;0,данные!AX82,данные!AG82*данные!$AT$3),данные!AG82*данные!$AT$3)</f>
        <v>0</v>
      </c>
      <c r="K84" s="80">
        <f>IF($K$2=2014,IF((SUM(данные!AH82:AL82)*данные!$AT$3-данные!AE82)&gt;0,данные!AY82,данные!AH82*данные!$AT$3),данные!AH82*данные!$AT$3)</f>
        <v>0</v>
      </c>
      <c r="L84" s="80">
        <f>IF($K$2=2014,IF((SUM(данные!AI82:AM82)*данные!$AT$3-данные!AF82)&gt;0,данные!AZ82,данные!AI82*данные!$AT$3),данные!AI82*данные!$AT$3)</f>
        <v>0</v>
      </c>
      <c r="M84" s="80">
        <f>IF($K$2=2014,IF((SUM(данные!AJ82:AN82)*данные!$AT$3-данные!AG82)&gt;0,данные!BA82,данные!AJ82*данные!$AT$3),данные!AJ82*данные!$AT$3)</f>
        <v>0</v>
      </c>
      <c r="N84" s="80">
        <f>IF($K$2=2014,IF((SUM(данные!AK82:AO82)*данные!$AT$3-данные!AH82)&gt;0,данные!BB82,данные!AK82*данные!$AT$3),данные!AK82*данные!$AT$3)</f>
        <v>0</v>
      </c>
      <c r="O84" s="81">
        <f>SUM(Таблица6[[#This Row],[ПИР]:[Прочие]])</f>
        <v>0</v>
      </c>
      <c r="P84" s="110" t="str">
        <f>IFERROR(Таблица6[[#This Row],[Итого в прогнозных ценах с применением методики снижения]]/Таблица6[[#This Row],[кол-во]],"")</f>
        <v/>
      </c>
      <c r="R84" s="153">
        <f>SUM(данные!N82:R82)</f>
        <v>0</v>
      </c>
      <c r="S84" s="146">
        <f>SUM(данные!X82:AB82)*0.9*1.058</f>
        <v>0</v>
      </c>
      <c r="T84" s="154">
        <f>Таблица6[[#This Row],[в ценах 4 кв 2012г]]*данные!$AT$3</f>
        <v>0</v>
      </c>
    </row>
    <row r="85" spans="1:20" x14ac:dyDescent="0.25">
      <c r="A85" s="77" t="str">
        <f>IF(калькулятор!C87=0,"",калькулятор!C87)</f>
        <v/>
      </c>
      <c r="B85" s="78" t="str">
        <f>IF(калькулятор!D87=0,"",калькулятор!D87)</f>
        <v/>
      </c>
      <c r="C85" s="78" t="str">
        <f>IF(калькулятор!E87=0,"",калькулятор!E87)</f>
        <v/>
      </c>
      <c r="D85" s="78" t="str">
        <f>IF(калькулятор!F87=0,"",калькулятор!F87)</f>
        <v/>
      </c>
      <c r="E85" s="79" t="str">
        <f>IF(калькулятор!I87=0,"",калькулятор!I87)</f>
        <v/>
      </c>
      <c r="F85" s="79">
        <f>данные!AE83</f>
        <v>0</v>
      </c>
      <c r="G85" s="79">
        <f>данные!AF83</f>
        <v>0</v>
      </c>
      <c r="H85" s="79">
        <f>данные!AC83</f>
        <v>0</v>
      </c>
      <c r="I85" s="79">
        <f>данные!AG83+данные!AH83+данные!AI83+данные!AJ83+данные!AK83</f>
        <v>0</v>
      </c>
      <c r="J85" s="80">
        <f>IF($K$2=2014,IF((SUM(данные!AG83:AK83)*данные!$AT$3-данные!AD83)&gt;0,данные!AX83,данные!AG83*данные!$AT$3),данные!AG83*данные!$AT$3)</f>
        <v>0</v>
      </c>
      <c r="K85" s="80">
        <f>IF($K$2=2014,IF((SUM(данные!AH83:AL83)*данные!$AT$3-данные!AE83)&gt;0,данные!AY83,данные!AH83*данные!$AT$3),данные!AH83*данные!$AT$3)</f>
        <v>0</v>
      </c>
      <c r="L85" s="80">
        <f>IF($K$2=2014,IF((SUM(данные!AI83:AM83)*данные!$AT$3-данные!AF83)&gt;0,данные!AZ83,данные!AI83*данные!$AT$3),данные!AI83*данные!$AT$3)</f>
        <v>0</v>
      </c>
      <c r="M85" s="80">
        <f>IF($K$2=2014,IF((SUM(данные!AJ83:AN83)*данные!$AT$3-данные!AG83)&gt;0,данные!BA83,данные!AJ83*данные!$AT$3),данные!AJ83*данные!$AT$3)</f>
        <v>0</v>
      </c>
      <c r="N85" s="80">
        <f>IF($K$2=2014,IF((SUM(данные!AK83:AO83)*данные!$AT$3-данные!AH83)&gt;0,данные!BB83,данные!AK83*данные!$AT$3),данные!AK83*данные!$AT$3)</f>
        <v>0</v>
      </c>
      <c r="O85" s="81">
        <f>SUM(Таблица6[[#This Row],[ПИР]:[Прочие]])</f>
        <v>0</v>
      </c>
      <c r="P85" s="110" t="str">
        <f>IFERROR(Таблица6[[#This Row],[Итого в прогнозных ценах с применением методики снижения]]/Таблица6[[#This Row],[кол-во]],"")</f>
        <v/>
      </c>
      <c r="R85" s="153">
        <f>SUM(данные!N83:R83)</f>
        <v>0</v>
      </c>
      <c r="S85" s="146">
        <f>SUM(данные!X83:AB83)*0.9*1.058</f>
        <v>0</v>
      </c>
      <c r="T85" s="154">
        <f>Таблица6[[#This Row],[в ценах 4 кв 2012г]]*данные!$AT$3</f>
        <v>0</v>
      </c>
    </row>
    <row r="86" spans="1:20" x14ac:dyDescent="0.25">
      <c r="A86" s="77" t="str">
        <f>IF(калькулятор!C88=0,"",калькулятор!C88)</f>
        <v/>
      </c>
      <c r="B86" s="78" t="str">
        <f>IF(калькулятор!D88=0,"",калькулятор!D88)</f>
        <v/>
      </c>
      <c r="C86" s="78" t="str">
        <f>IF(калькулятор!E88=0,"",калькулятор!E88)</f>
        <v/>
      </c>
      <c r="D86" s="78" t="str">
        <f>IF(калькулятор!F88=0,"",калькулятор!F88)</f>
        <v/>
      </c>
      <c r="E86" s="79" t="str">
        <f>IF(калькулятор!I88=0,"",калькулятор!I88)</f>
        <v/>
      </c>
      <c r="F86" s="79">
        <f>данные!AE84</f>
        <v>0</v>
      </c>
      <c r="G86" s="79">
        <f>данные!AF84</f>
        <v>0</v>
      </c>
      <c r="H86" s="79">
        <f>данные!AC84</f>
        <v>0</v>
      </c>
      <c r="I86" s="79">
        <f>данные!AG84+данные!AH84+данные!AI84+данные!AJ84+данные!AK84</f>
        <v>0</v>
      </c>
      <c r="J86" s="80">
        <f>IF($K$2=2014,IF((SUM(данные!AG84:AK84)*данные!$AT$3-данные!AD84)&gt;0,данные!AX84,данные!AG84*данные!$AT$3),данные!AG84*данные!$AT$3)</f>
        <v>0</v>
      </c>
      <c r="K86" s="80">
        <f>IF($K$2=2014,IF((SUM(данные!AH84:AL84)*данные!$AT$3-данные!AE84)&gt;0,данные!AY84,данные!AH84*данные!$AT$3),данные!AH84*данные!$AT$3)</f>
        <v>0</v>
      </c>
      <c r="L86" s="80">
        <f>IF($K$2=2014,IF((SUM(данные!AI84:AM84)*данные!$AT$3-данные!AF84)&gt;0,данные!AZ84,данные!AI84*данные!$AT$3),данные!AI84*данные!$AT$3)</f>
        <v>0</v>
      </c>
      <c r="M86" s="80">
        <f>IF($K$2=2014,IF((SUM(данные!AJ84:AN84)*данные!$AT$3-данные!AG84)&gt;0,данные!BA84,данные!AJ84*данные!$AT$3),данные!AJ84*данные!$AT$3)</f>
        <v>0</v>
      </c>
      <c r="N86" s="80">
        <f>IF($K$2=2014,IF((SUM(данные!AK84:AO84)*данные!$AT$3-данные!AH84)&gt;0,данные!BB84,данные!AK84*данные!$AT$3),данные!AK84*данные!$AT$3)</f>
        <v>0</v>
      </c>
      <c r="O86" s="81">
        <f>SUM(Таблица6[[#This Row],[ПИР]:[Прочие]])</f>
        <v>0</v>
      </c>
      <c r="P86" s="110" t="str">
        <f>IFERROR(Таблица6[[#This Row],[Итого в прогнозных ценах с применением методики снижения]]/Таблица6[[#This Row],[кол-во]],"")</f>
        <v/>
      </c>
      <c r="R86" s="153">
        <f>SUM(данные!N84:R84)</f>
        <v>0</v>
      </c>
      <c r="S86" s="146">
        <f>SUM(данные!X84:AB84)*0.9*1.058</f>
        <v>0</v>
      </c>
      <c r="T86" s="154">
        <f>Таблица6[[#This Row],[в ценах 4 кв 2012г]]*данные!$AT$3</f>
        <v>0</v>
      </c>
    </row>
    <row r="87" spans="1:20" x14ac:dyDescent="0.25">
      <c r="A87" s="77" t="str">
        <f>IF(калькулятор!C89=0,"",калькулятор!C89)</f>
        <v/>
      </c>
      <c r="B87" s="78" t="str">
        <f>IF(калькулятор!D89=0,"",калькулятор!D89)</f>
        <v/>
      </c>
      <c r="C87" s="78" t="str">
        <f>IF(калькулятор!E89=0,"",калькулятор!E89)</f>
        <v/>
      </c>
      <c r="D87" s="78" t="str">
        <f>IF(калькулятор!F89=0,"",калькулятор!F89)</f>
        <v/>
      </c>
      <c r="E87" s="79" t="str">
        <f>IF(калькулятор!I89=0,"",калькулятор!I89)</f>
        <v/>
      </c>
      <c r="F87" s="79">
        <f>данные!AE85</f>
        <v>0</v>
      </c>
      <c r="G87" s="79">
        <f>данные!AF85</f>
        <v>0</v>
      </c>
      <c r="H87" s="79">
        <f>данные!AC85</f>
        <v>0</v>
      </c>
      <c r="I87" s="79">
        <f>данные!AG85+данные!AH85+данные!AI85+данные!AJ85+данные!AK85</f>
        <v>0</v>
      </c>
      <c r="J87" s="80">
        <f>IF($K$2=2014,IF((SUM(данные!AG85:AK85)*данные!$AT$3-данные!AD85)&gt;0,данные!AX85,данные!AG85*данные!$AT$3),данные!AG85*данные!$AT$3)</f>
        <v>0</v>
      </c>
      <c r="K87" s="80">
        <f>IF($K$2=2014,IF((SUM(данные!AH85:AL85)*данные!$AT$3-данные!AE85)&gt;0,данные!AY85,данные!AH85*данные!$AT$3),данные!AH85*данные!$AT$3)</f>
        <v>0</v>
      </c>
      <c r="L87" s="80">
        <f>IF($K$2=2014,IF((SUM(данные!AI85:AM85)*данные!$AT$3-данные!AF85)&gt;0,данные!AZ85,данные!AI85*данные!$AT$3),данные!AI85*данные!$AT$3)</f>
        <v>0</v>
      </c>
      <c r="M87" s="80">
        <f>IF($K$2=2014,IF((SUM(данные!AJ85:AN85)*данные!$AT$3-данные!AG85)&gt;0,данные!BA85,данные!AJ85*данные!$AT$3),данные!AJ85*данные!$AT$3)</f>
        <v>0</v>
      </c>
      <c r="N87" s="80">
        <f>IF($K$2=2014,IF((SUM(данные!AK85:AO85)*данные!$AT$3-данные!AH85)&gt;0,данные!BB85,данные!AK85*данные!$AT$3),данные!AK85*данные!$AT$3)</f>
        <v>0</v>
      </c>
      <c r="O87" s="81">
        <f>SUM(Таблица6[[#This Row],[ПИР]:[Прочие]])</f>
        <v>0</v>
      </c>
      <c r="P87" s="110" t="str">
        <f>IFERROR(Таблица6[[#This Row],[Итого в прогнозных ценах с применением методики снижения]]/Таблица6[[#This Row],[кол-во]],"")</f>
        <v/>
      </c>
      <c r="R87" s="153">
        <f>SUM(данные!N85:R85)</f>
        <v>0</v>
      </c>
      <c r="S87" s="146">
        <f>SUM(данные!X85:AB85)*0.9*1.058</f>
        <v>0</v>
      </c>
      <c r="T87" s="154">
        <f>Таблица6[[#This Row],[в ценах 4 кв 2012г]]*данные!$AT$3</f>
        <v>0</v>
      </c>
    </row>
    <row r="88" spans="1:20" x14ac:dyDescent="0.25">
      <c r="A88" s="77" t="str">
        <f>IF(калькулятор!C90=0,"",калькулятор!C90)</f>
        <v/>
      </c>
      <c r="B88" s="78" t="str">
        <f>IF(калькулятор!D90=0,"",калькулятор!D90)</f>
        <v/>
      </c>
      <c r="C88" s="78" t="str">
        <f>IF(калькулятор!E90=0,"",калькулятор!E90)</f>
        <v/>
      </c>
      <c r="D88" s="78" t="str">
        <f>IF(калькулятор!F90=0,"",калькулятор!F90)</f>
        <v/>
      </c>
      <c r="E88" s="79" t="str">
        <f>IF(калькулятор!I90=0,"",калькулятор!I90)</f>
        <v/>
      </c>
      <c r="F88" s="79">
        <f>данные!AE86</f>
        <v>0</v>
      </c>
      <c r="G88" s="79">
        <f>данные!AF86</f>
        <v>0</v>
      </c>
      <c r="H88" s="79">
        <f>данные!AC86</f>
        <v>0</v>
      </c>
      <c r="I88" s="79">
        <f>данные!AG86+данные!AH86+данные!AI86+данные!AJ86+данные!AK86</f>
        <v>0</v>
      </c>
      <c r="J88" s="80">
        <f>IF($K$2=2014,IF((SUM(данные!AG86:AK86)*данные!$AT$3-данные!AD86)&gt;0,данные!AX86,данные!AG86*данные!$AT$3),данные!AG86*данные!$AT$3)</f>
        <v>0</v>
      </c>
      <c r="K88" s="80">
        <f>IF($K$2=2014,IF((SUM(данные!AH86:AL86)*данные!$AT$3-данные!AE86)&gt;0,данные!AY86,данные!AH86*данные!$AT$3),данные!AH86*данные!$AT$3)</f>
        <v>0</v>
      </c>
      <c r="L88" s="80">
        <f>IF($K$2=2014,IF((SUM(данные!AI86:AM86)*данные!$AT$3-данные!AF86)&gt;0,данные!AZ86,данные!AI86*данные!$AT$3),данные!AI86*данные!$AT$3)</f>
        <v>0</v>
      </c>
      <c r="M88" s="80">
        <f>IF($K$2=2014,IF((SUM(данные!AJ86:AN86)*данные!$AT$3-данные!AG86)&gt;0,данные!BA86,данные!AJ86*данные!$AT$3),данные!AJ86*данные!$AT$3)</f>
        <v>0</v>
      </c>
      <c r="N88" s="80">
        <f>IF($K$2=2014,IF((SUM(данные!AK86:AO86)*данные!$AT$3-данные!AH86)&gt;0,данные!BB86,данные!AK86*данные!$AT$3),данные!AK86*данные!$AT$3)</f>
        <v>0</v>
      </c>
      <c r="O88" s="81">
        <f>SUM(Таблица6[[#This Row],[ПИР]:[Прочие]])</f>
        <v>0</v>
      </c>
      <c r="P88" s="110" t="str">
        <f>IFERROR(Таблица6[[#This Row],[Итого в прогнозных ценах с применением методики снижения]]/Таблица6[[#This Row],[кол-во]],"")</f>
        <v/>
      </c>
      <c r="R88" s="153">
        <f>SUM(данные!N86:R86)</f>
        <v>0</v>
      </c>
      <c r="S88" s="146">
        <f>SUM(данные!X86:AB86)*0.9*1.058</f>
        <v>0</v>
      </c>
      <c r="T88" s="154">
        <f>Таблица6[[#This Row],[в ценах 4 кв 2012г]]*данные!$AT$3</f>
        <v>0</v>
      </c>
    </row>
    <row r="89" spans="1:20" x14ac:dyDescent="0.25">
      <c r="A89" s="77" t="str">
        <f>IF(калькулятор!C91=0,"",калькулятор!C91)</f>
        <v/>
      </c>
      <c r="B89" s="78" t="str">
        <f>IF(калькулятор!D91=0,"",калькулятор!D91)</f>
        <v/>
      </c>
      <c r="C89" s="78" t="str">
        <f>IF(калькулятор!E91=0,"",калькулятор!E91)</f>
        <v/>
      </c>
      <c r="D89" s="78" t="str">
        <f>IF(калькулятор!F91=0,"",калькулятор!F91)</f>
        <v/>
      </c>
      <c r="E89" s="79" t="str">
        <f>IF(калькулятор!I91=0,"",калькулятор!I91)</f>
        <v/>
      </c>
      <c r="F89" s="79">
        <f>данные!AE87</f>
        <v>0</v>
      </c>
      <c r="G89" s="79">
        <f>данные!AF87</f>
        <v>0</v>
      </c>
      <c r="H89" s="79">
        <f>данные!AC87</f>
        <v>0</v>
      </c>
      <c r="I89" s="79">
        <f>данные!AG87+данные!AH87+данные!AI87+данные!AJ87+данные!AK87</f>
        <v>0</v>
      </c>
      <c r="J89" s="80">
        <f>IF($K$2=2014,IF((SUM(данные!AG87:AK87)*данные!$AT$3-данные!AD87)&gt;0,данные!AX87,данные!AG87*данные!$AT$3),данные!AG87*данные!$AT$3)</f>
        <v>0</v>
      </c>
      <c r="K89" s="80">
        <f>IF($K$2=2014,IF((SUM(данные!AH87:AL87)*данные!$AT$3-данные!AE87)&gt;0,данные!AY87,данные!AH87*данные!$AT$3),данные!AH87*данные!$AT$3)</f>
        <v>0</v>
      </c>
      <c r="L89" s="80">
        <f>IF($K$2=2014,IF((SUM(данные!AI87:AM87)*данные!$AT$3-данные!AF87)&gt;0,данные!AZ87,данные!AI87*данные!$AT$3),данные!AI87*данные!$AT$3)</f>
        <v>0</v>
      </c>
      <c r="M89" s="80">
        <f>IF($K$2=2014,IF((SUM(данные!AJ87:AN87)*данные!$AT$3-данные!AG87)&gt;0,данные!BA87,данные!AJ87*данные!$AT$3),данные!AJ87*данные!$AT$3)</f>
        <v>0</v>
      </c>
      <c r="N89" s="80">
        <f>IF($K$2=2014,IF((SUM(данные!AK87:AO87)*данные!$AT$3-данные!AH87)&gt;0,данные!BB87,данные!AK87*данные!$AT$3),данные!AK87*данные!$AT$3)</f>
        <v>0</v>
      </c>
      <c r="O89" s="81">
        <f>SUM(Таблица6[[#This Row],[ПИР]:[Прочие]])</f>
        <v>0</v>
      </c>
      <c r="P89" s="110" t="str">
        <f>IFERROR(Таблица6[[#This Row],[Итого в прогнозных ценах с применением методики снижения]]/Таблица6[[#This Row],[кол-во]],"")</f>
        <v/>
      </c>
      <c r="R89" s="153">
        <f>SUM(данные!N87:R87)</f>
        <v>0</v>
      </c>
      <c r="S89" s="146">
        <f>SUM(данные!X87:AB87)*0.9*1.058</f>
        <v>0</v>
      </c>
      <c r="T89" s="154">
        <f>Таблица6[[#This Row],[в ценах 4 кв 2012г]]*данные!$AT$3</f>
        <v>0</v>
      </c>
    </row>
    <row r="90" spans="1:20" x14ac:dyDescent="0.25">
      <c r="A90" s="77" t="str">
        <f>IF(калькулятор!C92=0,"",калькулятор!C92)</f>
        <v/>
      </c>
      <c r="B90" s="78" t="str">
        <f>IF(калькулятор!D92=0,"",калькулятор!D92)</f>
        <v/>
      </c>
      <c r="C90" s="78" t="str">
        <f>IF(калькулятор!E92=0,"",калькулятор!E92)</f>
        <v/>
      </c>
      <c r="D90" s="78" t="str">
        <f>IF(калькулятор!F92=0,"",калькулятор!F92)</f>
        <v/>
      </c>
      <c r="E90" s="79" t="str">
        <f>IF(калькулятор!I92=0,"",калькулятор!I92)</f>
        <v/>
      </c>
      <c r="F90" s="79">
        <f>данные!AE88</f>
        <v>0</v>
      </c>
      <c r="G90" s="79">
        <f>данные!AF88</f>
        <v>0</v>
      </c>
      <c r="H90" s="79">
        <f>данные!AC88</f>
        <v>0</v>
      </c>
      <c r="I90" s="79">
        <f>данные!AG88+данные!AH88+данные!AI88+данные!AJ88+данные!AK88</f>
        <v>0</v>
      </c>
      <c r="J90" s="80">
        <f>IF($K$2=2014,IF((SUM(данные!AG88:AK88)*данные!$AT$3-данные!AD88)&gt;0,данные!AX88,данные!AG88*данные!$AT$3),данные!AG88*данные!$AT$3)</f>
        <v>0</v>
      </c>
      <c r="K90" s="80">
        <f>IF($K$2=2014,IF((SUM(данные!AH88:AL88)*данные!$AT$3-данные!AE88)&gt;0,данные!AY88,данные!AH88*данные!$AT$3),данные!AH88*данные!$AT$3)</f>
        <v>0</v>
      </c>
      <c r="L90" s="80">
        <f>IF($K$2=2014,IF((SUM(данные!AI88:AM88)*данные!$AT$3-данные!AF88)&gt;0,данные!AZ88,данные!AI88*данные!$AT$3),данные!AI88*данные!$AT$3)</f>
        <v>0</v>
      </c>
      <c r="M90" s="80">
        <f>IF($K$2=2014,IF((SUM(данные!AJ88:AN88)*данные!$AT$3-данные!AG88)&gt;0,данные!BA88,данные!AJ88*данные!$AT$3),данные!AJ88*данные!$AT$3)</f>
        <v>0</v>
      </c>
      <c r="N90" s="80">
        <f>IF($K$2=2014,IF((SUM(данные!AK88:AO88)*данные!$AT$3-данные!AH88)&gt;0,данные!BB88,данные!AK88*данные!$AT$3),данные!AK88*данные!$AT$3)</f>
        <v>0</v>
      </c>
      <c r="O90" s="81">
        <f>SUM(Таблица6[[#This Row],[ПИР]:[Прочие]])</f>
        <v>0</v>
      </c>
      <c r="P90" s="110" t="str">
        <f>IFERROR(Таблица6[[#This Row],[Итого в прогнозных ценах с применением методики снижения]]/Таблица6[[#This Row],[кол-во]],"")</f>
        <v/>
      </c>
      <c r="R90" s="153">
        <f>SUM(данные!N88:R88)</f>
        <v>0</v>
      </c>
      <c r="S90" s="146">
        <f>SUM(данные!X88:AB88)*0.9*1.058</f>
        <v>0</v>
      </c>
      <c r="T90" s="154">
        <f>Таблица6[[#This Row],[в ценах 4 кв 2012г]]*данные!$AT$3</f>
        <v>0</v>
      </c>
    </row>
    <row r="91" spans="1:20" x14ac:dyDescent="0.25">
      <c r="A91" s="77" t="str">
        <f>IF(калькулятор!C93=0,"",калькулятор!C93)</f>
        <v/>
      </c>
      <c r="B91" s="78" t="str">
        <f>IF(калькулятор!D93=0,"",калькулятор!D93)</f>
        <v/>
      </c>
      <c r="C91" s="78" t="str">
        <f>IF(калькулятор!E93=0,"",калькулятор!E93)</f>
        <v/>
      </c>
      <c r="D91" s="78" t="str">
        <f>IF(калькулятор!F93=0,"",калькулятор!F93)</f>
        <v/>
      </c>
      <c r="E91" s="79" t="str">
        <f>IF(калькулятор!I93=0,"",калькулятор!I93)</f>
        <v/>
      </c>
      <c r="F91" s="79">
        <f>данные!AE89</f>
        <v>0</v>
      </c>
      <c r="G91" s="79">
        <f>данные!AF89</f>
        <v>0</v>
      </c>
      <c r="H91" s="79">
        <f>данные!AC89</f>
        <v>0</v>
      </c>
      <c r="I91" s="79">
        <f>данные!AG89+данные!AH89+данные!AI89+данные!AJ89+данные!AK89</f>
        <v>0</v>
      </c>
      <c r="J91" s="80">
        <f>IF($K$2=2014,IF((SUM(данные!AG89:AK89)*данные!$AT$3-данные!AD89)&gt;0,данные!AX89,данные!AG89*данные!$AT$3),данные!AG89*данные!$AT$3)</f>
        <v>0</v>
      </c>
      <c r="K91" s="80">
        <f>IF($K$2=2014,IF((SUM(данные!AH89:AL89)*данные!$AT$3-данные!AE89)&gt;0,данные!AY89,данные!AH89*данные!$AT$3),данные!AH89*данные!$AT$3)</f>
        <v>0</v>
      </c>
      <c r="L91" s="80">
        <f>IF($K$2=2014,IF((SUM(данные!AI89:AM89)*данные!$AT$3-данные!AF89)&gt;0,данные!AZ89,данные!AI89*данные!$AT$3),данные!AI89*данные!$AT$3)</f>
        <v>0</v>
      </c>
      <c r="M91" s="80">
        <f>IF($K$2=2014,IF((SUM(данные!AJ89:AN89)*данные!$AT$3-данные!AG89)&gt;0,данные!BA89,данные!AJ89*данные!$AT$3),данные!AJ89*данные!$AT$3)</f>
        <v>0</v>
      </c>
      <c r="N91" s="80">
        <f>IF($K$2=2014,IF((SUM(данные!AK89:AO89)*данные!$AT$3-данные!AH89)&gt;0,данные!BB89,данные!AK89*данные!$AT$3),данные!AK89*данные!$AT$3)</f>
        <v>0</v>
      </c>
      <c r="O91" s="81">
        <f>SUM(Таблица6[[#This Row],[ПИР]:[Прочие]])</f>
        <v>0</v>
      </c>
      <c r="P91" s="110" t="str">
        <f>IFERROR(Таблица6[[#This Row],[Итого в прогнозных ценах с применением методики снижения]]/Таблица6[[#This Row],[кол-во]],"")</f>
        <v/>
      </c>
      <c r="R91" s="153">
        <f>SUM(данные!N89:R89)</f>
        <v>0</v>
      </c>
      <c r="S91" s="146">
        <f>SUM(данные!X89:AB89)*0.9*1.058</f>
        <v>0</v>
      </c>
      <c r="T91" s="154">
        <f>Таблица6[[#This Row],[в ценах 4 кв 2012г]]*данные!$AT$3</f>
        <v>0</v>
      </c>
    </row>
    <row r="92" spans="1:20" x14ac:dyDescent="0.25">
      <c r="A92" s="77" t="str">
        <f>IF(калькулятор!C94=0,"",калькулятор!C94)</f>
        <v/>
      </c>
      <c r="B92" s="78" t="str">
        <f>IF(калькулятор!D94=0,"",калькулятор!D94)</f>
        <v/>
      </c>
      <c r="C92" s="78" t="str">
        <f>IF(калькулятор!E94=0,"",калькулятор!E94)</f>
        <v/>
      </c>
      <c r="D92" s="78" t="str">
        <f>IF(калькулятор!F94=0,"",калькулятор!F94)</f>
        <v/>
      </c>
      <c r="E92" s="79" t="str">
        <f>IF(калькулятор!I94=0,"",калькулятор!I94)</f>
        <v/>
      </c>
      <c r="F92" s="79">
        <f>данные!AE90</f>
        <v>0</v>
      </c>
      <c r="G92" s="79">
        <f>данные!AF90</f>
        <v>0</v>
      </c>
      <c r="H92" s="79">
        <f>данные!AC90</f>
        <v>0</v>
      </c>
      <c r="I92" s="79">
        <f>данные!AG90+данные!AH90+данные!AI90+данные!AJ90+данные!AK90</f>
        <v>0</v>
      </c>
      <c r="J92" s="80">
        <f>IF($K$2=2014,IF((SUM(данные!AG90:AK90)*данные!$AT$3-данные!AD90)&gt;0,данные!AX90,данные!AG90*данные!$AT$3),данные!AG90*данные!$AT$3)</f>
        <v>0</v>
      </c>
      <c r="K92" s="80">
        <f>IF($K$2=2014,IF((SUM(данные!AH90:AL90)*данные!$AT$3-данные!AE90)&gt;0,данные!AY90,данные!AH90*данные!$AT$3),данные!AH90*данные!$AT$3)</f>
        <v>0</v>
      </c>
      <c r="L92" s="80">
        <f>IF($K$2=2014,IF((SUM(данные!AI90:AM90)*данные!$AT$3-данные!AF90)&gt;0,данные!AZ90,данные!AI90*данные!$AT$3),данные!AI90*данные!$AT$3)</f>
        <v>0</v>
      </c>
      <c r="M92" s="80">
        <f>IF($K$2=2014,IF((SUM(данные!AJ90:AN90)*данные!$AT$3-данные!AG90)&gt;0,данные!BA90,данные!AJ90*данные!$AT$3),данные!AJ90*данные!$AT$3)</f>
        <v>0</v>
      </c>
      <c r="N92" s="80">
        <f>IF($K$2=2014,IF((SUM(данные!AK90:AO90)*данные!$AT$3-данные!AH90)&gt;0,данные!BB90,данные!AK90*данные!$AT$3),данные!AK90*данные!$AT$3)</f>
        <v>0</v>
      </c>
      <c r="O92" s="81">
        <f>SUM(Таблица6[[#This Row],[ПИР]:[Прочие]])</f>
        <v>0</v>
      </c>
      <c r="P92" s="110" t="str">
        <f>IFERROR(Таблица6[[#This Row],[Итого в прогнозных ценах с применением методики снижения]]/Таблица6[[#This Row],[кол-во]],"")</f>
        <v/>
      </c>
      <c r="R92" s="153">
        <f>SUM(данные!N90:R90)</f>
        <v>0</v>
      </c>
      <c r="S92" s="146">
        <f>SUM(данные!X90:AB90)*0.9*1.058</f>
        <v>0</v>
      </c>
      <c r="T92" s="154">
        <f>Таблица6[[#This Row],[в ценах 4 кв 2012г]]*данные!$AT$3</f>
        <v>0</v>
      </c>
    </row>
    <row r="93" spans="1:20" x14ac:dyDescent="0.25">
      <c r="A93" s="77" t="str">
        <f>IF(калькулятор!C95=0,"",калькулятор!C95)</f>
        <v/>
      </c>
      <c r="B93" s="78" t="str">
        <f>IF(калькулятор!D95=0,"",калькулятор!D95)</f>
        <v/>
      </c>
      <c r="C93" s="78" t="str">
        <f>IF(калькулятор!E95=0,"",калькулятор!E95)</f>
        <v/>
      </c>
      <c r="D93" s="78" t="str">
        <f>IF(калькулятор!F95=0,"",калькулятор!F95)</f>
        <v/>
      </c>
      <c r="E93" s="79" t="str">
        <f>IF(калькулятор!I95=0,"",калькулятор!I95)</f>
        <v/>
      </c>
      <c r="F93" s="79">
        <f>данные!AE91</f>
        <v>0</v>
      </c>
      <c r="G93" s="79">
        <f>данные!AF91</f>
        <v>0</v>
      </c>
      <c r="H93" s="79">
        <f>данные!AC91</f>
        <v>0</v>
      </c>
      <c r="I93" s="79">
        <f>данные!AG91+данные!AH91+данные!AI91+данные!AJ91+данные!AK91</f>
        <v>0</v>
      </c>
      <c r="J93" s="80">
        <f>IF($K$2=2014,IF((SUM(данные!AG91:AK91)*данные!$AT$3-данные!AD91)&gt;0,данные!AX91,данные!AG91*данные!$AT$3),данные!AG91*данные!$AT$3)</f>
        <v>0</v>
      </c>
      <c r="K93" s="80">
        <f>IF($K$2=2014,IF((SUM(данные!AH91:AL91)*данные!$AT$3-данные!AE91)&gt;0,данные!AY91,данные!AH91*данные!$AT$3),данные!AH91*данные!$AT$3)</f>
        <v>0</v>
      </c>
      <c r="L93" s="80">
        <f>IF($K$2=2014,IF((SUM(данные!AI91:AM91)*данные!$AT$3-данные!AF91)&gt;0,данные!AZ91,данные!AI91*данные!$AT$3),данные!AI91*данные!$AT$3)</f>
        <v>0</v>
      </c>
      <c r="M93" s="80">
        <f>IF($K$2=2014,IF((SUM(данные!AJ91:AN91)*данные!$AT$3-данные!AG91)&gt;0,данные!BA91,данные!AJ91*данные!$AT$3),данные!AJ91*данные!$AT$3)</f>
        <v>0</v>
      </c>
      <c r="N93" s="80">
        <f>IF($K$2=2014,IF((SUM(данные!AK91:AO91)*данные!$AT$3-данные!AH91)&gt;0,данные!BB91,данные!AK91*данные!$AT$3),данные!AK91*данные!$AT$3)</f>
        <v>0</v>
      </c>
      <c r="O93" s="81">
        <f>SUM(Таблица6[[#This Row],[ПИР]:[Прочие]])</f>
        <v>0</v>
      </c>
      <c r="P93" s="110" t="str">
        <f>IFERROR(Таблица6[[#This Row],[Итого в прогнозных ценах с применением методики снижения]]/Таблица6[[#This Row],[кол-во]],"")</f>
        <v/>
      </c>
      <c r="R93" s="153">
        <f>SUM(данные!N91:R91)</f>
        <v>0</v>
      </c>
      <c r="S93" s="146">
        <f>SUM(данные!X91:AB91)*0.9*1.058</f>
        <v>0</v>
      </c>
      <c r="T93" s="154">
        <f>Таблица6[[#This Row],[в ценах 4 кв 2012г]]*данные!$AT$3</f>
        <v>0</v>
      </c>
    </row>
    <row r="94" spans="1:20" x14ac:dyDescent="0.25">
      <c r="A94" s="77" t="str">
        <f>IF(калькулятор!C96=0,"",калькулятор!C96)</f>
        <v/>
      </c>
      <c r="B94" s="78" t="str">
        <f>IF(калькулятор!D96=0,"",калькулятор!D96)</f>
        <v/>
      </c>
      <c r="C94" s="78" t="str">
        <f>IF(калькулятор!E96=0,"",калькулятор!E96)</f>
        <v/>
      </c>
      <c r="D94" s="78" t="str">
        <f>IF(калькулятор!F96=0,"",калькулятор!F96)</f>
        <v/>
      </c>
      <c r="E94" s="79" t="str">
        <f>IF(калькулятор!I96=0,"",калькулятор!I96)</f>
        <v/>
      </c>
      <c r="F94" s="79">
        <f>данные!AE92</f>
        <v>0</v>
      </c>
      <c r="G94" s="79">
        <f>данные!AF92</f>
        <v>0</v>
      </c>
      <c r="H94" s="79">
        <f>данные!AC92</f>
        <v>0</v>
      </c>
      <c r="I94" s="79">
        <f>данные!AG92+данные!AH92+данные!AI92+данные!AJ92+данные!AK92</f>
        <v>0</v>
      </c>
      <c r="J94" s="80">
        <f>IF($K$2=2014,IF((SUM(данные!AG92:AK92)*данные!$AT$3-данные!AD92)&gt;0,данные!AX92,данные!AG92*данные!$AT$3),данные!AG92*данные!$AT$3)</f>
        <v>0</v>
      </c>
      <c r="K94" s="80">
        <f>IF($K$2=2014,IF((SUM(данные!AH92:AL92)*данные!$AT$3-данные!AE92)&gt;0,данные!AY92,данные!AH92*данные!$AT$3),данные!AH92*данные!$AT$3)</f>
        <v>0</v>
      </c>
      <c r="L94" s="80">
        <f>IF($K$2=2014,IF((SUM(данные!AI92:AM92)*данные!$AT$3-данные!AF92)&gt;0,данные!AZ92,данные!AI92*данные!$AT$3),данные!AI92*данные!$AT$3)</f>
        <v>0</v>
      </c>
      <c r="M94" s="80">
        <f>IF($K$2=2014,IF((SUM(данные!AJ92:AN92)*данные!$AT$3-данные!AG92)&gt;0,данные!BA92,данные!AJ92*данные!$AT$3),данные!AJ92*данные!$AT$3)</f>
        <v>0</v>
      </c>
      <c r="N94" s="80">
        <f>IF($K$2=2014,IF((SUM(данные!AK92:AO92)*данные!$AT$3-данные!AH92)&gt;0,данные!BB92,данные!AK92*данные!$AT$3),данные!AK92*данные!$AT$3)</f>
        <v>0</v>
      </c>
      <c r="O94" s="81">
        <f>SUM(Таблица6[[#This Row],[ПИР]:[Прочие]])</f>
        <v>0</v>
      </c>
      <c r="P94" s="110" t="str">
        <f>IFERROR(Таблица6[[#This Row],[Итого в прогнозных ценах с применением методики снижения]]/Таблица6[[#This Row],[кол-во]],"")</f>
        <v/>
      </c>
      <c r="R94" s="153">
        <f>SUM(данные!N92:R92)</f>
        <v>0</v>
      </c>
      <c r="S94" s="146">
        <f>SUM(данные!X92:AB92)*0.9*1.058</f>
        <v>0</v>
      </c>
      <c r="T94" s="154">
        <f>Таблица6[[#This Row],[в ценах 4 кв 2012г]]*данные!$AT$3</f>
        <v>0</v>
      </c>
    </row>
    <row r="95" spans="1:20" x14ac:dyDescent="0.25">
      <c r="A95" s="77" t="str">
        <f>IF(калькулятор!C97=0,"",калькулятор!C97)</f>
        <v/>
      </c>
      <c r="B95" s="78" t="str">
        <f>IF(калькулятор!D97=0,"",калькулятор!D97)</f>
        <v/>
      </c>
      <c r="C95" s="78" t="str">
        <f>IF(калькулятор!E97=0,"",калькулятор!E97)</f>
        <v/>
      </c>
      <c r="D95" s="78" t="str">
        <f>IF(калькулятор!F97=0,"",калькулятор!F97)</f>
        <v/>
      </c>
      <c r="E95" s="79" t="str">
        <f>IF(калькулятор!I97=0,"",калькулятор!I97)</f>
        <v/>
      </c>
      <c r="F95" s="79">
        <f>данные!AE93</f>
        <v>0</v>
      </c>
      <c r="G95" s="79">
        <f>данные!AF93</f>
        <v>0</v>
      </c>
      <c r="H95" s="79">
        <f>данные!AC93</f>
        <v>0</v>
      </c>
      <c r="I95" s="79">
        <f>данные!AG93+данные!AH93+данные!AI93+данные!AJ93+данные!AK93</f>
        <v>0</v>
      </c>
      <c r="J95" s="80">
        <f>IF($K$2=2014,IF((SUM(данные!AG93:AK93)*данные!$AT$3-данные!AD93)&gt;0,данные!AX93,данные!AG93*данные!$AT$3),данные!AG93*данные!$AT$3)</f>
        <v>0</v>
      </c>
      <c r="K95" s="80">
        <f>IF($K$2=2014,IF((SUM(данные!AH93:AL93)*данные!$AT$3-данные!AE93)&gt;0,данные!AY93,данные!AH93*данные!$AT$3),данные!AH93*данные!$AT$3)</f>
        <v>0</v>
      </c>
      <c r="L95" s="80">
        <f>IF($K$2=2014,IF((SUM(данные!AI93:AM93)*данные!$AT$3-данные!AF93)&gt;0,данные!AZ93,данные!AI93*данные!$AT$3),данные!AI93*данные!$AT$3)</f>
        <v>0</v>
      </c>
      <c r="M95" s="80">
        <f>IF($K$2=2014,IF((SUM(данные!AJ93:AN93)*данные!$AT$3-данные!AG93)&gt;0,данные!BA93,данные!AJ93*данные!$AT$3),данные!AJ93*данные!$AT$3)</f>
        <v>0</v>
      </c>
      <c r="N95" s="80">
        <f>IF($K$2=2014,IF((SUM(данные!AK93:AO93)*данные!$AT$3-данные!AH93)&gt;0,данные!BB93,данные!AK93*данные!$AT$3),данные!AK93*данные!$AT$3)</f>
        <v>0</v>
      </c>
      <c r="O95" s="81">
        <f>SUM(Таблица6[[#This Row],[ПИР]:[Прочие]])</f>
        <v>0</v>
      </c>
      <c r="P95" s="110" t="str">
        <f>IFERROR(Таблица6[[#This Row],[Итого в прогнозных ценах с применением методики снижения]]/Таблица6[[#This Row],[кол-во]],"")</f>
        <v/>
      </c>
      <c r="R95" s="153">
        <f>SUM(данные!N93:R93)</f>
        <v>0</v>
      </c>
      <c r="S95" s="146">
        <f>SUM(данные!X93:AB93)*0.9*1.058</f>
        <v>0</v>
      </c>
      <c r="T95" s="154">
        <f>Таблица6[[#This Row],[в ценах 4 кв 2012г]]*данные!$AT$3</f>
        <v>0</v>
      </c>
    </row>
    <row r="96" spans="1:20" x14ac:dyDescent="0.25">
      <c r="A96" s="77" t="str">
        <f>IF(калькулятор!C98=0,"",калькулятор!C98)</f>
        <v/>
      </c>
      <c r="B96" s="78" t="str">
        <f>IF(калькулятор!D98=0,"",калькулятор!D98)</f>
        <v/>
      </c>
      <c r="C96" s="78" t="str">
        <f>IF(калькулятор!E98=0,"",калькулятор!E98)</f>
        <v/>
      </c>
      <c r="D96" s="78" t="str">
        <f>IF(калькулятор!F98=0,"",калькулятор!F98)</f>
        <v/>
      </c>
      <c r="E96" s="79" t="str">
        <f>IF(калькулятор!I98=0,"",калькулятор!I98)</f>
        <v/>
      </c>
      <c r="F96" s="79">
        <f>данные!AE94</f>
        <v>0</v>
      </c>
      <c r="G96" s="79">
        <f>данные!AF94</f>
        <v>0</v>
      </c>
      <c r="H96" s="79">
        <f>данные!AC94</f>
        <v>0</v>
      </c>
      <c r="I96" s="79">
        <f>данные!AG94+данные!AH94+данные!AI94+данные!AJ94+данные!AK94</f>
        <v>0</v>
      </c>
      <c r="J96" s="80">
        <f>IF($K$2=2014,IF((SUM(данные!AG94:AK94)*данные!$AT$3-данные!AD94)&gt;0,данные!AX94,данные!AG94*данные!$AT$3),данные!AG94*данные!$AT$3)</f>
        <v>0</v>
      </c>
      <c r="K96" s="80">
        <f>IF($K$2=2014,IF((SUM(данные!AH94:AL94)*данные!$AT$3-данные!AE94)&gt;0,данные!AY94,данные!AH94*данные!$AT$3),данные!AH94*данные!$AT$3)</f>
        <v>0</v>
      </c>
      <c r="L96" s="80">
        <f>IF($K$2=2014,IF((SUM(данные!AI94:AM94)*данные!$AT$3-данные!AF94)&gt;0,данные!AZ94,данные!AI94*данные!$AT$3),данные!AI94*данные!$AT$3)</f>
        <v>0</v>
      </c>
      <c r="M96" s="80">
        <f>IF($K$2=2014,IF((SUM(данные!AJ94:AN94)*данные!$AT$3-данные!AG94)&gt;0,данные!BA94,данные!AJ94*данные!$AT$3),данные!AJ94*данные!$AT$3)</f>
        <v>0</v>
      </c>
      <c r="N96" s="80">
        <f>IF($K$2=2014,IF((SUM(данные!AK94:AO94)*данные!$AT$3-данные!AH94)&gt;0,данные!BB94,данные!AK94*данные!$AT$3),данные!AK94*данные!$AT$3)</f>
        <v>0</v>
      </c>
      <c r="O96" s="81">
        <f>SUM(Таблица6[[#This Row],[ПИР]:[Прочие]])</f>
        <v>0</v>
      </c>
      <c r="P96" s="110" t="str">
        <f>IFERROR(Таблица6[[#This Row],[Итого в прогнозных ценах с применением методики снижения]]/Таблица6[[#This Row],[кол-во]],"")</f>
        <v/>
      </c>
      <c r="R96" s="153">
        <f>SUM(данные!N94:R94)</f>
        <v>0</v>
      </c>
      <c r="S96" s="146">
        <f>SUM(данные!X94:AB94)*0.9*1.058</f>
        <v>0</v>
      </c>
      <c r="T96" s="154">
        <f>Таблица6[[#This Row],[в ценах 4 кв 2012г]]*данные!$AT$3</f>
        <v>0</v>
      </c>
    </row>
    <row r="97" spans="1:20" x14ac:dyDescent="0.25">
      <c r="A97" s="77" t="str">
        <f>IF(калькулятор!C99=0,"",калькулятор!C99)</f>
        <v/>
      </c>
      <c r="B97" s="78" t="str">
        <f>IF(калькулятор!D99=0,"",калькулятор!D99)</f>
        <v/>
      </c>
      <c r="C97" s="78" t="str">
        <f>IF(калькулятор!E99=0,"",калькулятор!E99)</f>
        <v/>
      </c>
      <c r="D97" s="78" t="str">
        <f>IF(калькулятор!F99=0,"",калькулятор!F99)</f>
        <v/>
      </c>
      <c r="E97" s="79" t="str">
        <f>IF(калькулятор!I99=0,"",калькулятор!I99)</f>
        <v/>
      </c>
      <c r="F97" s="79">
        <f>данные!AE95</f>
        <v>0</v>
      </c>
      <c r="G97" s="79">
        <f>данные!AF95</f>
        <v>0</v>
      </c>
      <c r="H97" s="79">
        <f>данные!AC95</f>
        <v>0</v>
      </c>
      <c r="I97" s="79">
        <f>данные!AG95+данные!AH95+данные!AI95+данные!AJ95+данные!AK95</f>
        <v>0</v>
      </c>
      <c r="J97" s="80">
        <f>IF($K$2=2014,IF((SUM(данные!AG95:AK95)*данные!$AT$3-данные!AD95)&gt;0,данные!AX95,данные!AG95*данные!$AT$3),данные!AG95*данные!$AT$3)</f>
        <v>0</v>
      </c>
      <c r="K97" s="80">
        <f>IF($K$2=2014,IF((SUM(данные!AH95:AL95)*данные!$AT$3-данные!AE95)&gt;0,данные!AY95,данные!AH95*данные!$AT$3),данные!AH95*данные!$AT$3)</f>
        <v>0</v>
      </c>
      <c r="L97" s="80">
        <f>IF($K$2=2014,IF((SUM(данные!AI95:AM95)*данные!$AT$3-данные!AF95)&gt;0,данные!AZ95,данные!AI95*данные!$AT$3),данные!AI95*данные!$AT$3)</f>
        <v>0</v>
      </c>
      <c r="M97" s="80">
        <f>IF($K$2=2014,IF((SUM(данные!AJ95:AN95)*данные!$AT$3-данные!AG95)&gt;0,данные!BA95,данные!AJ95*данные!$AT$3),данные!AJ95*данные!$AT$3)</f>
        <v>0</v>
      </c>
      <c r="N97" s="80">
        <f>IF($K$2=2014,IF((SUM(данные!AK95:AO95)*данные!$AT$3-данные!AH95)&gt;0,данные!BB95,данные!AK95*данные!$AT$3),данные!AK95*данные!$AT$3)</f>
        <v>0</v>
      </c>
      <c r="O97" s="81">
        <f>SUM(Таблица6[[#This Row],[ПИР]:[Прочие]])</f>
        <v>0</v>
      </c>
      <c r="P97" s="110" t="str">
        <f>IFERROR(Таблица6[[#This Row],[Итого в прогнозных ценах с применением методики снижения]]/Таблица6[[#This Row],[кол-во]],"")</f>
        <v/>
      </c>
      <c r="R97" s="153">
        <f>SUM(данные!N95:R95)</f>
        <v>0</v>
      </c>
      <c r="S97" s="146">
        <f>SUM(данные!X95:AB95)*0.9*1.058</f>
        <v>0</v>
      </c>
      <c r="T97" s="154">
        <f>Таблица6[[#This Row],[в ценах 4 кв 2012г]]*данные!$AT$3</f>
        <v>0</v>
      </c>
    </row>
    <row r="98" spans="1:20" x14ac:dyDescent="0.25">
      <c r="A98" s="77" t="str">
        <f>IF(калькулятор!C100=0,"",калькулятор!C100)</f>
        <v/>
      </c>
      <c r="B98" s="78" t="str">
        <f>IF(калькулятор!D100=0,"",калькулятор!D100)</f>
        <v/>
      </c>
      <c r="C98" s="78" t="str">
        <f>IF(калькулятор!E100=0,"",калькулятор!E100)</f>
        <v/>
      </c>
      <c r="D98" s="78" t="str">
        <f>IF(калькулятор!F100=0,"",калькулятор!F100)</f>
        <v/>
      </c>
      <c r="E98" s="79" t="str">
        <f>IF(калькулятор!I100=0,"",калькулятор!I100)</f>
        <v/>
      </c>
      <c r="F98" s="79">
        <f>данные!AE96</f>
        <v>0</v>
      </c>
      <c r="G98" s="79">
        <f>данные!AF96</f>
        <v>0</v>
      </c>
      <c r="H98" s="79">
        <f>данные!AC96</f>
        <v>0</v>
      </c>
      <c r="I98" s="79">
        <f>данные!AG96+данные!AH96+данные!AI96+данные!AJ96+данные!AK96</f>
        <v>0</v>
      </c>
      <c r="J98" s="80">
        <f>IF($K$2=2014,IF((SUM(данные!AG96:AK96)*данные!$AT$3-данные!AD96)&gt;0,данные!AX96,данные!AG96*данные!$AT$3),данные!AG96*данные!$AT$3)</f>
        <v>0</v>
      </c>
      <c r="K98" s="80">
        <f>IF($K$2=2014,IF((SUM(данные!AH96:AL96)*данные!$AT$3-данные!AE96)&gt;0,данные!AY96,данные!AH96*данные!$AT$3),данные!AH96*данные!$AT$3)</f>
        <v>0</v>
      </c>
      <c r="L98" s="80">
        <f>IF($K$2=2014,IF((SUM(данные!AI96:AM96)*данные!$AT$3-данные!AF96)&gt;0,данные!AZ96,данные!AI96*данные!$AT$3),данные!AI96*данные!$AT$3)</f>
        <v>0</v>
      </c>
      <c r="M98" s="80">
        <f>IF($K$2=2014,IF((SUM(данные!AJ96:AN96)*данные!$AT$3-данные!AG96)&gt;0,данные!BA96,данные!AJ96*данные!$AT$3),данные!AJ96*данные!$AT$3)</f>
        <v>0</v>
      </c>
      <c r="N98" s="80">
        <f>IF($K$2=2014,IF((SUM(данные!AK96:AO96)*данные!$AT$3-данные!AH96)&gt;0,данные!BB96,данные!AK96*данные!$AT$3),данные!AK96*данные!$AT$3)</f>
        <v>0</v>
      </c>
      <c r="O98" s="81">
        <f>SUM(Таблица6[[#This Row],[ПИР]:[Прочие]])</f>
        <v>0</v>
      </c>
      <c r="P98" s="110" t="str">
        <f>IFERROR(Таблица6[[#This Row],[Итого в прогнозных ценах с применением методики снижения]]/Таблица6[[#This Row],[кол-во]],"")</f>
        <v/>
      </c>
      <c r="R98" s="153">
        <f>SUM(данные!N96:R96)</f>
        <v>0</v>
      </c>
      <c r="S98" s="146">
        <f>SUM(данные!X96:AB96)*0.9*1.058</f>
        <v>0</v>
      </c>
      <c r="T98" s="154">
        <f>Таблица6[[#This Row],[в ценах 4 кв 2012г]]*данные!$AT$3</f>
        <v>0</v>
      </c>
    </row>
    <row r="99" spans="1:20" x14ac:dyDescent="0.25">
      <c r="A99" s="77" t="str">
        <f>IF(калькулятор!C101=0,"",калькулятор!C101)</f>
        <v/>
      </c>
      <c r="B99" s="78" t="str">
        <f>IF(калькулятор!D101=0,"",калькулятор!D101)</f>
        <v/>
      </c>
      <c r="C99" s="78" t="str">
        <f>IF(калькулятор!E101=0,"",калькулятор!E101)</f>
        <v/>
      </c>
      <c r="D99" s="78" t="str">
        <f>IF(калькулятор!F101=0,"",калькулятор!F101)</f>
        <v/>
      </c>
      <c r="E99" s="79" t="str">
        <f>IF(калькулятор!I101=0,"",калькулятор!I101)</f>
        <v/>
      </c>
      <c r="F99" s="79">
        <f>данные!AE97</f>
        <v>0</v>
      </c>
      <c r="G99" s="79">
        <f>данные!AF97</f>
        <v>0</v>
      </c>
      <c r="H99" s="79">
        <f>данные!AC97</f>
        <v>0</v>
      </c>
      <c r="I99" s="79">
        <f>данные!AG97+данные!AH97+данные!AI97+данные!AJ97+данные!AK97</f>
        <v>0</v>
      </c>
      <c r="J99" s="80">
        <f>IF($K$2=2014,IF((SUM(данные!AG97:AK97)*данные!$AT$3-данные!AD97)&gt;0,данные!AX97,данные!AG97*данные!$AT$3),данные!AG97*данные!$AT$3)</f>
        <v>0</v>
      </c>
      <c r="K99" s="80">
        <f>IF($K$2=2014,IF((SUM(данные!AH97:AL97)*данные!$AT$3-данные!AE97)&gt;0,данные!AY97,данные!AH97*данные!$AT$3),данные!AH97*данные!$AT$3)</f>
        <v>0</v>
      </c>
      <c r="L99" s="80">
        <f>IF($K$2=2014,IF((SUM(данные!AI97:AM97)*данные!$AT$3-данные!AF97)&gt;0,данные!AZ97,данные!AI97*данные!$AT$3),данные!AI97*данные!$AT$3)</f>
        <v>0</v>
      </c>
      <c r="M99" s="80">
        <f>IF($K$2=2014,IF((SUM(данные!AJ97:AN97)*данные!$AT$3-данные!AG97)&gt;0,данные!BA97,данные!AJ97*данные!$AT$3),данные!AJ97*данные!$AT$3)</f>
        <v>0</v>
      </c>
      <c r="N99" s="80">
        <f>IF($K$2=2014,IF((SUM(данные!AK97:AO97)*данные!$AT$3-данные!AH97)&gt;0,данные!BB97,данные!AK97*данные!$AT$3),данные!AK97*данные!$AT$3)</f>
        <v>0</v>
      </c>
      <c r="O99" s="81">
        <f>SUM(Таблица6[[#This Row],[ПИР]:[Прочие]])</f>
        <v>0</v>
      </c>
      <c r="P99" s="110" t="str">
        <f>IFERROR(Таблица6[[#This Row],[Итого в прогнозных ценах с применением методики снижения]]/Таблица6[[#This Row],[кол-во]],"")</f>
        <v/>
      </c>
      <c r="R99" s="153">
        <f>SUM(данные!N97:R97)</f>
        <v>0</v>
      </c>
      <c r="S99" s="146">
        <f>SUM(данные!X97:AB97)*0.9*1.058</f>
        <v>0</v>
      </c>
      <c r="T99" s="154">
        <f>Таблица6[[#This Row],[в ценах 4 кв 2012г]]*данные!$AT$3</f>
        <v>0</v>
      </c>
    </row>
    <row r="100" spans="1:20" x14ac:dyDescent="0.25">
      <c r="A100" s="77" t="str">
        <f>IF(калькулятор!C102=0,"",калькулятор!C102)</f>
        <v/>
      </c>
      <c r="B100" s="78" t="str">
        <f>IF(калькулятор!D102=0,"",калькулятор!D102)</f>
        <v/>
      </c>
      <c r="C100" s="78" t="str">
        <f>IF(калькулятор!E102=0,"",калькулятор!E102)</f>
        <v/>
      </c>
      <c r="D100" s="78" t="str">
        <f>IF(калькулятор!F102=0,"",калькулятор!F102)</f>
        <v/>
      </c>
      <c r="E100" s="79" t="str">
        <f>IF(калькулятор!I102=0,"",калькулятор!I102)</f>
        <v/>
      </c>
      <c r="F100" s="79">
        <f>данные!AE98</f>
        <v>0</v>
      </c>
      <c r="G100" s="79">
        <f>данные!AF98</f>
        <v>0</v>
      </c>
      <c r="H100" s="79">
        <f>данные!AC98</f>
        <v>0</v>
      </c>
      <c r="I100" s="79">
        <f>данные!AG98+данные!AH98+данные!AI98+данные!AJ98+данные!AK98</f>
        <v>0</v>
      </c>
      <c r="J100" s="80">
        <f>IF($K$2=2014,IF((SUM(данные!AG98:AK98)*данные!$AT$3-данные!AD98)&gt;0,данные!AX98,данные!AG98*данные!$AT$3),данные!AG98*данные!$AT$3)</f>
        <v>0</v>
      </c>
      <c r="K100" s="80">
        <f>IF($K$2=2014,IF((SUM(данные!AH98:AL98)*данные!$AT$3-данные!AE98)&gt;0,данные!AY98,данные!AH98*данные!$AT$3),данные!AH98*данные!$AT$3)</f>
        <v>0</v>
      </c>
      <c r="L100" s="80">
        <f>IF($K$2=2014,IF((SUM(данные!AI98:AM98)*данные!$AT$3-данные!AF98)&gt;0,данные!AZ98,данные!AI98*данные!$AT$3),данные!AI98*данные!$AT$3)</f>
        <v>0</v>
      </c>
      <c r="M100" s="80">
        <f>IF($K$2=2014,IF((SUM(данные!AJ98:AN98)*данные!$AT$3-данные!AG98)&gt;0,данные!BA98,данные!AJ98*данные!$AT$3),данные!AJ98*данные!$AT$3)</f>
        <v>0</v>
      </c>
      <c r="N100" s="80">
        <f>IF($K$2=2014,IF((SUM(данные!AK98:AO98)*данные!$AT$3-данные!AH98)&gt;0,данные!BB98,данные!AK98*данные!$AT$3),данные!AK98*данные!$AT$3)</f>
        <v>0</v>
      </c>
      <c r="O100" s="81">
        <f>SUM(Таблица6[[#This Row],[ПИР]:[Прочие]])</f>
        <v>0</v>
      </c>
      <c r="P100" s="110" t="str">
        <f>IFERROR(Таблица6[[#This Row],[Итого в прогнозных ценах с применением методики снижения]]/Таблица6[[#This Row],[кол-во]],"")</f>
        <v/>
      </c>
      <c r="R100" s="153">
        <f>SUM(данные!N98:R98)</f>
        <v>0</v>
      </c>
      <c r="S100" s="146">
        <f>SUM(данные!X98:AB98)*0.9*1.058</f>
        <v>0</v>
      </c>
      <c r="T100" s="154">
        <f>Таблица6[[#This Row],[в ценах 4 кв 2012г]]*данные!$AT$3</f>
        <v>0</v>
      </c>
    </row>
    <row r="101" spans="1:20" x14ac:dyDescent="0.25">
      <c r="A101" s="77" t="str">
        <f>IF(калькулятор!C103=0,"",калькулятор!C103)</f>
        <v/>
      </c>
      <c r="B101" s="78" t="str">
        <f>IF(калькулятор!D103=0,"",калькулятор!D103)</f>
        <v/>
      </c>
      <c r="C101" s="78" t="str">
        <f>IF(калькулятор!E103=0,"",калькулятор!E103)</f>
        <v/>
      </c>
      <c r="D101" s="78" t="str">
        <f>IF(калькулятор!F103=0,"",калькулятор!F103)</f>
        <v/>
      </c>
      <c r="E101" s="79" t="str">
        <f>IF(калькулятор!I103=0,"",калькулятор!I103)</f>
        <v/>
      </c>
      <c r="F101" s="79">
        <f>данные!AE99</f>
        <v>0</v>
      </c>
      <c r="G101" s="79">
        <f>данные!AF99</f>
        <v>0</v>
      </c>
      <c r="H101" s="79">
        <f>данные!AC99</f>
        <v>0</v>
      </c>
      <c r="I101" s="79">
        <f>данные!AG99+данные!AH99+данные!AI99+данные!AJ99+данные!AK99</f>
        <v>0</v>
      </c>
      <c r="J101" s="80">
        <f>IF($K$2=2014,IF((SUM(данные!AG99:AK99)*данные!$AT$3-данные!AD99)&gt;0,данные!AX99,данные!AG99*данные!$AT$3),данные!AG99*данные!$AT$3)</f>
        <v>0</v>
      </c>
      <c r="K101" s="80">
        <f>IF($K$2=2014,IF((SUM(данные!AH99:AL99)*данные!$AT$3-данные!AE99)&gt;0,данные!AY99,данные!AH99*данные!$AT$3),данные!AH99*данные!$AT$3)</f>
        <v>0</v>
      </c>
      <c r="L101" s="80">
        <f>IF($K$2=2014,IF((SUM(данные!AI99:AM99)*данные!$AT$3-данные!AF99)&gt;0,данные!AZ99,данные!AI99*данные!$AT$3),данные!AI99*данные!$AT$3)</f>
        <v>0</v>
      </c>
      <c r="M101" s="80">
        <f>IF($K$2=2014,IF((SUM(данные!AJ99:AN99)*данные!$AT$3-данные!AG99)&gt;0,данные!BA99,данные!AJ99*данные!$AT$3),данные!AJ99*данные!$AT$3)</f>
        <v>0</v>
      </c>
      <c r="N101" s="80">
        <f>IF($K$2=2014,IF((SUM(данные!AK99:AO99)*данные!$AT$3-данные!AH99)&gt;0,данные!BB99,данные!AK99*данные!$AT$3),данные!AK99*данные!$AT$3)</f>
        <v>0</v>
      </c>
      <c r="O101" s="81">
        <f>SUM(Таблица6[[#This Row],[ПИР]:[Прочие]])</f>
        <v>0</v>
      </c>
      <c r="P101" s="110" t="str">
        <f>IFERROR(Таблица6[[#This Row],[Итого в прогнозных ценах с применением методики снижения]]/Таблица6[[#This Row],[кол-во]],"")</f>
        <v/>
      </c>
      <c r="R101" s="153">
        <f>SUM(данные!N99:R99)</f>
        <v>0</v>
      </c>
      <c r="S101" s="146">
        <f>SUM(данные!X99:AB99)*0.9*1.058</f>
        <v>0</v>
      </c>
      <c r="T101" s="154">
        <f>Таблица6[[#This Row],[в ценах 4 кв 2012г]]*данные!$AT$3</f>
        <v>0</v>
      </c>
    </row>
    <row r="102" spans="1:20" x14ac:dyDescent="0.25">
      <c r="A102" s="77" t="str">
        <f>IF(калькулятор!C104=0,"",калькулятор!C104)</f>
        <v/>
      </c>
      <c r="B102" s="78" t="str">
        <f>IF(калькулятор!D104=0,"",калькулятор!D104)</f>
        <v/>
      </c>
      <c r="C102" s="78" t="str">
        <f>IF(калькулятор!E104=0,"",калькулятор!E104)</f>
        <v/>
      </c>
      <c r="D102" s="78" t="str">
        <f>IF(калькулятор!F104=0,"",калькулятор!F104)</f>
        <v/>
      </c>
      <c r="E102" s="79" t="str">
        <f>IF(калькулятор!I104=0,"",калькулятор!I104)</f>
        <v/>
      </c>
      <c r="F102" s="79">
        <f>данные!AE100</f>
        <v>0</v>
      </c>
      <c r="G102" s="79">
        <f>данные!AF100</f>
        <v>0</v>
      </c>
      <c r="H102" s="79">
        <f>данные!AC100</f>
        <v>0</v>
      </c>
      <c r="I102" s="79">
        <f>данные!AG100+данные!AH100+данные!AI100+данные!AJ100+данные!AK100</f>
        <v>0</v>
      </c>
      <c r="J102" s="80">
        <f>IF($K$2=2014,IF((SUM(данные!AG100:AK100)*данные!$AT$3-данные!AD100)&gt;0,данные!AX100,данные!AG100*данные!$AT$3),данные!AG100*данные!$AT$3)</f>
        <v>0</v>
      </c>
      <c r="K102" s="80">
        <f>IF($K$2=2014,IF((SUM(данные!AH100:AL100)*данные!$AT$3-данные!AE100)&gt;0,данные!AY100,данные!AH100*данные!$AT$3),данные!AH100*данные!$AT$3)</f>
        <v>0</v>
      </c>
      <c r="L102" s="80">
        <f>IF($K$2=2014,IF((SUM(данные!AI100:AM100)*данные!$AT$3-данные!AF100)&gt;0,данные!AZ100,данные!AI100*данные!$AT$3),данные!AI100*данные!$AT$3)</f>
        <v>0</v>
      </c>
      <c r="M102" s="80">
        <f>IF($K$2=2014,IF((SUM(данные!AJ100:AN100)*данные!$AT$3-данные!AG100)&gt;0,данные!BA100,данные!AJ100*данные!$AT$3),данные!AJ100*данные!$AT$3)</f>
        <v>0</v>
      </c>
      <c r="N102" s="80">
        <f>IF($K$2=2014,IF((SUM(данные!AK100:AO100)*данные!$AT$3-данные!AH100)&gt;0,данные!BB100,данные!AK100*данные!$AT$3),данные!AK100*данные!$AT$3)</f>
        <v>0</v>
      </c>
      <c r="O102" s="81">
        <f>SUM(Таблица6[[#This Row],[ПИР]:[Прочие]])</f>
        <v>0</v>
      </c>
      <c r="P102" s="110" t="str">
        <f>IFERROR(Таблица6[[#This Row],[Итого в прогнозных ценах с применением методики снижения]]/Таблица6[[#This Row],[кол-во]],"")</f>
        <v/>
      </c>
      <c r="R102" s="153">
        <f>SUM(данные!N100:R100)</f>
        <v>0</v>
      </c>
      <c r="S102" s="146">
        <f>SUM(данные!X100:AB100)*0.9*1.058</f>
        <v>0</v>
      </c>
      <c r="T102" s="154">
        <f>Таблица6[[#This Row],[в ценах 4 кв 2012г]]*данные!$AT$3</f>
        <v>0</v>
      </c>
    </row>
    <row r="103" spans="1:20" x14ac:dyDescent="0.25">
      <c r="A103" s="77" t="str">
        <f>IF(калькулятор!C105=0,"",калькулятор!C105)</f>
        <v/>
      </c>
      <c r="B103" s="78" t="str">
        <f>IF(калькулятор!D105=0,"",калькулятор!D105)</f>
        <v/>
      </c>
      <c r="C103" s="78" t="str">
        <f>IF(калькулятор!E105=0,"",калькулятор!E105)</f>
        <v/>
      </c>
      <c r="D103" s="78" t="str">
        <f>IF(калькулятор!F105=0,"",калькулятор!F105)</f>
        <v/>
      </c>
      <c r="E103" s="79" t="str">
        <f>IF(калькулятор!I105=0,"",калькулятор!I105)</f>
        <v/>
      </c>
      <c r="F103" s="79">
        <f>данные!AE101</f>
        <v>0</v>
      </c>
      <c r="G103" s="79">
        <f>данные!AF101</f>
        <v>0</v>
      </c>
      <c r="H103" s="79">
        <f>данные!AC101</f>
        <v>0</v>
      </c>
      <c r="I103" s="79">
        <f>данные!AG101+данные!AH101+данные!AI101+данные!AJ101+данные!AK101</f>
        <v>0</v>
      </c>
      <c r="J103" s="80">
        <f>IF($K$2=2014,IF((SUM(данные!AG101:AK101)*данные!$AT$3-данные!AD101)&gt;0,данные!AX101,данные!AG101*данные!$AT$3),данные!AG101*данные!$AT$3)</f>
        <v>0</v>
      </c>
      <c r="K103" s="80">
        <f>IF($K$2=2014,IF((SUM(данные!AH101:AL101)*данные!$AT$3-данные!AE101)&gt;0,данные!AY101,данные!AH101*данные!$AT$3),данные!AH101*данные!$AT$3)</f>
        <v>0</v>
      </c>
      <c r="L103" s="80">
        <f>IF($K$2=2014,IF((SUM(данные!AI101:AM101)*данные!$AT$3-данные!AF101)&gt;0,данные!AZ101,данные!AI101*данные!$AT$3),данные!AI101*данные!$AT$3)</f>
        <v>0</v>
      </c>
      <c r="M103" s="80">
        <f>IF($K$2=2014,IF((SUM(данные!AJ101:AN101)*данные!$AT$3-данные!AG101)&gt;0,данные!BA101,данные!AJ101*данные!$AT$3),данные!AJ101*данные!$AT$3)</f>
        <v>0</v>
      </c>
      <c r="N103" s="80">
        <f>IF($K$2=2014,IF((SUM(данные!AK101:AO101)*данные!$AT$3-данные!AH101)&gt;0,данные!BB101,данные!AK101*данные!$AT$3),данные!AK101*данные!$AT$3)</f>
        <v>0</v>
      </c>
      <c r="O103" s="81">
        <f>SUM(Таблица6[[#This Row],[ПИР]:[Прочие]])</f>
        <v>0</v>
      </c>
      <c r="P103" s="110" t="str">
        <f>IFERROR(Таблица6[[#This Row],[Итого в прогнозных ценах с применением методики снижения]]/Таблица6[[#This Row],[кол-во]],"")</f>
        <v/>
      </c>
      <c r="R103" s="153">
        <f>SUM(данные!N101:R101)</f>
        <v>0</v>
      </c>
      <c r="S103" s="146">
        <f>SUM(данные!X101:AB101)*0.9*1.058</f>
        <v>0</v>
      </c>
      <c r="T103" s="154">
        <f>Таблица6[[#This Row],[в ценах 4 кв 2012г]]*данные!$AT$3</f>
        <v>0</v>
      </c>
    </row>
    <row r="104" spans="1:20" x14ac:dyDescent="0.25">
      <c r="A104" s="77" t="str">
        <f>IF(калькулятор!C106=0,"",калькулятор!C106)</f>
        <v/>
      </c>
      <c r="B104" s="78" t="str">
        <f>IF(калькулятор!D106=0,"",калькулятор!D106)</f>
        <v/>
      </c>
      <c r="C104" s="78" t="str">
        <f>IF(калькулятор!E106=0,"",калькулятор!E106)</f>
        <v/>
      </c>
      <c r="D104" s="78" t="str">
        <f>IF(калькулятор!F106=0,"",калькулятор!F106)</f>
        <v/>
      </c>
      <c r="E104" s="79" t="str">
        <f>IF(калькулятор!I106=0,"",калькулятор!I106)</f>
        <v/>
      </c>
      <c r="F104" s="79">
        <f>данные!AE102</f>
        <v>0</v>
      </c>
      <c r="G104" s="79">
        <f>данные!AF102</f>
        <v>0</v>
      </c>
      <c r="H104" s="79">
        <f>данные!AC102</f>
        <v>0</v>
      </c>
      <c r="I104" s="79">
        <f>данные!AG102+данные!AH102+данные!AI102+данные!AJ102+данные!AK102</f>
        <v>0</v>
      </c>
      <c r="J104" s="80">
        <f>IF($K$2=2014,IF((SUM(данные!AG102:AK102)*данные!$AT$3-данные!AD102)&gt;0,данные!AX102,данные!AG102*данные!$AT$3),данные!AG102*данные!$AT$3)</f>
        <v>0</v>
      </c>
      <c r="K104" s="80">
        <f>IF($K$2=2014,IF((SUM(данные!AH102:AL102)*данные!$AT$3-данные!AE102)&gt;0,данные!AY102,данные!AH102*данные!$AT$3),данные!AH102*данные!$AT$3)</f>
        <v>0</v>
      </c>
      <c r="L104" s="80">
        <f>IF($K$2=2014,IF((SUM(данные!AI102:AM102)*данные!$AT$3-данные!AF102)&gt;0,данные!AZ102,данные!AI102*данные!$AT$3),данные!AI102*данные!$AT$3)</f>
        <v>0</v>
      </c>
      <c r="M104" s="80">
        <f>IF($K$2=2014,IF((SUM(данные!AJ102:AN102)*данные!$AT$3-данные!AG102)&gt;0,данные!BA102,данные!AJ102*данные!$AT$3),данные!AJ102*данные!$AT$3)</f>
        <v>0</v>
      </c>
      <c r="N104" s="80">
        <f>IF($K$2=2014,IF((SUM(данные!AK102:AO102)*данные!$AT$3-данные!AH102)&gt;0,данные!BB102,данные!AK102*данные!$AT$3),данные!AK102*данные!$AT$3)</f>
        <v>0</v>
      </c>
      <c r="O104" s="81">
        <f>SUM(Таблица6[[#This Row],[ПИР]:[Прочие]])</f>
        <v>0</v>
      </c>
      <c r="P104" s="110" t="str">
        <f>IFERROR(Таблица6[[#This Row],[Итого в прогнозных ценах с применением методики снижения]]/Таблица6[[#This Row],[кол-во]],"")</f>
        <v/>
      </c>
      <c r="R104" s="153">
        <f>SUM(данные!N102:R102)</f>
        <v>0</v>
      </c>
      <c r="S104" s="146">
        <f>SUM(данные!X102:AB102)*0.9*1.058</f>
        <v>0</v>
      </c>
      <c r="T104" s="154">
        <f>Таблица6[[#This Row],[в ценах 4 кв 2012г]]*данные!$AT$3</f>
        <v>0</v>
      </c>
    </row>
    <row r="105" spans="1:20" ht="15.75" thickBot="1" x14ac:dyDescent="0.3">
      <c r="A105" s="92" t="s">
        <v>58</v>
      </c>
      <c r="B105" s="93"/>
      <c r="C105" s="93"/>
      <c r="D105" s="94"/>
      <c r="E105" s="95"/>
      <c r="F105" s="96">
        <f>SUBTOTAL(109,Таблица6[в базовых ценах])</f>
        <v>550.59800000000007</v>
      </c>
      <c r="G105" s="96">
        <f>SUBTOTAL(109,Таблица6[в текущих ценах])</f>
        <v>2349.5998</v>
      </c>
      <c r="H105" s="96">
        <f>SUBTOTAL(109,Таблица6[4 кв 2010])</f>
        <v>2695.4762200000005</v>
      </c>
      <c r="I105" s="96">
        <f>SUBTOTAL(109,Таблица6[в ценах 4 кв 2012г])</f>
        <v>2302.6536999999998</v>
      </c>
      <c r="J105" s="111">
        <f>SUBTOTAL(109,Таблица6[ПИР])</f>
        <v>139.40284176000003</v>
      </c>
      <c r="K105" s="96">
        <f>SUBTOTAL(109,Таблица6[СМР])</f>
        <v>1998.1319018400002</v>
      </c>
      <c r="L105" s="96">
        <f>SUBTOTAL(109,Таблица6[ПНР])</f>
        <v>13.156356960000002</v>
      </c>
      <c r="M105" s="96">
        <f>SUBTOTAL(109,Таблица6[Оборудование])</f>
        <v>0</v>
      </c>
      <c r="N105" s="96">
        <f>SUBTOTAL(109,Таблица6[Прочие])</f>
        <v>86.597829000000019</v>
      </c>
      <c r="O105" s="96">
        <f>SUBTOTAL(109,Таблица6[Итого в прогнозных ценах с применением методики снижения])</f>
        <v>2237.2889295599998</v>
      </c>
      <c r="P105" s="97"/>
      <c r="R105" s="155"/>
      <c r="S105" s="156"/>
      <c r="T105" s="157"/>
    </row>
  </sheetData>
  <sheetProtection algorithmName="SHA-512" hashValue="IYoKp64nmDxOcH69z50dCeMI/hfEK7pPnlPoWCRUwG5BzVy9OgyDMQKslqQhvJPqUrh8mJVQN+9AzasGcN/tBA==" saltValue="GJBmywKKBC/RJwVj0UjJxQ==" spinCount="100000" sheet="1" objects="1" scenarios="1" formatCells="0" formatColumns="0" formatRows="0" autoFilter="0" pivotTables="0"/>
  <mergeCells count="2">
    <mergeCell ref="A2:J2"/>
    <mergeCell ref="R3:S3"/>
  </mergeCells>
  <conditionalFormatting sqref="R5:R104">
    <cfRule type="cellIs" dxfId="78" priority="4" operator="equal">
      <formula>O5</formula>
    </cfRule>
  </conditionalFormatting>
  <conditionalFormatting sqref="S5:S104">
    <cfRule type="cellIs" dxfId="77" priority="3" operator="equal">
      <formula>O5</formula>
    </cfRule>
  </conditionalFormatting>
  <conditionalFormatting sqref="T5:T104">
    <cfRule type="cellIs" dxfId="76" priority="2" operator="equal">
      <formula>O5</formula>
    </cfRule>
    <cfRule type="cellIs" dxfId="75" priority="1" operator="equal">
      <formula>O5</formula>
    </cfRule>
  </conditionalFormatting>
  <pageMargins left="0.7" right="0.7" top="0.75" bottom="0.75" header="0.3" footer="0.3"/>
  <pageSetup paperSize="9" orientation="portrait" verticalDpi="0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V102"/>
  <sheetViews>
    <sheetView zoomScale="85" zoomScaleNormal="85" workbookViewId="0">
      <selection activeCell="T10" sqref="T10"/>
    </sheetView>
  </sheetViews>
  <sheetFormatPr defaultRowHeight="15" outlineLevelCol="1" x14ac:dyDescent="0.25"/>
  <cols>
    <col min="1" max="1" width="9.42578125" style="76" customWidth="1"/>
    <col min="2" max="2" width="10.7109375" style="76" customWidth="1"/>
    <col min="3" max="3" width="9.42578125" style="76" customWidth="1"/>
    <col min="4" max="4" width="40.85546875" style="76" customWidth="1"/>
    <col min="5" max="7" width="9.42578125" style="76" customWidth="1"/>
    <col min="8" max="10" width="13" style="104" hidden="1" customWidth="1" outlineLevel="1"/>
    <col min="11" max="11" width="16.85546875" style="104" hidden="1" customWidth="1" outlineLevel="1"/>
    <col min="12" max="12" width="13" style="104" hidden="1" customWidth="1" outlineLevel="1"/>
    <col min="13" max="13" width="11.5703125" style="76" hidden="1" customWidth="1" outlineLevel="1"/>
    <col min="14" max="14" width="9.140625" style="76" collapsed="1"/>
    <col min="15" max="15" width="12" style="76" customWidth="1"/>
    <col min="16" max="16" width="9.7109375" style="76" bestFit="1" customWidth="1"/>
    <col min="17" max="17" width="11.28515625" style="76" bestFit="1" customWidth="1"/>
    <col min="18" max="18" width="11.85546875" style="76" customWidth="1"/>
    <col min="19" max="19" width="15.28515625" style="76" customWidth="1"/>
    <col min="20" max="20" width="11.5703125" style="76" customWidth="1"/>
    <col min="21" max="21" width="11.28515625" style="76" customWidth="1"/>
    <col min="22" max="22" width="9.140625" style="76"/>
    <col min="23" max="16384" width="9.140625" style="22"/>
  </cols>
  <sheetData>
    <row r="1" spans="1:22" ht="15.75" thickBot="1" x14ac:dyDescent="0.3">
      <c r="H1" s="168" t="s">
        <v>90</v>
      </c>
      <c r="I1" s="169"/>
      <c r="J1" s="169"/>
      <c r="K1" s="169"/>
      <c r="L1" s="169"/>
      <c r="M1" s="170"/>
      <c r="O1" s="76" t="s">
        <v>95</v>
      </c>
    </row>
    <row r="2" spans="1:22" x14ac:dyDescent="0.25">
      <c r="A2" s="112" t="str">
        <f>калькулятор!C6</f>
        <v>№п/п</v>
      </c>
      <c r="B2" s="113" t="str">
        <f>калькулятор!D6</f>
        <v>№ в ИПР</v>
      </c>
      <c r="C2" s="113" t="str">
        <f>калькулятор!E6</f>
        <v>№ТЗ/Заявитель</v>
      </c>
      <c r="D2" s="114" t="str">
        <f>калькулятор!F6</f>
        <v>Перечень работ</v>
      </c>
      <c r="E2" s="114" t="str">
        <f>калькулятор!G6</f>
        <v>Индекс</v>
      </c>
      <c r="F2" s="114" t="str">
        <f>калькулятор!H6</f>
        <v>ТПиР/НСиР</v>
      </c>
      <c r="G2" s="114" t="str">
        <f>калькулятор!I6</f>
        <v>кол-во</v>
      </c>
      <c r="H2" s="112" t="s">
        <v>2</v>
      </c>
      <c r="I2" s="113" t="s">
        <v>3</v>
      </c>
      <c r="J2" s="113" t="s">
        <v>4</v>
      </c>
      <c r="K2" s="114" t="s">
        <v>5</v>
      </c>
      <c r="L2" s="114" t="s">
        <v>36</v>
      </c>
      <c r="M2" s="114" t="s">
        <v>42</v>
      </c>
      <c r="T2" s="115" t="s">
        <v>97</v>
      </c>
      <c r="U2" s="115"/>
      <c r="V2" s="115">
        <f>VLOOKUP(O3,A3:G102,2,0)</f>
        <v>2882</v>
      </c>
    </row>
    <row r="3" spans="1:22" x14ac:dyDescent="0.25">
      <c r="A3" s="116">
        <v>1</v>
      </c>
      <c r="B3" s="117">
        <f>калькулятор!D7</f>
        <v>2882</v>
      </c>
      <c r="C3" s="117" t="str">
        <f>калькулятор!E7</f>
        <v>ООО Капитал</v>
      </c>
      <c r="D3" s="118" t="str">
        <f>калькулятор!F7</f>
        <v>Строительство ВЛ 10 кВ</v>
      </c>
      <c r="E3" s="117" t="str">
        <f>калькулятор!G7</f>
        <v>ВЛЭП</v>
      </c>
      <c r="F3" s="117" t="str">
        <f>калькулятор!H7</f>
        <v>НСиР</v>
      </c>
      <c r="G3" s="117">
        <f>калькулятор!I7</f>
        <v>2</v>
      </c>
      <c r="H3" s="116">
        <f>данные!X3</f>
        <v>146.4008</v>
      </c>
      <c r="I3" s="117">
        <f>данные!Y3</f>
        <v>2098.4371999999998</v>
      </c>
      <c r="J3" s="117">
        <f>данные!Z3</f>
        <v>13.816800000000001</v>
      </c>
      <c r="K3" s="117">
        <f>данные!AA3</f>
        <v>0</v>
      </c>
      <c r="L3" s="117">
        <f>данные!AB3</f>
        <v>90.945000000000007</v>
      </c>
      <c r="M3" s="117">
        <f>SUM(H3:L3)</f>
        <v>2349.5998</v>
      </c>
      <c r="O3" s="101">
        <v>1</v>
      </c>
    </row>
    <row r="4" spans="1:22" x14ac:dyDescent="0.25">
      <c r="A4" s="119">
        <v>2</v>
      </c>
      <c r="B4" s="120">
        <f>калькулятор!D8</f>
        <v>0</v>
      </c>
      <c r="C4" s="120">
        <f>калькулятор!E8</f>
        <v>0</v>
      </c>
      <c r="D4" s="121">
        <f>калькулятор!F8</f>
        <v>0</v>
      </c>
      <c r="E4" s="120">
        <f>калькулятор!G8</f>
        <v>0</v>
      </c>
      <c r="F4" s="120">
        <f>калькулятор!H8</f>
        <v>0</v>
      </c>
      <c r="G4" s="120">
        <f>калькулятор!I8</f>
        <v>0</v>
      </c>
      <c r="H4" s="119">
        <f>данные!X4</f>
        <v>0</v>
      </c>
      <c r="I4" s="120">
        <f>данные!Y4</f>
        <v>0</v>
      </c>
      <c r="J4" s="120">
        <f>данные!Z4</f>
        <v>0</v>
      </c>
      <c r="K4" s="120">
        <f>данные!AA4</f>
        <v>0</v>
      </c>
      <c r="L4" s="120">
        <f>данные!AB4</f>
        <v>0</v>
      </c>
      <c r="M4" s="120">
        <f t="shared" ref="M4:M67" si="0">SUM(H4:L4)</f>
        <v>0</v>
      </c>
    </row>
    <row r="5" spans="1:22" x14ac:dyDescent="0.25">
      <c r="A5" s="116">
        <v>3</v>
      </c>
      <c r="B5" s="117">
        <f>калькулятор!D9</f>
        <v>0</v>
      </c>
      <c r="C5" s="117">
        <f>калькулятор!E9</f>
        <v>0</v>
      </c>
      <c r="D5" s="118">
        <f>калькулятор!F9</f>
        <v>0</v>
      </c>
      <c r="E5" s="117">
        <f>калькулятор!G9</f>
        <v>0</v>
      </c>
      <c r="F5" s="117">
        <f>калькулятор!H9</f>
        <v>0</v>
      </c>
      <c r="G5" s="117">
        <f>калькулятор!I9</f>
        <v>0</v>
      </c>
      <c r="H5" s="116">
        <f>данные!X5</f>
        <v>0</v>
      </c>
      <c r="I5" s="117">
        <f>данные!Y5</f>
        <v>0</v>
      </c>
      <c r="J5" s="117">
        <f>данные!Z5</f>
        <v>0</v>
      </c>
      <c r="K5" s="117">
        <f>данные!AA5</f>
        <v>0</v>
      </c>
      <c r="L5" s="117">
        <f>данные!AB5</f>
        <v>0</v>
      </c>
      <c r="M5" s="117">
        <f t="shared" si="0"/>
        <v>0</v>
      </c>
    </row>
    <row r="6" spans="1:22" ht="15.75" thickBot="1" x14ac:dyDescent="0.3">
      <c r="A6" s="119">
        <v>4</v>
      </c>
      <c r="B6" s="120">
        <f>калькулятор!D10</f>
        <v>0</v>
      </c>
      <c r="C6" s="120">
        <f>калькулятор!E10</f>
        <v>0</v>
      </c>
      <c r="D6" s="121">
        <f>калькулятор!F10</f>
        <v>0</v>
      </c>
      <c r="E6" s="120">
        <f>калькулятор!G10</f>
        <v>0</v>
      </c>
      <c r="F6" s="120">
        <f>калькулятор!H10</f>
        <v>0</v>
      </c>
      <c r="G6" s="120">
        <f>калькулятор!I10</f>
        <v>0</v>
      </c>
      <c r="H6" s="119">
        <f>данные!X6</f>
        <v>0</v>
      </c>
      <c r="I6" s="120">
        <f>данные!Y6</f>
        <v>0</v>
      </c>
      <c r="J6" s="120">
        <f>данные!Z6</f>
        <v>0</v>
      </c>
      <c r="K6" s="120">
        <f>данные!AA6</f>
        <v>0</v>
      </c>
      <c r="L6" s="120">
        <f>данные!AB6</f>
        <v>0</v>
      </c>
      <c r="M6" s="120">
        <f t="shared" si="0"/>
        <v>0</v>
      </c>
      <c r="P6" s="76" t="s">
        <v>96</v>
      </c>
    </row>
    <row r="7" spans="1:22" x14ac:dyDescent="0.25">
      <c r="A7" s="116">
        <v>5</v>
      </c>
      <c r="B7" s="117">
        <f>калькулятор!D11</f>
        <v>0</v>
      </c>
      <c r="C7" s="117">
        <f>калькулятор!E11</f>
        <v>0</v>
      </c>
      <c r="D7" s="118">
        <f>калькулятор!F11</f>
        <v>0</v>
      </c>
      <c r="E7" s="117">
        <f>калькулятор!G11</f>
        <v>0</v>
      </c>
      <c r="F7" s="117">
        <f>калькулятор!H11</f>
        <v>0</v>
      </c>
      <c r="G7" s="117">
        <f>калькулятор!I11</f>
        <v>0</v>
      </c>
      <c r="H7" s="116">
        <f>данные!X7</f>
        <v>0</v>
      </c>
      <c r="I7" s="117">
        <f>данные!Y7</f>
        <v>0</v>
      </c>
      <c r="J7" s="117">
        <f>данные!Z7</f>
        <v>0</v>
      </c>
      <c r="K7" s="122">
        <f>данные!AA7</f>
        <v>0</v>
      </c>
      <c r="L7" s="117">
        <f>данные!AB7</f>
        <v>0</v>
      </c>
      <c r="M7" s="117">
        <f t="shared" si="0"/>
        <v>0</v>
      </c>
      <c r="O7" s="123"/>
      <c r="P7" s="124" t="s">
        <v>2</v>
      </c>
      <c r="Q7" s="124" t="s">
        <v>3</v>
      </c>
      <c r="R7" s="124" t="s">
        <v>4</v>
      </c>
      <c r="S7" s="124" t="s">
        <v>5</v>
      </c>
      <c r="T7" s="124" t="s">
        <v>36</v>
      </c>
      <c r="U7" s="125" t="s">
        <v>42</v>
      </c>
      <c r="V7" s="126" t="s">
        <v>93</v>
      </c>
    </row>
    <row r="8" spans="1:22" x14ac:dyDescent="0.25">
      <c r="A8" s="119">
        <v>6</v>
      </c>
      <c r="B8" s="120">
        <f>калькулятор!D12</f>
        <v>0</v>
      </c>
      <c r="C8" s="120">
        <f>калькулятор!E12</f>
        <v>0</v>
      </c>
      <c r="D8" s="121">
        <f>калькулятор!F12</f>
        <v>0</v>
      </c>
      <c r="E8" s="120">
        <f>калькулятор!G12</f>
        <v>0</v>
      </c>
      <c r="F8" s="120">
        <f>калькулятор!H12</f>
        <v>0</v>
      </c>
      <c r="G8" s="120">
        <f>калькулятор!I12</f>
        <v>0</v>
      </c>
      <c r="H8" s="119">
        <f>данные!X8</f>
        <v>0</v>
      </c>
      <c r="I8" s="120">
        <f>данные!Y8</f>
        <v>0</v>
      </c>
      <c r="J8" s="120">
        <f>данные!Z8</f>
        <v>0</v>
      </c>
      <c r="K8" s="127">
        <f>данные!AA8</f>
        <v>0</v>
      </c>
      <c r="L8" s="120">
        <f>данные!AB8</f>
        <v>0</v>
      </c>
      <c r="M8" s="120">
        <f t="shared" si="0"/>
        <v>0</v>
      </c>
      <c r="O8" s="128">
        <v>2013</v>
      </c>
      <c r="P8" s="129">
        <f>VLOOKUP($O$3,$A$3:$M$102,8,0)</f>
        <v>146.4008</v>
      </c>
      <c r="Q8" s="129">
        <f>VLOOKUP($O$3,$A$3:$M$102,9,0)</f>
        <v>2098.4371999999998</v>
      </c>
      <c r="R8" s="129">
        <f>VLOOKUP($O$3,$A$3:$M$102,10,0)</f>
        <v>13.816800000000001</v>
      </c>
      <c r="S8" s="129">
        <f>VLOOKUP($O$3,$A$3:$M$102,11,0)</f>
        <v>0</v>
      </c>
      <c r="T8" s="129">
        <f>VLOOKUP($O$3,$A$3:$M$102,12,0)</f>
        <v>90.945000000000007</v>
      </c>
      <c r="U8" s="130">
        <f>SUM(P8:T8)</f>
        <v>2349.5998</v>
      </c>
    </row>
    <row r="9" spans="1:22" x14ac:dyDescent="0.25">
      <c r="A9" s="116">
        <v>7</v>
      </c>
      <c r="B9" s="117">
        <f>калькулятор!D13</f>
        <v>0</v>
      </c>
      <c r="C9" s="117">
        <f>калькулятор!E13</f>
        <v>0</v>
      </c>
      <c r="D9" s="118">
        <f>калькулятор!F13</f>
        <v>0</v>
      </c>
      <c r="E9" s="117">
        <f>калькулятор!G13</f>
        <v>0</v>
      </c>
      <c r="F9" s="117">
        <f>калькулятор!H13</f>
        <v>0</v>
      </c>
      <c r="G9" s="117">
        <f>калькулятор!I13</f>
        <v>0</v>
      </c>
      <c r="H9" s="116">
        <f>данные!X9</f>
        <v>0</v>
      </c>
      <c r="I9" s="117">
        <f>данные!Y9</f>
        <v>0</v>
      </c>
      <c r="J9" s="117">
        <f>данные!Z9</f>
        <v>0</v>
      </c>
      <c r="K9" s="122">
        <f>данные!AA9</f>
        <v>0</v>
      </c>
      <c r="L9" s="117">
        <f>данные!AB9</f>
        <v>0</v>
      </c>
      <c r="M9" s="117">
        <f t="shared" si="0"/>
        <v>0</v>
      </c>
      <c r="O9" s="128">
        <v>2014</v>
      </c>
      <c r="P9" s="100">
        <v>11.93</v>
      </c>
      <c r="Q9" s="100">
        <v>178.12</v>
      </c>
      <c r="R9" s="100">
        <v>2.36</v>
      </c>
      <c r="S9" s="100"/>
      <c r="T9" s="100">
        <v>36.25</v>
      </c>
      <c r="U9" s="130">
        <f t="shared" ref="U9:U13" si="1">SUM(P9:T9)</f>
        <v>228.66000000000003</v>
      </c>
      <c r="V9" s="76">
        <v>1.0580000000000001</v>
      </c>
    </row>
    <row r="10" spans="1:22" x14ac:dyDescent="0.25">
      <c r="A10" s="119">
        <v>8</v>
      </c>
      <c r="B10" s="120">
        <f>калькулятор!D14</f>
        <v>0</v>
      </c>
      <c r="C10" s="120">
        <f>калькулятор!E14</f>
        <v>0</v>
      </c>
      <c r="D10" s="121">
        <f>калькулятор!F14</f>
        <v>0</v>
      </c>
      <c r="E10" s="120">
        <f>калькулятор!G14</f>
        <v>0</v>
      </c>
      <c r="F10" s="120">
        <f>калькулятор!H14</f>
        <v>0</v>
      </c>
      <c r="G10" s="120">
        <f>калькулятор!I14</f>
        <v>0</v>
      </c>
      <c r="H10" s="119">
        <f>данные!X10</f>
        <v>0</v>
      </c>
      <c r="I10" s="120">
        <f>данные!Y10</f>
        <v>0</v>
      </c>
      <c r="J10" s="120">
        <f>данные!Z10</f>
        <v>0</v>
      </c>
      <c r="K10" s="127">
        <f>данные!AA10</f>
        <v>0</v>
      </c>
      <c r="L10" s="120">
        <f>данные!AB10</f>
        <v>0</v>
      </c>
      <c r="M10" s="120">
        <f t="shared" si="0"/>
        <v>0</v>
      </c>
      <c r="O10" s="128">
        <v>2015</v>
      </c>
      <c r="P10" s="99"/>
      <c r="Q10" s="100"/>
      <c r="R10" s="100"/>
      <c r="S10" s="100"/>
      <c r="T10" s="100"/>
      <c r="U10" s="130">
        <f t="shared" si="1"/>
        <v>0</v>
      </c>
      <c r="V10" s="76">
        <v>1.0620000000000001</v>
      </c>
    </row>
    <row r="11" spans="1:22" x14ac:dyDescent="0.25">
      <c r="A11" s="116">
        <v>9</v>
      </c>
      <c r="B11" s="117">
        <f>калькулятор!D15</f>
        <v>0</v>
      </c>
      <c r="C11" s="117">
        <f>калькулятор!E15</f>
        <v>0</v>
      </c>
      <c r="D11" s="118">
        <f>калькулятор!F15</f>
        <v>0</v>
      </c>
      <c r="E11" s="117">
        <f>калькулятор!G15</f>
        <v>0</v>
      </c>
      <c r="F11" s="117">
        <f>калькулятор!H15</f>
        <v>0</v>
      </c>
      <c r="G11" s="117">
        <f>калькулятор!I15</f>
        <v>0</v>
      </c>
      <c r="H11" s="116">
        <f>данные!X11</f>
        <v>0</v>
      </c>
      <c r="I11" s="117">
        <f>данные!Y11</f>
        <v>0</v>
      </c>
      <c r="J11" s="117">
        <f>данные!Z11</f>
        <v>0</v>
      </c>
      <c r="K11" s="122">
        <f>данные!AA11</f>
        <v>0</v>
      </c>
      <c r="L11" s="117">
        <f>данные!AB11</f>
        <v>0</v>
      </c>
      <c r="M11" s="117">
        <f t="shared" si="0"/>
        <v>0</v>
      </c>
      <c r="O11" s="128">
        <v>2016</v>
      </c>
      <c r="P11" s="99"/>
      <c r="Q11" s="99"/>
      <c r="R11" s="100"/>
      <c r="S11" s="99"/>
      <c r="T11" s="99"/>
      <c r="U11" s="130">
        <f t="shared" si="1"/>
        <v>0</v>
      </c>
      <c r="V11" s="76">
        <v>1.0649999999999999</v>
      </c>
    </row>
    <row r="12" spans="1:22" x14ac:dyDescent="0.25">
      <c r="A12" s="119">
        <v>10</v>
      </c>
      <c r="B12" s="120">
        <f>калькулятор!D16</f>
        <v>0</v>
      </c>
      <c r="C12" s="120">
        <f>калькулятор!E16</f>
        <v>0</v>
      </c>
      <c r="D12" s="121">
        <f>калькулятор!F16</f>
        <v>0</v>
      </c>
      <c r="E12" s="120">
        <f>калькулятор!G16</f>
        <v>0</v>
      </c>
      <c r="F12" s="120">
        <f>калькулятор!H16</f>
        <v>0</v>
      </c>
      <c r="G12" s="120">
        <f>калькулятор!I16</f>
        <v>0</v>
      </c>
      <c r="H12" s="119">
        <f>данные!X12</f>
        <v>0</v>
      </c>
      <c r="I12" s="120">
        <f>данные!Y12</f>
        <v>0</v>
      </c>
      <c r="J12" s="120">
        <f>данные!Z12</f>
        <v>0</v>
      </c>
      <c r="K12" s="127">
        <f>данные!AA12</f>
        <v>0</v>
      </c>
      <c r="L12" s="120">
        <f>данные!AB12</f>
        <v>0</v>
      </c>
      <c r="M12" s="120">
        <f t="shared" si="0"/>
        <v>0</v>
      </c>
      <c r="O12" s="128">
        <v>2017</v>
      </c>
      <c r="P12" s="99"/>
      <c r="Q12" s="99"/>
      <c r="R12" s="99"/>
      <c r="S12" s="100"/>
      <c r="T12" s="99"/>
      <c r="U12" s="130">
        <f t="shared" si="1"/>
        <v>0</v>
      </c>
      <c r="V12" s="76">
        <v>1.0669999999999999</v>
      </c>
    </row>
    <row r="13" spans="1:22" x14ac:dyDescent="0.25">
      <c r="A13" s="116">
        <v>11</v>
      </c>
      <c r="B13" s="117">
        <f>калькулятор!D17</f>
        <v>0</v>
      </c>
      <c r="C13" s="117">
        <f>калькулятор!E17</f>
        <v>0</v>
      </c>
      <c r="D13" s="118">
        <f>калькулятор!F17</f>
        <v>0</v>
      </c>
      <c r="E13" s="117">
        <f>калькулятор!G17</f>
        <v>0</v>
      </c>
      <c r="F13" s="117">
        <f>калькулятор!H17</f>
        <v>0</v>
      </c>
      <c r="G13" s="117">
        <f>калькулятор!I17</f>
        <v>0</v>
      </c>
      <c r="H13" s="116">
        <f>данные!X13</f>
        <v>0</v>
      </c>
      <c r="I13" s="117">
        <f>данные!Y13</f>
        <v>0</v>
      </c>
      <c r="J13" s="117">
        <f>данные!Z13</f>
        <v>0</v>
      </c>
      <c r="K13" s="122">
        <f>данные!AA13</f>
        <v>0</v>
      </c>
      <c r="L13" s="117">
        <f>данные!AB13</f>
        <v>0</v>
      </c>
      <c r="M13" s="117">
        <f t="shared" si="0"/>
        <v>0</v>
      </c>
      <c r="O13" s="128">
        <v>2018</v>
      </c>
      <c r="P13" s="99"/>
      <c r="Q13" s="99"/>
      <c r="R13" s="99"/>
      <c r="S13" s="99"/>
      <c r="T13" s="99"/>
      <c r="U13" s="130">
        <f t="shared" si="1"/>
        <v>0</v>
      </c>
      <c r="V13" s="76">
        <v>1.069</v>
      </c>
    </row>
    <row r="14" spans="1:22" ht="15.75" thickBot="1" x14ac:dyDescent="0.3">
      <c r="A14" s="119">
        <v>12</v>
      </c>
      <c r="B14" s="120">
        <f>калькулятор!D18</f>
        <v>0</v>
      </c>
      <c r="C14" s="120">
        <f>калькулятор!E18</f>
        <v>0</v>
      </c>
      <c r="D14" s="121">
        <f>калькулятор!F18</f>
        <v>0</v>
      </c>
      <c r="E14" s="120">
        <f>калькулятор!G18</f>
        <v>0</v>
      </c>
      <c r="F14" s="120">
        <f>калькулятор!H18</f>
        <v>0</v>
      </c>
      <c r="G14" s="120">
        <f>калькулятор!I18</f>
        <v>0</v>
      </c>
      <c r="H14" s="119">
        <f>данные!X14</f>
        <v>0</v>
      </c>
      <c r="I14" s="120">
        <f>данные!Y14</f>
        <v>0</v>
      </c>
      <c r="J14" s="120">
        <f>данные!Z14</f>
        <v>0</v>
      </c>
      <c r="K14" s="127">
        <f>данные!AA14</f>
        <v>0</v>
      </c>
      <c r="L14" s="120">
        <f>данные!AB14</f>
        <v>0</v>
      </c>
      <c r="M14" s="120">
        <f t="shared" si="0"/>
        <v>0</v>
      </c>
      <c r="O14" s="131" t="s">
        <v>91</v>
      </c>
      <c r="P14" s="132">
        <f>SUM(P9:P13)</f>
        <v>11.93</v>
      </c>
      <c r="Q14" s="132">
        <f t="shared" ref="Q14" si="2">SUM(Q9:Q13)</f>
        <v>178.12</v>
      </c>
      <c r="R14" s="132">
        <f t="shared" ref="R14" si="3">SUM(R9:R13)</f>
        <v>2.36</v>
      </c>
      <c r="S14" s="132">
        <f t="shared" ref="S14" si="4">SUM(S9:S13)</f>
        <v>0</v>
      </c>
      <c r="T14" s="132">
        <f t="shared" ref="T14" si="5">SUM(T9:T13)</f>
        <v>36.25</v>
      </c>
      <c r="U14" s="133">
        <f t="shared" ref="U14" si="6">SUM(U9:U13)</f>
        <v>228.66000000000003</v>
      </c>
    </row>
    <row r="15" spans="1:22" x14ac:dyDescent="0.25">
      <c r="A15" s="116">
        <v>13</v>
      </c>
      <c r="B15" s="117">
        <f>калькулятор!D19</f>
        <v>0</v>
      </c>
      <c r="C15" s="117">
        <f>калькулятор!E19</f>
        <v>0</v>
      </c>
      <c r="D15" s="118">
        <f>калькулятор!F19</f>
        <v>0</v>
      </c>
      <c r="E15" s="117">
        <f>калькулятор!G19</f>
        <v>0</v>
      </c>
      <c r="F15" s="117">
        <f>калькулятор!H19</f>
        <v>0</v>
      </c>
      <c r="G15" s="117">
        <f>калькулятор!I19</f>
        <v>0</v>
      </c>
      <c r="H15" s="116">
        <f>данные!X15</f>
        <v>0</v>
      </c>
      <c r="I15" s="117">
        <f>данные!Y15</f>
        <v>0</v>
      </c>
      <c r="J15" s="117">
        <f>данные!Z15</f>
        <v>0</v>
      </c>
      <c r="K15" s="122">
        <f>данные!AA15</f>
        <v>0</v>
      </c>
      <c r="L15" s="117">
        <f>данные!AB15</f>
        <v>0</v>
      </c>
      <c r="M15" s="117">
        <f t="shared" si="0"/>
        <v>0</v>
      </c>
    </row>
    <row r="16" spans="1:22" ht="15.75" customHeight="1" x14ac:dyDescent="0.25">
      <c r="A16" s="119">
        <v>14</v>
      </c>
      <c r="B16" s="120">
        <f>калькулятор!D20</f>
        <v>0</v>
      </c>
      <c r="C16" s="120">
        <f>калькулятор!E20</f>
        <v>0</v>
      </c>
      <c r="D16" s="121">
        <f>калькулятор!F20</f>
        <v>0</v>
      </c>
      <c r="E16" s="120">
        <f>калькулятор!G20</f>
        <v>0</v>
      </c>
      <c r="F16" s="120">
        <f>калькулятор!H20</f>
        <v>0</v>
      </c>
      <c r="G16" s="120">
        <f>калькулятор!I20</f>
        <v>0</v>
      </c>
      <c r="H16" s="119">
        <f>данные!X16</f>
        <v>0</v>
      </c>
      <c r="I16" s="120">
        <f>данные!Y16</f>
        <v>0</v>
      </c>
      <c r="J16" s="120">
        <f>данные!Z16</f>
        <v>0</v>
      </c>
      <c r="K16" s="127">
        <f>данные!AA16</f>
        <v>0</v>
      </c>
      <c r="L16" s="120">
        <f>данные!AB16</f>
        <v>0</v>
      </c>
      <c r="M16" s="120">
        <f t="shared" si="0"/>
        <v>0</v>
      </c>
    </row>
    <row r="17" spans="1:22" ht="15.75" customHeight="1" thickBot="1" x14ac:dyDescent="0.3">
      <c r="A17" s="116">
        <v>15</v>
      </c>
      <c r="B17" s="117">
        <f>калькулятор!D21</f>
        <v>0</v>
      </c>
      <c r="C17" s="117">
        <f>калькулятор!E21</f>
        <v>0</v>
      </c>
      <c r="D17" s="118">
        <f>калькулятор!F21</f>
        <v>0</v>
      </c>
      <c r="E17" s="117">
        <f>калькулятор!G21</f>
        <v>0</v>
      </c>
      <c r="F17" s="117">
        <f>калькулятор!H21</f>
        <v>0</v>
      </c>
      <c r="G17" s="117">
        <f>калькулятор!I21</f>
        <v>0</v>
      </c>
      <c r="H17" s="116">
        <f>данные!X17</f>
        <v>0</v>
      </c>
      <c r="I17" s="117">
        <f>данные!Y17</f>
        <v>0</v>
      </c>
      <c r="J17" s="117">
        <f>данные!Z17</f>
        <v>0</v>
      </c>
      <c r="K17" s="122">
        <f>данные!AA17</f>
        <v>0</v>
      </c>
      <c r="L17" s="117">
        <f>данные!AB17</f>
        <v>0</v>
      </c>
      <c r="M17" s="117">
        <f t="shared" si="0"/>
        <v>0</v>
      </c>
      <c r="P17" s="76" t="s">
        <v>92</v>
      </c>
    </row>
    <row r="18" spans="1:22" x14ac:dyDescent="0.25">
      <c r="A18" s="119">
        <v>16</v>
      </c>
      <c r="B18" s="120">
        <f>калькулятор!D22</f>
        <v>0</v>
      </c>
      <c r="C18" s="120">
        <f>калькулятор!E22</f>
        <v>0</v>
      </c>
      <c r="D18" s="121">
        <f>калькулятор!F22</f>
        <v>0</v>
      </c>
      <c r="E18" s="120">
        <f>калькулятор!G22</f>
        <v>0</v>
      </c>
      <c r="F18" s="120">
        <f>калькулятор!H22</f>
        <v>0</v>
      </c>
      <c r="G18" s="120">
        <f>калькулятор!I22</f>
        <v>0</v>
      </c>
      <c r="H18" s="119">
        <f>данные!X18</f>
        <v>0</v>
      </c>
      <c r="I18" s="120">
        <f>данные!Y18</f>
        <v>0</v>
      </c>
      <c r="J18" s="120">
        <f>данные!Z18</f>
        <v>0</v>
      </c>
      <c r="K18" s="127">
        <f>данные!AA18</f>
        <v>0</v>
      </c>
      <c r="L18" s="120">
        <f>данные!AB18</f>
        <v>0</v>
      </c>
      <c r="M18" s="120">
        <f t="shared" si="0"/>
        <v>0</v>
      </c>
      <c r="O18" s="134"/>
      <c r="P18" s="124" t="s">
        <v>2</v>
      </c>
      <c r="Q18" s="124" t="s">
        <v>3</v>
      </c>
      <c r="R18" s="124" t="s">
        <v>4</v>
      </c>
      <c r="S18" s="124" t="s">
        <v>5</v>
      </c>
      <c r="T18" s="124" t="s">
        <v>36</v>
      </c>
      <c r="U18" s="125" t="s">
        <v>42</v>
      </c>
    </row>
    <row r="19" spans="1:22" x14ac:dyDescent="0.25">
      <c r="A19" s="116">
        <v>17</v>
      </c>
      <c r="B19" s="117">
        <f>калькулятор!D23</f>
        <v>0</v>
      </c>
      <c r="C19" s="117">
        <f>калькулятор!E23</f>
        <v>0</v>
      </c>
      <c r="D19" s="118">
        <f>калькулятор!F23</f>
        <v>0</v>
      </c>
      <c r="E19" s="117">
        <f>калькулятор!G23</f>
        <v>0</v>
      </c>
      <c r="F19" s="117">
        <f>калькулятор!H23</f>
        <v>0</v>
      </c>
      <c r="G19" s="117">
        <f>калькулятор!I23</f>
        <v>0</v>
      </c>
      <c r="H19" s="116">
        <f>данные!X19</f>
        <v>0</v>
      </c>
      <c r="I19" s="117">
        <f>данные!Y19</f>
        <v>0</v>
      </c>
      <c r="J19" s="117">
        <f>данные!Z19</f>
        <v>0</v>
      </c>
      <c r="K19" s="122">
        <f>данные!AA19</f>
        <v>0</v>
      </c>
      <c r="L19" s="117">
        <f>данные!AB19</f>
        <v>0</v>
      </c>
      <c r="M19" s="117">
        <f t="shared" si="0"/>
        <v>0</v>
      </c>
      <c r="O19" s="128">
        <v>2013</v>
      </c>
      <c r="P19" s="135">
        <f>P8-P14</f>
        <v>134.4708</v>
      </c>
      <c r="Q19" s="135">
        <f t="shared" ref="Q19:U19" si="7">Q8-Q14</f>
        <v>1920.3172</v>
      </c>
      <c r="R19" s="135">
        <f t="shared" si="7"/>
        <v>11.456800000000001</v>
      </c>
      <c r="S19" s="135">
        <f t="shared" si="7"/>
        <v>0</v>
      </c>
      <c r="T19" s="135">
        <f t="shared" si="7"/>
        <v>54.695000000000007</v>
      </c>
      <c r="U19" s="136">
        <f t="shared" si="7"/>
        <v>2120.9398000000001</v>
      </c>
      <c r="V19" s="137">
        <f t="shared" ref="V19:V25" si="8">U19/$U$25</f>
        <v>0.89761472662847919</v>
      </c>
    </row>
    <row r="20" spans="1:22" x14ac:dyDescent="0.25">
      <c r="A20" s="119">
        <v>18</v>
      </c>
      <c r="B20" s="120">
        <f>калькулятор!D24</f>
        <v>0</v>
      </c>
      <c r="C20" s="120">
        <f>калькулятор!E24</f>
        <v>0</v>
      </c>
      <c r="D20" s="121">
        <f>калькулятор!F24</f>
        <v>0</v>
      </c>
      <c r="E20" s="120">
        <f>калькулятор!G24</f>
        <v>0</v>
      </c>
      <c r="F20" s="120">
        <f>калькулятор!H24</f>
        <v>0</v>
      </c>
      <c r="G20" s="120">
        <f>калькулятор!I24</f>
        <v>0</v>
      </c>
      <c r="H20" s="119">
        <f>данные!X20</f>
        <v>0</v>
      </c>
      <c r="I20" s="120">
        <f>данные!Y20</f>
        <v>0</v>
      </c>
      <c r="J20" s="120">
        <f>данные!Z20</f>
        <v>0</v>
      </c>
      <c r="K20" s="127">
        <f>данные!AA20</f>
        <v>0</v>
      </c>
      <c r="L20" s="120">
        <f>данные!AB20</f>
        <v>0</v>
      </c>
      <c r="M20" s="120">
        <f t="shared" si="0"/>
        <v>0</v>
      </c>
      <c r="O20" s="128">
        <v>2014</v>
      </c>
      <c r="P20" s="135">
        <f>P9*$V$9</f>
        <v>12.62194</v>
      </c>
      <c r="Q20" s="135">
        <f t="shared" ref="Q20:T20" si="9">Q9*$V$9</f>
        <v>188.45096000000001</v>
      </c>
      <c r="R20" s="135">
        <f t="shared" si="9"/>
        <v>2.49688</v>
      </c>
      <c r="S20" s="135">
        <f t="shared" si="9"/>
        <v>0</v>
      </c>
      <c r="T20" s="135">
        <f t="shared" si="9"/>
        <v>38.352499999999999</v>
      </c>
      <c r="U20" s="136">
        <f t="shared" ref="U20" si="10">U9*$V$9</f>
        <v>241.92228000000003</v>
      </c>
      <c r="V20" s="137">
        <f t="shared" si="8"/>
        <v>0.10238527337152069</v>
      </c>
    </row>
    <row r="21" spans="1:22" x14ac:dyDescent="0.25">
      <c r="A21" s="116">
        <v>19</v>
      </c>
      <c r="B21" s="117">
        <f>калькулятор!D25</f>
        <v>0</v>
      </c>
      <c r="C21" s="117">
        <f>калькулятор!E25</f>
        <v>0</v>
      </c>
      <c r="D21" s="118">
        <f>калькулятор!F25</f>
        <v>0</v>
      </c>
      <c r="E21" s="117">
        <f>калькулятор!G25</f>
        <v>0</v>
      </c>
      <c r="F21" s="117">
        <f>калькулятор!H25</f>
        <v>0</v>
      </c>
      <c r="G21" s="117">
        <f>калькулятор!I25</f>
        <v>0</v>
      </c>
      <c r="H21" s="116">
        <f>данные!X21</f>
        <v>0</v>
      </c>
      <c r="I21" s="117">
        <f>данные!Y21</f>
        <v>0</v>
      </c>
      <c r="J21" s="117">
        <f>данные!Z21</f>
        <v>0</v>
      </c>
      <c r="K21" s="122">
        <f>данные!AA21</f>
        <v>0</v>
      </c>
      <c r="L21" s="117">
        <f>данные!AB21</f>
        <v>0</v>
      </c>
      <c r="M21" s="117">
        <f t="shared" si="0"/>
        <v>0</v>
      </c>
      <c r="O21" s="128">
        <v>2015</v>
      </c>
      <c r="P21" s="135">
        <f>P10*$V$10*$V$9</f>
        <v>0</v>
      </c>
      <c r="Q21" s="135">
        <f t="shared" ref="Q21:T21" si="11">Q10*$V$10*$V$9</f>
        <v>0</v>
      </c>
      <c r="R21" s="135">
        <f t="shared" si="11"/>
        <v>0</v>
      </c>
      <c r="S21" s="135">
        <f t="shared" si="11"/>
        <v>0</v>
      </c>
      <c r="T21" s="135">
        <f t="shared" si="11"/>
        <v>0</v>
      </c>
      <c r="U21" s="136">
        <f t="shared" ref="U21" si="12">U10*$V$10</f>
        <v>0</v>
      </c>
      <c r="V21" s="137">
        <f t="shared" si="8"/>
        <v>0</v>
      </c>
    </row>
    <row r="22" spans="1:22" x14ac:dyDescent="0.25">
      <c r="A22" s="119">
        <v>20</v>
      </c>
      <c r="B22" s="120">
        <f>калькулятор!D26</f>
        <v>0</v>
      </c>
      <c r="C22" s="120">
        <f>калькулятор!E26</f>
        <v>0</v>
      </c>
      <c r="D22" s="121">
        <f>калькулятор!F26</f>
        <v>0</v>
      </c>
      <c r="E22" s="120">
        <f>калькулятор!G26</f>
        <v>0</v>
      </c>
      <c r="F22" s="120">
        <f>калькулятор!H26</f>
        <v>0</v>
      </c>
      <c r="G22" s="120">
        <f>калькулятор!I26</f>
        <v>0</v>
      </c>
      <c r="H22" s="119">
        <f>данные!X22</f>
        <v>0</v>
      </c>
      <c r="I22" s="120">
        <f>данные!Y22</f>
        <v>0</v>
      </c>
      <c r="J22" s="120">
        <f>данные!Z22</f>
        <v>0</v>
      </c>
      <c r="K22" s="120">
        <f>данные!AA22</f>
        <v>0</v>
      </c>
      <c r="L22" s="120">
        <f>данные!AB22</f>
        <v>0</v>
      </c>
      <c r="M22" s="120">
        <f t="shared" si="0"/>
        <v>0</v>
      </c>
      <c r="O22" s="128">
        <v>2016</v>
      </c>
      <c r="P22" s="135">
        <f>P11*$V$11*$V$10*$V$9</f>
        <v>0</v>
      </c>
      <c r="Q22" s="135">
        <f t="shared" ref="Q22:T22" si="13">Q11*$V$11*$V$10*$V$9</f>
        <v>0</v>
      </c>
      <c r="R22" s="135">
        <f t="shared" si="13"/>
        <v>0</v>
      </c>
      <c r="S22" s="135">
        <f t="shared" si="13"/>
        <v>0</v>
      </c>
      <c r="T22" s="135">
        <f t="shared" si="13"/>
        <v>0</v>
      </c>
      <c r="U22" s="136">
        <f t="shared" ref="U22" si="14">U11*$V$11</f>
        <v>0</v>
      </c>
      <c r="V22" s="137">
        <f t="shared" si="8"/>
        <v>0</v>
      </c>
    </row>
    <row r="23" spans="1:22" x14ac:dyDescent="0.25">
      <c r="A23" s="116">
        <v>21</v>
      </c>
      <c r="B23" s="117">
        <f>калькулятор!D27</f>
        <v>0</v>
      </c>
      <c r="C23" s="117">
        <f>калькулятор!E27</f>
        <v>0</v>
      </c>
      <c r="D23" s="118">
        <f>калькулятор!F27</f>
        <v>0</v>
      </c>
      <c r="E23" s="117">
        <f>калькулятор!G27</f>
        <v>0</v>
      </c>
      <c r="F23" s="117">
        <f>калькулятор!H27</f>
        <v>0</v>
      </c>
      <c r="G23" s="117">
        <f>калькулятор!I27</f>
        <v>0</v>
      </c>
      <c r="H23" s="116">
        <f>данные!X23</f>
        <v>0</v>
      </c>
      <c r="I23" s="117">
        <f>данные!Y23</f>
        <v>0</v>
      </c>
      <c r="J23" s="117">
        <f>данные!Z23</f>
        <v>0</v>
      </c>
      <c r="K23" s="122">
        <f>данные!AA23</f>
        <v>0</v>
      </c>
      <c r="L23" s="117">
        <f>данные!AB23</f>
        <v>0</v>
      </c>
      <c r="M23" s="117">
        <f t="shared" si="0"/>
        <v>0</v>
      </c>
      <c r="O23" s="128">
        <v>2017</v>
      </c>
      <c r="P23" s="135">
        <f>P12*$V$12*$V$11*$V$10*$V$9</f>
        <v>0</v>
      </c>
      <c r="Q23" s="135">
        <f t="shared" ref="Q23:T23" si="15">Q12*$V$12*$V$11*$V$10*$V$9</f>
        <v>0</v>
      </c>
      <c r="R23" s="135">
        <f t="shared" si="15"/>
        <v>0</v>
      </c>
      <c r="S23" s="135">
        <f t="shared" si="15"/>
        <v>0</v>
      </c>
      <c r="T23" s="135">
        <f t="shared" si="15"/>
        <v>0</v>
      </c>
      <c r="U23" s="136">
        <f t="shared" ref="U23" si="16">U12*$V$12</f>
        <v>0</v>
      </c>
      <c r="V23" s="137">
        <f t="shared" si="8"/>
        <v>0</v>
      </c>
    </row>
    <row r="24" spans="1:22" x14ac:dyDescent="0.25">
      <c r="A24" s="119">
        <v>22</v>
      </c>
      <c r="B24" s="120">
        <f>калькулятор!D28</f>
        <v>0</v>
      </c>
      <c r="C24" s="120">
        <f>калькулятор!E28</f>
        <v>0</v>
      </c>
      <c r="D24" s="121">
        <f>калькулятор!F28</f>
        <v>0</v>
      </c>
      <c r="E24" s="120">
        <f>калькулятор!G28</f>
        <v>0</v>
      </c>
      <c r="F24" s="120">
        <f>калькулятор!H28</f>
        <v>0</v>
      </c>
      <c r="G24" s="120">
        <f>калькулятор!I28</f>
        <v>0</v>
      </c>
      <c r="H24" s="119">
        <f>данные!X24</f>
        <v>0</v>
      </c>
      <c r="I24" s="120">
        <f>данные!Y24</f>
        <v>0</v>
      </c>
      <c r="J24" s="120">
        <f>данные!Z24</f>
        <v>0</v>
      </c>
      <c r="K24" s="127">
        <f>данные!AA24</f>
        <v>0</v>
      </c>
      <c r="L24" s="120">
        <f>данные!AB24</f>
        <v>0</v>
      </c>
      <c r="M24" s="120">
        <f t="shared" si="0"/>
        <v>0</v>
      </c>
      <c r="O24" s="128">
        <v>2018</v>
      </c>
      <c r="P24" s="135">
        <f>P13*$V$13*$V$12*$V$11*$V$10*$V$9</f>
        <v>0</v>
      </c>
      <c r="Q24" s="135">
        <f t="shared" ref="Q24:T24" si="17">Q13*$V$13*$V$12*$V$11*$V$10*$V$9</f>
        <v>0</v>
      </c>
      <c r="R24" s="135">
        <f t="shared" si="17"/>
        <v>0</v>
      </c>
      <c r="S24" s="135">
        <f t="shared" si="17"/>
        <v>0</v>
      </c>
      <c r="T24" s="135">
        <f t="shared" si="17"/>
        <v>0</v>
      </c>
      <c r="U24" s="136">
        <f t="shared" ref="U24" si="18">U13*$V$13</f>
        <v>0</v>
      </c>
      <c r="V24" s="137">
        <f t="shared" si="8"/>
        <v>0</v>
      </c>
    </row>
    <row r="25" spans="1:22" ht="15.75" thickBot="1" x14ac:dyDescent="0.3">
      <c r="A25" s="116">
        <v>23</v>
      </c>
      <c r="B25" s="117">
        <f>калькулятор!D29</f>
        <v>0</v>
      </c>
      <c r="C25" s="117">
        <f>калькулятор!E29</f>
        <v>0</v>
      </c>
      <c r="D25" s="118">
        <f>калькулятор!F29</f>
        <v>0</v>
      </c>
      <c r="E25" s="117">
        <f>калькулятор!G29</f>
        <v>0</v>
      </c>
      <c r="F25" s="117">
        <f>калькулятор!H29</f>
        <v>0</v>
      </c>
      <c r="G25" s="117">
        <f>калькулятор!I29</f>
        <v>0</v>
      </c>
      <c r="H25" s="116">
        <f>данные!X25</f>
        <v>0</v>
      </c>
      <c r="I25" s="117">
        <f>данные!Y25</f>
        <v>0</v>
      </c>
      <c r="J25" s="117">
        <f>данные!Z25</f>
        <v>0</v>
      </c>
      <c r="K25" s="117">
        <f>данные!AA25</f>
        <v>0</v>
      </c>
      <c r="L25" s="117">
        <f>данные!AB25</f>
        <v>0</v>
      </c>
      <c r="M25" s="117">
        <f t="shared" si="0"/>
        <v>0</v>
      </c>
      <c r="O25" s="131" t="s">
        <v>91</v>
      </c>
      <c r="P25" s="138">
        <f t="shared" ref="P25:S25" si="19">SUM(P19:P24)</f>
        <v>147.09273999999999</v>
      </c>
      <c r="Q25" s="138">
        <f t="shared" si="19"/>
        <v>2108.7681600000001</v>
      </c>
      <c r="R25" s="138">
        <f t="shared" si="19"/>
        <v>13.953680000000002</v>
      </c>
      <c r="S25" s="138">
        <f t="shared" si="19"/>
        <v>0</v>
      </c>
      <c r="T25" s="138">
        <f>SUM(T19:T24)</f>
        <v>93.047500000000014</v>
      </c>
      <c r="U25" s="139">
        <f>SUM(U19:U24)</f>
        <v>2362.8620800000003</v>
      </c>
      <c r="V25" s="137">
        <f t="shared" si="8"/>
        <v>1</v>
      </c>
    </row>
    <row r="26" spans="1:22" x14ac:dyDescent="0.25">
      <c r="A26" s="119">
        <v>24</v>
      </c>
      <c r="B26" s="120">
        <f>калькулятор!D30</f>
        <v>0</v>
      </c>
      <c r="C26" s="120">
        <f>калькулятор!E30</f>
        <v>0</v>
      </c>
      <c r="D26" s="121">
        <f>калькулятор!F30</f>
        <v>0</v>
      </c>
      <c r="E26" s="120">
        <f>калькулятор!G30</f>
        <v>0</v>
      </c>
      <c r="F26" s="120">
        <f>калькулятор!H30</f>
        <v>0</v>
      </c>
      <c r="G26" s="120">
        <f>калькулятор!I30</f>
        <v>0</v>
      </c>
      <c r="H26" s="119">
        <f>данные!X26</f>
        <v>0</v>
      </c>
      <c r="I26" s="120">
        <f>данные!Y26</f>
        <v>0</v>
      </c>
      <c r="J26" s="120">
        <f>данные!Z26</f>
        <v>0</v>
      </c>
      <c r="K26" s="127">
        <f>данные!AA26</f>
        <v>0</v>
      </c>
      <c r="L26" s="120">
        <f>данные!AB26</f>
        <v>0</v>
      </c>
      <c r="M26" s="120">
        <f t="shared" si="0"/>
        <v>0</v>
      </c>
    </row>
    <row r="27" spans="1:22" x14ac:dyDescent="0.25">
      <c r="A27" s="116">
        <v>25</v>
      </c>
      <c r="B27" s="117">
        <f>калькулятор!D31</f>
        <v>0</v>
      </c>
      <c r="C27" s="117">
        <f>калькулятор!E31</f>
        <v>0</v>
      </c>
      <c r="D27" s="118">
        <f>калькулятор!F31</f>
        <v>0</v>
      </c>
      <c r="E27" s="117">
        <f>калькулятор!G31</f>
        <v>0</v>
      </c>
      <c r="F27" s="117">
        <f>калькулятор!H31</f>
        <v>0</v>
      </c>
      <c r="G27" s="117">
        <f>калькулятор!I31</f>
        <v>0</v>
      </c>
      <c r="H27" s="116">
        <f>данные!X27</f>
        <v>0</v>
      </c>
      <c r="I27" s="117">
        <f>данные!Y27</f>
        <v>0</v>
      </c>
      <c r="J27" s="117">
        <f>данные!Z27</f>
        <v>0</v>
      </c>
      <c r="K27" s="122">
        <f>данные!AA27</f>
        <v>0</v>
      </c>
      <c r="L27" s="117">
        <f>данные!AB27</f>
        <v>0</v>
      </c>
      <c r="M27" s="117">
        <f t="shared" si="0"/>
        <v>0</v>
      </c>
      <c r="O27" s="140" t="s">
        <v>94</v>
      </c>
    </row>
    <row r="28" spans="1:22" x14ac:dyDescent="0.25">
      <c r="A28" s="119">
        <v>26</v>
      </c>
      <c r="B28" s="120">
        <f>калькулятор!D32</f>
        <v>0</v>
      </c>
      <c r="C28" s="120">
        <f>калькулятор!E32</f>
        <v>0</v>
      </c>
      <c r="D28" s="121">
        <f>калькулятор!F32</f>
        <v>0</v>
      </c>
      <c r="E28" s="120">
        <f>калькулятор!G32</f>
        <v>0</v>
      </c>
      <c r="F28" s="120">
        <f>калькулятор!H32</f>
        <v>0</v>
      </c>
      <c r="G28" s="120">
        <f>калькулятор!I32</f>
        <v>0</v>
      </c>
      <c r="H28" s="119">
        <f>данные!X28</f>
        <v>0</v>
      </c>
      <c r="I28" s="120">
        <f>данные!Y28</f>
        <v>0</v>
      </c>
      <c r="J28" s="120">
        <f>данные!Z28</f>
        <v>0</v>
      </c>
      <c r="K28" s="120">
        <f>данные!AA28</f>
        <v>0</v>
      </c>
      <c r="L28" s="120">
        <f>данные!AB28</f>
        <v>0</v>
      </c>
      <c r="M28" s="120">
        <f t="shared" si="0"/>
        <v>0</v>
      </c>
    </row>
    <row r="29" spans="1:22" x14ac:dyDescent="0.25">
      <c r="A29" s="116">
        <v>27</v>
      </c>
      <c r="B29" s="117">
        <f>калькулятор!D33</f>
        <v>0</v>
      </c>
      <c r="C29" s="117">
        <f>калькулятор!E33</f>
        <v>0</v>
      </c>
      <c r="D29" s="118">
        <f>калькулятор!F33</f>
        <v>0</v>
      </c>
      <c r="E29" s="117">
        <f>калькулятор!G33</f>
        <v>0</v>
      </c>
      <c r="F29" s="117">
        <f>калькулятор!H33</f>
        <v>0</v>
      </c>
      <c r="G29" s="117">
        <f>калькулятор!I33</f>
        <v>0</v>
      </c>
      <c r="H29" s="116">
        <f>данные!X29</f>
        <v>0</v>
      </c>
      <c r="I29" s="117">
        <f>данные!Y29</f>
        <v>0</v>
      </c>
      <c r="J29" s="117">
        <f>данные!Z29</f>
        <v>0</v>
      </c>
      <c r="K29" s="122">
        <f>данные!AA29</f>
        <v>0</v>
      </c>
      <c r="L29" s="117">
        <f>данные!AB29</f>
        <v>0</v>
      </c>
      <c r="M29" s="117">
        <f t="shared" si="0"/>
        <v>0</v>
      </c>
    </row>
    <row r="30" spans="1:22" x14ac:dyDescent="0.25">
      <c r="A30" s="119">
        <v>28</v>
      </c>
      <c r="B30" s="120">
        <f>калькулятор!D34</f>
        <v>0</v>
      </c>
      <c r="C30" s="120">
        <f>калькулятор!E34</f>
        <v>0</v>
      </c>
      <c r="D30" s="121">
        <f>калькулятор!F34</f>
        <v>0</v>
      </c>
      <c r="E30" s="120">
        <f>калькулятор!G34</f>
        <v>0</v>
      </c>
      <c r="F30" s="120">
        <f>калькулятор!H34</f>
        <v>0</v>
      </c>
      <c r="G30" s="120">
        <f>калькулятор!I34</f>
        <v>0</v>
      </c>
      <c r="H30" s="119">
        <f>данные!X30</f>
        <v>0</v>
      </c>
      <c r="I30" s="120">
        <f>данные!Y30</f>
        <v>0</v>
      </c>
      <c r="J30" s="120">
        <f>данные!Z30</f>
        <v>0</v>
      </c>
      <c r="K30" s="127">
        <f>данные!AA30</f>
        <v>0</v>
      </c>
      <c r="L30" s="120">
        <f>данные!AB30</f>
        <v>0</v>
      </c>
      <c r="M30" s="120">
        <f t="shared" si="0"/>
        <v>0</v>
      </c>
    </row>
    <row r="31" spans="1:22" x14ac:dyDescent="0.25">
      <c r="A31" s="116">
        <v>29</v>
      </c>
      <c r="B31" s="117">
        <f>калькулятор!D35</f>
        <v>0</v>
      </c>
      <c r="C31" s="117">
        <f>калькулятор!E35</f>
        <v>0</v>
      </c>
      <c r="D31" s="118">
        <f>калькулятор!F35</f>
        <v>0</v>
      </c>
      <c r="E31" s="117">
        <f>калькулятор!G35</f>
        <v>0</v>
      </c>
      <c r="F31" s="117">
        <f>калькулятор!H35</f>
        <v>0</v>
      </c>
      <c r="G31" s="117">
        <f>калькулятор!I35</f>
        <v>0</v>
      </c>
      <c r="H31" s="116">
        <f>данные!X31</f>
        <v>0</v>
      </c>
      <c r="I31" s="117">
        <f>данные!Y31</f>
        <v>0</v>
      </c>
      <c r="J31" s="117">
        <f>данные!Z31</f>
        <v>0</v>
      </c>
      <c r="K31" s="141">
        <f>данные!AA31</f>
        <v>0</v>
      </c>
      <c r="L31" s="117">
        <f>данные!AB31</f>
        <v>0</v>
      </c>
      <c r="M31" s="117">
        <f t="shared" si="0"/>
        <v>0</v>
      </c>
    </row>
    <row r="32" spans="1:22" x14ac:dyDescent="0.25">
      <c r="A32" s="119">
        <v>30</v>
      </c>
      <c r="B32" s="120">
        <f>калькулятор!D36</f>
        <v>0</v>
      </c>
      <c r="C32" s="120">
        <f>калькулятор!E36</f>
        <v>0</v>
      </c>
      <c r="D32" s="121">
        <f>калькулятор!F36</f>
        <v>0</v>
      </c>
      <c r="E32" s="120">
        <f>калькулятор!G36</f>
        <v>0</v>
      </c>
      <c r="F32" s="120">
        <f>калькулятор!H36</f>
        <v>0</v>
      </c>
      <c r="G32" s="120">
        <f>калькулятор!I36</f>
        <v>0</v>
      </c>
      <c r="H32" s="119">
        <f>данные!X32</f>
        <v>0</v>
      </c>
      <c r="I32" s="120">
        <f>данные!Y32</f>
        <v>0</v>
      </c>
      <c r="J32" s="120">
        <f>данные!Z32</f>
        <v>0</v>
      </c>
      <c r="K32" s="127">
        <f>данные!AA32</f>
        <v>0</v>
      </c>
      <c r="L32" s="120">
        <f>данные!AB32</f>
        <v>0</v>
      </c>
      <c r="M32" s="120">
        <f t="shared" si="0"/>
        <v>0</v>
      </c>
    </row>
    <row r="33" spans="1:13" x14ac:dyDescent="0.25">
      <c r="A33" s="116">
        <v>31</v>
      </c>
      <c r="B33" s="117">
        <f>калькулятор!D37</f>
        <v>0</v>
      </c>
      <c r="C33" s="117">
        <f>калькулятор!E37</f>
        <v>0</v>
      </c>
      <c r="D33" s="118">
        <f>калькулятор!F37</f>
        <v>0</v>
      </c>
      <c r="E33" s="117">
        <f>калькулятор!G37</f>
        <v>0</v>
      </c>
      <c r="F33" s="117">
        <f>калькулятор!H37</f>
        <v>0</v>
      </c>
      <c r="G33" s="117">
        <f>калькулятор!I37</f>
        <v>0</v>
      </c>
      <c r="H33" s="116">
        <f>данные!X33</f>
        <v>0</v>
      </c>
      <c r="I33" s="117">
        <f>данные!Y33</f>
        <v>0</v>
      </c>
      <c r="J33" s="117">
        <f>данные!Z33</f>
        <v>0</v>
      </c>
      <c r="K33" s="122">
        <f>данные!AA33</f>
        <v>0</v>
      </c>
      <c r="L33" s="117">
        <f>данные!AB33</f>
        <v>0</v>
      </c>
      <c r="M33" s="117">
        <f t="shared" si="0"/>
        <v>0</v>
      </c>
    </row>
    <row r="34" spans="1:13" x14ac:dyDescent="0.25">
      <c r="A34" s="119">
        <v>32</v>
      </c>
      <c r="B34" s="120">
        <f>калькулятор!D38</f>
        <v>0</v>
      </c>
      <c r="C34" s="120">
        <f>калькулятор!E38</f>
        <v>0</v>
      </c>
      <c r="D34" s="121">
        <f>калькулятор!F38</f>
        <v>0</v>
      </c>
      <c r="E34" s="120">
        <f>калькулятор!G38</f>
        <v>0</v>
      </c>
      <c r="F34" s="120">
        <f>калькулятор!H38</f>
        <v>0</v>
      </c>
      <c r="G34" s="120">
        <f>калькулятор!I38</f>
        <v>0</v>
      </c>
      <c r="H34" s="119">
        <f>данные!X34</f>
        <v>0</v>
      </c>
      <c r="I34" s="120">
        <f>данные!Y34</f>
        <v>0</v>
      </c>
      <c r="J34" s="120">
        <f>данные!Z34</f>
        <v>0</v>
      </c>
      <c r="K34" s="127">
        <f>данные!AA34</f>
        <v>0</v>
      </c>
      <c r="L34" s="120">
        <f>данные!AB34</f>
        <v>0</v>
      </c>
      <c r="M34" s="120">
        <f t="shared" si="0"/>
        <v>0</v>
      </c>
    </row>
    <row r="35" spans="1:13" x14ac:dyDescent="0.25">
      <c r="A35" s="116">
        <v>33</v>
      </c>
      <c r="B35" s="117">
        <f>калькулятор!D39</f>
        <v>0</v>
      </c>
      <c r="C35" s="117">
        <f>калькулятор!E39</f>
        <v>0</v>
      </c>
      <c r="D35" s="118">
        <f>калькулятор!F39</f>
        <v>0</v>
      </c>
      <c r="E35" s="117">
        <f>калькулятор!G39</f>
        <v>0</v>
      </c>
      <c r="F35" s="117">
        <f>калькулятор!H39</f>
        <v>0</v>
      </c>
      <c r="G35" s="117">
        <f>калькулятор!I39</f>
        <v>0</v>
      </c>
      <c r="H35" s="116">
        <f>данные!X35</f>
        <v>0</v>
      </c>
      <c r="I35" s="117">
        <f>данные!Y35</f>
        <v>0</v>
      </c>
      <c r="J35" s="117">
        <f>данные!Z35</f>
        <v>0</v>
      </c>
      <c r="K35" s="122">
        <f>данные!AA35</f>
        <v>0</v>
      </c>
      <c r="L35" s="117">
        <f>данные!AB35</f>
        <v>0</v>
      </c>
      <c r="M35" s="117">
        <f t="shared" si="0"/>
        <v>0</v>
      </c>
    </row>
    <row r="36" spans="1:13" x14ac:dyDescent="0.25">
      <c r="A36" s="119">
        <v>34</v>
      </c>
      <c r="B36" s="120">
        <f>калькулятор!D40</f>
        <v>0</v>
      </c>
      <c r="C36" s="120">
        <f>калькулятор!E40</f>
        <v>0</v>
      </c>
      <c r="D36" s="121">
        <f>калькулятор!F40</f>
        <v>0</v>
      </c>
      <c r="E36" s="120">
        <f>калькулятор!G40</f>
        <v>0</v>
      </c>
      <c r="F36" s="120">
        <f>калькулятор!H40</f>
        <v>0</v>
      </c>
      <c r="G36" s="120">
        <f>калькулятор!I40</f>
        <v>0</v>
      </c>
      <c r="H36" s="119">
        <f>данные!X36</f>
        <v>0</v>
      </c>
      <c r="I36" s="120">
        <f>данные!Y36</f>
        <v>0</v>
      </c>
      <c r="J36" s="120">
        <f>данные!Z36</f>
        <v>0</v>
      </c>
      <c r="K36" s="127">
        <f>данные!AA36</f>
        <v>0</v>
      </c>
      <c r="L36" s="120">
        <f>данные!AB36</f>
        <v>0</v>
      </c>
      <c r="M36" s="120">
        <f t="shared" si="0"/>
        <v>0</v>
      </c>
    </row>
    <row r="37" spans="1:13" x14ac:dyDescent="0.25">
      <c r="A37" s="116">
        <v>35</v>
      </c>
      <c r="B37" s="117">
        <f>калькулятор!D41</f>
        <v>0</v>
      </c>
      <c r="C37" s="117">
        <f>калькулятор!E41</f>
        <v>0</v>
      </c>
      <c r="D37" s="118">
        <f>калькулятор!F41</f>
        <v>0</v>
      </c>
      <c r="E37" s="117">
        <f>калькулятор!G41</f>
        <v>0</v>
      </c>
      <c r="F37" s="117">
        <f>калькулятор!H41</f>
        <v>0</v>
      </c>
      <c r="G37" s="117">
        <f>калькулятор!I41</f>
        <v>0</v>
      </c>
      <c r="H37" s="116">
        <f>данные!X37</f>
        <v>0</v>
      </c>
      <c r="I37" s="117">
        <f>данные!Y37</f>
        <v>0</v>
      </c>
      <c r="J37" s="117">
        <f>данные!Z37</f>
        <v>0</v>
      </c>
      <c r="K37" s="122">
        <f>данные!AA37</f>
        <v>0</v>
      </c>
      <c r="L37" s="117">
        <f>данные!AB37</f>
        <v>0</v>
      </c>
      <c r="M37" s="117">
        <f t="shared" si="0"/>
        <v>0</v>
      </c>
    </row>
    <row r="38" spans="1:13" x14ac:dyDescent="0.25">
      <c r="A38" s="119">
        <v>36</v>
      </c>
      <c r="B38" s="120">
        <f>калькулятор!D42</f>
        <v>0</v>
      </c>
      <c r="C38" s="120">
        <f>калькулятор!E42</f>
        <v>0</v>
      </c>
      <c r="D38" s="121">
        <f>калькулятор!F42</f>
        <v>0</v>
      </c>
      <c r="E38" s="120">
        <f>калькулятор!G42</f>
        <v>0</v>
      </c>
      <c r="F38" s="120">
        <f>калькулятор!H42</f>
        <v>0</v>
      </c>
      <c r="G38" s="120">
        <f>калькулятор!I42</f>
        <v>0</v>
      </c>
      <c r="H38" s="119">
        <f>данные!X38</f>
        <v>0</v>
      </c>
      <c r="I38" s="120">
        <f>данные!Y38</f>
        <v>0</v>
      </c>
      <c r="J38" s="120">
        <f>данные!Z38</f>
        <v>0</v>
      </c>
      <c r="K38" s="127">
        <f>данные!AA38</f>
        <v>0</v>
      </c>
      <c r="L38" s="120">
        <f>данные!AB38</f>
        <v>0</v>
      </c>
      <c r="M38" s="120">
        <f t="shared" si="0"/>
        <v>0</v>
      </c>
    </row>
    <row r="39" spans="1:13" x14ac:dyDescent="0.25">
      <c r="A39" s="116">
        <v>37</v>
      </c>
      <c r="B39" s="117">
        <f>калькулятор!D43</f>
        <v>0</v>
      </c>
      <c r="C39" s="117">
        <f>калькулятор!E43</f>
        <v>0</v>
      </c>
      <c r="D39" s="118">
        <f>калькулятор!F43</f>
        <v>0</v>
      </c>
      <c r="E39" s="117">
        <f>калькулятор!G43</f>
        <v>0</v>
      </c>
      <c r="F39" s="117">
        <f>калькулятор!H43</f>
        <v>0</v>
      </c>
      <c r="G39" s="117">
        <f>калькулятор!I43</f>
        <v>0</v>
      </c>
      <c r="H39" s="116">
        <f>данные!X39</f>
        <v>0</v>
      </c>
      <c r="I39" s="117">
        <f>данные!Y39</f>
        <v>0</v>
      </c>
      <c r="J39" s="117">
        <f>данные!Z39</f>
        <v>0</v>
      </c>
      <c r="K39" s="122">
        <f>данные!AA39</f>
        <v>0</v>
      </c>
      <c r="L39" s="117">
        <f>данные!AB39</f>
        <v>0</v>
      </c>
      <c r="M39" s="117">
        <f t="shared" si="0"/>
        <v>0</v>
      </c>
    </row>
    <row r="40" spans="1:13" x14ac:dyDescent="0.25">
      <c r="A40" s="119">
        <v>38</v>
      </c>
      <c r="B40" s="120">
        <f>калькулятор!D44</f>
        <v>0</v>
      </c>
      <c r="C40" s="120">
        <f>калькулятор!E44</f>
        <v>0</v>
      </c>
      <c r="D40" s="121">
        <f>калькулятор!F44</f>
        <v>0</v>
      </c>
      <c r="E40" s="120">
        <f>калькулятор!G44</f>
        <v>0</v>
      </c>
      <c r="F40" s="120">
        <f>калькулятор!H44</f>
        <v>0</v>
      </c>
      <c r="G40" s="120">
        <f>калькулятор!I44</f>
        <v>0</v>
      </c>
      <c r="H40" s="119">
        <f>данные!X40</f>
        <v>0</v>
      </c>
      <c r="I40" s="120">
        <f>данные!Y40</f>
        <v>0</v>
      </c>
      <c r="J40" s="120">
        <f>данные!Z40</f>
        <v>0</v>
      </c>
      <c r="K40" s="127">
        <f>данные!AA40</f>
        <v>0</v>
      </c>
      <c r="L40" s="120">
        <f>данные!AB40</f>
        <v>0</v>
      </c>
      <c r="M40" s="120">
        <f t="shared" si="0"/>
        <v>0</v>
      </c>
    </row>
    <row r="41" spans="1:13" x14ac:dyDescent="0.25">
      <c r="A41" s="116">
        <v>39</v>
      </c>
      <c r="B41" s="117">
        <f>калькулятор!D45</f>
        <v>0</v>
      </c>
      <c r="C41" s="117">
        <f>калькулятор!E45</f>
        <v>0</v>
      </c>
      <c r="D41" s="118">
        <f>калькулятор!F45</f>
        <v>0</v>
      </c>
      <c r="E41" s="117">
        <f>калькулятор!G45</f>
        <v>0</v>
      </c>
      <c r="F41" s="117">
        <f>калькулятор!H45</f>
        <v>0</v>
      </c>
      <c r="G41" s="117">
        <f>калькулятор!I45</f>
        <v>0</v>
      </c>
      <c r="H41" s="116">
        <f>данные!X41</f>
        <v>0</v>
      </c>
      <c r="I41" s="117">
        <f>данные!Y41</f>
        <v>0</v>
      </c>
      <c r="J41" s="117">
        <f>данные!Z41</f>
        <v>0</v>
      </c>
      <c r="K41" s="122">
        <f>данные!AA41</f>
        <v>0</v>
      </c>
      <c r="L41" s="117">
        <f>данные!AB41</f>
        <v>0</v>
      </c>
      <c r="M41" s="117">
        <f t="shared" si="0"/>
        <v>0</v>
      </c>
    </row>
    <row r="42" spans="1:13" x14ac:dyDescent="0.25">
      <c r="A42" s="119">
        <v>40</v>
      </c>
      <c r="B42" s="120">
        <f>калькулятор!D46</f>
        <v>0</v>
      </c>
      <c r="C42" s="120">
        <f>калькулятор!E46</f>
        <v>0</v>
      </c>
      <c r="D42" s="121">
        <f>калькулятор!F46</f>
        <v>0</v>
      </c>
      <c r="E42" s="120">
        <f>калькулятор!G46</f>
        <v>0</v>
      </c>
      <c r="F42" s="120">
        <f>калькулятор!H46</f>
        <v>0</v>
      </c>
      <c r="G42" s="120">
        <f>калькулятор!I46</f>
        <v>0</v>
      </c>
      <c r="H42" s="119">
        <f>данные!X42</f>
        <v>0</v>
      </c>
      <c r="I42" s="120">
        <f>данные!Y42</f>
        <v>0</v>
      </c>
      <c r="J42" s="120">
        <f>данные!Z42</f>
        <v>0</v>
      </c>
      <c r="K42" s="127">
        <f>данные!AA42</f>
        <v>0</v>
      </c>
      <c r="L42" s="120">
        <f>данные!AB42</f>
        <v>0</v>
      </c>
      <c r="M42" s="120">
        <f t="shared" si="0"/>
        <v>0</v>
      </c>
    </row>
    <row r="43" spans="1:13" x14ac:dyDescent="0.25">
      <c r="A43" s="116">
        <v>41</v>
      </c>
      <c r="B43" s="117">
        <f>калькулятор!D47</f>
        <v>0</v>
      </c>
      <c r="C43" s="117">
        <f>калькулятор!E47</f>
        <v>0</v>
      </c>
      <c r="D43" s="118">
        <f>калькулятор!F47</f>
        <v>0</v>
      </c>
      <c r="E43" s="117">
        <f>калькулятор!G47</f>
        <v>0</v>
      </c>
      <c r="F43" s="117">
        <f>калькулятор!H47</f>
        <v>0</v>
      </c>
      <c r="G43" s="117">
        <f>калькулятор!I47</f>
        <v>0</v>
      </c>
      <c r="H43" s="116">
        <f>данные!X43</f>
        <v>0</v>
      </c>
      <c r="I43" s="117">
        <f>данные!Y43</f>
        <v>0</v>
      </c>
      <c r="J43" s="117">
        <f>данные!Z43</f>
        <v>0</v>
      </c>
      <c r="K43" s="122">
        <f>данные!AA43</f>
        <v>0</v>
      </c>
      <c r="L43" s="117">
        <f>данные!AB43</f>
        <v>0</v>
      </c>
      <c r="M43" s="117">
        <f t="shared" si="0"/>
        <v>0</v>
      </c>
    </row>
    <row r="44" spans="1:13" x14ac:dyDescent="0.25">
      <c r="A44" s="119">
        <v>42</v>
      </c>
      <c r="B44" s="120">
        <f>калькулятор!D48</f>
        <v>0</v>
      </c>
      <c r="C44" s="120">
        <f>калькулятор!E48</f>
        <v>0</v>
      </c>
      <c r="D44" s="121">
        <f>калькулятор!F48</f>
        <v>0</v>
      </c>
      <c r="E44" s="120">
        <f>калькулятор!G48</f>
        <v>0</v>
      </c>
      <c r="F44" s="120">
        <f>калькулятор!H48</f>
        <v>0</v>
      </c>
      <c r="G44" s="120">
        <f>калькулятор!I48</f>
        <v>0</v>
      </c>
      <c r="H44" s="119">
        <f>данные!X44</f>
        <v>0</v>
      </c>
      <c r="I44" s="120">
        <f>данные!Y44</f>
        <v>0</v>
      </c>
      <c r="J44" s="120">
        <f>данные!Z44</f>
        <v>0</v>
      </c>
      <c r="K44" s="127">
        <f>данные!AA44</f>
        <v>0</v>
      </c>
      <c r="L44" s="120">
        <f>данные!AB44</f>
        <v>0</v>
      </c>
      <c r="M44" s="120">
        <f t="shared" si="0"/>
        <v>0</v>
      </c>
    </row>
    <row r="45" spans="1:13" x14ac:dyDescent="0.25">
      <c r="A45" s="116">
        <v>43</v>
      </c>
      <c r="B45" s="117">
        <f>калькулятор!D49</f>
        <v>0</v>
      </c>
      <c r="C45" s="117">
        <f>калькулятор!E49</f>
        <v>0</v>
      </c>
      <c r="D45" s="118">
        <f>калькулятор!F49</f>
        <v>0</v>
      </c>
      <c r="E45" s="117">
        <f>калькулятор!G49</f>
        <v>0</v>
      </c>
      <c r="F45" s="117">
        <f>калькулятор!H49</f>
        <v>0</v>
      </c>
      <c r="G45" s="117">
        <f>калькулятор!I49</f>
        <v>0</v>
      </c>
      <c r="H45" s="116">
        <f>данные!X45</f>
        <v>0</v>
      </c>
      <c r="I45" s="117">
        <f>данные!Y45</f>
        <v>0</v>
      </c>
      <c r="J45" s="117">
        <f>данные!Z45</f>
        <v>0</v>
      </c>
      <c r="K45" s="122">
        <f>данные!AA45</f>
        <v>0</v>
      </c>
      <c r="L45" s="117">
        <f>данные!AB45</f>
        <v>0</v>
      </c>
      <c r="M45" s="117">
        <f t="shared" si="0"/>
        <v>0</v>
      </c>
    </row>
    <row r="46" spans="1:13" x14ac:dyDescent="0.25">
      <c r="A46" s="119">
        <v>44</v>
      </c>
      <c r="B46" s="120">
        <f>калькулятор!D50</f>
        <v>0</v>
      </c>
      <c r="C46" s="120">
        <f>калькулятор!E50</f>
        <v>0</v>
      </c>
      <c r="D46" s="121">
        <f>калькулятор!F50</f>
        <v>0</v>
      </c>
      <c r="E46" s="120">
        <f>калькулятор!G50</f>
        <v>0</v>
      </c>
      <c r="F46" s="120">
        <f>калькулятор!H50</f>
        <v>0</v>
      </c>
      <c r="G46" s="120">
        <f>калькулятор!I50</f>
        <v>0</v>
      </c>
      <c r="H46" s="119">
        <f>данные!X46</f>
        <v>0</v>
      </c>
      <c r="I46" s="120">
        <f>данные!Y46</f>
        <v>0</v>
      </c>
      <c r="J46" s="120">
        <f>данные!Z46</f>
        <v>0</v>
      </c>
      <c r="K46" s="127">
        <f>данные!AA46</f>
        <v>0</v>
      </c>
      <c r="L46" s="120">
        <f>данные!AB46</f>
        <v>0</v>
      </c>
      <c r="M46" s="120">
        <f t="shared" si="0"/>
        <v>0</v>
      </c>
    </row>
    <row r="47" spans="1:13" x14ac:dyDescent="0.25">
      <c r="A47" s="116">
        <v>45</v>
      </c>
      <c r="B47" s="117">
        <f>калькулятор!D51</f>
        <v>0</v>
      </c>
      <c r="C47" s="117">
        <f>калькулятор!E51</f>
        <v>0</v>
      </c>
      <c r="D47" s="118">
        <f>калькулятор!F51</f>
        <v>0</v>
      </c>
      <c r="E47" s="117">
        <f>калькулятор!G51</f>
        <v>0</v>
      </c>
      <c r="F47" s="117">
        <f>калькулятор!H51</f>
        <v>0</v>
      </c>
      <c r="G47" s="117">
        <f>калькулятор!I51</f>
        <v>0</v>
      </c>
      <c r="H47" s="116">
        <f>данные!X47</f>
        <v>0</v>
      </c>
      <c r="I47" s="117">
        <f>данные!Y47</f>
        <v>0</v>
      </c>
      <c r="J47" s="117">
        <f>данные!Z47</f>
        <v>0</v>
      </c>
      <c r="K47" s="122">
        <f>данные!AA47</f>
        <v>0</v>
      </c>
      <c r="L47" s="117">
        <f>данные!AB47</f>
        <v>0</v>
      </c>
      <c r="M47" s="117">
        <f t="shared" si="0"/>
        <v>0</v>
      </c>
    </row>
    <row r="48" spans="1:13" x14ac:dyDescent="0.25">
      <c r="A48" s="119">
        <v>46</v>
      </c>
      <c r="B48" s="120">
        <f>калькулятор!D52</f>
        <v>0</v>
      </c>
      <c r="C48" s="120">
        <f>калькулятор!E52</f>
        <v>0</v>
      </c>
      <c r="D48" s="121">
        <f>калькулятор!F52</f>
        <v>0</v>
      </c>
      <c r="E48" s="120">
        <f>калькулятор!G52</f>
        <v>0</v>
      </c>
      <c r="F48" s="120">
        <f>калькулятор!H52</f>
        <v>0</v>
      </c>
      <c r="G48" s="120">
        <f>калькулятор!I52</f>
        <v>0</v>
      </c>
      <c r="H48" s="119">
        <f>данные!X48</f>
        <v>0</v>
      </c>
      <c r="I48" s="120">
        <f>данные!Y48</f>
        <v>0</v>
      </c>
      <c r="J48" s="120">
        <f>данные!Z48</f>
        <v>0</v>
      </c>
      <c r="K48" s="127">
        <f>данные!AA48</f>
        <v>0</v>
      </c>
      <c r="L48" s="120">
        <f>данные!AB48</f>
        <v>0</v>
      </c>
      <c r="M48" s="120">
        <f t="shared" si="0"/>
        <v>0</v>
      </c>
    </row>
    <row r="49" spans="1:13" x14ac:dyDescent="0.25">
      <c r="A49" s="116">
        <v>47</v>
      </c>
      <c r="B49" s="117">
        <f>калькулятор!D53</f>
        <v>0</v>
      </c>
      <c r="C49" s="117">
        <f>калькулятор!E53</f>
        <v>0</v>
      </c>
      <c r="D49" s="118">
        <f>калькулятор!F53</f>
        <v>0</v>
      </c>
      <c r="E49" s="117">
        <f>калькулятор!G53</f>
        <v>0</v>
      </c>
      <c r="F49" s="117">
        <f>калькулятор!H53</f>
        <v>0</v>
      </c>
      <c r="G49" s="117">
        <f>калькулятор!I53</f>
        <v>0</v>
      </c>
      <c r="H49" s="116">
        <f>данные!X49</f>
        <v>0</v>
      </c>
      <c r="I49" s="117">
        <f>данные!Y49</f>
        <v>0</v>
      </c>
      <c r="J49" s="117">
        <f>данные!Z49</f>
        <v>0</v>
      </c>
      <c r="K49" s="122">
        <f>данные!AA49</f>
        <v>0</v>
      </c>
      <c r="L49" s="117">
        <f>данные!AB49</f>
        <v>0</v>
      </c>
      <c r="M49" s="117">
        <f t="shared" si="0"/>
        <v>0</v>
      </c>
    </row>
    <row r="50" spans="1:13" x14ac:dyDescent="0.25">
      <c r="A50" s="119">
        <v>48</v>
      </c>
      <c r="B50" s="120">
        <f>калькулятор!D54</f>
        <v>0</v>
      </c>
      <c r="C50" s="120">
        <f>калькулятор!E54</f>
        <v>0</v>
      </c>
      <c r="D50" s="121">
        <f>калькулятор!F54</f>
        <v>0</v>
      </c>
      <c r="E50" s="120">
        <f>калькулятор!G54</f>
        <v>0</v>
      </c>
      <c r="F50" s="120">
        <f>калькулятор!H54</f>
        <v>0</v>
      </c>
      <c r="G50" s="120">
        <f>калькулятор!I54</f>
        <v>0</v>
      </c>
      <c r="H50" s="119">
        <f>данные!X50</f>
        <v>0</v>
      </c>
      <c r="I50" s="120">
        <f>данные!Y50</f>
        <v>0</v>
      </c>
      <c r="J50" s="120">
        <f>данные!Z50</f>
        <v>0</v>
      </c>
      <c r="K50" s="127">
        <f>данные!AA50</f>
        <v>0</v>
      </c>
      <c r="L50" s="120">
        <f>данные!AB50</f>
        <v>0</v>
      </c>
      <c r="M50" s="120">
        <f t="shared" si="0"/>
        <v>0</v>
      </c>
    </row>
    <row r="51" spans="1:13" x14ac:dyDescent="0.25">
      <c r="A51" s="116">
        <v>49</v>
      </c>
      <c r="B51" s="117">
        <f>калькулятор!D55</f>
        <v>0</v>
      </c>
      <c r="C51" s="117">
        <f>калькулятор!E55</f>
        <v>0</v>
      </c>
      <c r="D51" s="118">
        <f>калькулятор!F55</f>
        <v>0</v>
      </c>
      <c r="E51" s="117">
        <f>калькулятор!G55</f>
        <v>0</v>
      </c>
      <c r="F51" s="117">
        <f>калькулятор!H55</f>
        <v>0</v>
      </c>
      <c r="G51" s="117">
        <f>калькулятор!I55</f>
        <v>0</v>
      </c>
      <c r="H51" s="116">
        <f>данные!X51</f>
        <v>0</v>
      </c>
      <c r="I51" s="117">
        <f>данные!Y51</f>
        <v>0</v>
      </c>
      <c r="J51" s="117">
        <f>данные!Z51</f>
        <v>0</v>
      </c>
      <c r="K51" s="122">
        <f>данные!AA51</f>
        <v>0</v>
      </c>
      <c r="L51" s="117">
        <f>данные!AB51</f>
        <v>0</v>
      </c>
      <c r="M51" s="117">
        <f t="shared" si="0"/>
        <v>0</v>
      </c>
    </row>
    <row r="52" spans="1:13" x14ac:dyDescent="0.25">
      <c r="A52" s="119">
        <v>50</v>
      </c>
      <c r="B52" s="120">
        <f>калькулятор!D56</f>
        <v>0</v>
      </c>
      <c r="C52" s="120">
        <f>калькулятор!E56</f>
        <v>0</v>
      </c>
      <c r="D52" s="121">
        <f>калькулятор!F56</f>
        <v>0</v>
      </c>
      <c r="E52" s="120">
        <f>калькулятор!G56</f>
        <v>0</v>
      </c>
      <c r="F52" s="120">
        <f>калькулятор!H56</f>
        <v>0</v>
      </c>
      <c r="G52" s="120">
        <f>калькулятор!I56</f>
        <v>0</v>
      </c>
      <c r="H52" s="119">
        <f>данные!X52</f>
        <v>0</v>
      </c>
      <c r="I52" s="120">
        <f>данные!Y52</f>
        <v>0</v>
      </c>
      <c r="J52" s="120">
        <f>данные!Z52</f>
        <v>0</v>
      </c>
      <c r="K52" s="127">
        <f>данные!AA52</f>
        <v>0</v>
      </c>
      <c r="L52" s="120">
        <f>данные!AB52</f>
        <v>0</v>
      </c>
      <c r="M52" s="120">
        <f t="shared" si="0"/>
        <v>0</v>
      </c>
    </row>
    <row r="53" spans="1:13" x14ac:dyDescent="0.25">
      <c r="A53" s="116">
        <v>51</v>
      </c>
      <c r="B53" s="117">
        <f>калькулятор!D57</f>
        <v>0</v>
      </c>
      <c r="C53" s="117">
        <f>калькулятор!E57</f>
        <v>0</v>
      </c>
      <c r="D53" s="118">
        <f>калькулятор!F57</f>
        <v>0</v>
      </c>
      <c r="E53" s="117">
        <f>калькулятор!G57</f>
        <v>0</v>
      </c>
      <c r="F53" s="117">
        <f>калькулятор!H57</f>
        <v>0</v>
      </c>
      <c r="G53" s="117">
        <f>калькулятор!I57</f>
        <v>0</v>
      </c>
      <c r="H53" s="116">
        <f>данные!X53</f>
        <v>0</v>
      </c>
      <c r="I53" s="117">
        <f>данные!Y53</f>
        <v>0</v>
      </c>
      <c r="J53" s="117">
        <f>данные!Z53</f>
        <v>0</v>
      </c>
      <c r="K53" s="122">
        <f>данные!AA53</f>
        <v>0</v>
      </c>
      <c r="L53" s="117">
        <f>данные!AB53</f>
        <v>0</v>
      </c>
      <c r="M53" s="117">
        <f t="shared" si="0"/>
        <v>0</v>
      </c>
    </row>
    <row r="54" spans="1:13" x14ac:dyDescent="0.25">
      <c r="A54" s="119">
        <v>52</v>
      </c>
      <c r="B54" s="120">
        <f>калькулятор!D58</f>
        <v>0</v>
      </c>
      <c r="C54" s="120">
        <f>калькулятор!E58</f>
        <v>0</v>
      </c>
      <c r="D54" s="121">
        <f>калькулятор!F58</f>
        <v>0</v>
      </c>
      <c r="E54" s="120">
        <f>калькулятор!G58</f>
        <v>0</v>
      </c>
      <c r="F54" s="120">
        <f>калькулятор!H58</f>
        <v>0</v>
      </c>
      <c r="G54" s="120">
        <f>калькулятор!I58</f>
        <v>0</v>
      </c>
      <c r="H54" s="119">
        <f>данные!X54</f>
        <v>0</v>
      </c>
      <c r="I54" s="120">
        <f>данные!Y54</f>
        <v>0</v>
      </c>
      <c r="J54" s="120">
        <f>данные!Z54</f>
        <v>0</v>
      </c>
      <c r="K54" s="127">
        <f>данные!AA54</f>
        <v>0</v>
      </c>
      <c r="L54" s="120">
        <f>данные!AB54</f>
        <v>0</v>
      </c>
      <c r="M54" s="120">
        <f t="shared" si="0"/>
        <v>0</v>
      </c>
    </row>
    <row r="55" spans="1:13" x14ac:dyDescent="0.25">
      <c r="A55" s="116">
        <v>53</v>
      </c>
      <c r="B55" s="117">
        <f>калькулятор!D59</f>
        <v>0</v>
      </c>
      <c r="C55" s="117">
        <f>калькулятор!E59</f>
        <v>0</v>
      </c>
      <c r="D55" s="118">
        <f>калькулятор!F59</f>
        <v>0</v>
      </c>
      <c r="E55" s="117">
        <f>калькулятор!G59</f>
        <v>0</v>
      </c>
      <c r="F55" s="117">
        <f>калькулятор!H59</f>
        <v>0</v>
      </c>
      <c r="G55" s="117">
        <f>калькулятор!I59</f>
        <v>0</v>
      </c>
      <c r="H55" s="116">
        <f>данные!X55</f>
        <v>0</v>
      </c>
      <c r="I55" s="117">
        <f>данные!Y55</f>
        <v>0</v>
      </c>
      <c r="J55" s="117">
        <f>данные!Z55</f>
        <v>0</v>
      </c>
      <c r="K55" s="122">
        <f>данные!AA55</f>
        <v>0</v>
      </c>
      <c r="L55" s="117">
        <f>данные!AB55</f>
        <v>0</v>
      </c>
      <c r="M55" s="117">
        <f t="shared" si="0"/>
        <v>0</v>
      </c>
    </row>
    <row r="56" spans="1:13" x14ac:dyDescent="0.25">
      <c r="A56" s="119">
        <v>54</v>
      </c>
      <c r="B56" s="120">
        <f>калькулятор!D60</f>
        <v>0</v>
      </c>
      <c r="C56" s="120">
        <f>калькулятор!E60</f>
        <v>0</v>
      </c>
      <c r="D56" s="121">
        <f>калькулятор!F60</f>
        <v>0</v>
      </c>
      <c r="E56" s="120">
        <f>калькулятор!G60</f>
        <v>0</v>
      </c>
      <c r="F56" s="120">
        <f>калькулятор!H60</f>
        <v>0</v>
      </c>
      <c r="G56" s="120">
        <f>калькулятор!I60</f>
        <v>0</v>
      </c>
      <c r="H56" s="119">
        <f>данные!X56</f>
        <v>0</v>
      </c>
      <c r="I56" s="120">
        <f>данные!Y56</f>
        <v>0</v>
      </c>
      <c r="J56" s="120">
        <f>данные!Z56</f>
        <v>0</v>
      </c>
      <c r="K56" s="127">
        <f>данные!AA56</f>
        <v>0</v>
      </c>
      <c r="L56" s="120">
        <f>данные!AB56</f>
        <v>0</v>
      </c>
      <c r="M56" s="120">
        <f t="shared" si="0"/>
        <v>0</v>
      </c>
    </row>
    <row r="57" spans="1:13" x14ac:dyDescent="0.25">
      <c r="A57" s="116">
        <v>55</v>
      </c>
      <c r="B57" s="117">
        <f>калькулятор!D61</f>
        <v>0</v>
      </c>
      <c r="C57" s="117">
        <f>калькулятор!E61</f>
        <v>0</v>
      </c>
      <c r="D57" s="118">
        <f>калькулятор!F61</f>
        <v>0</v>
      </c>
      <c r="E57" s="117">
        <f>калькулятор!G61</f>
        <v>0</v>
      </c>
      <c r="F57" s="117">
        <f>калькулятор!H61</f>
        <v>0</v>
      </c>
      <c r="G57" s="117">
        <f>калькулятор!I61</f>
        <v>0</v>
      </c>
      <c r="H57" s="116">
        <f>данные!X57</f>
        <v>0</v>
      </c>
      <c r="I57" s="117">
        <f>данные!Y57</f>
        <v>0</v>
      </c>
      <c r="J57" s="117">
        <f>данные!Z57</f>
        <v>0</v>
      </c>
      <c r="K57" s="122">
        <f>данные!AA57</f>
        <v>0</v>
      </c>
      <c r="L57" s="117">
        <f>данные!AB57</f>
        <v>0</v>
      </c>
      <c r="M57" s="117">
        <f t="shared" si="0"/>
        <v>0</v>
      </c>
    </row>
    <row r="58" spans="1:13" x14ac:dyDescent="0.25">
      <c r="A58" s="119">
        <v>56</v>
      </c>
      <c r="B58" s="120">
        <f>калькулятор!D62</f>
        <v>0</v>
      </c>
      <c r="C58" s="120">
        <f>калькулятор!E62</f>
        <v>0</v>
      </c>
      <c r="D58" s="121">
        <f>калькулятор!F62</f>
        <v>0</v>
      </c>
      <c r="E58" s="120">
        <f>калькулятор!G62</f>
        <v>0</v>
      </c>
      <c r="F58" s="120">
        <f>калькулятор!H62</f>
        <v>0</v>
      </c>
      <c r="G58" s="120">
        <f>калькулятор!I62</f>
        <v>0</v>
      </c>
      <c r="H58" s="119">
        <f>данные!X58</f>
        <v>0</v>
      </c>
      <c r="I58" s="120">
        <f>данные!Y58</f>
        <v>0</v>
      </c>
      <c r="J58" s="120">
        <f>данные!Z58</f>
        <v>0</v>
      </c>
      <c r="K58" s="127">
        <f>данные!AA58</f>
        <v>0</v>
      </c>
      <c r="L58" s="120">
        <f>данные!AB58</f>
        <v>0</v>
      </c>
      <c r="M58" s="120">
        <f t="shared" si="0"/>
        <v>0</v>
      </c>
    </row>
    <row r="59" spans="1:13" x14ac:dyDescent="0.25">
      <c r="A59" s="116">
        <v>57</v>
      </c>
      <c r="B59" s="117">
        <f>калькулятор!D63</f>
        <v>0</v>
      </c>
      <c r="C59" s="117">
        <f>калькулятор!E63</f>
        <v>0</v>
      </c>
      <c r="D59" s="118">
        <f>калькулятор!F63</f>
        <v>0</v>
      </c>
      <c r="E59" s="117">
        <f>калькулятор!G63</f>
        <v>0</v>
      </c>
      <c r="F59" s="117">
        <f>калькулятор!H63</f>
        <v>0</v>
      </c>
      <c r="G59" s="117">
        <f>калькулятор!I63</f>
        <v>0</v>
      </c>
      <c r="H59" s="116">
        <f>данные!X59</f>
        <v>0</v>
      </c>
      <c r="I59" s="117">
        <f>данные!Y59</f>
        <v>0</v>
      </c>
      <c r="J59" s="117">
        <f>данные!Z59</f>
        <v>0</v>
      </c>
      <c r="K59" s="122">
        <f>данные!AA59</f>
        <v>0</v>
      </c>
      <c r="L59" s="117">
        <f>данные!AB59</f>
        <v>0</v>
      </c>
      <c r="M59" s="117">
        <f t="shared" si="0"/>
        <v>0</v>
      </c>
    </row>
    <row r="60" spans="1:13" x14ac:dyDescent="0.25">
      <c r="A60" s="119">
        <v>58</v>
      </c>
      <c r="B60" s="120">
        <f>калькулятор!D64</f>
        <v>0</v>
      </c>
      <c r="C60" s="120">
        <f>калькулятор!E64</f>
        <v>0</v>
      </c>
      <c r="D60" s="121">
        <f>калькулятор!F64</f>
        <v>0</v>
      </c>
      <c r="E60" s="120">
        <f>калькулятор!G64</f>
        <v>0</v>
      </c>
      <c r="F60" s="120">
        <f>калькулятор!H64</f>
        <v>0</v>
      </c>
      <c r="G60" s="120">
        <f>калькулятор!I64</f>
        <v>0</v>
      </c>
      <c r="H60" s="119">
        <f>данные!X60</f>
        <v>0</v>
      </c>
      <c r="I60" s="120">
        <f>данные!Y60</f>
        <v>0</v>
      </c>
      <c r="J60" s="120">
        <f>данные!Z60</f>
        <v>0</v>
      </c>
      <c r="K60" s="127">
        <f>данные!AA60</f>
        <v>0</v>
      </c>
      <c r="L60" s="120">
        <f>данные!AB60</f>
        <v>0</v>
      </c>
      <c r="M60" s="120">
        <f t="shared" si="0"/>
        <v>0</v>
      </c>
    </row>
    <row r="61" spans="1:13" x14ac:dyDescent="0.25">
      <c r="A61" s="116">
        <v>59</v>
      </c>
      <c r="B61" s="117">
        <f>калькулятор!D65</f>
        <v>0</v>
      </c>
      <c r="C61" s="117">
        <f>калькулятор!E65</f>
        <v>0</v>
      </c>
      <c r="D61" s="118">
        <f>калькулятор!F65</f>
        <v>0</v>
      </c>
      <c r="E61" s="117">
        <f>калькулятор!G65</f>
        <v>0</v>
      </c>
      <c r="F61" s="117">
        <f>калькулятор!H65</f>
        <v>0</v>
      </c>
      <c r="G61" s="117">
        <f>калькулятор!I65</f>
        <v>0</v>
      </c>
      <c r="H61" s="116">
        <f>данные!X61</f>
        <v>0</v>
      </c>
      <c r="I61" s="117">
        <f>данные!Y61</f>
        <v>0</v>
      </c>
      <c r="J61" s="117">
        <f>данные!Z61</f>
        <v>0</v>
      </c>
      <c r="K61" s="122">
        <f>данные!AA61</f>
        <v>0</v>
      </c>
      <c r="L61" s="117">
        <f>данные!AB61</f>
        <v>0</v>
      </c>
      <c r="M61" s="117">
        <f t="shared" si="0"/>
        <v>0</v>
      </c>
    </row>
    <row r="62" spans="1:13" x14ac:dyDescent="0.25">
      <c r="A62" s="119">
        <v>60</v>
      </c>
      <c r="B62" s="120">
        <f>калькулятор!D66</f>
        <v>0</v>
      </c>
      <c r="C62" s="120">
        <f>калькулятор!E66</f>
        <v>0</v>
      </c>
      <c r="D62" s="121">
        <f>калькулятор!F66</f>
        <v>0</v>
      </c>
      <c r="E62" s="120">
        <f>калькулятор!G66</f>
        <v>0</v>
      </c>
      <c r="F62" s="120">
        <f>калькулятор!H66</f>
        <v>0</v>
      </c>
      <c r="G62" s="120">
        <f>калькулятор!I66</f>
        <v>0</v>
      </c>
      <c r="H62" s="119">
        <f>данные!X62</f>
        <v>0</v>
      </c>
      <c r="I62" s="120">
        <f>данные!Y62</f>
        <v>0</v>
      </c>
      <c r="J62" s="120">
        <f>данные!Z62</f>
        <v>0</v>
      </c>
      <c r="K62" s="127">
        <f>данные!AA62</f>
        <v>0</v>
      </c>
      <c r="L62" s="120">
        <f>данные!AB62</f>
        <v>0</v>
      </c>
      <c r="M62" s="120">
        <f t="shared" si="0"/>
        <v>0</v>
      </c>
    </row>
    <row r="63" spans="1:13" x14ac:dyDescent="0.25">
      <c r="A63" s="116">
        <v>61</v>
      </c>
      <c r="B63" s="117">
        <f>калькулятор!D67</f>
        <v>0</v>
      </c>
      <c r="C63" s="117">
        <f>калькулятор!E67</f>
        <v>0</v>
      </c>
      <c r="D63" s="118">
        <f>калькулятор!F67</f>
        <v>0</v>
      </c>
      <c r="E63" s="117">
        <f>калькулятор!G67</f>
        <v>0</v>
      </c>
      <c r="F63" s="117">
        <f>калькулятор!H67</f>
        <v>0</v>
      </c>
      <c r="G63" s="117">
        <f>калькулятор!I67</f>
        <v>0</v>
      </c>
      <c r="H63" s="116">
        <f>данные!X63</f>
        <v>0</v>
      </c>
      <c r="I63" s="117">
        <f>данные!Y63</f>
        <v>0</v>
      </c>
      <c r="J63" s="117">
        <f>данные!Z63</f>
        <v>0</v>
      </c>
      <c r="K63" s="122">
        <f>данные!AA63</f>
        <v>0</v>
      </c>
      <c r="L63" s="117">
        <f>данные!AB63</f>
        <v>0</v>
      </c>
      <c r="M63" s="117">
        <f t="shared" si="0"/>
        <v>0</v>
      </c>
    </row>
    <row r="64" spans="1:13" x14ac:dyDescent="0.25">
      <c r="A64" s="119">
        <v>62</v>
      </c>
      <c r="B64" s="120">
        <f>калькулятор!D68</f>
        <v>0</v>
      </c>
      <c r="C64" s="120">
        <f>калькулятор!E68</f>
        <v>0</v>
      </c>
      <c r="D64" s="121">
        <f>калькулятор!F68</f>
        <v>0</v>
      </c>
      <c r="E64" s="120">
        <f>калькулятор!G68</f>
        <v>0</v>
      </c>
      <c r="F64" s="120">
        <f>калькулятор!H68</f>
        <v>0</v>
      </c>
      <c r="G64" s="120">
        <f>калькулятор!I68</f>
        <v>0</v>
      </c>
      <c r="H64" s="119">
        <f>данные!X64</f>
        <v>0</v>
      </c>
      <c r="I64" s="120">
        <f>данные!Y64</f>
        <v>0</v>
      </c>
      <c r="J64" s="120">
        <f>данные!Z64</f>
        <v>0</v>
      </c>
      <c r="K64" s="127">
        <f>данные!AA64</f>
        <v>0</v>
      </c>
      <c r="L64" s="120">
        <f>данные!AB64</f>
        <v>0</v>
      </c>
      <c r="M64" s="120">
        <f t="shared" si="0"/>
        <v>0</v>
      </c>
    </row>
    <row r="65" spans="1:13" x14ac:dyDescent="0.25">
      <c r="A65" s="116">
        <v>63</v>
      </c>
      <c r="B65" s="117">
        <f>калькулятор!D69</f>
        <v>0</v>
      </c>
      <c r="C65" s="117">
        <f>калькулятор!E69</f>
        <v>0</v>
      </c>
      <c r="D65" s="118">
        <f>калькулятор!F69</f>
        <v>0</v>
      </c>
      <c r="E65" s="117">
        <f>калькулятор!G69</f>
        <v>0</v>
      </c>
      <c r="F65" s="117">
        <f>калькулятор!H69</f>
        <v>0</v>
      </c>
      <c r="G65" s="117">
        <f>калькулятор!I69</f>
        <v>0</v>
      </c>
      <c r="H65" s="116">
        <f>данные!X65</f>
        <v>0</v>
      </c>
      <c r="I65" s="117">
        <f>данные!Y65</f>
        <v>0</v>
      </c>
      <c r="J65" s="117">
        <f>данные!Z65</f>
        <v>0</v>
      </c>
      <c r="K65" s="122">
        <f>данные!AA65</f>
        <v>0</v>
      </c>
      <c r="L65" s="117">
        <f>данные!AB65</f>
        <v>0</v>
      </c>
      <c r="M65" s="117">
        <f t="shared" si="0"/>
        <v>0</v>
      </c>
    </row>
    <row r="66" spans="1:13" x14ac:dyDescent="0.25">
      <c r="A66" s="119">
        <v>64</v>
      </c>
      <c r="B66" s="120">
        <f>калькулятор!D70</f>
        <v>0</v>
      </c>
      <c r="C66" s="120">
        <f>калькулятор!E70</f>
        <v>0</v>
      </c>
      <c r="D66" s="121">
        <f>калькулятор!F70</f>
        <v>0</v>
      </c>
      <c r="E66" s="120">
        <f>калькулятор!G70</f>
        <v>0</v>
      </c>
      <c r="F66" s="120">
        <f>калькулятор!H70</f>
        <v>0</v>
      </c>
      <c r="G66" s="120">
        <f>калькулятор!I70</f>
        <v>0</v>
      </c>
      <c r="H66" s="119">
        <f>данные!X66</f>
        <v>0</v>
      </c>
      <c r="I66" s="120">
        <f>данные!Y66</f>
        <v>0</v>
      </c>
      <c r="J66" s="120">
        <f>данные!Z66</f>
        <v>0</v>
      </c>
      <c r="K66" s="127">
        <f>данные!AA66</f>
        <v>0</v>
      </c>
      <c r="L66" s="120">
        <f>данные!AB66</f>
        <v>0</v>
      </c>
      <c r="M66" s="120">
        <f t="shared" si="0"/>
        <v>0</v>
      </c>
    </row>
    <row r="67" spans="1:13" x14ac:dyDescent="0.25">
      <c r="A67" s="116">
        <v>65</v>
      </c>
      <c r="B67" s="117">
        <f>калькулятор!D71</f>
        <v>0</v>
      </c>
      <c r="C67" s="117">
        <f>калькулятор!E71</f>
        <v>0</v>
      </c>
      <c r="D67" s="118">
        <f>калькулятор!F71</f>
        <v>0</v>
      </c>
      <c r="E67" s="117">
        <f>калькулятор!G71</f>
        <v>0</v>
      </c>
      <c r="F67" s="117">
        <f>калькулятор!H71</f>
        <v>0</v>
      </c>
      <c r="G67" s="117">
        <f>калькулятор!I71</f>
        <v>0</v>
      </c>
      <c r="H67" s="116">
        <f>данные!X67</f>
        <v>0</v>
      </c>
      <c r="I67" s="117">
        <f>данные!Y67</f>
        <v>0</v>
      </c>
      <c r="J67" s="117">
        <f>данные!Z67</f>
        <v>0</v>
      </c>
      <c r="K67" s="122">
        <f>данные!AA67</f>
        <v>0</v>
      </c>
      <c r="L67" s="117">
        <f>данные!AB67</f>
        <v>0</v>
      </c>
      <c r="M67" s="117">
        <f t="shared" si="0"/>
        <v>0</v>
      </c>
    </row>
    <row r="68" spans="1:13" x14ac:dyDescent="0.25">
      <c r="A68" s="119">
        <v>66</v>
      </c>
      <c r="B68" s="120">
        <f>калькулятор!D72</f>
        <v>0</v>
      </c>
      <c r="C68" s="120">
        <f>калькулятор!E72</f>
        <v>0</v>
      </c>
      <c r="D68" s="121">
        <f>калькулятор!F72</f>
        <v>0</v>
      </c>
      <c r="E68" s="120">
        <f>калькулятор!G72</f>
        <v>0</v>
      </c>
      <c r="F68" s="120">
        <f>калькулятор!H72</f>
        <v>0</v>
      </c>
      <c r="G68" s="120">
        <f>калькулятор!I72</f>
        <v>0</v>
      </c>
      <c r="H68" s="119">
        <f>данные!X68</f>
        <v>0</v>
      </c>
      <c r="I68" s="120">
        <f>данные!Y68</f>
        <v>0</v>
      </c>
      <c r="J68" s="120">
        <f>данные!Z68</f>
        <v>0</v>
      </c>
      <c r="K68" s="127">
        <f>данные!AA68</f>
        <v>0</v>
      </c>
      <c r="L68" s="120">
        <f>данные!AB68</f>
        <v>0</v>
      </c>
      <c r="M68" s="120">
        <f t="shared" ref="M68:M102" si="20">SUM(H68:L68)</f>
        <v>0</v>
      </c>
    </row>
    <row r="69" spans="1:13" x14ac:dyDescent="0.25">
      <c r="A69" s="116">
        <v>67</v>
      </c>
      <c r="B69" s="117">
        <f>калькулятор!D73</f>
        <v>0</v>
      </c>
      <c r="C69" s="117">
        <f>калькулятор!E73</f>
        <v>0</v>
      </c>
      <c r="D69" s="118">
        <f>калькулятор!F73</f>
        <v>0</v>
      </c>
      <c r="E69" s="117">
        <f>калькулятор!G73</f>
        <v>0</v>
      </c>
      <c r="F69" s="117">
        <f>калькулятор!H73</f>
        <v>0</v>
      </c>
      <c r="G69" s="117">
        <f>калькулятор!I73</f>
        <v>0</v>
      </c>
      <c r="H69" s="116">
        <f>данные!X69</f>
        <v>0</v>
      </c>
      <c r="I69" s="117">
        <f>данные!Y69</f>
        <v>0</v>
      </c>
      <c r="J69" s="117">
        <f>данные!Z69</f>
        <v>0</v>
      </c>
      <c r="K69" s="122">
        <f>данные!AA69</f>
        <v>0</v>
      </c>
      <c r="L69" s="117">
        <f>данные!AB69</f>
        <v>0</v>
      </c>
      <c r="M69" s="117">
        <f t="shared" si="20"/>
        <v>0</v>
      </c>
    </row>
    <row r="70" spans="1:13" x14ac:dyDescent="0.25">
      <c r="A70" s="119">
        <v>68</v>
      </c>
      <c r="B70" s="120">
        <f>калькулятор!D74</f>
        <v>0</v>
      </c>
      <c r="C70" s="120">
        <f>калькулятор!E74</f>
        <v>0</v>
      </c>
      <c r="D70" s="121">
        <f>калькулятор!F74</f>
        <v>0</v>
      </c>
      <c r="E70" s="120">
        <f>калькулятор!G74</f>
        <v>0</v>
      </c>
      <c r="F70" s="120">
        <f>калькулятор!H74</f>
        <v>0</v>
      </c>
      <c r="G70" s="120">
        <f>калькулятор!I74</f>
        <v>0</v>
      </c>
      <c r="H70" s="119">
        <f>данные!X70</f>
        <v>0</v>
      </c>
      <c r="I70" s="120">
        <f>данные!Y70</f>
        <v>0</v>
      </c>
      <c r="J70" s="120">
        <f>данные!Z70</f>
        <v>0</v>
      </c>
      <c r="K70" s="127">
        <f>данные!AA70</f>
        <v>0</v>
      </c>
      <c r="L70" s="120">
        <f>данные!AB70</f>
        <v>0</v>
      </c>
      <c r="M70" s="120">
        <f t="shared" si="20"/>
        <v>0</v>
      </c>
    </row>
    <row r="71" spans="1:13" x14ac:dyDescent="0.25">
      <c r="A71" s="116">
        <v>69</v>
      </c>
      <c r="B71" s="117">
        <f>калькулятор!D75</f>
        <v>0</v>
      </c>
      <c r="C71" s="117">
        <f>калькулятор!E75</f>
        <v>0</v>
      </c>
      <c r="D71" s="118">
        <f>калькулятор!F75</f>
        <v>0</v>
      </c>
      <c r="E71" s="117">
        <f>калькулятор!G75</f>
        <v>0</v>
      </c>
      <c r="F71" s="117">
        <f>калькулятор!H75</f>
        <v>0</v>
      </c>
      <c r="G71" s="117">
        <f>калькулятор!I75</f>
        <v>0</v>
      </c>
      <c r="H71" s="116">
        <f>данные!X71</f>
        <v>0</v>
      </c>
      <c r="I71" s="117">
        <f>данные!Y71</f>
        <v>0</v>
      </c>
      <c r="J71" s="117">
        <f>данные!Z71</f>
        <v>0</v>
      </c>
      <c r="K71" s="122">
        <f>данные!AA71</f>
        <v>0</v>
      </c>
      <c r="L71" s="117">
        <f>данные!AB71</f>
        <v>0</v>
      </c>
      <c r="M71" s="117">
        <f t="shared" si="20"/>
        <v>0</v>
      </c>
    </row>
    <row r="72" spans="1:13" x14ac:dyDescent="0.25">
      <c r="A72" s="119">
        <v>70</v>
      </c>
      <c r="B72" s="120">
        <f>калькулятор!D76</f>
        <v>0</v>
      </c>
      <c r="C72" s="120">
        <f>калькулятор!E76</f>
        <v>0</v>
      </c>
      <c r="D72" s="121">
        <f>калькулятор!F76</f>
        <v>0</v>
      </c>
      <c r="E72" s="120">
        <f>калькулятор!G76</f>
        <v>0</v>
      </c>
      <c r="F72" s="120">
        <f>калькулятор!H76</f>
        <v>0</v>
      </c>
      <c r="G72" s="120">
        <f>калькулятор!I76</f>
        <v>0</v>
      </c>
      <c r="H72" s="119">
        <f>данные!X72</f>
        <v>0</v>
      </c>
      <c r="I72" s="120">
        <f>данные!Y72</f>
        <v>0</v>
      </c>
      <c r="J72" s="120">
        <f>данные!Z72</f>
        <v>0</v>
      </c>
      <c r="K72" s="127">
        <f>данные!AA72</f>
        <v>0</v>
      </c>
      <c r="L72" s="120">
        <f>данные!AB72</f>
        <v>0</v>
      </c>
      <c r="M72" s="120">
        <f t="shared" si="20"/>
        <v>0</v>
      </c>
    </row>
    <row r="73" spans="1:13" x14ac:dyDescent="0.25">
      <c r="A73" s="116">
        <v>71</v>
      </c>
      <c r="B73" s="117">
        <f>калькулятор!D77</f>
        <v>0</v>
      </c>
      <c r="C73" s="117">
        <f>калькулятор!E77</f>
        <v>0</v>
      </c>
      <c r="D73" s="118">
        <f>калькулятор!F77</f>
        <v>0</v>
      </c>
      <c r="E73" s="117">
        <f>калькулятор!G77</f>
        <v>0</v>
      </c>
      <c r="F73" s="117">
        <f>калькулятор!H77</f>
        <v>0</v>
      </c>
      <c r="G73" s="117">
        <f>калькулятор!I77</f>
        <v>0</v>
      </c>
      <c r="H73" s="116">
        <f>данные!X73</f>
        <v>0</v>
      </c>
      <c r="I73" s="117">
        <f>данные!Y73</f>
        <v>0</v>
      </c>
      <c r="J73" s="117">
        <f>данные!Z73</f>
        <v>0</v>
      </c>
      <c r="K73" s="122">
        <f>данные!AA73</f>
        <v>0</v>
      </c>
      <c r="L73" s="117">
        <f>данные!AB73</f>
        <v>0</v>
      </c>
      <c r="M73" s="117">
        <f t="shared" si="20"/>
        <v>0</v>
      </c>
    </row>
    <row r="74" spans="1:13" x14ac:dyDescent="0.25">
      <c r="A74" s="119">
        <v>72</v>
      </c>
      <c r="B74" s="120">
        <f>калькулятор!D78</f>
        <v>0</v>
      </c>
      <c r="C74" s="120">
        <f>калькулятор!E78</f>
        <v>0</v>
      </c>
      <c r="D74" s="121">
        <f>калькулятор!F78</f>
        <v>0</v>
      </c>
      <c r="E74" s="120">
        <f>калькулятор!G78</f>
        <v>0</v>
      </c>
      <c r="F74" s="120">
        <f>калькулятор!H78</f>
        <v>0</v>
      </c>
      <c r="G74" s="120">
        <f>калькулятор!I78</f>
        <v>0</v>
      </c>
      <c r="H74" s="119">
        <f>данные!X74</f>
        <v>0</v>
      </c>
      <c r="I74" s="120">
        <f>данные!Y74</f>
        <v>0</v>
      </c>
      <c r="J74" s="120">
        <f>данные!Z74</f>
        <v>0</v>
      </c>
      <c r="K74" s="127">
        <f>данные!AA74</f>
        <v>0</v>
      </c>
      <c r="L74" s="120">
        <f>данные!AB74</f>
        <v>0</v>
      </c>
      <c r="M74" s="120">
        <f t="shared" si="20"/>
        <v>0</v>
      </c>
    </row>
    <row r="75" spans="1:13" x14ac:dyDescent="0.25">
      <c r="A75" s="116">
        <v>73</v>
      </c>
      <c r="B75" s="117">
        <f>калькулятор!D79</f>
        <v>0</v>
      </c>
      <c r="C75" s="117">
        <f>калькулятор!E79</f>
        <v>0</v>
      </c>
      <c r="D75" s="118">
        <f>калькулятор!F79</f>
        <v>0</v>
      </c>
      <c r="E75" s="117">
        <f>калькулятор!G79</f>
        <v>0</v>
      </c>
      <c r="F75" s="117">
        <f>калькулятор!H79</f>
        <v>0</v>
      </c>
      <c r="G75" s="117">
        <f>калькулятор!I79</f>
        <v>0</v>
      </c>
      <c r="H75" s="116">
        <f>данные!X75</f>
        <v>0</v>
      </c>
      <c r="I75" s="117">
        <f>данные!Y75</f>
        <v>0</v>
      </c>
      <c r="J75" s="117">
        <f>данные!Z75</f>
        <v>0</v>
      </c>
      <c r="K75" s="122">
        <f>данные!AA75</f>
        <v>0</v>
      </c>
      <c r="L75" s="117">
        <f>данные!AB75</f>
        <v>0</v>
      </c>
      <c r="M75" s="117">
        <f t="shared" si="20"/>
        <v>0</v>
      </c>
    </row>
    <row r="76" spans="1:13" x14ac:dyDescent="0.25">
      <c r="A76" s="119">
        <v>74</v>
      </c>
      <c r="B76" s="120">
        <f>калькулятор!D80</f>
        <v>0</v>
      </c>
      <c r="C76" s="120">
        <f>калькулятор!E80</f>
        <v>0</v>
      </c>
      <c r="D76" s="121">
        <f>калькулятор!F80</f>
        <v>0</v>
      </c>
      <c r="E76" s="120">
        <f>калькулятор!G80</f>
        <v>0</v>
      </c>
      <c r="F76" s="120">
        <f>калькулятор!H80</f>
        <v>0</v>
      </c>
      <c r="G76" s="120">
        <f>калькулятор!I80</f>
        <v>0</v>
      </c>
      <c r="H76" s="119">
        <f>данные!X76</f>
        <v>0</v>
      </c>
      <c r="I76" s="120">
        <f>данные!Y76</f>
        <v>0</v>
      </c>
      <c r="J76" s="120">
        <f>данные!Z76</f>
        <v>0</v>
      </c>
      <c r="K76" s="127">
        <f>данные!AA76</f>
        <v>0</v>
      </c>
      <c r="L76" s="120">
        <f>данные!AB76</f>
        <v>0</v>
      </c>
      <c r="M76" s="120">
        <f t="shared" si="20"/>
        <v>0</v>
      </c>
    </row>
    <row r="77" spans="1:13" x14ac:dyDescent="0.25">
      <c r="A77" s="116">
        <v>75</v>
      </c>
      <c r="B77" s="117">
        <f>калькулятор!D81</f>
        <v>0</v>
      </c>
      <c r="C77" s="117">
        <f>калькулятор!E81</f>
        <v>0</v>
      </c>
      <c r="D77" s="118">
        <f>калькулятор!F81</f>
        <v>0</v>
      </c>
      <c r="E77" s="117">
        <f>калькулятор!G81</f>
        <v>0</v>
      </c>
      <c r="F77" s="117">
        <f>калькулятор!H81</f>
        <v>0</v>
      </c>
      <c r="G77" s="117">
        <f>калькулятор!I81</f>
        <v>0</v>
      </c>
      <c r="H77" s="116">
        <f>данные!X77</f>
        <v>0</v>
      </c>
      <c r="I77" s="117">
        <f>данные!Y77</f>
        <v>0</v>
      </c>
      <c r="J77" s="117">
        <f>данные!Z77</f>
        <v>0</v>
      </c>
      <c r="K77" s="122">
        <f>данные!AA77</f>
        <v>0</v>
      </c>
      <c r="L77" s="117">
        <f>данные!AB77</f>
        <v>0</v>
      </c>
      <c r="M77" s="117">
        <f t="shared" si="20"/>
        <v>0</v>
      </c>
    </row>
    <row r="78" spans="1:13" x14ac:dyDescent="0.25">
      <c r="A78" s="119">
        <v>76</v>
      </c>
      <c r="B78" s="120">
        <f>калькулятор!D82</f>
        <v>0</v>
      </c>
      <c r="C78" s="120">
        <f>калькулятор!E82</f>
        <v>0</v>
      </c>
      <c r="D78" s="121">
        <f>калькулятор!F82</f>
        <v>0</v>
      </c>
      <c r="E78" s="120">
        <f>калькулятор!G82</f>
        <v>0</v>
      </c>
      <c r="F78" s="120">
        <f>калькулятор!H82</f>
        <v>0</v>
      </c>
      <c r="G78" s="120">
        <f>калькулятор!I82</f>
        <v>0</v>
      </c>
      <c r="H78" s="119">
        <f>данные!X78</f>
        <v>0</v>
      </c>
      <c r="I78" s="120">
        <f>данные!Y78</f>
        <v>0</v>
      </c>
      <c r="J78" s="120">
        <f>данные!Z78</f>
        <v>0</v>
      </c>
      <c r="K78" s="127">
        <f>данные!AA78</f>
        <v>0</v>
      </c>
      <c r="L78" s="120">
        <f>данные!AB78</f>
        <v>0</v>
      </c>
      <c r="M78" s="120">
        <f t="shared" si="20"/>
        <v>0</v>
      </c>
    </row>
    <row r="79" spans="1:13" x14ac:dyDescent="0.25">
      <c r="A79" s="116">
        <v>77</v>
      </c>
      <c r="B79" s="117">
        <f>калькулятор!D83</f>
        <v>0</v>
      </c>
      <c r="C79" s="117">
        <f>калькулятор!E83</f>
        <v>0</v>
      </c>
      <c r="D79" s="118">
        <f>калькулятор!F83</f>
        <v>0</v>
      </c>
      <c r="E79" s="117">
        <f>калькулятор!G83</f>
        <v>0</v>
      </c>
      <c r="F79" s="117">
        <f>калькулятор!H83</f>
        <v>0</v>
      </c>
      <c r="G79" s="117">
        <f>калькулятор!I83</f>
        <v>0</v>
      </c>
      <c r="H79" s="116">
        <f>данные!X79</f>
        <v>0</v>
      </c>
      <c r="I79" s="117">
        <f>данные!Y79</f>
        <v>0</v>
      </c>
      <c r="J79" s="117">
        <f>данные!Z79</f>
        <v>0</v>
      </c>
      <c r="K79" s="122">
        <f>данные!AA79</f>
        <v>0</v>
      </c>
      <c r="L79" s="117">
        <f>данные!AB79</f>
        <v>0</v>
      </c>
      <c r="M79" s="117">
        <f t="shared" si="20"/>
        <v>0</v>
      </c>
    </row>
    <row r="80" spans="1:13" x14ac:dyDescent="0.25">
      <c r="A80" s="119">
        <v>78</v>
      </c>
      <c r="B80" s="120">
        <f>калькулятор!D84</f>
        <v>0</v>
      </c>
      <c r="C80" s="120">
        <f>калькулятор!E84</f>
        <v>0</v>
      </c>
      <c r="D80" s="121">
        <f>калькулятор!F84</f>
        <v>0</v>
      </c>
      <c r="E80" s="120">
        <f>калькулятор!G84</f>
        <v>0</v>
      </c>
      <c r="F80" s="120">
        <f>калькулятор!H84</f>
        <v>0</v>
      </c>
      <c r="G80" s="120">
        <f>калькулятор!I84</f>
        <v>0</v>
      </c>
      <c r="H80" s="119">
        <f>данные!X80</f>
        <v>0</v>
      </c>
      <c r="I80" s="120">
        <f>данные!Y80</f>
        <v>0</v>
      </c>
      <c r="J80" s="120">
        <f>данные!Z80</f>
        <v>0</v>
      </c>
      <c r="K80" s="127">
        <f>данные!AA80</f>
        <v>0</v>
      </c>
      <c r="L80" s="120">
        <f>данные!AB80</f>
        <v>0</v>
      </c>
      <c r="M80" s="120">
        <f t="shared" si="20"/>
        <v>0</v>
      </c>
    </row>
    <row r="81" spans="1:13" x14ac:dyDescent="0.25">
      <c r="A81" s="116">
        <v>79</v>
      </c>
      <c r="B81" s="117">
        <f>калькулятор!D85</f>
        <v>0</v>
      </c>
      <c r="C81" s="117">
        <f>калькулятор!E85</f>
        <v>0</v>
      </c>
      <c r="D81" s="118">
        <f>калькулятор!F85</f>
        <v>0</v>
      </c>
      <c r="E81" s="117">
        <f>калькулятор!G85</f>
        <v>0</v>
      </c>
      <c r="F81" s="117">
        <f>калькулятор!H85</f>
        <v>0</v>
      </c>
      <c r="G81" s="117">
        <f>калькулятор!I85</f>
        <v>0</v>
      </c>
      <c r="H81" s="116">
        <f>данные!X81</f>
        <v>0</v>
      </c>
      <c r="I81" s="117">
        <f>данные!Y81</f>
        <v>0</v>
      </c>
      <c r="J81" s="117">
        <f>данные!Z81</f>
        <v>0</v>
      </c>
      <c r="K81" s="122">
        <f>данные!AA81</f>
        <v>0</v>
      </c>
      <c r="L81" s="117">
        <f>данные!AB81</f>
        <v>0</v>
      </c>
      <c r="M81" s="117">
        <f t="shared" si="20"/>
        <v>0</v>
      </c>
    </row>
    <row r="82" spans="1:13" x14ac:dyDescent="0.25">
      <c r="A82" s="119">
        <v>80</v>
      </c>
      <c r="B82" s="120">
        <f>калькулятор!D86</f>
        <v>0</v>
      </c>
      <c r="C82" s="120">
        <f>калькулятор!E86</f>
        <v>0</v>
      </c>
      <c r="D82" s="121">
        <f>калькулятор!F86</f>
        <v>0</v>
      </c>
      <c r="E82" s="120">
        <f>калькулятор!G86</f>
        <v>0</v>
      </c>
      <c r="F82" s="120">
        <f>калькулятор!H86</f>
        <v>0</v>
      </c>
      <c r="G82" s="120">
        <f>калькулятор!I86</f>
        <v>0</v>
      </c>
      <c r="H82" s="119">
        <f>данные!X82</f>
        <v>0</v>
      </c>
      <c r="I82" s="120">
        <f>данные!Y82</f>
        <v>0</v>
      </c>
      <c r="J82" s="120">
        <f>данные!Z82</f>
        <v>0</v>
      </c>
      <c r="K82" s="127">
        <f>данные!AA82</f>
        <v>0</v>
      </c>
      <c r="L82" s="120">
        <f>данные!AB82</f>
        <v>0</v>
      </c>
      <c r="M82" s="120">
        <f t="shared" si="20"/>
        <v>0</v>
      </c>
    </row>
    <row r="83" spans="1:13" x14ac:dyDescent="0.25">
      <c r="A83" s="116">
        <v>81</v>
      </c>
      <c r="B83" s="117">
        <f>калькулятор!D87</f>
        <v>0</v>
      </c>
      <c r="C83" s="117">
        <f>калькулятор!E87</f>
        <v>0</v>
      </c>
      <c r="D83" s="118">
        <f>калькулятор!F87</f>
        <v>0</v>
      </c>
      <c r="E83" s="117">
        <f>калькулятор!G87</f>
        <v>0</v>
      </c>
      <c r="F83" s="117">
        <f>калькулятор!H87</f>
        <v>0</v>
      </c>
      <c r="G83" s="117">
        <f>калькулятор!I87</f>
        <v>0</v>
      </c>
      <c r="H83" s="116">
        <f>данные!X83</f>
        <v>0</v>
      </c>
      <c r="I83" s="117">
        <f>данные!Y83</f>
        <v>0</v>
      </c>
      <c r="J83" s="117">
        <f>данные!Z83</f>
        <v>0</v>
      </c>
      <c r="K83" s="122">
        <f>данные!AA83</f>
        <v>0</v>
      </c>
      <c r="L83" s="117">
        <f>данные!AB83</f>
        <v>0</v>
      </c>
      <c r="M83" s="117">
        <f t="shared" si="20"/>
        <v>0</v>
      </c>
    </row>
    <row r="84" spans="1:13" x14ac:dyDescent="0.25">
      <c r="A84" s="119">
        <v>82</v>
      </c>
      <c r="B84" s="120">
        <f>калькулятор!D88</f>
        <v>0</v>
      </c>
      <c r="C84" s="120">
        <f>калькулятор!E88</f>
        <v>0</v>
      </c>
      <c r="D84" s="121">
        <f>калькулятор!F88</f>
        <v>0</v>
      </c>
      <c r="E84" s="120">
        <f>калькулятор!G88</f>
        <v>0</v>
      </c>
      <c r="F84" s="120">
        <f>калькулятор!H88</f>
        <v>0</v>
      </c>
      <c r="G84" s="120">
        <f>калькулятор!I88</f>
        <v>0</v>
      </c>
      <c r="H84" s="119">
        <f>данные!X84</f>
        <v>0</v>
      </c>
      <c r="I84" s="120">
        <f>данные!Y84</f>
        <v>0</v>
      </c>
      <c r="J84" s="120">
        <f>данные!Z84</f>
        <v>0</v>
      </c>
      <c r="K84" s="127">
        <f>данные!AA84</f>
        <v>0</v>
      </c>
      <c r="L84" s="120">
        <f>данные!AB84</f>
        <v>0</v>
      </c>
      <c r="M84" s="120">
        <f t="shared" si="20"/>
        <v>0</v>
      </c>
    </row>
    <row r="85" spans="1:13" x14ac:dyDescent="0.25">
      <c r="A85" s="116">
        <v>83</v>
      </c>
      <c r="B85" s="117">
        <f>калькулятор!D89</f>
        <v>0</v>
      </c>
      <c r="C85" s="117">
        <f>калькулятор!E89</f>
        <v>0</v>
      </c>
      <c r="D85" s="118">
        <f>калькулятор!F89</f>
        <v>0</v>
      </c>
      <c r="E85" s="117">
        <f>калькулятор!G89</f>
        <v>0</v>
      </c>
      <c r="F85" s="117">
        <f>калькулятор!H89</f>
        <v>0</v>
      </c>
      <c r="G85" s="117">
        <f>калькулятор!I89</f>
        <v>0</v>
      </c>
      <c r="H85" s="116">
        <f>данные!X85</f>
        <v>0</v>
      </c>
      <c r="I85" s="117">
        <f>данные!Y85</f>
        <v>0</v>
      </c>
      <c r="J85" s="117">
        <f>данные!Z85</f>
        <v>0</v>
      </c>
      <c r="K85" s="122">
        <f>данные!AA85</f>
        <v>0</v>
      </c>
      <c r="L85" s="117">
        <f>данные!AB85</f>
        <v>0</v>
      </c>
      <c r="M85" s="117">
        <f t="shared" si="20"/>
        <v>0</v>
      </c>
    </row>
    <row r="86" spans="1:13" x14ac:dyDescent="0.25">
      <c r="A86" s="119">
        <v>84</v>
      </c>
      <c r="B86" s="120">
        <f>калькулятор!D90</f>
        <v>0</v>
      </c>
      <c r="C86" s="120">
        <f>калькулятор!E90</f>
        <v>0</v>
      </c>
      <c r="D86" s="121">
        <f>калькулятор!F90</f>
        <v>0</v>
      </c>
      <c r="E86" s="120">
        <f>калькулятор!G90</f>
        <v>0</v>
      </c>
      <c r="F86" s="120">
        <f>калькулятор!H90</f>
        <v>0</v>
      </c>
      <c r="G86" s="120">
        <f>калькулятор!I90</f>
        <v>0</v>
      </c>
      <c r="H86" s="119">
        <f>данные!X86</f>
        <v>0</v>
      </c>
      <c r="I86" s="120">
        <f>данные!Y86</f>
        <v>0</v>
      </c>
      <c r="J86" s="120">
        <f>данные!Z86</f>
        <v>0</v>
      </c>
      <c r="K86" s="127">
        <f>данные!AA86</f>
        <v>0</v>
      </c>
      <c r="L86" s="120">
        <f>данные!AB86</f>
        <v>0</v>
      </c>
      <c r="M86" s="120">
        <f t="shared" si="20"/>
        <v>0</v>
      </c>
    </row>
    <row r="87" spans="1:13" x14ac:dyDescent="0.25">
      <c r="A87" s="116">
        <v>85</v>
      </c>
      <c r="B87" s="117">
        <f>калькулятор!D91</f>
        <v>0</v>
      </c>
      <c r="C87" s="117">
        <f>калькулятор!E91</f>
        <v>0</v>
      </c>
      <c r="D87" s="118">
        <f>калькулятор!F91</f>
        <v>0</v>
      </c>
      <c r="E87" s="117">
        <f>калькулятор!G91</f>
        <v>0</v>
      </c>
      <c r="F87" s="117">
        <f>калькулятор!H91</f>
        <v>0</v>
      </c>
      <c r="G87" s="117">
        <f>калькулятор!I91</f>
        <v>0</v>
      </c>
      <c r="H87" s="116">
        <f>данные!X87</f>
        <v>0</v>
      </c>
      <c r="I87" s="117">
        <f>данные!Y87</f>
        <v>0</v>
      </c>
      <c r="J87" s="117">
        <f>данные!Z87</f>
        <v>0</v>
      </c>
      <c r="K87" s="122">
        <f>данные!AA87</f>
        <v>0</v>
      </c>
      <c r="L87" s="117">
        <f>данные!AB87</f>
        <v>0</v>
      </c>
      <c r="M87" s="117">
        <f t="shared" si="20"/>
        <v>0</v>
      </c>
    </row>
    <row r="88" spans="1:13" x14ac:dyDescent="0.25">
      <c r="A88" s="119">
        <v>86</v>
      </c>
      <c r="B88" s="120">
        <f>калькулятор!D92</f>
        <v>0</v>
      </c>
      <c r="C88" s="120">
        <f>калькулятор!E92</f>
        <v>0</v>
      </c>
      <c r="D88" s="121">
        <f>калькулятор!F92</f>
        <v>0</v>
      </c>
      <c r="E88" s="120">
        <f>калькулятор!G92</f>
        <v>0</v>
      </c>
      <c r="F88" s="120">
        <f>калькулятор!H92</f>
        <v>0</v>
      </c>
      <c r="G88" s="120">
        <f>калькулятор!I92</f>
        <v>0</v>
      </c>
      <c r="H88" s="119">
        <f>данные!X88</f>
        <v>0</v>
      </c>
      <c r="I88" s="120">
        <f>данные!Y88</f>
        <v>0</v>
      </c>
      <c r="J88" s="120">
        <f>данные!Z88</f>
        <v>0</v>
      </c>
      <c r="K88" s="127">
        <f>данные!AA88</f>
        <v>0</v>
      </c>
      <c r="L88" s="120">
        <f>данные!AB88</f>
        <v>0</v>
      </c>
      <c r="M88" s="120">
        <f t="shared" si="20"/>
        <v>0</v>
      </c>
    </row>
    <row r="89" spans="1:13" x14ac:dyDescent="0.25">
      <c r="A89" s="116">
        <v>87</v>
      </c>
      <c r="B89" s="117">
        <f>калькулятор!D93</f>
        <v>0</v>
      </c>
      <c r="C89" s="117">
        <f>калькулятор!E93</f>
        <v>0</v>
      </c>
      <c r="D89" s="118">
        <f>калькулятор!F93</f>
        <v>0</v>
      </c>
      <c r="E89" s="117">
        <f>калькулятор!G93</f>
        <v>0</v>
      </c>
      <c r="F89" s="117">
        <f>калькулятор!H93</f>
        <v>0</v>
      </c>
      <c r="G89" s="117">
        <f>калькулятор!I93</f>
        <v>0</v>
      </c>
      <c r="H89" s="116">
        <f>данные!X89</f>
        <v>0</v>
      </c>
      <c r="I89" s="117">
        <f>данные!Y89</f>
        <v>0</v>
      </c>
      <c r="J89" s="117">
        <f>данные!Z89</f>
        <v>0</v>
      </c>
      <c r="K89" s="122">
        <f>данные!AA89</f>
        <v>0</v>
      </c>
      <c r="L89" s="117">
        <f>данные!AB89</f>
        <v>0</v>
      </c>
      <c r="M89" s="117">
        <f t="shared" si="20"/>
        <v>0</v>
      </c>
    </row>
    <row r="90" spans="1:13" x14ac:dyDescent="0.25">
      <c r="A90" s="119">
        <v>88</v>
      </c>
      <c r="B90" s="120">
        <f>калькулятор!D94</f>
        <v>0</v>
      </c>
      <c r="C90" s="120">
        <f>калькулятор!E94</f>
        <v>0</v>
      </c>
      <c r="D90" s="121">
        <f>калькулятор!F94</f>
        <v>0</v>
      </c>
      <c r="E90" s="120">
        <f>калькулятор!G94</f>
        <v>0</v>
      </c>
      <c r="F90" s="120">
        <f>калькулятор!H94</f>
        <v>0</v>
      </c>
      <c r="G90" s="120">
        <f>калькулятор!I94</f>
        <v>0</v>
      </c>
      <c r="H90" s="119">
        <f>данные!X90</f>
        <v>0</v>
      </c>
      <c r="I90" s="120">
        <f>данные!Y90</f>
        <v>0</v>
      </c>
      <c r="J90" s="120">
        <f>данные!Z90</f>
        <v>0</v>
      </c>
      <c r="K90" s="127">
        <f>данные!AA90</f>
        <v>0</v>
      </c>
      <c r="L90" s="120">
        <f>данные!AB90</f>
        <v>0</v>
      </c>
      <c r="M90" s="120">
        <f t="shared" si="20"/>
        <v>0</v>
      </c>
    </row>
    <row r="91" spans="1:13" x14ac:dyDescent="0.25">
      <c r="A91" s="116">
        <v>89</v>
      </c>
      <c r="B91" s="117">
        <f>калькулятор!D95</f>
        <v>0</v>
      </c>
      <c r="C91" s="117">
        <f>калькулятор!E95</f>
        <v>0</v>
      </c>
      <c r="D91" s="118">
        <f>калькулятор!F95</f>
        <v>0</v>
      </c>
      <c r="E91" s="117">
        <f>калькулятор!G95</f>
        <v>0</v>
      </c>
      <c r="F91" s="117">
        <f>калькулятор!H95</f>
        <v>0</v>
      </c>
      <c r="G91" s="117">
        <f>калькулятор!I95</f>
        <v>0</v>
      </c>
      <c r="H91" s="116">
        <f>данные!X91</f>
        <v>0</v>
      </c>
      <c r="I91" s="117">
        <f>данные!Y91</f>
        <v>0</v>
      </c>
      <c r="J91" s="117">
        <f>данные!Z91</f>
        <v>0</v>
      </c>
      <c r="K91" s="122">
        <f>данные!AA91</f>
        <v>0</v>
      </c>
      <c r="L91" s="117">
        <f>данные!AB91</f>
        <v>0</v>
      </c>
      <c r="M91" s="117">
        <f t="shared" si="20"/>
        <v>0</v>
      </c>
    </row>
    <row r="92" spans="1:13" x14ac:dyDescent="0.25">
      <c r="A92" s="119">
        <v>90</v>
      </c>
      <c r="B92" s="120">
        <f>калькулятор!D96</f>
        <v>0</v>
      </c>
      <c r="C92" s="120">
        <f>калькулятор!E96</f>
        <v>0</v>
      </c>
      <c r="D92" s="121">
        <f>калькулятор!F96</f>
        <v>0</v>
      </c>
      <c r="E92" s="120">
        <f>калькулятор!G96</f>
        <v>0</v>
      </c>
      <c r="F92" s="120">
        <f>калькулятор!H96</f>
        <v>0</v>
      </c>
      <c r="G92" s="120">
        <f>калькулятор!I96</f>
        <v>0</v>
      </c>
      <c r="H92" s="119">
        <f>данные!X92</f>
        <v>0</v>
      </c>
      <c r="I92" s="120">
        <f>данные!Y92</f>
        <v>0</v>
      </c>
      <c r="J92" s="120">
        <f>данные!Z92</f>
        <v>0</v>
      </c>
      <c r="K92" s="127">
        <f>данные!AA92</f>
        <v>0</v>
      </c>
      <c r="L92" s="120">
        <f>данные!AB92</f>
        <v>0</v>
      </c>
      <c r="M92" s="120">
        <f t="shared" si="20"/>
        <v>0</v>
      </c>
    </row>
    <row r="93" spans="1:13" x14ac:dyDescent="0.25">
      <c r="A93" s="116">
        <v>91</v>
      </c>
      <c r="B93" s="117">
        <f>калькулятор!D97</f>
        <v>0</v>
      </c>
      <c r="C93" s="117">
        <f>калькулятор!E97</f>
        <v>0</v>
      </c>
      <c r="D93" s="118">
        <f>калькулятор!F97</f>
        <v>0</v>
      </c>
      <c r="E93" s="117">
        <f>калькулятор!G97</f>
        <v>0</v>
      </c>
      <c r="F93" s="117">
        <f>калькулятор!H97</f>
        <v>0</v>
      </c>
      <c r="G93" s="117">
        <f>калькулятор!I97</f>
        <v>0</v>
      </c>
      <c r="H93" s="116">
        <f>данные!X93</f>
        <v>0</v>
      </c>
      <c r="I93" s="117">
        <f>данные!Y93</f>
        <v>0</v>
      </c>
      <c r="J93" s="117">
        <f>данные!Z93</f>
        <v>0</v>
      </c>
      <c r="K93" s="122">
        <f>данные!AA93</f>
        <v>0</v>
      </c>
      <c r="L93" s="117">
        <f>данные!AB93</f>
        <v>0</v>
      </c>
      <c r="M93" s="117">
        <f t="shared" si="20"/>
        <v>0</v>
      </c>
    </row>
    <row r="94" spans="1:13" x14ac:dyDescent="0.25">
      <c r="A94" s="119">
        <v>92</v>
      </c>
      <c r="B94" s="120">
        <f>калькулятор!D98</f>
        <v>0</v>
      </c>
      <c r="C94" s="120">
        <f>калькулятор!E98</f>
        <v>0</v>
      </c>
      <c r="D94" s="121">
        <f>калькулятор!F98</f>
        <v>0</v>
      </c>
      <c r="E94" s="120">
        <f>калькулятор!G98</f>
        <v>0</v>
      </c>
      <c r="F94" s="120">
        <f>калькулятор!H98</f>
        <v>0</v>
      </c>
      <c r="G94" s="120">
        <f>калькулятор!I98</f>
        <v>0</v>
      </c>
      <c r="H94" s="119">
        <f>данные!X94</f>
        <v>0</v>
      </c>
      <c r="I94" s="120">
        <f>данные!Y94</f>
        <v>0</v>
      </c>
      <c r="J94" s="120">
        <f>данные!Z94</f>
        <v>0</v>
      </c>
      <c r="K94" s="127">
        <f>данные!AA94</f>
        <v>0</v>
      </c>
      <c r="L94" s="120">
        <f>данные!AB94</f>
        <v>0</v>
      </c>
      <c r="M94" s="120">
        <f t="shared" si="20"/>
        <v>0</v>
      </c>
    </row>
    <row r="95" spans="1:13" x14ac:dyDescent="0.25">
      <c r="A95" s="116">
        <v>93</v>
      </c>
      <c r="B95" s="117">
        <f>калькулятор!D99</f>
        <v>0</v>
      </c>
      <c r="C95" s="117">
        <f>калькулятор!E99</f>
        <v>0</v>
      </c>
      <c r="D95" s="118">
        <f>калькулятор!F99</f>
        <v>0</v>
      </c>
      <c r="E95" s="117">
        <f>калькулятор!G99</f>
        <v>0</v>
      </c>
      <c r="F95" s="117">
        <f>калькулятор!H99</f>
        <v>0</v>
      </c>
      <c r="G95" s="117">
        <f>калькулятор!I99</f>
        <v>0</v>
      </c>
      <c r="H95" s="116">
        <f>данные!X95</f>
        <v>0</v>
      </c>
      <c r="I95" s="117">
        <f>данные!Y95</f>
        <v>0</v>
      </c>
      <c r="J95" s="117">
        <f>данные!Z95</f>
        <v>0</v>
      </c>
      <c r="K95" s="122">
        <f>данные!AA95</f>
        <v>0</v>
      </c>
      <c r="L95" s="117">
        <f>данные!AB95</f>
        <v>0</v>
      </c>
      <c r="M95" s="117">
        <f t="shared" si="20"/>
        <v>0</v>
      </c>
    </row>
    <row r="96" spans="1:13" x14ac:dyDescent="0.25">
      <c r="A96" s="119">
        <v>94</v>
      </c>
      <c r="B96" s="120">
        <f>калькулятор!D100</f>
        <v>0</v>
      </c>
      <c r="C96" s="120">
        <f>калькулятор!E100</f>
        <v>0</v>
      </c>
      <c r="D96" s="121">
        <f>калькулятор!F100</f>
        <v>0</v>
      </c>
      <c r="E96" s="120">
        <f>калькулятор!G100</f>
        <v>0</v>
      </c>
      <c r="F96" s="120">
        <f>калькулятор!H100</f>
        <v>0</v>
      </c>
      <c r="G96" s="120">
        <f>калькулятор!I100</f>
        <v>0</v>
      </c>
      <c r="H96" s="119">
        <f>данные!X96</f>
        <v>0</v>
      </c>
      <c r="I96" s="120">
        <f>данные!Y96</f>
        <v>0</v>
      </c>
      <c r="J96" s="120">
        <f>данные!Z96</f>
        <v>0</v>
      </c>
      <c r="K96" s="127">
        <f>данные!AA96</f>
        <v>0</v>
      </c>
      <c r="L96" s="120">
        <f>данные!AB96</f>
        <v>0</v>
      </c>
      <c r="M96" s="120">
        <f t="shared" si="20"/>
        <v>0</v>
      </c>
    </row>
    <row r="97" spans="1:13" x14ac:dyDescent="0.25">
      <c r="A97" s="116">
        <v>95</v>
      </c>
      <c r="B97" s="117">
        <f>калькулятор!D101</f>
        <v>0</v>
      </c>
      <c r="C97" s="117">
        <f>калькулятор!E101</f>
        <v>0</v>
      </c>
      <c r="D97" s="118">
        <f>калькулятор!F101</f>
        <v>0</v>
      </c>
      <c r="E97" s="117">
        <f>калькулятор!G101</f>
        <v>0</v>
      </c>
      <c r="F97" s="117">
        <f>калькулятор!H101</f>
        <v>0</v>
      </c>
      <c r="G97" s="117">
        <f>калькулятор!I101</f>
        <v>0</v>
      </c>
      <c r="H97" s="116">
        <f>данные!X97</f>
        <v>0</v>
      </c>
      <c r="I97" s="117">
        <f>данные!Y97</f>
        <v>0</v>
      </c>
      <c r="J97" s="117">
        <f>данные!Z97</f>
        <v>0</v>
      </c>
      <c r="K97" s="122">
        <f>данные!AA97</f>
        <v>0</v>
      </c>
      <c r="L97" s="117">
        <f>данные!AB97</f>
        <v>0</v>
      </c>
      <c r="M97" s="117">
        <f t="shared" si="20"/>
        <v>0</v>
      </c>
    </row>
    <row r="98" spans="1:13" x14ac:dyDescent="0.25">
      <c r="A98" s="119">
        <v>96</v>
      </c>
      <c r="B98" s="120">
        <f>калькулятор!D102</f>
        <v>0</v>
      </c>
      <c r="C98" s="120">
        <f>калькулятор!E102</f>
        <v>0</v>
      </c>
      <c r="D98" s="121">
        <f>калькулятор!F102</f>
        <v>0</v>
      </c>
      <c r="E98" s="120">
        <f>калькулятор!G102</f>
        <v>0</v>
      </c>
      <c r="F98" s="120">
        <f>калькулятор!H102</f>
        <v>0</v>
      </c>
      <c r="G98" s="120">
        <f>калькулятор!I102</f>
        <v>0</v>
      </c>
      <c r="H98" s="119">
        <f>данные!X98</f>
        <v>0</v>
      </c>
      <c r="I98" s="120">
        <f>данные!Y98</f>
        <v>0</v>
      </c>
      <c r="J98" s="120">
        <f>данные!Z98</f>
        <v>0</v>
      </c>
      <c r="K98" s="127">
        <f>данные!AA98</f>
        <v>0</v>
      </c>
      <c r="L98" s="120">
        <f>данные!AB98</f>
        <v>0</v>
      </c>
      <c r="M98" s="120">
        <f t="shared" si="20"/>
        <v>0</v>
      </c>
    </row>
    <row r="99" spans="1:13" x14ac:dyDescent="0.25">
      <c r="A99" s="116">
        <v>97</v>
      </c>
      <c r="B99" s="117">
        <f>калькулятор!D103</f>
        <v>0</v>
      </c>
      <c r="C99" s="117">
        <f>калькулятор!E103</f>
        <v>0</v>
      </c>
      <c r="D99" s="118">
        <f>калькулятор!F103</f>
        <v>0</v>
      </c>
      <c r="E99" s="117">
        <f>калькулятор!G103</f>
        <v>0</v>
      </c>
      <c r="F99" s="117">
        <f>калькулятор!H103</f>
        <v>0</v>
      </c>
      <c r="G99" s="117">
        <f>калькулятор!I103</f>
        <v>0</v>
      </c>
      <c r="H99" s="116">
        <f>данные!X99</f>
        <v>0</v>
      </c>
      <c r="I99" s="117">
        <f>данные!Y99</f>
        <v>0</v>
      </c>
      <c r="J99" s="117">
        <f>данные!Z99</f>
        <v>0</v>
      </c>
      <c r="K99" s="122">
        <f>данные!AA99</f>
        <v>0</v>
      </c>
      <c r="L99" s="117">
        <f>данные!AB99</f>
        <v>0</v>
      </c>
      <c r="M99" s="117">
        <f t="shared" si="20"/>
        <v>0</v>
      </c>
    </row>
    <row r="100" spans="1:13" x14ac:dyDescent="0.25">
      <c r="A100" s="119">
        <v>98</v>
      </c>
      <c r="B100" s="120">
        <f>калькулятор!D104</f>
        <v>0</v>
      </c>
      <c r="C100" s="120">
        <f>калькулятор!E104</f>
        <v>0</v>
      </c>
      <c r="D100" s="121">
        <f>калькулятор!F104</f>
        <v>0</v>
      </c>
      <c r="E100" s="120">
        <f>калькулятор!G104</f>
        <v>0</v>
      </c>
      <c r="F100" s="120">
        <f>калькулятор!H104</f>
        <v>0</v>
      </c>
      <c r="G100" s="120">
        <f>калькулятор!I104</f>
        <v>0</v>
      </c>
      <c r="H100" s="119">
        <f>данные!X100</f>
        <v>0</v>
      </c>
      <c r="I100" s="120">
        <f>данные!Y100</f>
        <v>0</v>
      </c>
      <c r="J100" s="120">
        <f>данные!Z100</f>
        <v>0</v>
      </c>
      <c r="K100" s="127">
        <f>данные!AA100</f>
        <v>0</v>
      </c>
      <c r="L100" s="120">
        <f>данные!AB100</f>
        <v>0</v>
      </c>
      <c r="M100" s="120">
        <f t="shared" si="20"/>
        <v>0</v>
      </c>
    </row>
    <row r="101" spans="1:13" x14ac:dyDescent="0.25">
      <c r="A101" s="116">
        <v>99</v>
      </c>
      <c r="B101" s="117">
        <f>калькулятор!D105</f>
        <v>0</v>
      </c>
      <c r="C101" s="117">
        <f>калькулятор!E105</f>
        <v>0</v>
      </c>
      <c r="D101" s="118">
        <f>калькулятор!F105</f>
        <v>0</v>
      </c>
      <c r="E101" s="117">
        <f>калькулятор!G105</f>
        <v>0</v>
      </c>
      <c r="F101" s="117">
        <f>калькулятор!H105</f>
        <v>0</v>
      </c>
      <c r="G101" s="117">
        <f>калькулятор!I105</f>
        <v>0</v>
      </c>
      <c r="H101" s="116">
        <f>данные!X101</f>
        <v>0</v>
      </c>
      <c r="I101" s="117">
        <f>данные!Y101</f>
        <v>0</v>
      </c>
      <c r="J101" s="117">
        <f>данные!Z101</f>
        <v>0</v>
      </c>
      <c r="K101" s="122">
        <f>данные!AA101</f>
        <v>0</v>
      </c>
      <c r="L101" s="117">
        <f>данные!AB101</f>
        <v>0</v>
      </c>
      <c r="M101" s="117">
        <f t="shared" si="20"/>
        <v>0</v>
      </c>
    </row>
    <row r="102" spans="1:13" ht="15.75" thickBot="1" x14ac:dyDescent="0.3">
      <c r="A102" s="119">
        <v>100</v>
      </c>
      <c r="B102" s="142">
        <f>калькулятор!D106</f>
        <v>0</v>
      </c>
      <c r="C102" s="142">
        <f>калькулятор!E106</f>
        <v>0</v>
      </c>
      <c r="D102" s="143">
        <f>калькулятор!F106</f>
        <v>0</v>
      </c>
      <c r="E102" s="142">
        <f>калькулятор!G106</f>
        <v>0</v>
      </c>
      <c r="F102" s="142">
        <f>калькулятор!H106</f>
        <v>0</v>
      </c>
      <c r="G102" s="142">
        <f>калькулятор!I106</f>
        <v>0</v>
      </c>
      <c r="H102" s="144">
        <f>данные!X102</f>
        <v>0</v>
      </c>
      <c r="I102" s="142">
        <f>данные!Y102</f>
        <v>0</v>
      </c>
      <c r="J102" s="142">
        <f>данные!Z102</f>
        <v>0</v>
      </c>
      <c r="K102" s="145">
        <f>данные!AA102</f>
        <v>0</v>
      </c>
      <c r="L102" s="142">
        <f>данные!AB102</f>
        <v>0</v>
      </c>
      <c r="M102" s="142">
        <f t="shared" si="20"/>
        <v>0</v>
      </c>
    </row>
  </sheetData>
  <sheetProtection algorithmName="SHA-512" hashValue="lccBPGxqKIIWRZUlLFoUMKHhos9JSXO3/o62kl7xtt+5RY6Aa/RMibSDXQgIm7lUTU9eImt+xU5TUeYv74CFGQ==" saltValue="bl9aXY+0LyMbEkuyuvMlWw==" spinCount="100000" sheet="1" objects="1" scenarios="1" formatCells="0" formatColumns="0" formatRows="0" autoFilter="0" pivotTables="0"/>
  <dataConsolidate/>
  <mergeCells count="1">
    <mergeCell ref="H1:M1"/>
  </mergeCells>
  <conditionalFormatting sqref="P19:T19">
    <cfRule type="cellIs" dxfId="36" priority="1" operator="lessThan">
      <formula>-0.1</formula>
    </cfRule>
  </conditionalFormatting>
  <dataValidations count="5">
    <dataValidation operator="greaterThan" allowBlank="1" showInputMessage="1" showErrorMessage="1" sqref="D7:D21 D23:D24 D26:D27 D29:D30 D32:D102"/>
    <dataValidation type="list" operator="greaterThan" allowBlank="1" showInputMessage="1" showErrorMessage="1" sqref="F3:F102">
      <formula1>E</formula1>
    </dataValidation>
    <dataValidation type="decimal" operator="greaterThan" allowBlank="1" showInputMessage="1" showErrorMessage="1" sqref="G3:G102">
      <formula1>0</formula1>
    </dataValidation>
    <dataValidation type="list" allowBlank="1" showInputMessage="1" showErrorMessage="1" sqref="E3:E102">
      <formula1>А</formula1>
    </dataValidation>
    <dataValidation type="list" allowBlank="1" showInputMessage="1" showErrorMessage="1" sqref="O3">
      <formula1>ИПР</formula1>
    </dataValidation>
  </dataValidations>
  <pageMargins left="0.7" right="0.7" top="0.75" bottom="0.75" header="0.3" footer="0.3"/>
  <pageSetup paperSize="9" orientation="portrait" verticalDpi="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6" r:id="rId4" name="Drop Down 2">
              <controlPr defaultSize="0" autoLine="0" autoPict="0">
                <anchor moveWithCells="1">
                  <from>
                    <xdr:col>13</xdr:col>
                    <xdr:colOff>600075</xdr:colOff>
                    <xdr:row>1</xdr:row>
                    <xdr:rowOff>19050</xdr:rowOff>
                  </from>
                  <to>
                    <xdr:col>18</xdr:col>
                    <xdr:colOff>904875</xdr:colOff>
                    <xdr:row>3</xdr:row>
                    <xdr:rowOff>76200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H11"/>
  <sheetViews>
    <sheetView workbookViewId="0">
      <selection activeCell="H1" sqref="H1:H5"/>
    </sheetView>
  </sheetViews>
  <sheetFormatPr defaultRowHeight="15" x14ac:dyDescent="0.25"/>
  <cols>
    <col min="1" max="1" width="11" customWidth="1"/>
    <col min="2" max="2" width="14.28515625" customWidth="1"/>
  </cols>
  <sheetData>
    <row r="1" spans="1:8" x14ac:dyDescent="0.25">
      <c r="A1" t="s">
        <v>29</v>
      </c>
      <c r="B1" t="s">
        <v>7</v>
      </c>
      <c r="D1" t="s">
        <v>18</v>
      </c>
      <c r="E1" t="s">
        <v>21</v>
      </c>
      <c r="F1" t="s">
        <v>32</v>
      </c>
      <c r="H1">
        <v>2014</v>
      </c>
    </row>
    <row r="2" spans="1:8" x14ac:dyDescent="0.25">
      <c r="A2" t="s">
        <v>30</v>
      </c>
      <c r="B2" t="s">
        <v>8</v>
      </c>
      <c r="D2" t="s">
        <v>19</v>
      </c>
      <c r="E2" t="s">
        <v>22</v>
      </c>
      <c r="F2" t="s">
        <v>33</v>
      </c>
      <c r="H2">
        <v>2015</v>
      </c>
    </row>
    <row r="3" spans="1:8" x14ac:dyDescent="0.25">
      <c r="A3" t="s">
        <v>31</v>
      </c>
      <c r="B3" t="s">
        <v>9</v>
      </c>
      <c r="H3">
        <v>2016</v>
      </c>
    </row>
    <row r="4" spans="1:8" x14ac:dyDescent="0.25">
      <c r="B4" t="s">
        <v>10</v>
      </c>
      <c r="H4">
        <v>2017</v>
      </c>
    </row>
    <row r="5" spans="1:8" x14ac:dyDescent="0.25">
      <c r="B5" t="s">
        <v>11</v>
      </c>
      <c r="H5">
        <v>2018</v>
      </c>
    </row>
    <row r="6" spans="1:8" x14ac:dyDescent="0.25">
      <c r="B6" t="s">
        <v>12</v>
      </c>
    </row>
    <row r="7" spans="1:8" x14ac:dyDescent="0.25">
      <c r="B7" t="s">
        <v>13</v>
      </c>
    </row>
    <row r="8" spans="1:8" x14ac:dyDescent="0.25">
      <c r="B8" t="s">
        <v>14</v>
      </c>
    </row>
    <row r="9" spans="1:8" x14ac:dyDescent="0.25">
      <c r="B9" t="s">
        <v>15</v>
      </c>
    </row>
    <row r="10" spans="1:8" x14ac:dyDescent="0.25">
      <c r="B10" t="s">
        <v>16</v>
      </c>
    </row>
    <row r="11" spans="1:8" x14ac:dyDescent="0.25">
      <c r="B11" t="s">
        <v>17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C1:Z158"/>
  <sheetViews>
    <sheetView topLeftCell="D1" zoomScale="85" zoomScaleNormal="85" workbookViewId="0">
      <selection activeCell="L17" sqref="L17"/>
    </sheetView>
  </sheetViews>
  <sheetFormatPr defaultRowHeight="15" x14ac:dyDescent="0.25"/>
  <cols>
    <col min="3" max="3" width="16.42578125" bestFit="1" customWidth="1"/>
    <col min="4" max="4" width="10.85546875" customWidth="1"/>
    <col min="5" max="5" width="13.28515625" customWidth="1"/>
    <col min="6" max="6" width="9.5703125" customWidth="1"/>
    <col min="7" max="8" width="12" customWidth="1"/>
    <col min="9" max="9" width="14.140625" customWidth="1"/>
    <col min="10" max="10" width="16.85546875" customWidth="1"/>
    <col min="11" max="11" width="10" customWidth="1"/>
    <col min="12" max="12" width="10.42578125" customWidth="1"/>
    <col min="13" max="13" width="19.7109375" customWidth="1"/>
    <col min="14" max="14" width="9.140625" customWidth="1"/>
    <col min="15" max="15" width="17.85546875" customWidth="1"/>
    <col min="16" max="16" width="11" customWidth="1"/>
    <col min="19" max="19" width="14.7109375" bestFit="1" customWidth="1"/>
  </cols>
  <sheetData>
    <row r="1" spans="3:26" ht="15.75" thickBot="1" x14ac:dyDescent="0.3"/>
    <row r="2" spans="3:26" ht="15.75" thickBot="1" x14ac:dyDescent="0.3">
      <c r="G2" s="174" t="s">
        <v>24</v>
      </c>
      <c r="H2" s="175"/>
      <c r="I2" s="175"/>
      <c r="J2" s="175"/>
      <c r="K2" s="176"/>
      <c r="L2" s="171" t="s">
        <v>25</v>
      </c>
      <c r="M2" s="172"/>
      <c r="N2" s="172"/>
      <c r="O2" s="172"/>
      <c r="P2" s="173"/>
      <c r="Q2" s="177" t="s">
        <v>35</v>
      </c>
      <c r="R2" s="175"/>
      <c r="S2" s="175"/>
      <c r="T2" s="175"/>
      <c r="U2" s="178"/>
      <c r="V2" s="177" t="s">
        <v>65</v>
      </c>
      <c r="W2" s="175"/>
      <c r="X2" s="175"/>
      <c r="Y2" s="175"/>
      <c r="Z2" s="178"/>
    </row>
    <row r="3" spans="3:26" x14ac:dyDescent="0.25">
      <c r="C3" s="2" t="s">
        <v>26</v>
      </c>
      <c r="D3" s="3" t="s">
        <v>23</v>
      </c>
      <c r="E3" s="4" t="s">
        <v>20</v>
      </c>
      <c r="F3" s="16" t="s">
        <v>0</v>
      </c>
      <c r="G3" s="15" t="s">
        <v>83</v>
      </c>
      <c r="H3" s="3" t="s">
        <v>84</v>
      </c>
      <c r="I3" s="3" t="s">
        <v>85</v>
      </c>
      <c r="J3" s="3" t="s">
        <v>86</v>
      </c>
      <c r="K3" s="9" t="s">
        <v>87</v>
      </c>
      <c r="L3" s="10" t="s">
        <v>78</v>
      </c>
      <c r="M3" s="1" t="s">
        <v>79</v>
      </c>
      <c r="N3" s="1" t="s">
        <v>80</v>
      </c>
      <c r="O3" s="1" t="s">
        <v>81</v>
      </c>
      <c r="P3" s="11" t="s">
        <v>82</v>
      </c>
      <c r="Q3" s="7" t="s">
        <v>74</v>
      </c>
      <c r="R3" s="8" t="s">
        <v>75</v>
      </c>
      <c r="S3" s="8" t="s">
        <v>76</v>
      </c>
      <c r="T3" s="8" t="s">
        <v>77</v>
      </c>
      <c r="U3" s="8" t="s">
        <v>59</v>
      </c>
      <c r="V3" s="8" t="s">
        <v>62</v>
      </c>
      <c r="W3" s="8" t="s">
        <v>63</v>
      </c>
      <c r="X3" s="8" t="s">
        <v>64</v>
      </c>
      <c r="Y3" s="8" t="s">
        <v>61</v>
      </c>
      <c r="Z3" s="8" t="s">
        <v>60</v>
      </c>
    </row>
    <row r="4" spans="3:26" x14ac:dyDescent="0.25">
      <c r="C4" s="10" t="s">
        <v>7</v>
      </c>
      <c r="D4" s="1" t="s">
        <v>19</v>
      </c>
      <c r="E4" s="1" t="s">
        <v>21</v>
      </c>
      <c r="F4" s="11" t="s">
        <v>29</v>
      </c>
      <c r="G4" s="5">
        <v>3.13</v>
      </c>
      <c r="H4" s="5">
        <v>4.5199999999999996</v>
      </c>
      <c r="I4" s="5">
        <v>8.16</v>
      </c>
      <c r="J4" s="5">
        <v>3.27</v>
      </c>
      <c r="K4" s="5">
        <v>6.03</v>
      </c>
      <c r="L4" s="17">
        <f>Таблица2[[#This Row],[ПИР2010]]*0.9*1.082*1.068*1.059*1.058</f>
        <v>3.6472622217438251</v>
      </c>
      <c r="M4" s="5">
        <f>Таблица2[[#This Row],[СМР2010]]*0.9*1.082*1.068*1.059*1.058</f>
        <v>5.2669729208568956</v>
      </c>
      <c r="N4" s="5">
        <f>Таблица2[[#This Row],[ПНР2010]]*0.9*1.082*1.068*1.059*1.058</f>
        <v>9.5085174854407697</v>
      </c>
      <c r="O4" s="5">
        <f>Таблица2[[#This Row],[Оборудование2010]]*0.9*1.082*1.068*1.059*1.058</f>
        <v>3.8103985511508971</v>
      </c>
      <c r="P4" s="20">
        <f>Таблица2[[#This Row],[Прочие2010]]*0.9*1.082*1.068*1.059*1.058</f>
        <v>7.0265147594617448</v>
      </c>
      <c r="Q4" s="5">
        <v>3.64</v>
      </c>
      <c r="R4" s="6">
        <v>4.13</v>
      </c>
      <c r="S4" s="5">
        <v>10.11</v>
      </c>
      <c r="T4" s="5">
        <v>3.94</v>
      </c>
      <c r="U4" s="5">
        <v>7.74</v>
      </c>
      <c r="V4" s="5">
        <v>3.53</v>
      </c>
      <c r="W4" s="6">
        <v>4.0999999999999996</v>
      </c>
      <c r="X4" s="6">
        <v>9.91</v>
      </c>
      <c r="Y4" s="6">
        <v>3.82</v>
      </c>
      <c r="Z4" s="6">
        <v>7.53</v>
      </c>
    </row>
    <row r="5" spans="3:26" x14ac:dyDescent="0.25">
      <c r="C5" s="10" t="s">
        <v>8</v>
      </c>
      <c r="D5" s="1" t="s">
        <v>19</v>
      </c>
      <c r="E5" s="1" t="s">
        <v>21</v>
      </c>
      <c r="F5" s="11" t="s">
        <v>29</v>
      </c>
      <c r="G5" s="5">
        <v>3.13</v>
      </c>
      <c r="H5" s="5">
        <v>4.7300000000000004</v>
      </c>
      <c r="I5" s="5">
        <v>8.59</v>
      </c>
      <c r="J5" s="5">
        <v>3.27</v>
      </c>
      <c r="K5" s="5">
        <v>6.03</v>
      </c>
      <c r="L5" s="17">
        <f>Таблица2[[#This Row],[ПИР2010]]*0.9*1.082*1.068*1.059*1.058</f>
        <v>3.6472622217438251</v>
      </c>
      <c r="M5" s="5">
        <f>Таблица2[[#This Row],[СМР2010]]*0.9*1.082*1.068*1.059*1.058</f>
        <v>5.5116774149675063</v>
      </c>
      <c r="N5" s="5">
        <f>Таблица2[[#This Row],[ПНР2010]]*0.9*1.082*1.068*1.059*1.058</f>
        <v>10.009579068619635</v>
      </c>
      <c r="O5" s="5">
        <f>Таблица2[[#This Row],[Оборудование2010]]*0.9*1.082*1.068*1.059*1.058</f>
        <v>3.8103985511508971</v>
      </c>
      <c r="P5" s="20">
        <f>Таблица2[[#This Row],[Прочие2010]]*0.9*1.082*1.068*1.059*1.058</f>
        <v>7.0265147594617448</v>
      </c>
      <c r="Q5" s="5">
        <v>3.64</v>
      </c>
      <c r="R5" s="6">
        <v>3.6</v>
      </c>
      <c r="S5" s="5">
        <v>9.91</v>
      </c>
      <c r="T5" s="5">
        <v>3.94</v>
      </c>
      <c r="U5" s="5">
        <v>7.74</v>
      </c>
      <c r="V5" s="5">
        <v>3.53</v>
      </c>
      <c r="W5" s="6">
        <v>3.53</v>
      </c>
      <c r="X5" s="6">
        <v>9.7100000000000009</v>
      </c>
      <c r="Y5" s="6">
        <v>3.82</v>
      </c>
      <c r="Z5" s="6">
        <v>7.53</v>
      </c>
    </row>
    <row r="6" spans="3:26" x14ac:dyDescent="0.25">
      <c r="C6" s="10" t="s">
        <v>9</v>
      </c>
      <c r="D6" s="1" t="s">
        <v>19</v>
      </c>
      <c r="E6" s="1" t="s">
        <v>21</v>
      </c>
      <c r="F6" s="11" t="s">
        <v>29</v>
      </c>
      <c r="G6" s="5">
        <v>3.13</v>
      </c>
      <c r="H6" s="5">
        <v>5.13</v>
      </c>
      <c r="I6" s="5">
        <v>9.27</v>
      </c>
      <c r="J6" s="5">
        <v>3.27</v>
      </c>
      <c r="K6" s="5">
        <v>6.03</v>
      </c>
      <c r="L6" s="17">
        <f>Таблица2[[#This Row],[ПИР2010]]*0.9*1.082*1.068*1.059*1.058</f>
        <v>3.6472622217438251</v>
      </c>
      <c r="M6" s="5">
        <f>Таблица2[[#This Row],[СМР2010]]*0.9*1.082*1.068*1.059*1.058</f>
        <v>5.977781213273424</v>
      </c>
      <c r="N6" s="5">
        <f>Таблица2[[#This Row],[ПНР2010]]*0.9*1.082*1.068*1.059*1.058</f>
        <v>10.801955525739698</v>
      </c>
      <c r="O6" s="5">
        <f>Таблица2[[#This Row],[Оборудование2010]]*0.9*1.082*1.068*1.059*1.058</f>
        <v>3.8103985511508971</v>
      </c>
      <c r="P6" s="20">
        <f>Таблица2[[#This Row],[Прочие2010]]*0.9*1.082*1.068*1.059*1.058</f>
        <v>7.0265147594617448</v>
      </c>
      <c r="Q6" s="5">
        <v>3.64</v>
      </c>
      <c r="R6" s="6">
        <v>3.95</v>
      </c>
      <c r="S6" s="5">
        <v>10.61</v>
      </c>
      <c r="T6" s="5">
        <v>3.94</v>
      </c>
      <c r="U6" s="5">
        <v>7.74</v>
      </c>
      <c r="V6" s="5">
        <v>3.53</v>
      </c>
      <c r="W6" s="6">
        <v>4.0599999999999996</v>
      </c>
      <c r="X6" s="6">
        <v>10.4</v>
      </c>
      <c r="Y6" s="6">
        <v>3.82</v>
      </c>
      <c r="Z6" s="6">
        <v>7.53</v>
      </c>
    </row>
    <row r="7" spans="3:26" x14ac:dyDescent="0.25">
      <c r="C7" s="10" t="s">
        <v>10</v>
      </c>
      <c r="D7" s="1" t="s">
        <v>19</v>
      </c>
      <c r="E7" s="1" t="s">
        <v>21</v>
      </c>
      <c r="F7" s="11" t="s">
        <v>29</v>
      </c>
      <c r="G7" s="5">
        <v>3.13</v>
      </c>
      <c r="H7" s="5">
        <v>4.74</v>
      </c>
      <c r="I7" s="5">
        <v>10.18</v>
      </c>
      <c r="J7" s="5">
        <v>3.27</v>
      </c>
      <c r="K7" s="5">
        <v>6.03</v>
      </c>
      <c r="L7" s="17">
        <f>Таблица2[[#This Row],[ПИР2010]]*0.9*1.082*1.068*1.059*1.058</f>
        <v>3.6472622217438251</v>
      </c>
      <c r="M7" s="5">
        <f>Таблица2[[#This Row],[СМР2010]]*0.9*1.082*1.068*1.059*1.058</f>
        <v>5.5233300099251519</v>
      </c>
      <c r="N7" s="5">
        <f>Таблица2[[#This Row],[ПНР2010]]*0.9*1.082*1.068*1.059*1.058</f>
        <v>11.862341666885666</v>
      </c>
      <c r="O7" s="5">
        <f>Таблица2[[#This Row],[Оборудование2010]]*0.9*1.082*1.068*1.059*1.058</f>
        <v>3.8103985511508971</v>
      </c>
      <c r="P7" s="20">
        <f>Таблица2[[#This Row],[Прочие2010]]*0.9*1.082*1.068*1.059*1.058</f>
        <v>7.0265147594617448</v>
      </c>
      <c r="Q7" s="5">
        <v>3.64</v>
      </c>
      <c r="R7" s="6">
        <v>3.63</v>
      </c>
      <c r="S7" s="5">
        <v>10.24</v>
      </c>
      <c r="T7" s="5">
        <v>3.94</v>
      </c>
      <c r="U7" s="5">
        <v>7.74</v>
      </c>
      <c r="V7" s="5">
        <v>3.53</v>
      </c>
      <c r="W7" s="6">
        <v>3.56</v>
      </c>
      <c r="X7" s="6">
        <v>10.039999999999999</v>
      </c>
      <c r="Y7" s="6">
        <v>3.82</v>
      </c>
      <c r="Z7" s="6">
        <v>7.53</v>
      </c>
    </row>
    <row r="8" spans="3:26" x14ac:dyDescent="0.25">
      <c r="C8" s="10" t="s">
        <v>11</v>
      </c>
      <c r="D8" s="1" t="s">
        <v>19</v>
      </c>
      <c r="E8" s="1" t="s">
        <v>21</v>
      </c>
      <c r="F8" s="11" t="s">
        <v>29</v>
      </c>
      <c r="G8" s="5">
        <v>3.13</v>
      </c>
      <c r="H8" s="5">
        <v>4.28</v>
      </c>
      <c r="I8" s="5">
        <v>8.75</v>
      </c>
      <c r="J8" s="5">
        <v>3.27</v>
      </c>
      <c r="K8" s="5">
        <v>6.03</v>
      </c>
      <c r="L8" s="17">
        <f>Таблица2[[#This Row],[ПИР2010]]*0.9*1.082*1.068*1.059*1.058</f>
        <v>3.6472622217438251</v>
      </c>
      <c r="M8" s="5">
        <f>Таблица2[[#This Row],[СМР2010]]*0.9*1.082*1.068*1.059*1.058</f>
        <v>4.9873106418733455</v>
      </c>
      <c r="N8" s="5">
        <f>Таблица2[[#This Row],[ПНР2010]]*0.9*1.082*1.068*1.059*1.058</f>
        <v>10.196020587942002</v>
      </c>
      <c r="O8" s="5">
        <f>Таблица2[[#This Row],[Оборудование2010]]*0.9*1.082*1.068*1.059*1.058</f>
        <v>3.8103985511508971</v>
      </c>
      <c r="P8" s="20">
        <f>Таблица2[[#This Row],[Прочие2010]]*0.9*1.082*1.068*1.059*1.058</f>
        <v>7.0265147594617448</v>
      </c>
      <c r="Q8" s="5">
        <v>3.64</v>
      </c>
      <c r="R8" s="6">
        <v>4</v>
      </c>
      <c r="S8" s="5">
        <v>10.47</v>
      </c>
      <c r="T8" s="5">
        <v>3.94</v>
      </c>
      <c r="U8" s="5">
        <v>7.74</v>
      </c>
      <c r="V8" s="5">
        <v>3.53</v>
      </c>
      <c r="W8" s="6">
        <v>3.92</v>
      </c>
      <c r="X8" s="6">
        <v>10.27</v>
      </c>
      <c r="Y8" s="6">
        <v>3.82</v>
      </c>
      <c r="Z8" s="6">
        <v>7.53</v>
      </c>
    </row>
    <row r="9" spans="3:26" x14ac:dyDescent="0.25">
      <c r="C9" s="10" t="s">
        <v>12</v>
      </c>
      <c r="D9" s="1" t="s">
        <v>19</v>
      </c>
      <c r="E9" s="1" t="s">
        <v>21</v>
      </c>
      <c r="F9" s="11" t="s">
        <v>29</v>
      </c>
      <c r="G9" s="5">
        <v>3.13</v>
      </c>
      <c r="H9" s="5">
        <v>4.74</v>
      </c>
      <c r="I9" s="5">
        <v>9.25</v>
      </c>
      <c r="J9" s="5">
        <v>3.27</v>
      </c>
      <c r="K9" s="5">
        <v>6.03</v>
      </c>
      <c r="L9" s="17">
        <f>Таблица2[[#This Row],[ПИР2010]]*0.9*1.082*1.068*1.059*1.058</f>
        <v>3.6472622217438251</v>
      </c>
      <c r="M9" s="5">
        <f>Таблица2[[#This Row],[СМР2010]]*0.9*1.082*1.068*1.059*1.058</f>
        <v>5.5233300099251519</v>
      </c>
      <c r="N9" s="5">
        <f>Таблица2[[#This Row],[ПНР2010]]*0.9*1.082*1.068*1.059*1.058</f>
        <v>10.778650335824402</v>
      </c>
      <c r="O9" s="5">
        <f>Таблица2[[#This Row],[Оборудование2010]]*0.9*1.082*1.068*1.059*1.058</f>
        <v>3.8103985511508971</v>
      </c>
      <c r="P9" s="20">
        <f>Таблица2[[#This Row],[Прочие2010]]*0.9*1.082*1.068*1.059*1.058</f>
        <v>7.0265147594617448</v>
      </c>
      <c r="Q9" s="5">
        <v>3.64</v>
      </c>
      <c r="R9" s="6">
        <v>3.57</v>
      </c>
      <c r="S9" s="5">
        <v>9.1300000000000008</v>
      </c>
      <c r="T9" s="5">
        <v>3.94</v>
      </c>
      <c r="U9" s="5">
        <v>7.74</v>
      </c>
      <c r="V9" s="5">
        <v>3.53</v>
      </c>
      <c r="W9" s="6">
        <v>3.61</v>
      </c>
      <c r="X9" s="6">
        <v>8.9499999999999993</v>
      </c>
      <c r="Y9" s="6">
        <v>3.82</v>
      </c>
      <c r="Z9" s="6">
        <v>7.53</v>
      </c>
    </row>
    <row r="10" spans="3:26" x14ac:dyDescent="0.25">
      <c r="C10" s="10" t="s">
        <v>13</v>
      </c>
      <c r="D10" s="1" t="s">
        <v>19</v>
      </c>
      <c r="E10" s="1" t="s">
        <v>21</v>
      </c>
      <c r="F10" s="11" t="s">
        <v>29</v>
      </c>
      <c r="G10" s="5">
        <v>3.13</v>
      </c>
      <c r="H10" s="5">
        <v>4.75</v>
      </c>
      <c r="I10" s="5">
        <v>8.6999999999999993</v>
      </c>
      <c r="J10" s="5">
        <v>3.27</v>
      </c>
      <c r="K10" s="5">
        <v>6.03</v>
      </c>
      <c r="L10" s="17">
        <f>Таблица2[[#This Row],[ПИР2010]]*0.9*1.082*1.068*1.059*1.058</f>
        <v>3.6472622217438251</v>
      </c>
      <c r="M10" s="5">
        <f>Таблица2[[#This Row],[СМР2010]]*0.9*1.082*1.068*1.059*1.058</f>
        <v>5.5349826048828019</v>
      </c>
      <c r="N10" s="5">
        <f>Таблица2[[#This Row],[ПНР2010]]*0.9*1.082*1.068*1.059*1.058</f>
        <v>10.137757613153759</v>
      </c>
      <c r="O10" s="5">
        <f>Таблица2[[#This Row],[Оборудование2010]]*0.9*1.082*1.068*1.059*1.058</f>
        <v>3.8103985511508971</v>
      </c>
      <c r="P10" s="20">
        <f>Таблица2[[#This Row],[Прочие2010]]*0.9*1.082*1.068*1.059*1.058</f>
        <v>7.0265147594617448</v>
      </c>
      <c r="Q10" s="5">
        <v>3.64</v>
      </c>
      <c r="R10" s="6">
        <v>4.24</v>
      </c>
      <c r="S10" s="5">
        <v>10.54</v>
      </c>
      <c r="T10" s="5">
        <v>3.94</v>
      </c>
      <c r="U10" s="5">
        <v>7.74</v>
      </c>
      <c r="V10" s="5">
        <v>3.53</v>
      </c>
      <c r="W10" s="6">
        <v>4.16</v>
      </c>
      <c r="X10" s="6">
        <v>10.34</v>
      </c>
      <c r="Y10" s="6">
        <v>3.82</v>
      </c>
      <c r="Z10" s="6">
        <v>7.53</v>
      </c>
    </row>
    <row r="11" spans="3:26" x14ac:dyDescent="0.25">
      <c r="C11" s="10" t="s">
        <v>14</v>
      </c>
      <c r="D11" s="1" t="s">
        <v>19</v>
      </c>
      <c r="E11" s="1" t="s">
        <v>21</v>
      </c>
      <c r="F11" s="11" t="s">
        <v>29</v>
      </c>
      <c r="G11" s="5">
        <v>3.13</v>
      </c>
      <c r="H11" s="5">
        <v>4.62</v>
      </c>
      <c r="I11" s="5">
        <v>8.59</v>
      </c>
      <c r="J11" s="5">
        <v>3.27</v>
      </c>
      <c r="K11" s="5">
        <v>6.03</v>
      </c>
      <c r="L11" s="17">
        <f>Таблица2[[#This Row],[ПИР2010]]*0.9*1.082*1.068*1.059*1.058</f>
        <v>3.6472622217438251</v>
      </c>
      <c r="M11" s="5">
        <f>Таблица2[[#This Row],[СМР2010]]*0.9*1.082*1.068*1.059*1.058</f>
        <v>5.3834988704333773</v>
      </c>
      <c r="N11" s="5">
        <f>Таблица2[[#This Row],[ПНР2010]]*0.9*1.082*1.068*1.059*1.058</f>
        <v>10.009579068619635</v>
      </c>
      <c r="O11" s="5">
        <f>Таблица2[[#This Row],[Оборудование2010]]*0.9*1.082*1.068*1.059*1.058</f>
        <v>3.8103985511508971</v>
      </c>
      <c r="P11" s="20">
        <f>Таблица2[[#This Row],[Прочие2010]]*0.9*1.082*1.068*1.059*1.058</f>
        <v>7.0265147594617448</v>
      </c>
      <c r="Q11" s="5">
        <v>3.64</v>
      </c>
      <c r="R11" s="6">
        <v>3.63</v>
      </c>
      <c r="S11" s="5">
        <v>10.42</v>
      </c>
      <c r="T11" s="5">
        <v>3.94</v>
      </c>
      <c r="U11" s="5">
        <v>7.74</v>
      </c>
      <c r="V11" s="5">
        <v>3.53</v>
      </c>
      <c r="W11" s="6">
        <v>3.56</v>
      </c>
      <c r="X11" s="6">
        <v>10.220000000000001</v>
      </c>
      <c r="Y11" s="6">
        <v>3.82</v>
      </c>
      <c r="Z11" s="6">
        <v>7.53</v>
      </c>
    </row>
    <row r="12" spans="3:26" x14ac:dyDescent="0.25">
      <c r="C12" s="10" t="s">
        <v>15</v>
      </c>
      <c r="D12" s="1" t="s">
        <v>19</v>
      </c>
      <c r="E12" s="1" t="s">
        <v>21</v>
      </c>
      <c r="F12" s="11" t="s">
        <v>29</v>
      </c>
      <c r="G12" s="5">
        <v>3.13</v>
      </c>
      <c r="H12" s="5">
        <v>5</v>
      </c>
      <c r="I12" s="5">
        <v>9.09</v>
      </c>
      <c r="J12" s="5">
        <v>3.27</v>
      </c>
      <c r="K12" s="5">
        <v>6.03</v>
      </c>
      <c r="L12" s="17">
        <f>Таблица2[[#This Row],[ПИР2010]]*0.9*1.082*1.068*1.059*1.058</f>
        <v>3.6472622217438251</v>
      </c>
      <c r="M12" s="5">
        <f>Таблица2[[#This Row],[СМР2010]]*0.9*1.082*1.068*1.059*1.058</f>
        <v>5.8262974788240003</v>
      </c>
      <c r="N12" s="5">
        <f>Таблица2[[#This Row],[ПНР2010]]*0.9*1.082*1.068*1.059*1.058</f>
        <v>10.592208816502035</v>
      </c>
      <c r="O12" s="5">
        <f>Таблица2[[#This Row],[Оборудование2010]]*0.9*1.082*1.068*1.059*1.058</f>
        <v>3.8103985511508971</v>
      </c>
      <c r="P12" s="20">
        <f>Таблица2[[#This Row],[Прочие2010]]*0.9*1.082*1.068*1.059*1.058</f>
        <v>7.0265147594617448</v>
      </c>
      <c r="Q12" s="5">
        <v>3.64</v>
      </c>
      <c r="R12" s="6">
        <v>4.22</v>
      </c>
      <c r="S12" s="5">
        <v>10.1</v>
      </c>
      <c r="T12" s="5">
        <v>3.94</v>
      </c>
      <c r="U12" s="5">
        <v>7.74</v>
      </c>
      <c r="V12" s="5">
        <v>3.53</v>
      </c>
      <c r="W12" s="6">
        <v>4.1399999999999997</v>
      </c>
      <c r="X12" s="6">
        <v>9.9</v>
      </c>
      <c r="Y12" s="6">
        <v>3.82</v>
      </c>
      <c r="Z12" s="6">
        <v>7.53</v>
      </c>
    </row>
    <row r="13" spans="3:26" x14ac:dyDescent="0.25">
      <c r="C13" s="10" t="s">
        <v>16</v>
      </c>
      <c r="D13" s="1" t="s">
        <v>19</v>
      </c>
      <c r="E13" s="1" t="s">
        <v>21</v>
      </c>
      <c r="F13" s="11" t="s">
        <v>29</v>
      </c>
      <c r="G13" s="5">
        <v>3.13</v>
      </c>
      <c r="H13" s="5">
        <v>5.56</v>
      </c>
      <c r="I13" s="5">
        <v>10.45</v>
      </c>
      <c r="J13" s="5">
        <v>3.27</v>
      </c>
      <c r="K13" s="5">
        <v>6.03</v>
      </c>
      <c r="L13" s="17">
        <f>Таблица2[[#This Row],[ПИР2010]]*0.9*1.082*1.068*1.059*1.058</f>
        <v>3.6472622217438251</v>
      </c>
      <c r="M13" s="5">
        <f>Таблица2[[#This Row],[СМР2010]]*0.9*1.082*1.068*1.059*1.058</f>
        <v>6.4788427964522883</v>
      </c>
      <c r="N13" s="5">
        <f>Таблица2[[#This Row],[ПНР2010]]*0.9*1.082*1.068*1.059*1.058</f>
        <v>12.176961730742162</v>
      </c>
      <c r="O13" s="5">
        <f>Таблица2[[#This Row],[Оборудование2010]]*0.9*1.082*1.068*1.059*1.058</f>
        <v>3.8103985511508971</v>
      </c>
      <c r="P13" s="20">
        <f>Таблица2[[#This Row],[Прочие2010]]*0.9*1.082*1.068*1.059*1.058</f>
        <v>7.0265147594617448</v>
      </c>
      <c r="Q13" s="5">
        <v>3.64</v>
      </c>
      <c r="R13" s="6">
        <v>3.26</v>
      </c>
      <c r="S13" s="5">
        <v>11.64</v>
      </c>
      <c r="T13" s="5">
        <v>3.94</v>
      </c>
      <c r="U13" s="5">
        <v>7.74</v>
      </c>
      <c r="V13" s="5">
        <v>3.53</v>
      </c>
      <c r="W13" s="6">
        <v>3.85</v>
      </c>
      <c r="X13" s="6">
        <v>11.41</v>
      </c>
      <c r="Y13" s="6">
        <v>3.82</v>
      </c>
      <c r="Z13" s="6">
        <v>7.53</v>
      </c>
    </row>
    <row r="14" spans="3:26" x14ac:dyDescent="0.25">
      <c r="C14" s="10" t="s">
        <v>17</v>
      </c>
      <c r="D14" s="1" t="s">
        <v>19</v>
      </c>
      <c r="E14" s="1" t="s">
        <v>21</v>
      </c>
      <c r="F14" s="11" t="s">
        <v>29</v>
      </c>
      <c r="G14" s="5">
        <v>3.13</v>
      </c>
      <c r="H14" s="5">
        <v>4.51</v>
      </c>
      <c r="I14" s="5">
        <v>9.94</v>
      </c>
      <c r="J14" s="5">
        <v>3.27</v>
      </c>
      <c r="K14" s="5">
        <v>6.03</v>
      </c>
      <c r="L14" s="17">
        <f>Таблица2[[#This Row],[ПИР2010]]*0.9*1.082*1.068*1.059*1.058</f>
        <v>3.6472622217438251</v>
      </c>
      <c r="M14" s="5">
        <f>Таблица2[[#This Row],[СМР2010]]*0.9*1.082*1.068*1.059*1.058</f>
        <v>5.2553203258992491</v>
      </c>
      <c r="N14" s="5">
        <f>Таблица2[[#This Row],[ПНР2010]]*0.9*1.082*1.068*1.059*1.058</f>
        <v>11.582679387902113</v>
      </c>
      <c r="O14" s="5">
        <f>Таблица2[[#This Row],[Оборудование2010]]*0.9*1.082*1.068*1.059*1.058</f>
        <v>3.8103985511508971</v>
      </c>
      <c r="P14" s="20">
        <f>Таблица2[[#This Row],[Прочие2010]]*0.9*1.082*1.068*1.059*1.058</f>
        <v>7.0265147594617448</v>
      </c>
      <c r="Q14" s="5">
        <v>3.64</v>
      </c>
      <c r="R14" s="6">
        <v>3.78</v>
      </c>
      <c r="S14" s="5">
        <v>10.83</v>
      </c>
      <c r="T14" s="5">
        <v>3.94</v>
      </c>
      <c r="U14" s="5">
        <v>7.74</v>
      </c>
      <c r="V14" s="5">
        <v>3.53</v>
      </c>
      <c r="W14" s="6">
        <v>3.7</v>
      </c>
      <c r="X14" s="6">
        <v>10.61</v>
      </c>
      <c r="Y14" s="6">
        <v>3.82</v>
      </c>
      <c r="Z14" s="6">
        <v>7.53</v>
      </c>
    </row>
    <row r="15" spans="3:26" x14ac:dyDescent="0.25">
      <c r="C15" s="10" t="s">
        <v>7</v>
      </c>
      <c r="D15" s="1" t="s">
        <v>19</v>
      </c>
      <c r="E15" s="1" t="s">
        <v>22</v>
      </c>
      <c r="F15" s="11" t="s">
        <v>29</v>
      </c>
      <c r="G15" s="5">
        <v>3.13</v>
      </c>
      <c r="H15" s="5">
        <v>4.5199999999999996</v>
      </c>
      <c r="I15" s="5">
        <v>8.16</v>
      </c>
      <c r="J15" s="5">
        <v>3.27</v>
      </c>
      <c r="K15" s="5">
        <v>6.03</v>
      </c>
      <c r="L15" s="17">
        <f>Таблица2[[#This Row],[ПИР2010]]*0.9*1.082*1.068*1.059*1.058</f>
        <v>3.6472622217438251</v>
      </c>
      <c r="M15" s="5">
        <f>Таблица2[[#This Row],[СМР2010]]*0.9*1.082*1.068*1.059*1.058</f>
        <v>5.2669729208568956</v>
      </c>
      <c r="N15" s="5">
        <f>Таблица2[[#This Row],[ПНР2010]]*0.9*1.082*1.068*1.059*1.058</f>
        <v>9.5085174854407697</v>
      </c>
      <c r="O15" s="5">
        <f>Таблица2[[#This Row],[Оборудование2010]]*0.9*1.082*1.068*1.059*1.058</f>
        <v>3.8103985511508971</v>
      </c>
      <c r="P15" s="20">
        <f>Таблица2[[#This Row],[Прочие2010]]*0.9*1.082*1.068*1.059*1.058</f>
        <v>7.0265147594617448</v>
      </c>
      <c r="Q15" s="5">
        <v>3.64</v>
      </c>
      <c r="R15" s="5">
        <v>4.13</v>
      </c>
      <c r="S15" s="5">
        <v>10.11</v>
      </c>
      <c r="T15" s="5">
        <v>3.94</v>
      </c>
      <c r="U15" s="5">
        <v>7.74</v>
      </c>
      <c r="V15" s="5">
        <v>3.53</v>
      </c>
      <c r="W15" s="6">
        <v>4.0999999999999996</v>
      </c>
      <c r="X15" s="6">
        <v>9.91</v>
      </c>
      <c r="Y15" s="6">
        <v>3.82</v>
      </c>
      <c r="Z15" s="6">
        <v>7.53</v>
      </c>
    </row>
    <row r="16" spans="3:26" x14ac:dyDescent="0.25">
      <c r="C16" s="10" t="s">
        <v>8</v>
      </c>
      <c r="D16" s="1" t="s">
        <v>19</v>
      </c>
      <c r="E16" s="1" t="s">
        <v>22</v>
      </c>
      <c r="F16" s="11" t="s">
        <v>29</v>
      </c>
      <c r="G16" s="5">
        <v>3.13</v>
      </c>
      <c r="H16" s="5">
        <v>4.7300000000000004</v>
      </c>
      <c r="I16" s="5">
        <v>8.59</v>
      </c>
      <c r="J16" s="5">
        <v>3.27</v>
      </c>
      <c r="K16" s="5">
        <v>6.03</v>
      </c>
      <c r="L16" s="17">
        <f>Таблица2[[#This Row],[ПИР2010]]*0.9*1.082*1.068*1.059*1.058</f>
        <v>3.6472622217438251</v>
      </c>
      <c r="M16" s="5">
        <f>Таблица2[[#This Row],[СМР2010]]*0.9*1.082*1.068*1.059*1.058</f>
        <v>5.5116774149675063</v>
      </c>
      <c r="N16" s="5">
        <f>Таблица2[[#This Row],[ПНР2010]]*0.9*1.082*1.068*1.059*1.058</f>
        <v>10.009579068619635</v>
      </c>
      <c r="O16" s="5">
        <f>Таблица2[[#This Row],[Оборудование2010]]*0.9*1.082*1.068*1.059*1.058</f>
        <v>3.8103985511508971</v>
      </c>
      <c r="P16" s="20">
        <f>Таблица2[[#This Row],[Прочие2010]]*0.9*1.082*1.068*1.059*1.058</f>
        <v>7.0265147594617448</v>
      </c>
      <c r="Q16" s="5">
        <v>3.64</v>
      </c>
      <c r="R16" s="5">
        <v>3.6</v>
      </c>
      <c r="S16" s="5">
        <v>9.91</v>
      </c>
      <c r="T16" s="5">
        <v>3.94</v>
      </c>
      <c r="U16" s="5">
        <v>7.74</v>
      </c>
      <c r="V16" s="5">
        <v>3.53</v>
      </c>
      <c r="W16" s="6">
        <v>3.53</v>
      </c>
      <c r="X16" s="6">
        <v>9.7100000000000009</v>
      </c>
      <c r="Y16" s="6">
        <v>3.82</v>
      </c>
      <c r="Z16" s="6">
        <v>7.53</v>
      </c>
    </row>
    <row r="17" spans="3:26" x14ac:dyDescent="0.25">
      <c r="C17" s="10" t="s">
        <v>9</v>
      </c>
      <c r="D17" s="1" t="s">
        <v>19</v>
      </c>
      <c r="E17" s="1" t="s">
        <v>22</v>
      </c>
      <c r="F17" s="11" t="s">
        <v>29</v>
      </c>
      <c r="G17" s="5">
        <v>3.13</v>
      </c>
      <c r="H17" s="5">
        <v>5.13</v>
      </c>
      <c r="I17" s="5">
        <v>9.27</v>
      </c>
      <c r="J17" s="5">
        <v>3.27</v>
      </c>
      <c r="K17" s="5">
        <v>6.03</v>
      </c>
      <c r="L17" s="17">
        <f>Таблица2[[#This Row],[ПИР2010]]*0.9*1.082*1.068*1.059*1.058</f>
        <v>3.6472622217438251</v>
      </c>
      <c r="M17" s="5">
        <f>Таблица2[[#This Row],[СМР2010]]*0.9*1.082*1.068*1.059*1.058</f>
        <v>5.977781213273424</v>
      </c>
      <c r="N17" s="5">
        <f>Таблица2[[#This Row],[ПНР2010]]*0.9*1.082*1.068*1.059*1.058</f>
        <v>10.801955525739698</v>
      </c>
      <c r="O17" s="5">
        <f>Таблица2[[#This Row],[Оборудование2010]]*0.9*1.082*1.068*1.059*1.058</f>
        <v>3.8103985511508971</v>
      </c>
      <c r="P17" s="20">
        <f>Таблица2[[#This Row],[Прочие2010]]*0.9*1.082*1.068*1.059*1.058</f>
        <v>7.0265147594617448</v>
      </c>
      <c r="Q17" s="5">
        <v>3.64</v>
      </c>
      <c r="R17" s="5">
        <v>3.95</v>
      </c>
      <c r="S17" s="5">
        <v>10.61</v>
      </c>
      <c r="T17" s="5">
        <v>3.94</v>
      </c>
      <c r="U17" s="5">
        <v>7.74</v>
      </c>
      <c r="V17" s="5">
        <v>3.53</v>
      </c>
      <c r="W17" s="6">
        <v>4.0599999999999996</v>
      </c>
      <c r="X17" s="6">
        <v>10.4</v>
      </c>
      <c r="Y17" s="6">
        <v>3.82</v>
      </c>
      <c r="Z17" s="6">
        <v>7.53</v>
      </c>
    </row>
    <row r="18" spans="3:26" x14ac:dyDescent="0.25">
      <c r="C18" s="10" t="s">
        <v>10</v>
      </c>
      <c r="D18" s="1" t="s">
        <v>19</v>
      </c>
      <c r="E18" s="1" t="s">
        <v>22</v>
      </c>
      <c r="F18" s="11" t="s">
        <v>29</v>
      </c>
      <c r="G18" s="5">
        <v>3.13</v>
      </c>
      <c r="H18" s="5">
        <v>4.74</v>
      </c>
      <c r="I18" s="5">
        <v>10.18</v>
      </c>
      <c r="J18" s="5">
        <v>3.27</v>
      </c>
      <c r="K18" s="5">
        <v>6.03</v>
      </c>
      <c r="L18" s="17">
        <f>Таблица2[[#This Row],[ПИР2010]]*0.9*1.082*1.068*1.059*1.058</f>
        <v>3.6472622217438251</v>
      </c>
      <c r="M18" s="5">
        <f>Таблица2[[#This Row],[СМР2010]]*0.9*1.082*1.068*1.059*1.058</f>
        <v>5.5233300099251519</v>
      </c>
      <c r="N18" s="5">
        <f>Таблица2[[#This Row],[ПНР2010]]*0.9*1.082*1.068*1.059*1.058</f>
        <v>11.862341666885666</v>
      </c>
      <c r="O18" s="5">
        <f>Таблица2[[#This Row],[Оборудование2010]]*0.9*1.082*1.068*1.059*1.058</f>
        <v>3.8103985511508971</v>
      </c>
      <c r="P18" s="20">
        <f>Таблица2[[#This Row],[Прочие2010]]*0.9*1.082*1.068*1.059*1.058</f>
        <v>7.0265147594617448</v>
      </c>
      <c r="Q18" s="5">
        <v>3.64</v>
      </c>
      <c r="R18" s="5">
        <v>3.63</v>
      </c>
      <c r="S18" s="5">
        <v>10.24</v>
      </c>
      <c r="T18" s="5">
        <v>3.94</v>
      </c>
      <c r="U18" s="5">
        <v>7.74</v>
      </c>
      <c r="V18" s="5">
        <v>3.53</v>
      </c>
      <c r="W18" s="6">
        <v>3.56</v>
      </c>
      <c r="X18" s="6">
        <v>10.039999999999999</v>
      </c>
      <c r="Y18" s="6">
        <v>3.82</v>
      </c>
      <c r="Z18" s="6">
        <v>7.53</v>
      </c>
    </row>
    <row r="19" spans="3:26" x14ac:dyDescent="0.25">
      <c r="C19" s="10" t="s">
        <v>11</v>
      </c>
      <c r="D19" s="1" t="s">
        <v>19</v>
      </c>
      <c r="E19" s="1" t="s">
        <v>22</v>
      </c>
      <c r="F19" s="11" t="s">
        <v>29</v>
      </c>
      <c r="G19" s="5">
        <v>3.13</v>
      </c>
      <c r="H19" s="5">
        <v>4.28</v>
      </c>
      <c r="I19" s="5">
        <v>8.75</v>
      </c>
      <c r="J19" s="5">
        <v>3.27</v>
      </c>
      <c r="K19" s="5">
        <v>6.03</v>
      </c>
      <c r="L19" s="17">
        <f>Таблица2[[#This Row],[ПИР2010]]*0.9*1.082*1.068*1.059*1.058</f>
        <v>3.6472622217438251</v>
      </c>
      <c r="M19" s="5">
        <f>Таблица2[[#This Row],[СМР2010]]*0.9*1.082*1.068*1.059*1.058</f>
        <v>4.9873106418733455</v>
      </c>
      <c r="N19" s="5">
        <f>Таблица2[[#This Row],[ПНР2010]]*0.9*1.082*1.068*1.059*1.058</f>
        <v>10.196020587942002</v>
      </c>
      <c r="O19" s="5">
        <f>Таблица2[[#This Row],[Оборудование2010]]*0.9*1.082*1.068*1.059*1.058</f>
        <v>3.8103985511508971</v>
      </c>
      <c r="P19" s="20">
        <f>Таблица2[[#This Row],[Прочие2010]]*0.9*1.082*1.068*1.059*1.058</f>
        <v>7.0265147594617448</v>
      </c>
      <c r="Q19" s="5">
        <v>3.64</v>
      </c>
      <c r="R19" s="5">
        <v>4</v>
      </c>
      <c r="S19" s="5">
        <v>10.47</v>
      </c>
      <c r="T19" s="5">
        <v>3.94</v>
      </c>
      <c r="U19" s="5">
        <v>7.74</v>
      </c>
      <c r="V19" s="5">
        <v>3.53</v>
      </c>
      <c r="W19" s="6">
        <v>3.92</v>
      </c>
      <c r="X19" s="6">
        <v>10.27</v>
      </c>
      <c r="Y19" s="6">
        <v>3.82</v>
      </c>
      <c r="Z19" s="6">
        <v>7.53</v>
      </c>
    </row>
    <row r="20" spans="3:26" x14ac:dyDescent="0.25">
      <c r="C20" s="10" t="s">
        <v>12</v>
      </c>
      <c r="D20" s="1" t="s">
        <v>19</v>
      </c>
      <c r="E20" s="1" t="s">
        <v>22</v>
      </c>
      <c r="F20" s="11" t="s">
        <v>29</v>
      </c>
      <c r="G20" s="5">
        <v>3.13</v>
      </c>
      <c r="H20" s="5">
        <v>4.74</v>
      </c>
      <c r="I20" s="5">
        <v>9.25</v>
      </c>
      <c r="J20" s="5">
        <v>3.27</v>
      </c>
      <c r="K20" s="5">
        <v>6.03</v>
      </c>
      <c r="L20" s="17">
        <f>Таблица2[[#This Row],[ПИР2010]]*0.9*1.082*1.068*1.059*1.058</f>
        <v>3.6472622217438251</v>
      </c>
      <c r="M20" s="5">
        <f>Таблица2[[#This Row],[СМР2010]]*0.9*1.082*1.068*1.059*1.058</f>
        <v>5.5233300099251519</v>
      </c>
      <c r="N20" s="5">
        <f>Таблица2[[#This Row],[ПНР2010]]*0.9*1.082*1.068*1.059*1.058</f>
        <v>10.778650335824402</v>
      </c>
      <c r="O20" s="5">
        <f>Таблица2[[#This Row],[Оборудование2010]]*0.9*1.082*1.068*1.059*1.058</f>
        <v>3.8103985511508971</v>
      </c>
      <c r="P20" s="20">
        <f>Таблица2[[#This Row],[Прочие2010]]*0.9*1.082*1.068*1.059*1.058</f>
        <v>7.0265147594617448</v>
      </c>
      <c r="Q20" s="5">
        <v>3.64</v>
      </c>
      <c r="R20" s="5">
        <v>3.57</v>
      </c>
      <c r="S20" s="5">
        <v>9.1300000000000008</v>
      </c>
      <c r="T20" s="5">
        <v>3.94</v>
      </c>
      <c r="U20" s="5">
        <v>7.74</v>
      </c>
      <c r="V20" s="5">
        <v>3.53</v>
      </c>
      <c r="W20" s="6">
        <v>3.61</v>
      </c>
      <c r="X20" s="6">
        <v>8.9499999999999993</v>
      </c>
      <c r="Y20" s="6">
        <v>3.82</v>
      </c>
      <c r="Z20" s="6">
        <v>7.53</v>
      </c>
    </row>
    <row r="21" spans="3:26" x14ac:dyDescent="0.25">
      <c r="C21" s="10" t="s">
        <v>13</v>
      </c>
      <c r="D21" s="1" t="s">
        <v>19</v>
      </c>
      <c r="E21" s="1" t="s">
        <v>22</v>
      </c>
      <c r="F21" s="11" t="s">
        <v>29</v>
      </c>
      <c r="G21" s="5">
        <v>3.13</v>
      </c>
      <c r="H21" s="5">
        <v>4.75</v>
      </c>
      <c r="I21" s="5">
        <v>8.6999999999999993</v>
      </c>
      <c r="J21" s="5">
        <v>3.27</v>
      </c>
      <c r="K21" s="5">
        <v>6.03</v>
      </c>
      <c r="L21" s="17">
        <f>Таблица2[[#This Row],[ПИР2010]]*0.9*1.082*1.068*1.059*1.058</f>
        <v>3.6472622217438251</v>
      </c>
      <c r="M21" s="5">
        <f>Таблица2[[#This Row],[СМР2010]]*0.9*1.082*1.068*1.059*1.058</f>
        <v>5.5349826048828019</v>
      </c>
      <c r="N21" s="5">
        <f>Таблица2[[#This Row],[ПНР2010]]*0.9*1.082*1.068*1.059*1.058</f>
        <v>10.137757613153759</v>
      </c>
      <c r="O21" s="5">
        <f>Таблица2[[#This Row],[Оборудование2010]]*0.9*1.082*1.068*1.059*1.058</f>
        <v>3.8103985511508971</v>
      </c>
      <c r="P21" s="20">
        <f>Таблица2[[#This Row],[Прочие2010]]*0.9*1.082*1.068*1.059*1.058</f>
        <v>7.0265147594617448</v>
      </c>
      <c r="Q21" s="5">
        <v>3.64</v>
      </c>
      <c r="R21" s="5">
        <v>4.24</v>
      </c>
      <c r="S21" s="5">
        <v>10.54</v>
      </c>
      <c r="T21" s="5">
        <v>3.94</v>
      </c>
      <c r="U21" s="5">
        <v>7.74</v>
      </c>
      <c r="V21" s="5">
        <v>3.53</v>
      </c>
      <c r="W21" s="6">
        <v>4.16</v>
      </c>
      <c r="X21" s="6">
        <v>10.34</v>
      </c>
      <c r="Y21" s="6">
        <v>3.82</v>
      </c>
      <c r="Z21" s="6">
        <v>7.53</v>
      </c>
    </row>
    <row r="22" spans="3:26" x14ac:dyDescent="0.25">
      <c r="C22" s="10" t="s">
        <v>14</v>
      </c>
      <c r="D22" s="1" t="s">
        <v>19</v>
      </c>
      <c r="E22" s="1" t="s">
        <v>22</v>
      </c>
      <c r="F22" s="11" t="s">
        <v>29</v>
      </c>
      <c r="G22" s="5">
        <v>3.13</v>
      </c>
      <c r="H22" s="5">
        <v>5.18</v>
      </c>
      <c r="I22" s="5">
        <v>8.59</v>
      </c>
      <c r="J22" s="5">
        <v>3.27</v>
      </c>
      <c r="K22" s="5">
        <v>6.03</v>
      </c>
      <c r="L22" s="17">
        <f>Таблица2[[#This Row],[ПИР2010]]*0.9*1.082*1.068*1.059*1.058</f>
        <v>3.6472622217438251</v>
      </c>
      <c r="M22" s="5">
        <f>Таблица2[[#This Row],[СМР2010]]*0.9*1.082*1.068*1.059*1.058</f>
        <v>6.0360441880616644</v>
      </c>
      <c r="N22" s="5">
        <f>Таблица2[[#This Row],[ПНР2010]]*0.9*1.082*1.068*1.059*1.058</f>
        <v>10.009579068619635</v>
      </c>
      <c r="O22" s="5">
        <f>Таблица2[[#This Row],[Оборудование2010]]*0.9*1.082*1.068*1.059*1.058</f>
        <v>3.8103985511508971</v>
      </c>
      <c r="P22" s="20">
        <f>Таблица2[[#This Row],[Прочие2010]]*0.9*1.082*1.068*1.059*1.058</f>
        <v>7.0265147594617448</v>
      </c>
      <c r="Q22" s="5">
        <v>3.64</v>
      </c>
      <c r="R22" s="5">
        <v>3.63</v>
      </c>
      <c r="S22" s="5">
        <v>10.42</v>
      </c>
      <c r="T22" s="5">
        <v>3.94</v>
      </c>
      <c r="U22" s="5">
        <v>7.74</v>
      </c>
      <c r="V22" s="5">
        <v>3.53</v>
      </c>
      <c r="W22" s="6">
        <v>3.56</v>
      </c>
      <c r="X22" s="6">
        <v>10.220000000000001</v>
      </c>
      <c r="Y22" s="6">
        <v>3.82</v>
      </c>
      <c r="Z22" s="6">
        <v>7.53</v>
      </c>
    </row>
    <row r="23" spans="3:26" x14ac:dyDescent="0.25">
      <c r="C23" s="10" t="s">
        <v>15</v>
      </c>
      <c r="D23" s="1" t="s">
        <v>19</v>
      </c>
      <c r="E23" s="1" t="s">
        <v>22</v>
      </c>
      <c r="F23" s="11" t="s">
        <v>29</v>
      </c>
      <c r="G23" s="5">
        <v>3.13</v>
      </c>
      <c r="H23" s="5">
        <v>5</v>
      </c>
      <c r="I23" s="5">
        <v>9.09</v>
      </c>
      <c r="J23" s="5">
        <v>3.27</v>
      </c>
      <c r="K23" s="5">
        <v>6.03</v>
      </c>
      <c r="L23" s="17">
        <f>Таблица2[[#This Row],[ПИР2010]]*0.9*1.082*1.068*1.059*1.058</f>
        <v>3.6472622217438251</v>
      </c>
      <c r="M23" s="5">
        <f>Таблица2[[#This Row],[СМР2010]]*0.9*1.082*1.068*1.059*1.058</f>
        <v>5.8262974788240003</v>
      </c>
      <c r="N23" s="5">
        <f>Таблица2[[#This Row],[ПНР2010]]*0.9*1.082*1.068*1.059*1.058</f>
        <v>10.592208816502035</v>
      </c>
      <c r="O23" s="5">
        <f>Таблица2[[#This Row],[Оборудование2010]]*0.9*1.082*1.068*1.059*1.058</f>
        <v>3.8103985511508971</v>
      </c>
      <c r="P23" s="20">
        <f>Таблица2[[#This Row],[Прочие2010]]*0.9*1.082*1.068*1.059*1.058</f>
        <v>7.0265147594617448</v>
      </c>
      <c r="Q23" s="5">
        <v>3.64</v>
      </c>
      <c r="R23" s="5">
        <v>4.22</v>
      </c>
      <c r="S23" s="5">
        <v>10.1</v>
      </c>
      <c r="T23" s="5">
        <v>3.94</v>
      </c>
      <c r="U23" s="5">
        <v>7.74</v>
      </c>
      <c r="V23" s="5">
        <v>3.53</v>
      </c>
      <c r="W23" s="6">
        <v>4.1399999999999997</v>
      </c>
      <c r="X23" s="6">
        <v>9.9</v>
      </c>
      <c r="Y23" s="6">
        <v>3.82</v>
      </c>
      <c r="Z23" s="6">
        <v>7.53</v>
      </c>
    </row>
    <row r="24" spans="3:26" x14ac:dyDescent="0.25">
      <c r="C24" s="10" t="s">
        <v>16</v>
      </c>
      <c r="D24" s="1" t="s">
        <v>19</v>
      </c>
      <c r="E24" s="1" t="s">
        <v>22</v>
      </c>
      <c r="F24" s="11" t="s">
        <v>29</v>
      </c>
      <c r="G24" s="5">
        <v>3.13</v>
      </c>
      <c r="H24" s="5">
        <v>5.56</v>
      </c>
      <c r="I24" s="5">
        <v>10.45</v>
      </c>
      <c r="J24" s="5">
        <v>3.27</v>
      </c>
      <c r="K24" s="5">
        <v>6.03</v>
      </c>
      <c r="L24" s="17">
        <f>Таблица2[[#This Row],[ПИР2010]]*0.9*1.082*1.068*1.059*1.058</f>
        <v>3.6472622217438251</v>
      </c>
      <c r="M24" s="5">
        <f>Таблица2[[#This Row],[СМР2010]]*0.9*1.082*1.068*1.059*1.058</f>
        <v>6.4788427964522883</v>
      </c>
      <c r="N24" s="5">
        <f>Таблица2[[#This Row],[ПНР2010]]*0.9*1.082*1.068*1.059*1.058</f>
        <v>12.176961730742162</v>
      </c>
      <c r="O24" s="5">
        <f>Таблица2[[#This Row],[Оборудование2010]]*0.9*1.082*1.068*1.059*1.058</f>
        <v>3.8103985511508971</v>
      </c>
      <c r="P24" s="20">
        <f>Таблица2[[#This Row],[Прочие2010]]*0.9*1.082*1.068*1.059*1.058</f>
        <v>7.0265147594617448</v>
      </c>
      <c r="Q24" s="5">
        <v>3.64</v>
      </c>
      <c r="R24" s="5">
        <v>3.26</v>
      </c>
      <c r="S24" s="5">
        <v>11.64</v>
      </c>
      <c r="T24" s="5">
        <v>3.94</v>
      </c>
      <c r="U24" s="5">
        <v>7.74</v>
      </c>
      <c r="V24" s="5">
        <v>3.53</v>
      </c>
      <c r="W24" s="6">
        <v>3.85</v>
      </c>
      <c r="X24" s="6">
        <v>11.41</v>
      </c>
      <c r="Y24" s="6">
        <v>3.82</v>
      </c>
      <c r="Z24" s="6">
        <v>7.53</v>
      </c>
    </row>
    <row r="25" spans="3:26" x14ac:dyDescent="0.25">
      <c r="C25" s="10" t="s">
        <v>17</v>
      </c>
      <c r="D25" s="1" t="s">
        <v>19</v>
      </c>
      <c r="E25" s="1" t="s">
        <v>22</v>
      </c>
      <c r="F25" s="11" t="s">
        <v>29</v>
      </c>
      <c r="G25" s="5">
        <v>3.13</v>
      </c>
      <c r="H25" s="5">
        <v>4.51</v>
      </c>
      <c r="I25" s="5">
        <v>9.94</v>
      </c>
      <c r="J25" s="5">
        <v>3.27</v>
      </c>
      <c r="K25" s="5">
        <v>6.03</v>
      </c>
      <c r="L25" s="17">
        <f>Таблица2[[#This Row],[ПИР2010]]*0.9*1.082*1.068*1.059*1.058</f>
        <v>3.6472622217438251</v>
      </c>
      <c r="M25" s="5">
        <f>Таблица2[[#This Row],[СМР2010]]*0.9*1.082*1.068*1.059*1.058</f>
        <v>5.2553203258992491</v>
      </c>
      <c r="N25" s="5">
        <f>Таблица2[[#This Row],[ПНР2010]]*0.9*1.082*1.068*1.059*1.058</f>
        <v>11.582679387902113</v>
      </c>
      <c r="O25" s="5">
        <f>Таблица2[[#This Row],[Оборудование2010]]*0.9*1.082*1.068*1.059*1.058</f>
        <v>3.8103985511508971</v>
      </c>
      <c r="P25" s="20">
        <f>Таблица2[[#This Row],[Прочие2010]]*0.9*1.082*1.068*1.059*1.058</f>
        <v>7.0265147594617448</v>
      </c>
      <c r="Q25" s="5">
        <v>3.64</v>
      </c>
      <c r="R25" s="5">
        <v>3.78</v>
      </c>
      <c r="S25" s="5">
        <v>10.83</v>
      </c>
      <c r="T25" s="5">
        <v>3.94</v>
      </c>
      <c r="U25" s="5">
        <v>7.74</v>
      </c>
      <c r="V25" s="5">
        <v>3.53</v>
      </c>
      <c r="W25" s="6">
        <v>3.7</v>
      </c>
      <c r="X25" s="6">
        <v>10.61</v>
      </c>
      <c r="Y25" s="6">
        <v>3.82</v>
      </c>
      <c r="Z25" s="6">
        <v>7.53</v>
      </c>
    </row>
    <row r="26" spans="3:26" x14ac:dyDescent="0.25">
      <c r="C26" s="10" t="s">
        <v>7</v>
      </c>
      <c r="D26" s="1" t="s">
        <v>18</v>
      </c>
      <c r="E26" s="1" t="s">
        <v>21</v>
      </c>
      <c r="F26" s="11" t="s">
        <v>29</v>
      </c>
      <c r="G26" s="5">
        <v>3.13</v>
      </c>
      <c r="H26" s="5">
        <v>5.48</v>
      </c>
      <c r="I26" s="5">
        <v>8.16</v>
      </c>
      <c r="J26" s="5">
        <v>3.27</v>
      </c>
      <c r="K26" s="5">
        <v>6.03</v>
      </c>
      <c r="L26" s="17">
        <f>Таблица2[[#This Row],[ПИР2010]]*0.9*1.082*1.068*1.059*1.058</f>
        <v>3.6472622217438251</v>
      </c>
      <c r="M26" s="5">
        <f>Таблица2[[#This Row],[СМР2010]]*0.9*1.082*1.068*1.059*1.058</f>
        <v>6.385622036791105</v>
      </c>
      <c r="N26" s="5">
        <f>Таблица2[[#This Row],[ПНР2010]]*0.9*1.082*1.068*1.059*1.058</f>
        <v>9.5085174854407697</v>
      </c>
      <c r="O26" s="5">
        <f>Таблица2[[#This Row],[Оборудование2010]]*0.9*1.082*1.068*1.059*1.058</f>
        <v>3.8103985511508971</v>
      </c>
      <c r="P26" s="20">
        <f>Таблица2[[#This Row],[Прочие2010]]*0.9*1.082*1.068*1.059*1.058</f>
        <v>7.0265147594617448</v>
      </c>
      <c r="Q26" s="5">
        <v>3.64</v>
      </c>
      <c r="R26" s="5">
        <v>4.1900000000000004</v>
      </c>
      <c r="S26" s="5">
        <v>10.79</v>
      </c>
      <c r="T26" s="5">
        <v>3.94</v>
      </c>
      <c r="U26" s="5">
        <v>7.74</v>
      </c>
      <c r="V26" s="5">
        <v>3.53</v>
      </c>
      <c r="W26" s="6">
        <v>4.16</v>
      </c>
      <c r="X26" s="6">
        <v>10.57</v>
      </c>
      <c r="Y26" s="6">
        <v>3.82</v>
      </c>
      <c r="Z26" s="6">
        <v>7.53</v>
      </c>
    </row>
    <row r="27" spans="3:26" x14ac:dyDescent="0.25">
      <c r="C27" s="10" t="s">
        <v>8</v>
      </c>
      <c r="D27" s="1" t="s">
        <v>18</v>
      </c>
      <c r="E27" s="1" t="s">
        <v>21</v>
      </c>
      <c r="F27" s="11" t="s">
        <v>29</v>
      </c>
      <c r="G27" s="5">
        <v>3.13</v>
      </c>
      <c r="H27" s="5">
        <v>6.53</v>
      </c>
      <c r="I27" s="5">
        <v>8.59</v>
      </c>
      <c r="J27" s="5">
        <v>3.27</v>
      </c>
      <c r="K27" s="5">
        <v>6.03</v>
      </c>
      <c r="L27" s="17">
        <f>Таблица2[[#This Row],[ПИР2010]]*0.9*1.082*1.068*1.059*1.058</f>
        <v>3.6472622217438251</v>
      </c>
      <c r="M27" s="5">
        <f>Таблица2[[#This Row],[СМР2010]]*0.9*1.082*1.068*1.059*1.058</f>
        <v>7.6091445073441459</v>
      </c>
      <c r="N27" s="5">
        <f>Таблица2[[#This Row],[ПНР2010]]*0.9*1.082*1.068*1.059*1.058</f>
        <v>10.009579068619635</v>
      </c>
      <c r="O27" s="5">
        <f>Таблица2[[#This Row],[Оборудование2010]]*0.9*1.082*1.068*1.059*1.058</f>
        <v>3.8103985511508971</v>
      </c>
      <c r="P27" s="20">
        <f>Таблица2[[#This Row],[Прочие2010]]*0.9*1.082*1.068*1.059*1.058</f>
        <v>7.0265147594617448</v>
      </c>
      <c r="Q27" s="5">
        <v>3.64</v>
      </c>
      <c r="R27" s="5">
        <v>3.34</v>
      </c>
      <c r="S27" s="5">
        <v>13.67</v>
      </c>
      <c r="T27" s="5">
        <v>3.94</v>
      </c>
      <c r="U27" s="5">
        <v>7.74</v>
      </c>
      <c r="V27" s="5">
        <v>3.53</v>
      </c>
      <c r="W27" s="6">
        <v>3.28</v>
      </c>
      <c r="X27" s="6">
        <v>13.4</v>
      </c>
      <c r="Y27" s="6">
        <v>3.82</v>
      </c>
      <c r="Z27" s="6">
        <v>7.53</v>
      </c>
    </row>
    <row r="28" spans="3:26" x14ac:dyDescent="0.25">
      <c r="C28" s="10" t="s">
        <v>9</v>
      </c>
      <c r="D28" s="1" t="s">
        <v>18</v>
      </c>
      <c r="E28" s="1" t="s">
        <v>21</v>
      </c>
      <c r="F28" s="11" t="s">
        <v>29</v>
      </c>
      <c r="G28" s="5">
        <v>3.13</v>
      </c>
      <c r="H28" s="5">
        <v>6.83</v>
      </c>
      <c r="I28" s="5">
        <v>9.27</v>
      </c>
      <c r="J28" s="5">
        <v>3.27</v>
      </c>
      <c r="K28" s="5">
        <v>6.03</v>
      </c>
      <c r="L28" s="17">
        <f>Таблица2[[#This Row],[ПИР2010]]*0.9*1.082*1.068*1.059*1.058</f>
        <v>3.6472622217438251</v>
      </c>
      <c r="M28" s="5">
        <f>Таблица2[[#This Row],[СМР2010]]*0.9*1.082*1.068*1.059*1.058</f>
        <v>7.9587223560735856</v>
      </c>
      <c r="N28" s="5">
        <f>Таблица2[[#This Row],[ПНР2010]]*0.9*1.082*1.068*1.059*1.058</f>
        <v>10.801955525739698</v>
      </c>
      <c r="O28" s="5">
        <f>Таблица2[[#This Row],[Оборудование2010]]*0.9*1.082*1.068*1.059*1.058</f>
        <v>3.8103985511508971</v>
      </c>
      <c r="P28" s="20">
        <f>Таблица2[[#This Row],[Прочие2010]]*0.9*1.082*1.068*1.059*1.058</f>
        <v>7.0265147594617448</v>
      </c>
      <c r="Q28" s="5">
        <v>3.64</v>
      </c>
      <c r="R28" s="5">
        <v>5.35</v>
      </c>
      <c r="S28" s="5">
        <v>11.11</v>
      </c>
      <c r="T28" s="5">
        <v>3.94</v>
      </c>
      <c r="U28" s="5">
        <v>7.74</v>
      </c>
      <c r="V28" s="5">
        <v>3.53</v>
      </c>
      <c r="W28" s="6">
        <v>5.5</v>
      </c>
      <c r="X28" s="6">
        <v>10.89</v>
      </c>
      <c r="Y28" s="6">
        <v>3.82</v>
      </c>
      <c r="Z28" s="6">
        <v>7.53</v>
      </c>
    </row>
    <row r="29" spans="3:26" x14ac:dyDescent="0.25">
      <c r="C29" s="10" t="s">
        <v>10</v>
      </c>
      <c r="D29" s="1" t="s">
        <v>18</v>
      </c>
      <c r="E29" s="1" t="s">
        <v>21</v>
      </c>
      <c r="F29" s="11" t="s">
        <v>29</v>
      </c>
      <c r="G29" s="5">
        <v>3.13</v>
      </c>
      <c r="H29" s="5">
        <v>5.54</v>
      </c>
      <c r="I29" s="5">
        <v>10.18</v>
      </c>
      <c r="J29" s="5">
        <v>3.27</v>
      </c>
      <c r="K29" s="5">
        <v>6.03</v>
      </c>
      <c r="L29" s="17">
        <f>Таблица2[[#This Row],[ПИР2010]]*0.9*1.082*1.068*1.059*1.058</f>
        <v>3.6472622217438251</v>
      </c>
      <c r="M29" s="5">
        <f>Таблица2[[#This Row],[СМР2010]]*0.9*1.082*1.068*1.059*1.058</f>
        <v>6.4555376065369927</v>
      </c>
      <c r="N29" s="5">
        <f>Таблица2[[#This Row],[ПНР2010]]*0.9*1.082*1.068*1.059*1.058</f>
        <v>11.862341666885666</v>
      </c>
      <c r="O29" s="5">
        <f>Таблица2[[#This Row],[Оборудование2010]]*0.9*1.082*1.068*1.059*1.058</f>
        <v>3.8103985511508971</v>
      </c>
      <c r="P29" s="20">
        <f>Таблица2[[#This Row],[Прочие2010]]*0.9*1.082*1.068*1.059*1.058</f>
        <v>7.0265147594617448</v>
      </c>
      <c r="Q29" s="5">
        <v>3.64</v>
      </c>
      <c r="R29" s="5">
        <v>3.83</v>
      </c>
      <c r="S29" s="5">
        <v>11.69</v>
      </c>
      <c r="T29" s="5">
        <v>3.94</v>
      </c>
      <c r="U29" s="5">
        <v>7.74</v>
      </c>
      <c r="V29" s="5">
        <v>3.53</v>
      </c>
      <c r="W29" s="6">
        <v>3.75</v>
      </c>
      <c r="X29" s="6">
        <v>11.46</v>
      </c>
      <c r="Y29" s="6">
        <v>3.82</v>
      </c>
      <c r="Z29" s="6">
        <v>7.53</v>
      </c>
    </row>
    <row r="30" spans="3:26" x14ac:dyDescent="0.25">
      <c r="C30" s="10" t="s">
        <v>11</v>
      </c>
      <c r="D30" s="1" t="s">
        <v>18</v>
      </c>
      <c r="E30" s="1" t="s">
        <v>21</v>
      </c>
      <c r="F30" s="11" t="s">
        <v>29</v>
      </c>
      <c r="G30" s="5">
        <v>3.13</v>
      </c>
      <c r="H30" s="5">
        <v>5.28</v>
      </c>
      <c r="I30" s="5">
        <v>8.75</v>
      </c>
      <c r="J30" s="5">
        <v>3.27</v>
      </c>
      <c r="K30" s="5">
        <v>6.03</v>
      </c>
      <c r="L30" s="17">
        <f>Таблица2[[#This Row],[ПИР2010]]*0.9*1.082*1.068*1.059*1.058</f>
        <v>3.6472622217438251</v>
      </c>
      <c r="M30" s="5">
        <f>Таблица2[[#This Row],[СМР2010]]*0.9*1.082*1.068*1.059*1.058</f>
        <v>6.1525701376381461</v>
      </c>
      <c r="N30" s="5">
        <f>Таблица2[[#This Row],[ПНР2010]]*0.9*1.082*1.068*1.059*1.058</f>
        <v>10.196020587942002</v>
      </c>
      <c r="O30" s="5">
        <f>Таблица2[[#This Row],[Оборудование2010]]*0.9*1.082*1.068*1.059*1.058</f>
        <v>3.8103985511508971</v>
      </c>
      <c r="P30" s="20">
        <f>Таблица2[[#This Row],[Прочие2010]]*0.9*1.082*1.068*1.059*1.058</f>
        <v>7.0265147594617448</v>
      </c>
      <c r="Q30" s="5">
        <v>3.64</v>
      </c>
      <c r="R30" s="5">
        <v>4.57</v>
      </c>
      <c r="S30" s="5">
        <v>11.43</v>
      </c>
      <c r="T30" s="5">
        <v>3.94</v>
      </c>
      <c r="U30" s="5">
        <v>7.74</v>
      </c>
      <c r="V30" s="5">
        <v>3.53</v>
      </c>
      <c r="W30" s="6">
        <v>4.4800000000000004</v>
      </c>
      <c r="X30" s="6">
        <v>11.21</v>
      </c>
      <c r="Y30" s="6">
        <v>3.82</v>
      </c>
      <c r="Z30" s="6">
        <v>7.53</v>
      </c>
    </row>
    <row r="31" spans="3:26" x14ac:dyDescent="0.25">
      <c r="C31" s="10" t="s">
        <v>12</v>
      </c>
      <c r="D31" s="1" t="s">
        <v>18</v>
      </c>
      <c r="E31" s="1" t="s">
        <v>21</v>
      </c>
      <c r="F31" s="11" t="s">
        <v>29</v>
      </c>
      <c r="G31" s="5">
        <v>3.13</v>
      </c>
      <c r="H31" s="5">
        <v>6.39</v>
      </c>
      <c r="I31" s="5">
        <v>9.25</v>
      </c>
      <c r="J31" s="5">
        <v>3.27</v>
      </c>
      <c r="K31" s="5">
        <v>6.03</v>
      </c>
      <c r="L31" s="17">
        <f>Таблица2[[#This Row],[ПИР2010]]*0.9*1.082*1.068*1.059*1.058</f>
        <v>3.6472622217438251</v>
      </c>
      <c r="M31" s="5">
        <f>Таблица2[[#This Row],[СМР2010]]*0.9*1.082*1.068*1.059*1.058</f>
        <v>7.4460081779370721</v>
      </c>
      <c r="N31" s="5">
        <f>Таблица2[[#This Row],[ПНР2010]]*0.9*1.082*1.068*1.059*1.058</f>
        <v>10.778650335824402</v>
      </c>
      <c r="O31" s="5">
        <f>Таблица2[[#This Row],[Оборудование2010]]*0.9*1.082*1.068*1.059*1.058</f>
        <v>3.8103985511508971</v>
      </c>
      <c r="P31" s="20">
        <f>Таблица2[[#This Row],[Прочие2010]]*0.9*1.082*1.068*1.059*1.058</f>
        <v>7.0265147594617448</v>
      </c>
      <c r="Q31" s="5">
        <v>3.64</v>
      </c>
      <c r="R31" s="5">
        <v>4.8099999999999996</v>
      </c>
      <c r="S31" s="5">
        <v>14.55</v>
      </c>
      <c r="T31" s="5">
        <v>3.94</v>
      </c>
      <c r="U31" s="5">
        <v>7.74</v>
      </c>
      <c r="V31" s="5">
        <v>3.53</v>
      </c>
      <c r="W31" s="6">
        <v>4.87</v>
      </c>
      <c r="X31" s="6">
        <v>14.27</v>
      </c>
      <c r="Y31" s="6">
        <v>3.82</v>
      </c>
      <c r="Z31" s="6">
        <v>7.53</v>
      </c>
    </row>
    <row r="32" spans="3:26" x14ac:dyDescent="0.25">
      <c r="C32" s="10" t="s">
        <v>13</v>
      </c>
      <c r="D32" s="1" t="s">
        <v>18</v>
      </c>
      <c r="E32" s="1" t="s">
        <v>21</v>
      </c>
      <c r="F32" s="11" t="s">
        <v>29</v>
      </c>
      <c r="G32" s="5">
        <v>3.13</v>
      </c>
      <c r="H32" s="5">
        <v>5.43</v>
      </c>
      <c r="I32" s="5">
        <v>8.6999999999999993</v>
      </c>
      <c r="J32" s="5">
        <v>3.27</v>
      </c>
      <c r="K32" s="5">
        <v>6.03</v>
      </c>
      <c r="L32" s="17">
        <f>Таблица2[[#This Row],[ПИР2010]]*0.9*1.082*1.068*1.059*1.058</f>
        <v>3.6472622217438251</v>
      </c>
      <c r="M32" s="5">
        <f>Таблица2[[#This Row],[СМР2010]]*0.9*1.082*1.068*1.059*1.058</f>
        <v>6.3273590620028637</v>
      </c>
      <c r="N32" s="5">
        <f>Таблица2[[#This Row],[ПНР2010]]*0.9*1.082*1.068*1.059*1.058</f>
        <v>10.137757613153759</v>
      </c>
      <c r="O32" s="5">
        <f>Таблица2[[#This Row],[Оборудование2010]]*0.9*1.082*1.068*1.059*1.058</f>
        <v>3.8103985511508971</v>
      </c>
      <c r="P32" s="20">
        <f>Таблица2[[#This Row],[Прочие2010]]*0.9*1.082*1.068*1.059*1.058</f>
        <v>7.0265147594617448</v>
      </c>
      <c r="Q32" s="5">
        <v>3.64</v>
      </c>
      <c r="R32" s="5">
        <v>4.25</v>
      </c>
      <c r="S32" s="5">
        <v>10.45</v>
      </c>
      <c r="T32" s="5">
        <v>3.94</v>
      </c>
      <c r="U32" s="5">
        <v>7.74</v>
      </c>
      <c r="V32" s="5">
        <v>3.53</v>
      </c>
      <c r="W32" s="6">
        <v>4.17</v>
      </c>
      <c r="X32" s="6">
        <v>10.25</v>
      </c>
      <c r="Y32" s="6">
        <v>3.82</v>
      </c>
      <c r="Z32" s="6">
        <v>7.53</v>
      </c>
    </row>
    <row r="33" spans="3:26" x14ac:dyDescent="0.25">
      <c r="C33" s="10" t="s">
        <v>14</v>
      </c>
      <c r="D33" s="1" t="s">
        <v>18</v>
      </c>
      <c r="E33" s="1" t="s">
        <v>21</v>
      </c>
      <c r="F33" s="11" t="s">
        <v>29</v>
      </c>
      <c r="G33" s="5">
        <v>3.13</v>
      </c>
      <c r="H33" s="5">
        <v>5.88</v>
      </c>
      <c r="I33" s="5">
        <v>8.59</v>
      </c>
      <c r="J33" s="5">
        <v>3.27</v>
      </c>
      <c r="K33" s="5">
        <v>6.03</v>
      </c>
      <c r="L33" s="17">
        <f>Таблица2[[#This Row],[ПИР2010]]*0.9*1.082*1.068*1.059*1.058</f>
        <v>3.6472622217438251</v>
      </c>
      <c r="M33" s="5">
        <f>Таблица2[[#This Row],[СМР2010]]*0.9*1.082*1.068*1.059*1.058</f>
        <v>6.8517258350970245</v>
      </c>
      <c r="N33" s="5">
        <f>Таблица2[[#This Row],[ПНР2010]]*0.9*1.082*1.068*1.059*1.058</f>
        <v>10.009579068619635</v>
      </c>
      <c r="O33" s="5">
        <f>Таблица2[[#This Row],[Оборудование2010]]*0.9*1.082*1.068*1.059*1.058</f>
        <v>3.8103985511508971</v>
      </c>
      <c r="P33" s="20">
        <f>Таблица2[[#This Row],[Прочие2010]]*0.9*1.082*1.068*1.059*1.058</f>
        <v>7.0265147594617448</v>
      </c>
      <c r="Q33" s="5">
        <v>3.64</v>
      </c>
      <c r="R33" s="5">
        <v>3.92</v>
      </c>
      <c r="S33" s="5">
        <v>12.81</v>
      </c>
      <c r="T33" s="5">
        <v>3.94</v>
      </c>
      <c r="U33" s="5">
        <v>7.74</v>
      </c>
      <c r="V33" s="5">
        <v>3.53</v>
      </c>
      <c r="W33" s="6">
        <v>3.84</v>
      </c>
      <c r="X33" s="6">
        <v>12.55</v>
      </c>
      <c r="Y33" s="6">
        <v>3.82</v>
      </c>
      <c r="Z33" s="6">
        <v>7.53</v>
      </c>
    </row>
    <row r="34" spans="3:26" x14ac:dyDescent="0.25">
      <c r="C34" s="10" t="s">
        <v>15</v>
      </c>
      <c r="D34" s="1" t="s">
        <v>18</v>
      </c>
      <c r="E34" s="1" t="s">
        <v>21</v>
      </c>
      <c r="F34" s="11" t="s">
        <v>29</v>
      </c>
      <c r="G34" s="5">
        <v>3.13</v>
      </c>
      <c r="H34" s="5">
        <v>5.92</v>
      </c>
      <c r="I34" s="5">
        <v>9.09</v>
      </c>
      <c r="J34" s="5">
        <v>3.27</v>
      </c>
      <c r="K34" s="5">
        <v>6.03</v>
      </c>
      <c r="L34" s="17">
        <f>Таблица2[[#This Row],[ПИР2010]]*0.9*1.082*1.068*1.059*1.058</f>
        <v>3.6472622217438251</v>
      </c>
      <c r="M34" s="5">
        <f>Таблица2[[#This Row],[СМР2010]]*0.9*1.082*1.068*1.059*1.058</f>
        <v>6.8983362149276175</v>
      </c>
      <c r="N34" s="5">
        <f>Таблица2[[#This Row],[ПНР2010]]*0.9*1.082*1.068*1.059*1.058</f>
        <v>10.592208816502035</v>
      </c>
      <c r="O34" s="5">
        <f>Таблица2[[#This Row],[Оборудование2010]]*0.9*1.082*1.068*1.059*1.058</f>
        <v>3.8103985511508971</v>
      </c>
      <c r="P34" s="20">
        <f>Таблица2[[#This Row],[Прочие2010]]*0.9*1.082*1.068*1.059*1.058</f>
        <v>7.0265147594617448</v>
      </c>
      <c r="Q34" s="5">
        <v>3.64</v>
      </c>
      <c r="R34" s="5">
        <v>4.2699999999999996</v>
      </c>
      <c r="S34" s="5">
        <v>12.34</v>
      </c>
      <c r="T34" s="5">
        <v>3.94</v>
      </c>
      <c r="U34" s="5">
        <v>7.74</v>
      </c>
      <c r="V34" s="5">
        <v>3.53</v>
      </c>
      <c r="W34" s="6">
        <v>4.1900000000000004</v>
      </c>
      <c r="X34" s="6">
        <v>12.1</v>
      </c>
      <c r="Y34" s="6">
        <v>3.82</v>
      </c>
      <c r="Z34" s="6">
        <v>7.53</v>
      </c>
    </row>
    <row r="35" spans="3:26" x14ac:dyDescent="0.25">
      <c r="C35" s="10" t="s">
        <v>16</v>
      </c>
      <c r="D35" s="1" t="s">
        <v>18</v>
      </c>
      <c r="E35" s="1" t="s">
        <v>21</v>
      </c>
      <c r="F35" s="11" t="s">
        <v>29</v>
      </c>
      <c r="G35" s="5">
        <v>3.13</v>
      </c>
      <c r="H35" s="5">
        <v>5.96</v>
      </c>
      <c r="I35" s="5">
        <v>10.45</v>
      </c>
      <c r="J35" s="5">
        <v>3.27</v>
      </c>
      <c r="K35" s="5">
        <v>6.03</v>
      </c>
      <c r="L35" s="17">
        <f>Таблица2[[#This Row],[ПИР2010]]*0.9*1.082*1.068*1.059*1.058</f>
        <v>3.6472622217438251</v>
      </c>
      <c r="M35" s="5">
        <f>Таблица2[[#This Row],[СМР2010]]*0.9*1.082*1.068*1.059*1.058</f>
        <v>6.9449465947582079</v>
      </c>
      <c r="N35" s="5">
        <f>Таблица2[[#This Row],[ПНР2010]]*0.9*1.082*1.068*1.059*1.058</f>
        <v>12.176961730742162</v>
      </c>
      <c r="O35" s="5">
        <f>Таблица2[[#This Row],[Оборудование2010]]*0.9*1.082*1.068*1.059*1.058</f>
        <v>3.8103985511508971</v>
      </c>
      <c r="P35" s="20">
        <f>Таблица2[[#This Row],[Прочие2010]]*0.9*1.082*1.068*1.059*1.058</f>
        <v>7.0265147594617448</v>
      </c>
      <c r="Q35" s="5">
        <v>3.64</v>
      </c>
      <c r="R35" s="5">
        <v>3.18</v>
      </c>
      <c r="S35" s="5">
        <v>12.05</v>
      </c>
      <c r="T35" s="5">
        <v>3.94</v>
      </c>
      <c r="U35" s="5">
        <v>7.74</v>
      </c>
      <c r="V35" s="5">
        <v>3.53</v>
      </c>
      <c r="W35" s="6">
        <v>3.75</v>
      </c>
      <c r="X35" s="6">
        <v>11.81</v>
      </c>
      <c r="Y35" s="6">
        <v>3.82</v>
      </c>
      <c r="Z35" s="6">
        <v>7.53</v>
      </c>
    </row>
    <row r="36" spans="3:26" x14ac:dyDescent="0.25">
      <c r="C36" s="10" t="s">
        <v>17</v>
      </c>
      <c r="D36" s="1" t="s">
        <v>18</v>
      </c>
      <c r="E36" s="1" t="s">
        <v>21</v>
      </c>
      <c r="F36" s="11" t="s">
        <v>29</v>
      </c>
      <c r="G36" s="5">
        <v>3.13</v>
      </c>
      <c r="H36" s="5">
        <v>5</v>
      </c>
      <c r="I36" s="5">
        <v>9.94</v>
      </c>
      <c r="J36" s="5">
        <v>3.27</v>
      </c>
      <c r="K36" s="5">
        <v>6.03</v>
      </c>
      <c r="L36" s="17">
        <f>Таблица2[[#This Row],[ПИР2010]]*0.9*1.082*1.068*1.059*1.058</f>
        <v>3.6472622217438251</v>
      </c>
      <c r="M36" s="5">
        <f>Таблица2[[#This Row],[СМР2010]]*0.9*1.082*1.068*1.059*1.058</f>
        <v>5.8262974788240003</v>
      </c>
      <c r="N36" s="5">
        <f>Таблица2[[#This Row],[ПНР2010]]*0.9*1.082*1.068*1.059*1.058</f>
        <v>11.582679387902113</v>
      </c>
      <c r="O36" s="5">
        <f>Таблица2[[#This Row],[Оборудование2010]]*0.9*1.082*1.068*1.059*1.058</f>
        <v>3.8103985511508971</v>
      </c>
      <c r="P36" s="20">
        <f>Таблица2[[#This Row],[Прочие2010]]*0.9*1.082*1.068*1.059*1.058</f>
        <v>7.0265147594617448</v>
      </c>
      <c r="Q36" s="5">
        <v>3.64</v>
      </c>
      <c r="R36" s="5">
        <v>3.67</v>
      </c>
      <c r="S36" s="5">
        <v>10.83</v>
      </c>
      <c r="T36" s="5">
        <v>3.94</v>
      </c>
      <c r="U36" s="5">
        <v>7.74</v>
      </c>
      <c r="V36" s="5">
        <v>3.53</v>
      </c>
      <c r="W36" s="6">
        <v>3.6</v>
      </c>
      <c r="X36" s="6">
        <v>10.61</v>
      </c>
      <c r="Y36" s="6">
        <v>3.82</v>
      </c>
      <c r="Z36" s="6">
        <v>7.53</v>
      </c>
    </row>
    <row r="37" spans="3:26" x14ac:dyDescent="0.25">
      <c r="C37" s="10" t="s">
        <v>7</v>
      </c>
      <c r="D37" s="1" t="s">
        <v>18</v>
      </c>
      <c r="E37" s="1" t="s">
        <v>22</v>
      </c>
      <c r="F37" s="11" t="s">
        <v>29</v>
      </c>
      <c r="G37" s="5">
        <v>3.13</v>
      </c>
      <c r="H37" s="5">
        <v>5.48</v>
      </c>
      <c r="I37" s="5">
        <v>8.16</v>
      </c>
      <c r="J37" s="5">
        <v>3.27</v>
      </c>
      <c r="K37" s="5">
        <v>6.03</v>
      </c>
      <c r="L37" s="17">
        <f>Таблица2[[#This Row],[ПИР2010]]*0.9*1.082*1.068*1.059*1.058</f>
        <v>3.6472622217438251</v>
      </c>
      <c r="M37" s="5">
        <f>Таблица2[[#This Row],[СМР2010]]*0.9*1.082*1.068*1.059*1.058</f>
        <v>6.385622036791105</v>
      </c>
      <c r="N37" s="5">
        <f>Таблица2[[#This Row],[ПНР2010]]*0.9*1.082*1.068*1.059*1.058</f>
        <v>9.5085174854407697</v>
      </c>
      <c r="O37" s="5">
        <f>Таблица2[[#This Row],[Оборудование2010]]*0.9*1.082*1.068*1.059*1.058</f>
        <v>3.8103985511508971</v>
      </c>
      <c r="P37" s="20">
        <f>Таблица2[[#This Row],[Прочие2010]]*0.9*1.082*1.068*1.059*1.058</f>
        <v>7.0265147594617448</v>
      </c>
      <c r="Q37" s="5">
        <v>3.64</v>
      </c>
      <c r="R37" s="5">
        <v>4.1900000000000004</v>
      </c>
      <c r="S37" s="5">
        <v>10.79</v>
      </c>
      <c r="T37" s="5">
        <v>3.94</v>
      </c>
      <c r="U37" s="5">
        <v>7.74</v>
      </c>
      <c r="V37" s="5">
        <v>3.53</v>
      </c>
      <c r="W37" s="6">
        <v>4.16</v>
      </c>
      <c r="X37" s="6">
        <v>10.57</v>
      </c>
      <c r="Y37" s="6">
        <v>3.82</v>
      </c>
      <c r="Z37" s="6">
        <v>7.53</v>
      </c>
    </row>
    <row r="38" spans="3:26" x14ac:dyDescent="0.25">
      <c r="C38" s="10" t="s">
        <v>8</v>
      </c>
      <c r="D38" s="1" t="s">
        <v>18</v>
      </c>
      <c r="E38" s="1" t="s">
        <v>22</v>
      </c>
      <c r="F38" s="11" t="s">
        <v>29</v>
      </c>
      <c r="G38" s="5">
        <v>3.13</v>
      </c>
      <c r="H38" s="5">
        <v>6.53</v>
      </c>
      <c r="I38" s="5">
        <v>8.59</v>
      </c>
      <c r="J38" s="5">
        <v>3.27</v>
      </c>
      <c r="K38" s="5">
        <v>6.03</v>
      </c>
      <c r="L38" s="17">
        <f>Таблица2[[#This Row],[ПИР2010]]*0.9*1.082*1.068*1.059*1.058</f>
        <v>3.6472622217438251</v>
      </c>
      <c r="M38" s="5">
        <f>Таблица2[[#This Row],[СМР2010]]*0.9*1.082*1.068*1.059*1.058</f>
        <v>7.6091445073441459</v>
      </c>
      <c r="N38" s="5">
        <f>Таблица2[[#This Row],[ПНР2010]]*0.9*1.082*1.068*1.059*1.058</f>
        <v>10.009579068619635</v>
      </c>
      <c r="O38" s="5">
        <f>Таблица2[[#This Row],[Оборудование2010]]*0.9*1.082*1.068*1.059*1.058</f>
        <v>3.8103985511508971</v>
      </c>
      <c r="P38" s="20">
        <f>Таблица2[[#This Row],[Прочие2010]]*0.9*1.082*1.068*1.059*1.058</f>
        <v>7.0265147594617448</v>
      </c>
      <c r="Q38" s="5">
        <v>3.64</v>
      </c>
      <c r="R38" s="5">
        <v>3.34</v>
      </c>
      <c r="S38" s="5">
        <v>13.67</v>
      </c>
      <c r="T38" s="5">
        <v>3.94</v>
      </c>
      <c r="U38" s="5">
        <v>7.74</v>
      </c>
      <c r="V38" s="5">
        <v>3.53</v>
      </c>
      <c r="W38" s="6">
        <v>3.28</v>
      </c>
      <c r="X38" s="6">
        <v>13.4</v>
      </c>
      <c r="Y38" s="6">
        <v>3.82</v>
      </c>
      <c r="Z38" s="6">
        <v>7.53</v>
      </c>
    </row>
    <row r="39" spans="3:26" x14ac:dyDescent="0.25">
      <c r="C39" s="10" t="s">
        <v>9</v>
      </c>
      <c r="D39" s="1" t="s">
        <v>18</v>
      </c>
      <c r="E39" s="1" t="s">
        <v>22</v>
      </c>
      <c r="F39" s="11" t="s">
        <v>29</v>
      </c>
      <c r="G39" s="5">
        <v>3.13</v>
      </c>
      <c r="H39" s="5">
        <v>6.83</v>
      </c>
      <c r="I39" s="5">
        <v>9.27</v>
      </c>
      <c r="J39" s="5">
        <v>3.27</v>
      </c>
      <c r="K39" s="5">
        <v>6.03</v>
      </c>
      <c r="L39" s="17">
        <f>Таблица2[[#This Row],[ПИР2010]]*0.9*1.082*1.068*1.059*1.058</f>
        <v>3.6472622217438251</v>
      </c>
      <c r="M39" s="5">
        <f>Таблица2[[#This Row],[СМР2010]]*0.9*1.082*1.068*1.059*1.058</f>
        <v>7.9587223560735856</v>
      </c>
      <c r="N39" s="5">
        <f>Таблица2[[#This Row],[ПНР2010]]*0.9*1.082*1.068*1.059*1.058</f>
        <v>10.801955525739698</v>
      </c>
      <c r="O39" s="5">
        <f>Таблица2[[#This Row],[Оборудование2010]]*0.9*1.082*1.068*1.059*1.058</f>
        <v>3.8103985511508971</v>
      </c>
      <c r="P39" s="20">
        <f>Таблица2[[#This Row],[Прочие2010]]*0.9*1.082*1.068*1.059*1.058</f>
        <v>7.0265147594617448</v>
      </c>
      <c r="Q39" s="5">
        <v>3.64</v>
      </c>
      <c r="R39" s="5">
        <v>5.35</v>
      </c>
      <c r="S39" s="5">
        <v>11.11</v>
      </c>
      <c r="T39" s="5">
        <v>3.94</v>
      </c>
      <c r="U39" s="5">
        <v>7.74</v>
      </c>
      <c r="V39" s="5">
        <v>3.53</v>
      </c>
      <c r="W39" s="6">
        <v>5.5</v>
      </c>
      <c r="X39" s="6">
        <v>10.89</v>
      </c>
      <c r="Y39" s="6">
        <v>3.82</v>
      </c>
      <c r="Z39" s="6">
        <v>7.53</v>
      </c>
    </row>
    <row r="40" spans="3:26" x14ac:dyDescent="0.25">
      <c r="C40" s="10" t="s">
        <v>10</v>
      </c>
      <c r="D40" s="1" t="s">
        <v>18</v>
      </c>
      <c r="E40" s="1" t="s">
        <v>22</v>
      </c>
      <c r="F40" s="11" t="s">
        <v>29</v>
      </c>
      <c r="G40" s="5">
        <v>3.13</v>
      </c>
      <c r="H40" s="5">
        <v>5.54</v>
      </c>
      <c r="I40" s="5">
        <v>10.18</v>
      </c>
      <c r="J40" s="5">
        <v>3.27</v>
      </c>
      <c r="K40" s="5">
        <v>6.03</v>
      </c>
      <c r="L40" s="17">
        <f>Таблица2[[#This Row],[ПИР2010]]*0.9*1.082*1.068*1.059*1.058</f>
        <v>3.6472622217438251</v>
      </c>
      <c r="M40" s="5">
        <f>Таблица2[[#This Row],[СМР2010]]*0.9*1.082*1.068*1.059*1.058</f>
        <v>6.4555376065369927</v>
      </c>
      <c r="N40" s="5">
        <f>Таблица2[[#This Row],[ПНР2010]]*0.9*1.082*1.068*1.059*1.058</f>
        <v>11.862341666885666</v>
      </c>
      <c r="O40" s="5">
        <f>Таблица2[[#This Row],[Оборудование2010]]*0.9*1.082*1.068*1.059*1.058</f>
        <v>3.8103985511508971</v>
      </c>
      <c r="P40" s="20">
        <f>Таблица2[[#This Row],[Прочие2010]]*0.9*1.082*1.068*1.059*1.058</f>
        <v>7.0265147594617448</v>
      </c>
      <c r="Q40" s="5">
        <v>3.64</v>
      </c>
      <c r="R40" s="5">
        <v>3.83</v>
      </c>
      <c r="S40" s="5">
        <v>11.69</v>
      </c>
      <c r="T40" s="5">
        <v>3.94</v>
      </c>
      <c r="U40" s="5">
        <v>7.74</v>
      </c>
      <c r="V40" s="5">
        <v>3.53</v>
      </c>
      <c r="W40" s="6">
        <v>3.75</v>
      </c>
      <c r="X40" s="6">
        <v>11.46</v>
      </c>
      <c r="Y40" s="6">
        <v>3.82</v>
      </c>
      <c r="Z40" s="6">
        <v>7.53</v>
      </c>
    </row>
    <row r="41" spans="3:26" x14ac:dyDescent="0.25">
      <c r="C41" s="10" t="s">
        <v>11</v>
      </c>
      <c r="D41" s="1" t="s">
        <v>18</v>
      </c>
      <c r="E41" s="1" t="s">
        <v>22</v>
      </c>
      <c r="F41" s="11" t="s">
        <v>29</v>
      </c>
      <c r="G41" s="5">
        <v>3.13</v>
      </c>
      <c r="H41" s="5">
        <v>5.28</v>
      </c>
      <c r="I41" s="5">
        <v>8.75</v>
      </c>
      <c r="J41" s="5">
        <v>3.27</v>
      </c>
      <c r="K41" s="5">
        <v>6.03</v>
      </c>
      <c r="L41" s="17">
        <f>Таблица2[[#This Row],[ПИР2010]]*0.9*1.082*1.068*1.059*1.058</f>
        <v>3.6472622217438251</v>
      </c>
      <c r="M41" s="5">
        <f>Таблица2[[#This Row],[СМР2010]]*0.9*1.082*1.068*1.059*1.058</f>
        <v>6.1525701376381461</v>
      </c>
      <c r="N41" s="5">
        <f>Таблица2[[#This Row],[ПНР2010]]*0.9*1.082*1.068*1.059*1.058</f>
        <v>10.196020587942002</v>
      </c>
      <c r="O41" s="5">
        <f>Таблица2[[#This Row],[Оборудование2010]]*0.9*1.082*1.068*1.059*1.058</f>
        <v>3.8103985511508971</v>
      </c>
      <c r="P41" s="20">
        <f>Таблица2[[#This Row],[Прочие2010]]*0.9*1.082*1.068*1.059*1.058</f>
        <v>7.0265147594617448</v>
      </c>
      <c r="Q41" s="5">
        <v>3.64</v>
      </c>
      <c r="R41" s="5">
        <v>4.57</v>
      </c>
      <c r="S41" s="5">
        <v>11.43</v>
      </c>
      <c r="T41" s="5">
        <v>3.94</v>
      </c>
      <c r="U41" s="5">
        <v>7.74</v>
      </c>
      <c r="V41" s="5">
        <v>3.53</v>
      </c>
      <c r="W41" s="6">
        <v>4.4800000000000004</v>
      </c>
      <c r="X41" s="6">
        <v>11.21</v>
      </c>
      <c r="Y41" s="6">
        <v>3.82</v>
      </c>
      <c r="Z41" s="6">
        <v>7.53</v>
      </c>
    </row>
    <row r="42" spans="3:26" x14ac:dyDescent="0.25">
      <c r="C42" s="10" t="s">
        <v>12</v>
      </c>
      <c r="D42" s="1" t="s">
        <v>18</v>
      </c>
      <c r="E42" s="1" t="s">
        <v>22</v>
      </c>
      <c r="F42" s="11" t="s">
        <v>29</v>
      </c>
      <c r="G42" s="5">
        <v>3.13</v>
      </c>
      <c r="H42" s="5">
        <v>6.39</v>
      </c>
      <c r="I42" s="5">
        <v>9.25</v>
      </c>
      <c r="J42" s="5">
        <v>3.27</v>
      </c>
      <c r="K42" s="5">
        <v>6.03</v>
      </c>
      <c r="L42" s="17">
        <f>Таблица2[[#This Row],[ПИР2010]]*0.9*1.082*1.068*1.059*1.058</f>
        <v>3.6472622217438251</v>
      </c>
      <c r="M42" s="5">
        <f>Таблица2[[#This Row],[СМР2010]]*0.9*1.082*1.068*1.059*1.058</f>
        <v>7.4460081779370721</v>
      </c>
      <c r="N42" s="5">
        <f>Таблица2[[#This Row],[ПНР2010]]*0.9*1.082*1.068*1.059*1.058</f>
        <v>10.778650335824402</v>
      </c>
      <c r="O42" s="5">
        <f>Таблица2[[#This Row],[Оборудование2010]]*0.9*1.082*1.068*1.059*1.058</f>
        <v>3.8103985511508971</v>
      </c>
      <c r="P42" s="20">
        <f>Таблица2[[#This Row],[Прочие2010]]*0.9*1.082*1.068*1.059*1.058</f>
        <v>7.0265147594617448</v>
      </c>
      <c r="Q42" s="5">
        <v>3.64</v>
      </c>
      <c r="R42" s="5">
        <v>4.8099999999999996</v>
      </c>
      <c r="S42" s="5">
        <v>14.55</v>
      </c>
      <c r="T42" s="5">
        <v>3.94</v>
      </c>
      <c r="U42" s="5">
        <v>7.74</v>
      </c>
      <c r="V42" s="5">
        <v>3.53</v>
      </c>
      <c r="W42" s="6">
        <v>4.87</v>
      </c>
      <c r="X42" s="6">
        <v>14.27</v>
      </c>
      <c r="Y42" s="6">
        <v>3.82</v>
      </c>
      <c r="Z42" s="6">
        <v>7.53</v>
      </c>
    </row>
    <row r="43" spans="3:26" x14ac:dyDescent="0.25">
      <c r="C43" s="10" t="s">
        <v>13</v>
      </c>
      <c r="D43" s="1" t="s">
        <v>18</v>
      </c>
      <c r="E43" s="1" t="s">
        <v>22</v>
      </c>
      <c r="F43" s="11" t="s">
        <v>29</v>
      </c>
      <c r="G43" s="5">
        <v>3.13</v>
      </c>
      <c r="H43" s="5">
        <v>5.43</v>
      </c>
      <c r="I43" s="5">
        <v>8.6999999999999993</v>
      </c>
      <c r="J43" s="5">
        <v>3.27</v>
      </c>
      <c r="K43" s="5">
        <v>6.03</v>
      </c>
      <c r="L43" s="17">
        <f>Таблица2[[#This Row],[ПИР2010]]*0.9*1.082*1.068*1.059*1.058</f>
        <v>3.6472622217438251</v>
      </c>
      <c r="M43" s="5">
        <f>Таблица2[[#This Row],[СМР2010]]*0.9*1.082*1.068*1.059*1.058</f>
        <v>6.3273590620028637</v>
      </c>
      <c r="N43" s="5">
        <f>Таблица2[[#This Row],[ПНР2010]]*0.9*1.082*1.068*1.059*1.058</f>
        <v>10.137757613153759</v>
      </c>
      <c r="O43" s="5">
        <f>Таблица2[[#This Row],[Оборудование2010]]*0.9*1.082*1.068*1.059*1.058</f>
        <v>3.8103985511508971</v>
      </c>
      <c r="P43" s="20">
        <f>Таблица2[[#This Row],[Прочие2010]]*0.9*1.082*1.068*1.059*1.058</f>
        <v>7.0265147594617448</v>
      </c>
      <c r="Q43" s="5">
        <v>3.64</v>
      </c>
      <c r="R43" s="5">
        <v>4.25</v>
      </c>
      <c r="S43" s="5">
        <v>10.45</v>
      </c>
      <c r="T43" s="5">
        <v>3.94</v>
      </c>
      <c r="U43" s="5">
        <v>7.74</v>
      </c>
      <c r="V43" s="5">
        <v>3.53</v>
      </c>
      <c r="W43" s="6">
        <v>4.17</v>
      </c>
      <c r="X43" s="6">
        <v>10.25</v>
      </c>
      <c r="Y43" s="6">
        <v>3.82</v>
      </c>
      <c r="Z43" s="6">
        <v>7.53</v>
      </c>
    </row>
    <row r="44" spans="3:26" x14ac:dyDescent="0.25">
      <c r="C44" s="10" t="s">
        <v>14</v>
      </c>
      <c r="D44" s="1" t="s">
        <v>18</v>
      </c>
      <c r="E44" s="1" t="s">
        <v>22</v>
      </c>
      <c r="F44" s="11" t="s">
        <v>29</v>
      </c>
      <c r="G44" s="5">
        <v>3.13</v>
      </c>
      <c r="H44" s="5">
        <v>5.88</v>
      </c>
      <c r="I44" s="5">
        <v>8.59</v>
      </c>
      <c r="J44" s="5">
        <v>3.27</v>
      </c>
      <c r="K44" s="5">
        <v>6.03</v>
      </c>
      <c r="L44" s="17">
        <f>Таблица2[[#This Row],[ПИР2010]]*0.9*1.082*1.068*1.059*1.058</f>
        <v>3.6472622217438251</v>
      </c>
      <c r="M44" s="5">
        <f>Таблица2[[#This Row],[СМР2010]]*0.9*1.082*1.068*1.059*1.058</f>
        <v>6.8517258350970245</v>
      </c>
      <c r="N44" s="5">
        <f>Таблица2[[#This Row],[ПНР2010]]*0.9*1.082*1.068*1.059*1.058</f>
        <v>10.009579068619635</v>
      </c>
      <c r="O44" s="5">
        <f>Таблица2[[#This Row],[Оборудование2010]]*0.9*1.082*1.068*1.059*1.058</f>
        <v>3.8103985511508971</v>
      </c>
      <c r="P44" s="20">
        <f>Таблица2[[#This Row],[Прочие2010]]*0.9*1.082*1.068*1.059*1.058</f>
        <v>7.0265147594617448</v>
      </c>
      <c r="Q44" s="5">
        <v>3.64</v>
      </c>
      <c r="R44" s="5">
        <v>3.92</v>
      </c>
      <c r="S44" s="5">
        <v>12.81</v>
      </c>
      <c r="T44" s="5">
        <v>3.94</v>
      </c>
      <c r="U44" s="5">
        <v>7.74</v>
      </c>
      <c r="V44" s="5">
        <v>3.53</v>
      </c>
      <c r="W44" s="6">
        <v>3.84</v>
      </c>
      <c r="X44" s="6">
        <v>12.55</v>
      </c>
      <c r="Y44" s="6">
        <v>3.82</v>
      </c>
      <c r="Z44" s="6">
        <v>7.53</v>
      </c>
    </row>
    <row r="45" spans="3:26" x14ac:dyDescent="0.25">
      <c r="C45" s="10" t="s">
        <v>15</v>
      </c>
      <c r="D45" s="1" t="s">
        <v>18</v>
      </c>
      <c r="E45" s="1" t="s">
        <v>22</v>
      </c>
      <c r="F45" s="11" t="s">
        <v>29</v>
      </c>
      <c r="G45" s="5">
        <v>3.13</v>
      </c>
      <c r="H45" s="5">
        <v>5.92</v>
      </c>
      <c r="I45" s="5">
        <v>9.09</v>
      </c>
      <c r="J45" s="5">
        <v>3.27</v>
      </c>
      <c r="K45" s="5">
        <v>6.03</v>
      </c>
      <c r="L45" s="17">
        <f>Таблица2[[#This Row],[ПИР2010]]*0.9*1.082*1.068*1.059*1.058</f>
        <v>3.6472622217438251</v>
      </c>
      <c r="M45" s="5">
        <f>Таблица2[[#This Row],[СМР2010]]*0.9*1.082*1.068*1.059*1.058</f>
        <v>6.8983362149276175</v>
      </c>
      <c r="N45" s="5">
        <f>Таблица2[[#This Row],[ПНР2010]]*0.9*1.082*1.068*1.059*1.058</f>
        <v>10.592208816502035</v>
      </c>
      <c r="O45" s="5">
        <f>Таблица2[[#This Row],[Оборудование2010]]*0.9*1.082*1.068*1.059*1.058</f>
        <v>3.8103985511508971</v>
      </c>
      <c r="P45" s="20">
        <f>Таблица2[[#This Row],[Прочие2010]]*0.9*1.082*1.068*1.059*1.058</f>
        <v>7.0265147594617448</v>
      </c>
      <c r="Q45" s="5">
        <v>3.64</v>
      </c>
      <c r="R45" s="5">
        <v>4.2699999999999996</v>
      </c>
      <c r="S45" s="5">
        <v>12.34</v>
      </c>
      <c r="T45" s="5">
        <v>3.94</v>
      </c>
      <c r="U45" s="5">
        <v>7.74</v>
      </c>
      <c r="V45" s="5">
        <v>3.53</v>
      </c>
      <c r="W45" s="6">
        <v>4.1900000000000004</v>
      </c>
      <c r="X45" s="6">
        <v>12.1</v>
      </c>
      <c r="Y45" s="6">
        <v>3.82</v>
      </c>
      <c r="Z45" s="6">
        <v>7.53</v>
      </c>
    </row>
    <row r="46" spans="3:26" x14ac:dyDescent="0.25">
      <c r="C46" s="10" t="s">
        <v>16</v>
      </c>
      <c r="D46" s="1" t="s">
        <v>18</v>
      </c>
      <c r="E46" s="1" t="s">
        <v>22</v>
      </c>
      <c r="F46" s="11" t="s">
        <v>29</v>
      </c>
      <c r="G46" s="5">
        <v>3.13</v>
      </c>
      <c r="H46" s="5">
        <v>5.96</v>
      </c>
      <c r="I46" s="5">
        <v>10.45</v>
      </c>
      <c r="J46" s="5">
        <v>3.27</v>
      </c>
      <c r="K46" s="5">
        <v>6.03</v>
      </c>
      <c r="L46" s="17">
        <f>Таблица2[[#This Row],[ПИР2010]]*0.9*1.082*1.068*1.059*1.058</f>
        <v>3.6472622217438251</v>
      </c>
      <c r="M46" s="5">
        <f>Таблица2[[#This Row],[СМР2010]]*0.9*1.082*1.068*1.059*1.058</f>
        <v>6.9449465947582079</v>
      </c>
      <c r="N46" s="5">
        <f>Таблица2[[#This Row],[ПНР2010]]*0.9*1.082*1.068*1.059*1.058</f>
        <v>12.176961730742162</v>
      </c>
      <c r="O46" s="5">
        <f>Таблица2[[#This Row],[Оборудование2010]]*0.9*1.082*1.068*1.059*1.058</f>
        <v>3.8103985511508971</v>
      </c>
      <c r="P46" s="20">
        <f>Таблица2[[#This Row],[Прочие2010]]*0.9*1.082*1.068*1.059*1.058</f>
        <v>7.0265147594617448</v>
      </c>
      <c r="Q46" s="5">
        <v>3.64</v>
      </c>
      <c r="R46" s="5">
        <v>3.18</v>
      </c>
      <c r="S46" s="5">
        <v>12.05</v>
      </c>
      <c r="T46" s="5">
        <v>3.94</v>
      </c>
      <c r="U46" s="5">
        <v>7.74</v>
      </c>
      <c r="V46" s="5">
        <v>3.53</v>
      </c>
      <c r="W46" s="6">
        <v>3.75</v>
      </c>
      <c r="X46" s="6">
        <v>11.81</v>
      </c>
      <c r="Y46" s="6">
        <v>3.82</v>
      </c>
      <c r="Z46" s="6">
        <v>7.53</v>
      </c>
    </row>
    <row r="47" spans="3:26" x14ac:dyDescent="0.25">
      <c r="C47" s="10" t="s">
        <v>17</v>
      </c>
      <c r="D47" s="1" t="s">
        <v>18</v>
      </c>
      <c r="E47" s="1" t="s">
        <v>22</v>
      </c>
      <c r="F47" s="11" t="s">
        <v>29</v>
      </c>
      <c r="G47" s="5">
        <v>3.13</v>
      </c>
      <c r="H47" s="5">
        <v>5</v>
      </c>
      <c r="I47" s="5">
        <v>9.94</v>
      </c>
      <c r="J47" s="5">
        <v>3.27</v>
      </c>
      <c r="K47" s="5">
        <v>6.03</v>
      </c>
      <c r="L47" s="17">
        <f>Таблица2[[#This Row],[ПИР2010]]*0.9*1.082*1.068*1.059*1.058</f>
        <v>3.6472622217438251</v>
      </c>
      <c r="M47" s="5">
        <f>Таблица2[[#This Row],[СМР2010]]*0.9*1.082*1.068*1.059*1.058</f>
        <v>5.8262974788240003</v>
      </c>
      <c r="N47" s="5">
        <f>Таблица2[[#This Row],[ПНР2010]]*0.9*1.082*1.068*1.059*1.058</f>
        <v>11.582679387902113</v>
      </c>
      <c r="O47" s="5">
        <f>Таблица2[[#This Row],[Оборудование2010]]*0.9*1.082*1.068*1.059*1.058</f>
        <v>3.8103985511508971</v>
      </c>
      <c r="P47" s="20">
        <f>Таблица2[[#This Row],[Прочие2010]]*0.9*1.082*1.068*1.059*1.058</f>
        <v>7.0265147594617448</v>
      </c>
      <c r="Q47" s="5">
        <v>3.64</v>
      </c>
      <c r="R47" s="5">
        <v>3.67</v>
      </c>
      <c r="S47" s="5">
        <v>10.83</v>
      </c>
      <c r="T47" s="5">
        <v>3.94</v>
      </c>
      <c r="U47" s="5">
        <v>7.74</v>
      </c>
      <c r="V47" s="5">
        <v>3.53</v>
      </c>
      <c r="W47" s="6">
        <v>3.6</v>
      </c>
      <c r="X47" s="6">
        <v>10.61</v>
      </c>
      <c r="Y47" s="6">
        <v>3.82</v>
      </c>
      <c r="Z47" s="6">
        <v>7.53</v>
      </c>
    </row>
    <row r="48" spans="3:26" x14ac:dyDescent="0.25">
      <c r="C48" s="10" t="s">
        <v>7</v>
      </c>
      <c r="D48" s="1" t="s">
        <v>19</v>
      </c>
      <c r="E48" s="1" t="s">
        <v>21</v>
      </c>
      <c r="F48" s="11" t="s">
        <v>30</v>
      </c>
      <c r="G48" s="5">
        <v>3.13</v>
      </c>
      <c r="H48" s="5">
        <v>4.5199999999999996</v>
      </c>
      <c r="I48" s="5">
        <v>8.16</v>
      </c>
      <c r="J48" s="5">
        <v>3.27</v>
      </c>
      <c r="K48" s="5">
        <v>6.03</v>
      </c>
      <c r="L48" s="17">
        <f>Таблица2[[#This Row],[ПИР2010]]*0.9*1.082*1.068*1.059*1.058</f>
        <v>3.6472622217438251</v>
      </c>
      <c r="M48" s="5">
        <f>Таблица2[[#This Row],[СМР2010]]*0.9*1.082*1.068*1.059*1.058</f>
        <v>5.2669729208568956</v>
      </c>
      <c r="N48" s="5">
        <f>Таблица2[[#This Row],[ПНР2010]]*0.9*1.082*1.068*1.059*1.058</f>
        <v>9.5085174854407697</v>
      </c>
      <c r="O48" s="5">
        <f>Таблица2[[#This Row],[Оборудование2010]]*0.9*1.082*1.068*1.059*1.058</f>
        <v>3.8103985511508971</v>
      </c>
      <c r="P48" s="20">
        <f>Таблица2[[#This Row],[Прочие2010]]*0.9*1.082*1.068*1.059*1.058</f>
        <v>7.0265147594617448</v>
      </c>
      <c r="Q48" s="5">
        <v>3.64</v>
      </c>
      <c r="R48" s="5">
        <v>4.22</v>
      </c>
      <c r="S48" s="5">
        <v>10.11</v>
      </c>
      <c r="T48" s="5">
        <v>3.94</v>
      </c>
      <c r="U48" s="5">
        <v>7.74</v>
      </c>
      <c r="V48" s="5">
        <v>3.53</v>
      </c>
      <c r="W48" s="6">
        <v>4.1500000000000004</v>
      </c>
      <c r="X48" s="6">
        <v>9.91</v>
      </c>
      <c r="Y48" s="6">
        <v>3.82</v>
      </c>
      <c r="Z48" s="6">
        <v>7.53</v>
      </c>
    </row>
    <row r="49" spans="3:26" x14ac:dyDescent="0.25">
      <c r="C49" s="10" t="s">
        <v>8</v>
      </c>
      <c r="D49" s="1" t="s">
        <v>19</v>
      </c>
      <c r="E49" s="1" t="s">
        <v>21</v>
      </c>
      <c r="F49" s="11" t="s">
        <v>30</v>
      </c>
      <c r="G49" s="5">
        <v>3.13</v>
      </c>
      <c r="H49" s="5">
        <v>4.7300000000000004</v>
      </c>
      <c r="I49" s="5">
        <v>8.59</v>
      </c>
      <c r="J49" s="5">
        <v>3.27</v>
      </c>
      <c r="K49" s="5">
        <v>6.03</v>
      </c>
      <c r="L49" s="17">
        <f>Таблица2[[#This Row],[ПИР2010]]*0.9*1.082*1.068*1.059*1.058</f>
        <v>3.6472622217438251</v>
      </c>
      <c r="M49" s="5">
        <f>Таблица2[[#This Row],[СМР2010]]*0.9*1.082*1.068*1.059*1.058</f>
        <v>5.5116774149675063</v>
      </c>
      <c r="N49" s="5">
        <f>Таблица2[[#This Row],[ПНР2010]]*0.9*1.082*1.068*1.059*1.058</f>
        <v>10.009579068619635</v>
      </c>
      <c r="O49" s="5">
        <f>Таблица2[[#This Row],[Оборудование2010]]*0.9*1.082*1.068*1.059*1.058</f>
        <v>3.8103985511508971</v>
      </c>
      <c r="P49" s="20">
        <f>Таблица2[[#This Row],[Прочие2010]]*0.9*1.082*1.068*1.059*1.058</f>
        <v>7.0265147594617448</v>
      </c>
      <c r="Q49" s="5">
        <v>3.64</v>
      </c>
      <c r="R49" s="5">
        <v>4.3600000000000003</v>
      </c>
      <c r="S49" s="5">
        <v>9.91</v>
      </c>
      <c r="T49" s="5">
        <v>3.94</v>
      </c>
      <c r="U49" s="5">
        <v>7.74</v>
      </c>
      <c r="V49" s="5">
        <v>3.53</v>
      </c>
      <c r="W49" s="6">
        <v>4.28</v>
      </c>
      <c r="X49" s="6">
        <v>9.7100000000000009</v>
      </c>
      <c r="Y49" s="6">
        <v>3.82</v>
      </c>
      <c r="Z49" s="6">
        <v>7.53</v>
      </c>
    </row>
    <row r="50" spans="3:26" x14ac:dyDescent="0.25">
      <c r="C50" s="10" t="s">
        <v>9</v>
      </c>
      <c r="D50" s="1" t="s">
        <v>19</v>
      </c>
      <c r="E50" s="1" t="s">
        <v>21</v>
      </c>
      <c r="F50" s="11" t="s">
        <v>30</v>
      </c>
      <c r="G50" s="5">
        <v>3.13</v>
      </c>
      <c r="H50" s="5">
        <v>5.13</v>
      </c>
      <c r="I50" s="5">
        <v>9.27</v>
      </c>
      <c r="J50" s="5">
        <v>3.27</v>
      </c>
      <c r="K50" s="5">
        <v>6.03</v>
      </c>
      <c r="L50" s="17">
        <f>Таблица2[[#This Row],[ПИР2010]]*0.9*1.082*1.068*1.059*1.058</f>
        <v>3.6472622217438251</v>
      </c>
      <c r="M50" s="5">
        <f>Таблица2[[#This Row],[СМР2010]]*0.9*1.082*1.068*1.059*1.058</f>
        <v>5.977781213273424</v>
      </c>
      <c r="N50" s="5">
        <f>Таблица2[[#This Row],[ПНР2010]]*0.9*1.082*1.068*1.059*1.058</f>
        <v>10.801955525739698</v>
      </c>
      <c r="O50" s="5">
        <f>Таблица2[[#This Row],[Оборудование2010]]*0.9*1.082*1.068*1.059*1.058</f>
        <v>3.8103985511508971</v>
      </c>
      <c r="P50" s="20">
        <f>Таблица2[[#This Row],[Прочие2010]]*0.9*1.082*1.068*1.059*1.058</f>
        <v>7.0265147594617448</v>
      </c>
      <c r="Q50" s="5">
        <v>3.64</v>
      </c>
      <c r="R50" s="5">
        <v>5.27</v>
      </c>
      <c r="S50" s="5">
        <v>10.61</v>
      </c>
      <c r="T50" s="5">
        <v>3.94</v>
      </c>
      <c r="U50" s="5">
        <v>7.74</v>
      </c>
      <c r="V50" s="5">
        <v>3.53</v>
      </c>
      <c r="W50" s="6">
        <v>5.42</v>
      </c>
      <c r="X50" s="6">
        <v>10.4</v>
      </c>
      <c r="Y50" s="6">
        <v>3.82</v>
      </c>
      <c r="Z50" s="6">
        <v>7.53</v>
      </c>
    </row>
    <row r="51" spans="3:26" x14ac:dyDescent="0.25">
      <c r="C51" s="10" t="s">
        <v>10</v>
      </c>
      <c r="D51" s="1" t="s">
        <v>19</v>
      </c>
      <c r="E51" s="1" t="s">
        <v>21</v>
      </c>
      <c r="F51" s="11" t="s">
        <v>30</v>
      </c>
      <c r="G51" s="5">
        <v>3.13</v>
      </c>
      <c r="H51" s="5">
        <v>4.74</v>
      </c>
      <c r="I51" s="5">
        <v>10.18</v>
      </c>
      <c r="J51" s="5">
        <v>3.27</v>
      </c>
      <c r="K51" s="5">
        <v>6.03</v>
      </c>
      <c r="L51" s="17">
        <f>Таблица2[[#This Row],[ПИР2010]]*0.9*1.082*1.068*1.059*1.058</f>
        <v>3.6472622217438251</v>
      </c>
      <c r="M51" s="5">
        <f>Таблица2[[#This Row],[СМР2010]]*0.9*1.082*1.068*1.059*1.058</f>
        <v>5.5233300099251519</v>
      </c>
      <c r="N51" s="5">
        <f>Таблица2[[#This Row],[ПНР2010]]*0.9*1.082*1.068*1.059*1.058</f>
        <v>11.862341666885666</v>
      </c>
      <c r="O51" s="5">
        <f>Таблица2[[#This Row],[Оборудование2010]]*0.9*1.082*1.068*1.059*1.058</f>
        <v>3.8103985511508971</v>
      </c>
      <c r="P51" s="20">
        <f>Таблица2[[#This Row],[Прочие2010]]*0.9*1.082*1.068*1.059*1.058</f>
        <v>7.0265147594617448</v>
      </c>
      <c r="Q51" s="5">
        <v>3.64</v>
      </c>
      <c r="R51" s="5">
        <v>4.3</v>
      </c>
      <c r="S51" s="5">
        <v>10.24</v>
      </c>
      <c r="T51" s="5">
        <v>3.94</v>
      </c>
      <c r="U51" s="5">
        <v>7.74</v>
      </c>
      <c r="V51" s="5">
        <v>3.53</v>
      </c>
      <c r="W51" s="6">
        <v>4.22</v>
      </c>
      <c r="X51" s="6">
        <v>10.039999999999999</v>
      </c>
      <c r="Y51" s="6">
        <v>3.82</v>
      </c>
      <c r="Z51" s="6">
        <v>7.53</v>
      </c>
    </row>
    <row r="52" spans="3:26" x14ac:dyDescent="0.25">
      <c r="C52" s="10" t="s">
        <v>11</v>
      </c>
      <c r="D52" s="1" t="s">
        <v>19</v>
      </c>
      <c r="E52" s="1" t="s">
        <v>21</v>
      </c>
      <c r="F52" s="11" t="s">
        <v>30</v>
      </c>
      <c r="G52" s="5">
        <v>3.13</v>
      </c>
      <c r="H52" s="5">
        <v>4.28</v>
      </c>
      <c r="I52" s="5">
        <v>8.75</v>
      </c>
      <c r="J52" s="5">
        <v>3.27</v>
      </c>
      <c r="K52" s="5">
        <v>6.03</v>
      </c>
      <c r="L52" s="17">
        <f>Таблица2[[#This Row],[ПИР2010]]*0.9*1.082*1.068*1.059*1.058</f>
        <v>3.6472622217438251</v>
      </c>
      <c r="M52" s="5">
        <f>Таблица2[[#This Row],[СМР2010]]*0.9*1.082*1.068*1.059*1.058</f>
        <v>4.9873106418733455</v>
      </c>
      <c r="N52" s="5">
        <f>Таблица2[[#This Row],[ПНР2010]]*0.9*1.082*1.068*1.059*1.058</f>
        <v>10.196020587942002</v>
      </c>
      <c r="O52" s="5">
        <f>Таблица2[[#This Row],[Оборудование2010]]*0.9*1.082*1.068*1.059*1.058</f>
        <v>3.8103985511508971</v>
      </c>
      <c r="P52" s="20">
        <f>Таблица2[[#This Row],[Прочие2010]]*0.9*1.082*1.068*1.059*1.058</f>
        <v>7.0265147594617448</v>
      </c>
      <c r="Q52" s="5">
        <v>3.64</v>
      </c>
      <c r="R52" s="5">
        <v>4.5199999999999996</v>
      </c>
      <c r="S52" s="5">
        <v>10.47</v>
      </c>
      <c r="T52" s="5">
        <v>3.94</v>
      </c>
      <c r="U52" s="5">
        <v>7.74</v>
      </c>
      <c r="V52" s="5">
        <v>3.53</v>
      </c>
      <c r="W52" s="6">
        <v>4.4400000000000004</v>
      </c>
      <c r="X52" s="6">
        <v>10.27</v>
      </c>
      <c r="Y52" s="6">
        <v>3.82</v>
      </c>
      <c r="Z52" s="6">
        <v>7.53</v>
      </c>
    </row>
    <row r="53" spans="3:26" x14ac:dyDescent="0.25">
      <c r="C53" s="10" t="s">
        <v>12</v>
      </c>
      <c r="D53" s="1" t="s">
        <v>19</v>
      </c>
      <c r="E53" s="1" t="s">
        <v>21</v>
      </c>
      <c r="F53" s="11" t="s">
        <v>30</v>
      </c>
      <c r="G53" s="5">
        <v>3.13</v>
      </c>
      <c r="H53" s="5">
        <v>4.74</v>
      </c>
      <c r="I53" s="5">
        <v>9.25</v>
      </c>
      <c r="J53" s="5">
        <v>3.27</v>
      </c>
      <c r="K53" s="5">
        <v>6.03</v>
      </c>
      <c r="L53" s="17">
        <f>Таблица2[[#This Row],[ПИР2010]]*0.9*1.082*1.068*1.059*1.058</f>
        <v>3.6472622217438251</v>
      </c>
      <c r="M53" s="5">
        <f>Таблица2[[#This Row],[СМР2010]]*0.9*1.082*1.068*1.059*1.058</f>
        <v>5.5233300099251519</v>
      </c>
      <c r="N53" s="5">
        <f>Таблица2[[#This Row],[ПНР2010]]*0.9*1.082*1.068*1.059*1.058</f>
        <v>10.778650335824402</v>
      </c>
      <c r="O53" s="5">
        <f>Таблица2[[#This Row],[Оборудование2010]]*0.9*1.082*1.068*1.059*1.058</f>
        <v>3.8103985511508971</v>
      </c>
      <c r="P53" s="20">
        <f>Таблица2[[#This Row],[Прочие2010]]*0.9*1.082*1.068*1.059*1.058</f>
        <v>7.0265147594617448</v>
      </c>
      <c r="Q53" s="5">
        <v>3.64</v>
      </c>
      <c r="R53" s="5">
        <v>4.2</v>
      </c>
      <c r="S53" s="5">
        <v>9.1300000000000008</v>
      </c>
      <c r="T53" s="5">
        <v>3.94</v>
      </c>
      <c r="U53" s="5">
        <v>7.74</v>
      </c>
      <c r="V53" s="5">
        <v>3.53</v>
      </c>
      <c r="W53" s="6">
        <v>4.1399999999999997</v>
      </c>
      <c r="X53" s="6">
        <v>8.9499999999999993</v>
      </c>
      <c r="Y53" s="6">
        <v>3.82</v>
      </c>
      <c r="Z53" s="6">
        <v>7.53</v>
      </c>
    </row>
    <row r="54" spans="3:26" x14ac:dyDescent="0.25">
      <c r="C54" s="10" t="s">
        <v>13</v>
      </c>
      <c r="D54" s="1" t="s">
        <v>19</v>
      </c>
      <c r="E54" s="1" t="s">
        <v>21</v>
      </c>
      <c r="F54" s="11" t="s">
        <v>30</v>
      </c>
      <c r="G54" s="5">
        <v>3.13</v>
      </c>
      <c r="H54" s="5">
        <v>4.75</v>
      </c>
      <c r="I54" s="5">
        <v>8.6999999999999993</v>
      </c>
      <c r="J54" s="5">
        <v>3.27</v>
      </c>
      <c r="K54" s="5">
        <v>6.03</v>
      </c>
      <c r="L54" s="17">
        <f>Таблица2[[#This Row],[ПИР2010]]*0.9*1.082*1.068*1.059*1.058</f>
        <v>3.6472622217438251</v>
      </c>
      <c r="M54" s="5">
        <f>Таблица2[[#This Row],[СМР2010]]*0.9*1.082*1.068*1.059*1.058</f>
        <v>5.5349826048828019</v>
      </c>
      <c r="N54" s="5">
        <f>Таблица2[[#This Row],[ПНР2010]]*0.9*1.082*1.068*1.059*1.058</f>
        <v>10.137757613153759</v>
      </c>
      <c r="O54" s="5">
        <f>Таблица2[[#This Row],[Оборудование2010]]*0.9*1.082*1.068*1.059*1.058</f>
        <v>3.8103985511508971</v>
      </c>
      <c r="P54" s="20">
        <f>Таблица2[[#This Row],[Прочие2010]]*0.9*1.082*1.068*1.059*1.058</f>
        <v>7.0265147594617448</v>
      </c>
      <c r="Q54" s="5">
        <v>3.64</v>
      </c>
      <c r="R54" s="5">
        <v>4.76</v>
      </c>
      <c r="S54" s="5">
        <v>10.54</v>
      </c>
      <c r="T54" s="5">
        <v>3.94</v>
      </c>
      <c r="U54" s="5">
        <v>7.74</v>
      </c>
      <c r="V54" s="5">
        <v>3.53</v>
      </c>
      <c r="W54" s="6">
        <v>4.66</v>
      </c>
      <c r="X54" s="6">
        <v>10.34</v>
      </c>
      <c r="Y54" s="6">
        <v>3.82</v>
      </c>
      <c r="Z54" s="6">
        <v>7.53</v>
      </c>
    </row>
    <row r="55" spans="3:26" x14ac:dyDescent="0.25">
      <c r="C55" s="10" t="s">
        <v>14</v>
      </c>
      <c r="D55" s="1" t="s">
        <v>19</v>
      </c>
      <c r="E55" s="1" t="s">
        <v>21</v>
      </c>
      <c r="F55" s="11" t="s">
        <v>30</v>
      </c>
      <c r="G55" s="5">
        <v>3.13</v>
      </c>
      <c r="H55" s="5">
        <v>4.62</v>
      </c>
      <c r="I55" s="5">
        <v>8.59</v>
      </c>
      <c r="J55" s="5">
        <v>3.27</v>
      </c>
      <c r="K55" s="5">
        <v>6.03</v>
      </c>
      <c r="L55" s="17">
        <f>Таблица2[[#This Row],[ПИР2010]]*0.9*1.082*1.068*1.059*1.058</f>
        <v>3.6472622217438251</v>
      </c>
      <c r="M55" s="5">
        <f>Таблица2[[#This Row],[СМР2010]]*0.9*1.082*1.068*1.059*1.058</f>
        <v>5.3834988704333773</v>
      </c>
      <c r="N55" s="5">
        <f>Таблица2[[#This Row],[ПНР2010]]*0.9*1.082*1.068*1.059*1.058</f>
        <v>10.009579068619635</v>
      </c>
      <c r="O55" s="5">
        <f>Таблица2[[#This Row],[Оборудование2010]]*0.9*1.082*1.068*1.059*1.058</f>
        <v>3.8103985511508971</v>
      </c>
      <c r="P55" s="20">
        <f>Таблица2[[#This Row],[Прочие2010]]*0.9*1.082*1.068*1.059*1.058</f>
        <v>7.0265147594617448</v>
      </c>
      <c r="Q55" s="5">
        <v>3.64</v>
      </c>
      <c r="R55" s="5">
        <v>4.13</v>
      </c>
      <c r="S55" s="5">
        <v>10.42</v>
      </c>
      <c r="T55" s="5">
        <v>3.94</v>
      </c>
      <c r="U55" s="5">
        <v>7.74</v>
      </c>
      <c r="V55" s="5">
        <v>3.53</v>
      </c>
      <c r="W55" s="6">
        <v>4.05</v>
      </c>
      <c r="X55" s="6">
        <v>10.220000000000001</v>
      </c>
      <c r="Y55" s="6">
        <v>3.82</v>
      </c>
      <c r="Z55" s="6">
        <v>7.53</v>
      </c>
    </row>
    <row r="56" spans="3:26" x14ac:dyDescent="0.25">
      <c r="C56" s="10" t="s">
        <v>15</v>
      </c>
      <c r="D56" s="1" t="s">
        <v>19</v>
      </c>
      <c r="E56" s="1" t="s">
        <v>21</v>
      </c>
      <c r="F56" s="11" t="s">
        <v>30</v>
      </c>
      <c r="G56" s="5">
        <v>3.13</v>
      </c>
      <c r="H56" s="5">
        <v>5</v>
      </c>
      <c r="I56" s="5">
        <v>9.09</v>
      </c>
      <c r="J56" s="5">
        <v>3.27</v>
      </c>
      <c r="K56" s="5">
        <v>6.03</v>
      </c>
      <c r="L56" s="17">
        <f>Таблица2[[#This Row],[ПИР2010]]*0.9*1.082*1.068*1.059*1.058</f>
        <v>3.6472622217438251</v>
      </c>
      <c r="M56" s="5">
        <f>Таблица2[[#This Row],[СМР2010]]*0.9*1.082*1.068*1.059*1.058</f>
        <v>5.8262974788240003</v>
      </c>
      <c r="N56" s="5">
        <f>Таблица2[[#This Row],[ПНР2010]]*0.9*1.082*1.068*1.059*1.058</f>
        <v>10.592208816502035</v>
      </c>
      <c r="O56" s="5">
        <f>Таблица2[[#This Row],[Оборудование2010]]*0.9*1.082*1.068*1.059*1.058</f>
        <v>3.8103985511508971</v>
      </c>
      <c r="P56" s="20">
        <f>Таблица2[[#This Row],[Прочие2010]]*0.9*1.082*1.068*1.059*1.058</f>
        <v>7.0265147594617448</v>
      </c>
      <c r="Q56" s="5">
        <v>3.64</v>
      </c>
      <c r="R56" s="5">
        <v>4.6100000000000003</v>
      </c>
      <c r="S56" s="5">
        <v>10.1</v>
      </c>
      <c r="T56" s="5">
        <v>3.94</v>
      </c>
      <c r="U56" s="5">
        <v>7.74</v>
      </c>
      <c r="V56" s="5">
        <v>3.53</v>
      </c>
      <c r="W56" s="6">
        <v>4.5199999999999996</v>
      </c>
      <c r="X56" s="6">
        <v>9.9</v>
      </c>
      <c r="Y56" s="6">
        <v>3.82</v>
      </c>
      <c r="Z56" s="6">
        <v>7.53</v>
      </c>
    </row>
    <row r="57" spans="3:26" x14ac:dyDescent="0.25">
      <c r="C57" s="10" t="s">
        <v>16</v>
      </c>
      <c r="D57" s="1" t="s">
        <v>19</v>
      </c>
      <c r="E57" s="1" t="s">
        <v>21</v>
      </c>
      <c r="F57" s="11" t="s">
        <v>30</v>
      </c>
      <c r="G57" s="5">
        <v>3.13</v>
      </c>
      <c r="H57" s="5">
        <v>5.56</v>
      </c>
      <c r="I57" s="5">
        <v>10.45</v>
      </c>
      <c r="J57" s="5">
        <v>3.27</v>
      </c>
      <c r="K57" s="5">
        <v>6.03</v>
      </c>
      <c r="L57" s="17">
        <f>Таблица2[[#This Row],[ПИР2010]]*0.9*1.082*1.068*1.059*1.058</f>
        <v>3.6472622217438251</v>
      </c>
      <c r="M57" s="5">
        <f>Таблица2[[#This Row],[СМР2010]]*0.9*1.082*1.068*1.059*1.058</f>
        <v>6.4788427964522883</v>
      </c>
      <c r="N57" s="5">
        <f>Таблица2[[#This Row],[ПНР2010]]*0.9*1.082*1.068*1.059*1.058</f>
        <v>12.176961730742162</v>
      </c>
      <c r="O57" s="5">
        <f>Таблица2[[#This Row],[Оборудование2010]]*0.9*1.082*1.068*1.059*1.058</f>
        <v>3.8103985511508971</v>
      </c>
      <c r="P57" s="20">
        <f>Таблица2[[#This Row],[Прочие2010]]*0.9*1.082*1.068*1.059*1.058</f>
        <v>7.0265147594617448</v>
      </c>
      <c r="Q57" s="5">
        <v>3.64</v>
      </c>
      <c r="R57" s="5">
        <v>4.24</v>
      </c>
      <c r="S57" s="5">
        <v>11.64</v>
      </c>
      <c r="T57" s="5">
        <v>3.94</v>
      </c>
      <c r="U57" s="5">
        <v>7.74</v>
      </c>
      <c r="V57" s="5">
        <v>3.53</v>
      </c>
      <c r="W57" s="6">
        <v>4.72</v>
      </c>
      <c r="X57" s="6">
        <v>11.41</v>
      </c>
      <c r="Y57" s="6">
        <v>3.82</v>
      </c>
      <c r="Z57" s="6">
        <v>7.53</v>
      </c>
    </row>
    <row r="58" spans="3:26" x14ac:dyDescent="0.25">
      <c r="C58" s="10" t="s">
        <v>17</v>
      </c>
      <c r="D58" s="1" t="s">
        <v>19</v>
      </c>
      <c r="E58" s="1" t="s">
        <v>21</v>
      </c>
      <c r="F58" s="11" t="s">
        <v>30</v>
      </c>
      <c r="G58" s="5">
        <v>3.13</v>
      </c>
      <c r="H58" s="5">
        <v>4.51</v>
      </c>
      <c r="I58" s="5">
        <v>9.94</v>
      </c>
      <c r="J58" s="5">
        <v>3.27</v>
      </c>
      <c r="K58" s="5">
        <v>6.03</v>
      </c>
      <c r="L58" s="17">
        <f>Таблица2[[#This Row],[ПИР2010]]*0.9*1.082*1.068*1.059*1.058</f>
        <v>3.6472622217438251</v>
      </c>
      <c r="M58" s="5">
        <f>Таблица2[[#This Row],[СМР2010]]*0.9*1.082*1.068*1.059*1.058</f>
        <v>5.2553203258992491</v>
      </c>
      <c r="N58" s="5">
        <f>Таблица2[[#This Row],[ПНР2010]]*0.9*1.082*1.068*1.059*1.058</f>
        <v>11.582679387902113</v>
      </c>
      <c r="O58" s="5">
        <f>Таблица2[[#This Row],[Оборудование2010]]*0.9*1.082*1.068*1.059*1.058</f>
        <v>3.8103985511508971</v>
      </c>
      <c r="P58" s="20">
        <f>Таблица2[[#This Row],[Прочие2010]]*0.9*1.082*1.068*1.059*1.058</f>
        <v>7.0265147594617448</v>
      </c>
      <c r="Q58" s="5">
        <v>3.64</v>
      </c>
      <c r="R58" s="5">
        <v>4.25</v>
      </c>
      <c r="S58" s="5">
        <v>10.83</v>
      </c>
      <c r="T58" s="5">
        <v>3.94</v>
      </c>
      <c r="U58" s="5">
        <v>7.74</v>
      </c>
      <c r="V58" s="5">
        <v>3.53</v>
      </c>
      <c r="W58" s="6">
        <v>4.17</v>
      </c>
      <c r="X58" s="6">
        <v>10.61</v>
      </c>
      <c r="Y58" s="6">
        <v>3.82</v>
      </c>
      <c r="Z58" s="6">
        <v>7.53</v>
      </c>
    </row>
    <row r="59" spans="3:26" x14ac:dyDescent="0.25">
      <c r="C59" s="10" t="s">
        <v>7</v>
      </c>
      <c r="D59" s="1" t="s">
        <v>19</v>
      </c>
      <c r="E59" s="1" t="s">
        <v>22</v>
      </c>
      <c r="F59" s="11" t="s">
        <v>30</v>
      </c>
      <c r="G59" s="5">
        <v>3.13</v>
      </c>
      <c r="H59" s="5">
        <v>4.5199999999999996</v>
      </c>
      <c r="I59" s="5">
        <v>8.16</v>
      </c>
      <c r="J59" s="5">
        <v>3.27</v>
      </c>
      <c r="K59" s="5">
        <v>6.03</v>
      </c>
      <c r="L59" s="17">
        <f>Таблица2[[#This Row],[ПИР2010]]*0.9*1.082*1.068*1.059*1.058</f>
        <v>3.6472622217438251</v>
      </c>
      <c r="M59" s="5">
        <f>Таблица2[[#This Row],[СМР2010]]*0.9*1.082*1.068*1.059*1.058</f>
        <v>5.2669729208568956</v>
      </c>
      <c r="N59" s="5">
        <f>Таблица2[[#This Row],[ПНР2010]]*0.9*1.082*1.068*1.059*1.058</f>
        <v>9.5085174854407697</v>
      </c>
      <c r="O59" s="5">
        <f>Таблица2[[#This Row],[Оборудование2010]]*0.9*1.082*1.068*1.059*1.058</f>
        <v>3.8103985511508971</v>
      </c>
      <c r="P59" s="20">
        <f>Таблица2[[#This Row],[Прочие2010]]*0.9*1.082*1.068*1.059*1.058</f>
        <v>7.0265147594617448</v>
      </c>
      <c r="Q59" s="5">
        <v>3.64</v>
      </c>
      <c r="R59" s="5">
        <v>4.22</v>
      </c>
      <c r="S59" s="5">
        <v>10.11</v>
      </c>
      <c r="T59" s="5">
        <v>3.94</v>
      </c>
      <c r="U59" s="5">
        <v>7.74</v>
      </c>
      <c r="V59" s="5">
        <v>3.53</v>
      </c>
      <c r="W59" s="6">
        <v>4.1500000000000004</v>
      </c>
      <c r="X59" s="6">
        <v>9.91</v>
      </c>
      <c r="Y59" s="6">
        <v>3.82</v>
      </c>
      <c r="Z59" s="6">
        <v>7.53</v>
      </c>
    </row>
    <row r="60" spans="3:26" x14ac:dyDescent="0.25">
      <c r="C60" s="10" t="s">
        <v>8</v>
      </c>
      <c r="D60" s="1" t="s">
        <v>19</v>
      </c>
      <c r="E60" s="1" t="s">
        <v>22</v>
      </c>
      <c r="F60" s="11" t="s">
        <v>30</v>
      </c>
      <c r="G60" s="5">
        <v>3.13</v>
      </c>
      <c r="H60" s="5">
        <v>4.7300000000000004</v>
      </c>
      <c r="I60" s="5">
        <v>8.59</v>
      </c>
      <c r="J60" s="5">
        <v>3.27</v>
      </c>
      <c r="K60" s="5">
        <v>6.03</v>
      </c>
      <c r="L60" s="17">
        <f>Таблица2[[#This Row],[ПИР2010]]*0.9*1.082*1.068*1.059*1.058</f>
        <v>3.6472622217438251</v>
      </c>
      <c r="M60" s="5">
        <f>Таблица2[[#This Row],[СМР2010]]*0.9*1.082*1.068*1.059*1.058</f>
        <v>5.5116774149675063</v>
      </c>
      <c r="N60" s="5">
        <f>Таблица2[[#This Row],[ПНР2010]]*0.9*1.082*1.068*1.059*1.058</f>
        <v>10.009579068619635</v>
      </c>
      <c r="O60" s="5">
        <f>Таблица2[[#This Row],[Оборудование2010]]*0.9*1.082*1.068*1.059*1.058</f>
        <v>3.8103985511508971</v>
      </c>
      <c r="P60" s="20">
        <f>Таблица2[[#This Row],[Прочие2010]]*0.9*1.082*1.068*1.059*1.058</f>
        <v>7.0265147594617448</v>
      </c>
      <c r="Q60" s="5">
        <v>3.64</v>
      </c>
      <c r="R60" s="5">
        <v>4.3600000000000003</v>
      </c>
      <c r="S60" s="5">
        <v>9.91</v>
      </c>
      <c r="T60" s="5">
        <v>3.94</v>
      </c>
      <c r="U60" s="5">
        <v>7.74</v>
      </c>
      <c r="V60" s="5">
        <v>3.53</v>
      </c>
      <c r="W60" s="6">
        <v>4.28</v>
      </c>
      <c r="X60" s="6">
        <v>9.7100000000000009</v>
      </c>
      <c r="Y60" s="6">
        <v>3.82</v>
      </c>
      <c r="Z60" s="6">
        <v>7.53</v>
      </c>
    </row>
    <row r="61" spans="3:26" x14ac:dyDescent="0.25">
      <c r="C61" s="10" t="s">
        <v>9</v>
      </c>
      <c r="D61" s="1" t="s">
        <v>19</v>
      </c>
      <c r="E61" s="1" t="s">
        <v>22</v>
      </c>
      <c r="F61" s="11" t="s">
        <v>30</v>
      </c>
      <c r="G61" s="5">
        <v>3.13</v>
      </c>
      <c r="H61" s="5">
        <v>5.13</v>
      </c>
      <c r="I61" s="5">
        <v>9.27</v>
      </c>
      <c r="J61" s="5">
        <v>3.27</v>
      </c>
      <c r="K61" s="5">
        <v>6.03</v>
      </c>
      <c r="L61" s="17">
        <f>Таблица2[[#This Row],[ПИР2010]]*0.9*1.082*1.068*1.059*1.058</f>
        <v>3.6472622217438251</v>
      </c>
      <c r="M61" s="5">
        <f>Таблица2[[#This Row],[СМР2010]]*0.9*1.082*1.068*1.059*1.058</f>
        <v>5.977781213273424</v>
      </c>
      <c r="N61" s="5">
        <f>Таблица2[[#This Row],[ПНР2010]]*0.9*1.082*1.068*1.059*1.058</f>
        <v>10.801955525739698</v>
      </c>
      <c r="O61" s="5">
        <f>Таблица2[[#This Row],[Оборудование2010]]*0.9*1.082*1.068*1.059*1.058</f>
        <v>3.8103985511508971</v>
      </c>
      <c r="P61" s="20">
        <f>Таблица2[[#This Row],[Прочие2010]]*0.9*1.082*1.068*1.059*1.058</f>
        <v>7.0265147594617448</v>
      </c>
      <c r="Q61" s="5">
        <v>3.64</v>
      </c>
      <c r="R61" s="5">
        <v>5.27</v>
      </c>
      <c r="S61" s="5">
        <v>10.61</v>
      </c>
      <c r="T61" s="5">
        <v>3.94</v>
      </c>
      <c r="U61" s="5">
        <v>7.74</v>
      </c>
      <c r="V61" s="5">
        <v>3.53</v>
      </c>
      <c r="W61" s="6">
        <v>5.42</v>
      </c>
      <c r="X61" s="6">
        <v>10.4</v>
      </c>
      <c r="Y61" s="6">
        <v>3.82</v>
      </c>
      <c r="Z61" s="6">
        <v>7.53</v>
      </c>
    </row>
    <row r="62" spans="3:26" x14ac:dyDescent="0.25">
      <c r="C62" s="10" t="s">
        <v>10</v>
      </c>
      <c r="D62" s="1" t="s">
        <v>19</v>
      </c>
      <c r="E62" s="1" t="s">
        <v>22</v>
      </c>
      <c r="F62" s="11" t="s">
        <v>30</v>
      </c>
      <c r="G62" s="5">
        <v>3.13</v>
      </c>
      <c r="H62" s="5">
        <v>4.74</v>
      </c>
      <c r="I62" s="5">
        <v>10.18</v>
      </c>
      <c r="J62" s="5">
        <v>3.27</v>
      </c>
      <c r="K62" s="5">
        <v>6.03</v>
      </c>
      <c r="L62" s="17">
        <f>Таблица2[[#This Row],[ПИР2010]]*0.9*1.082*1.068*1.059*1.058</f>
        <v>3.6472622217438251</v>
      </c>
      <c r="M62" s="5">
        <f>Таблица2[[#This Row],[СМР2010]]*0.9*1.082*1.068*1.059*1.058</f>
        <v>5.5233300099251519</v>
      </c>
      <c r="N62" s="5">
        <f>Таблица2[[#This Row],[ПНР2010]]*0.9*1.082*1.068*1.059*1.058</f>
        <v>11.862341666885666</v>
      </c>
      <c r="O62" s="5">
        <f>Таблица2[[#This Row],[Оборудование2010]]*0.9*1.082*1.068*1.059*1.058</f>
        <v>3.8103985511508971</v>
      </c>
      <c r="P62" s="20">
        <f>Таблица2[[#This Row],[Прочие2010]]*0.9*1.082*1.068*1.059*1.058</f>
        <v>7.0265147594617448</v>
      </c>
      <c r="Q62" s="5">
        <v>3.64</v>
      </c>
      <c r="R62" s="5">
        <v>4.3</v>
      </c>
      <c r="S62" s="5">
        <v>10.24</v>
      </c>
      <c r="T62" s="5">
        <v>3.94</v>
      </c>
      <c r="U62" s="5">
        <v>7.74</v>
      </c>
      <c r="V62" s="5">
        <v>3.53</v>
      </c>
      <c r="W62" s="6">
        <v>4.22</v>
      </c>
      <c r="X62" s="6">
        <v>10.039999999999999</v>
      </c>
      <c r="Y62" s="6">
        <v>3.82</v>
      </c>
      <c r="Z62" s="6">
        <v>7.53</v>
      </c>
    </row>
    <row r="63" spans="3:26" x14ac:dyDescent="0.25">
      <c r="C63" s="10" t="s">
        <v>11</v>
      </c>
      <c r="D63" s="1" t="s">
        <v>19</v>
      </c>
      <c r="E63" s="1" t="s">
        <v>22</v>
      </c>
      <c r="F63" s="11" t="s">
        <v>30</v>
      </c>
      <c r="G63" s="5">
        <v>3.13</v>
      </c>
      <c r="H63" s="5">
        <v>4.28</v>
      </c>
      <c r="I63" s="5">
        <v>8.75</v>
      </c>
      <c r="J63" s="5">
        <v>3.27</v>
      </c>
      <c r="K63" s="5">
        <v>6.03</v>
      </c>
      <c r="L63" s="17">
        <f>Таблица2[[#This Row],[ПИР2010]]*0.9*1.082*1.068*1.059*1.058</f>
        <v>3.6472622217438251</v>
      </c>
      <c r="M63" s="5">
        <f>Таблица2[[#This Row],[СМР2010]]*0.9*1.082*1.068*1.059*1.058</f>
        <v>4.9873106418733455</v>
      </c>
      <c r="N63" s="5">
        <f>Таблица2[[#This Row],[ПНР2010]]*0.9*1.082*1.068*1.059*1.058</f>
        <v>10.196020587942002</v>
      </c>
      <c r="O63" s="5">
        <f>Таблица2[[#This Row],[Оборудование2010]]*0.9*1.082*1.068*1.059*1.058</f>
        <v>3.8103985511508971</v>
      </c>
      <c r="P63" s="20">
        <f>Таблица2[[#This Row],[Прочие2010]]*0.9*1.082*1.068*1.059*1.058</f>
        <v>7.0265147594617448</v>
      </c>
      <c r="Q63" s="5">
        <v>3.64</v>
      </c>
      <c r="R63" s="5">
        <v>4.5199999999999996</v>
      </c>
      <c r="S63" s="5">
        <v>10.47</v>
      </c>
      <c r="T63" s="5">
        <v>3.94</v>
      </c>
      <c r="U63" s="5">
        <v>7.74</v>
      </c>
      <c r="V63" s="5">
        <v>3.53</v>
      </c>
      <c r="W63" s="6">
        <v>4.4400000000000004</v>
      </c>
      <c r="X63" s="6">
        <v>10.27</v>
      </c>
      <c r="Y63" s="6">
        <v>3.82</v>
      </c>
      <c r="Z63" s="6">
        <v>7.53</v>
      </c>
    </row>
    <row r="64" spans="3:26" x14ac:dyDescent="0.25">
      <c r="C64" s="10" t="s">
        <v>12</v>
      </c>
      <c r="D64" s="1" t="s">
        <v>19</v>
      </c>
      <c r="E64" s="1" t="s">
        <v>22</v>
      </c>
      <c r="F64" s="11" t="s">
        <v>30</v>
      </c>
      <c r="G64" s="5">
        <v>3.13</v>
      </c>
      <c r="H64" s="5">
        <v>4.74</v>
      </c>
      <c r="I64" s="5">
        <v>9.25</v>
      </c>
      <c r="J64" s="5">
        <v>3.27</v>
      </c>
      <c r="K64" s="5">
        <v>6.03</v>
      </c>
      <c r="L64" s="17">
        <f>Таблица2[[#This Row],[ПИР2010]]*0.9*1.082*1.068*1.059*1.058</f>
        <v>3.6472622217438251</v>
      </c>
      <c r="M64" s="5">
        <f>Таблица2[[#This Row],[СМР2010]]*0.9*1.082*1.068*1.059*1.058</f>
        <v>5.5233300099251519</v>
      </c>
      <c r="N64" s="5">
        <f>Таблица2[[#This Row],[ПНР2010]]*0.9*1.082*1.068*1.059*1.058</f>
        <v>10.778650335824402</v>
      </c>
      <c r="O64" s="5">
        <f>Таблица2[[#This Row],[Оборудование2010]]*0.9*1.082*1.068*1.059*1.058</f>
        <v>3.8103985511508971</v>
      </c>
      <c r="P64" s="20">
        <f>Таблица2[[#This Row],[Прочие2010]]*0.9*1.082*1.068*1.059*1.058</f>
        <v>7.0265147594617448</v>
      </c>
      <c r="Q64" s="5">
        <v>3.64</v>
      </c>
      <c r="R64" s="5">
        <v>4.2</v>
      </c>
      <c r="S64" s="5">
        <v>9.1300000000000008</v>
      </c>
      <c r="T64" s="5">
        <v>3.94</v>
      </c>
      <c r="U64" s="5">
        <v>7.74</v>
      </c>
      <c r="V64" s="5">
        <v>3.53</v>
      </c>
      <c r="W64" s="6">
        <v>4.1399999999999997</v>
      </c>
      <c r="X64" s="6">
        <v>8.9499999999999993</v>
      </c>
      <c r="Y64" s="6">
        <v>3.82</v>
      </c>
      <c r="Z64" s="6">
        <v>7.53</v>
      </c>
    </row>
    <row r="65" spans="3:26" x14ac:dyDescent="0.25">
      <c r="C65" s="10" t="s">
        <v>13</v>
      </c>
      <c r="D65" s="1" t="s">
        <v>19</v>
      </c>
      <c r="E65" s="1" t="s">
        <v>22</v>
      </c>
      <c r="F65" s="11" t="s">
        <v>30</v>
      </c>
      <c r="G65" s="5">
        <v>3.13</v>
      </c>
      <c r="H65" s="5">
        <v>4.75</v>
      </c>
      <c r="I65" s="5">
        <v>8.6999999999999993</v>
      </c>
      <c r="J65" s="5">
        <v>3.27</v>
      </c>
      <c r="K65" s="5">
        <v>6.03</v>
      </c>
      <c r="L65" s="17">
        <f>Таблица2[[#This Row],[ПИР2010]]*0.9*1.082*1.068*1.059*1.058</f>
        <v>3.6472622217438251</v>
      </c>
      <c r="M65" s="5">
        <f>Таблица2[[#This Row],[СМР2010]]*0.9*1.082*1.068*1.059*1.058</f>
        <v>5.5349826048828019</v>
      </c>
      <c r="N65" s="5">
        <f>Таблица2[[#This Row],[ПНР2010]]*0.9*1.082*1.068*1.059*1.058</f>
        <v>10.137757613153759</v>
      </c>
      <c r="O65" s="5">
        <f>Таблица2[[#This Row],[Оборудование2010]]*0.9*1.082*1.068*1.059*1.058</f>
        <v>3.8103985511508971</v>
      </c>
      <c r="P65" s="20">
        <f>Таблица2[[#This Row],[Прочие2010]]*0.9*1.082*1.068*1.059*1.058</f>
        <v>7.0265147594617448</v>
      </c>
      <c r="Q65" s="5">
        <v>3.64</v>
      </c>
      <c r="R65" s="5">
        <v>4.76</v>
      </c>
      <c r="S65" s="5">
        <v>10.54</v>
      </c>
      <c r="T65" s="5">
        <v>3.94</v>
      </c>
      <c r="U65" s="5">
        <v>7.74</v>
      </c>
      <c r="V65" s="5">
        <v>3.53</v>
      </c>
      <c r="W65" s="6">
        <v>4.66</v>
      </c>
      <c r="X65" s="6">
        <v>10.34</v>
      </c>
      <c r="Y65" s="6">
        <v>3.82</v>
      </c>
      <c r="Z65" s="6">
        <v>7.53</v>
      </c>
    </row>
    <row r="66" spans="3:26" x14ac:dyDescent="0.25">
      <c r="C66" s="10" t="s">
        <v>14</v>
      </c>
      <c r="D66" s="1" t="s">
        <v>19</v>
      </c>
      <c r="E66" s="1" t="s">
        <v>22</v>
      </c>
      <c r="F66" s="11" t="s">
        <v>30</v>
      </c>
      <c r="G66" s="5">
        <v>3.13</v>
      </c>
      <c r="H66" s="5">
        <v>5.18</v>
      </c>
      <c r="I66" s="5">
        <v>8.59</v>
      </c>
      <c r="J66" s="5">
        <v>3.27</v>
      </c>
      <c r="K66" s="5">
        <v>6.03</v>
      </c>
      <c r="L66" s="17">
        <f>Таблица2[[#This Row],[ПИР2010]]*0.9*1.082*1.068*1.059*1.058</f>
        <v>3.6472622217438251</v>
      </c>
      <c r="M66" s="5">
        <f>Таблица2[[#This Row],[СМР2010]]*0.9*1.082*1.068*1.059*1.058</f>
        <v>6.0360441880616644</v>
      </c>
      <c r="N66" s="5">
        <f>Таблица2[[#This Row],[ПНР2010]]*0.9*1.082*1.068*1.059*1.058</f>
        <v>10.009579068619635</v>
      </c>
      <c r="O66" s="5">
        <f>Таблица2[[#This Row],[Оборудование2010]]*0.9*1.082*1.068*1.059*1.058</f>
        <v>3.8103985511508971</v>
      </c>
      <c r="P66" s="20">
        <f>Таблица2[[#This Row],[Прочие2010]]*0.9*1.082*1.068*1.059*1.058</f>
        <v>7.0265147594617448</v>
      </c>
      <c r="Q66" s="5">
        <v>3.64</v>
      </c>
      <c r="R66" s="5">
        <v>4.13</v>
      </c>
      <c r="S66" s="5">
        <v>10.42</v>
      </c>
      <c r="T66" s="5">
        <v>3.94</v>
      </c>
      <c r="U66" s="5">
        <v>7.74</v>
      </c>
      <c r="V66" s="5">
        <v>3.53</v>
      </c>
      <c r="W66" s="6">
        <v>4.05</v>
      </c>
      <c r="X66" s="6">
        <v>10.220000000000001</v>
      </c>
      <c r="Y66" s="6">
        <v>3.82</v>
      </c>
      <c r="Z66" s="6">
        <v>7.53</v>
      </c>
    </row>
    <row r="67" spans="3:26" x14ac:dyDescent="0.25">
      <c r="C67" s="10" t="s">
        <v>15</v>
      </c>
      <c r="D67" s="1" t="s">
        <v>19</v>
      </c>
      <c r="E67" s="1" t="s">
        <v>22</v>
      </c>
      <c r="F67" s="11" t="s">
        <v>30</v>
      </c>
      <c r="G67" s="5">
        <v>3.13</v>
      </c>
      <c r="H67" s="5">
        <v>5</v>
      </c>
      <c r="I67" s="5">
        <v>9.09</v>
      </c>
      <c r="J67" s="5">
        <v>3.27</v>
      </c>
      <c r="K67" s="5">
        <v>6.03</v>
      </c>
      <c r="L67" s="17">
        <f>Таблица2[[#This Row],[ПИР2010]]*0.9*1.082*1.068*1.059*1.058</f>
        <v>3.6472622217438251</v>
      </c>
      <c r="M67" s="5">
        <f>Таблица2[[#This Row],[СМР2010]]*0.9*1.082*1.068*1.059*1.058</f>
        <v>5.8262974788240003</v>
      </c>
      <c r="N67" s="5">
        <f>Таблица2[[#This Row],[ПНР2010]]*0.9*1.082*1.068*1.059*1.058</f>
        <v>10.592208816502035</v>
      </c>
      <c r="O67" s="5">
        <f>Таблица2[[#This Row],[Оборудование2010]]*0.9*1.082*1.068*1.059*1.058</f>
        <v>3.8103985511508971</v>
      </c>
      <c r="P67" s="20">
        <f>Таблица2[[#This Row],[Прочие2010]]*0.9*1.082*1.068*1.059*1.058</f>
        <v>7.0265147594617448</v>
      </c>
      <c r="Q67" s="5">
        <v>3.64</v>
      </c>
      <c r="R67" s="5">
        <v>4.6100000000000003</v>
      </c>
      <c r="S67" s="5">
        <v>10.1</v>
      </c>
      <c r="T67" s="5">
        <v>3.94</v>
      </c>
      <c r="U67" s="5">
        <v>7.74</v>
      </c>
      <c r="V67" s="5">
        <v>3.53</v>
      </c>
      <c r="W67" s="6">
        <v>4.5199999999999996</v>
      </c>
      <c r="X67" s="6">
        <v>9.9</v>
      </c>
      <c r="Y67" s="6">
        <v>3.82</v>
      </c>
      <c r="Z67" s="6">
        <v>7.53</v>
      </c>
    </row>
    <row r="68" spans="3:26" x14ac:dyDescent="0.25">
      <c r="C68" s="10" t="s">
        <v>16</v>
      </c>
      <c r="D68" s="1" t="s">
        <v>19</v>
      </c>
      <c r="E68" s="1" t="s">
        <v>22</v>
      </c>
      <c r="F68" s="11" t="s">
        <v>30</v>
      </c>
      <c r="G68" s="5">
        <v>3.13</v>
      </c>
      <c r="H68" s="5">
        <v>5.56</v>
      </c>
      <c r="I68" s="5">
        <v>10.45</v>
      </c>
      <c r="J68" s="5">
        <v>3.27</v>
      </c>
      <c r="K68" s="5">
        <v>6.03</v>
      </c>
      <c r="L68" s="17">
        <f>Таблица2[[#This Row],[ПИР2010]]*0.9*1.082*1.068*1.059*1.058</f>
        <v>3.6472622217438251</v>
      </c>
      <c r="M68" s="5">
        <f>Таблица2[[#This Row],[СМР2010]]*0.9*1.082*1.068*1.059*1.058</f>
        <v>6.4788427964522883</v>
      </c>
      <c r="N68" s="5">
        <f>Таблица2[[#This Row],[ПНР2010]]*0.9*1.082*1.068*1.059*1.058</f>
        <v>12.176961730742162</v>
      </c>
      <c r="O68" s="5">
        <f>Таблица2[[#This Row],[Оборудование2010]]*0.9*1.082*1.068*1.059*1.058</f>
        <v>3.8103985511508971</v>
      </c>
      <c r="P68" s="20">
        <f>Таблица2[[#This Row],[Прочие2010]]*0.9*1.082*1.068*1.059*1.058</f>
        <v>7.0265147594617448</v>
      </c>
      <c r="Q68" s="5">
        <v>3.64</v>
      </c>
      <c r="R68" s="5">
        <v>4.24</v>
      </c>
      <c r="S68" s="5">
        <v>11.64</v>
      </c>
      <c r="T68" s="5">
        <v>3.94</v>
      </c>
      <c r="U68" s="5">
        <v>7.74</v>
      </c>
      <c r="V68" s="5">
        <v>3.53</v>
      </c>
      <c r="W68" s="6">
        <v>4.72</v>
      </c>
      <c r="X68" s="6">
        <v>11.41</v>
      </c>
      <c r="Y68" s="6">
        <v>3.82</v>
      </c>
      <c r="Z68" s="6">
        <v>7.53</v>
      </c>
    </row>
    <row r="69" spans="3:26" x14ac:dyDescent="0.25">
      <c r="C69" s="10" t="s">
        <v>17</v>
      </c>
      <c r="D69" s="1" t="s">
        <v>19</v>
      </c>
      <c r="E69" s="1" t="s">
        <v>22</v>
      </c>
      <c r="F69" s="11" t="s">
        <v>30</v>
      </c>
      <c r="G69" s="5">
        <v>3.13</v>
      </c>
      <c r="H69" s="5">
        <v>4.51</v>
      </c>
      <c r="I69" s="5">
        <v>9.94</v>
      </c>
      <c r="J69" s="5">
        <v>3.27</v>
      </c>
      <c r="K69" s="5">
        <v>6.03</v>
      </c>
      <c r="L69" s="17">
        <f>Таблица2[[#This Row],[ПИР2010]]*0.9*1.082*1.068*1.059*1.058</f>
        <v>3.6472622217438251</v>
      </c>
      <c r="M69" s="5">
        <f>Таблица2[[#This Row],[СМР2010]]*0.9*1.082*1.068*1.059*1.058</f>
        <v>5.2553203258992491</v>
      </c>
      <c r="N69" s="5">
        <f>Таблица2[[#This Row],[ПНР2010]]*0.9*1.082*1.068*1.059*1.058</f>
        <v>11.582679387902113</v>
      </c>
      <c r="O69" s="5">
        <f>Таблица2[[#This Row],[Оборудование2010]]*0.9*1.082*1.068*1.059*1.058</f>
        <v>3.8103985511508971</v>
      </c>
      <c r="P69" s="20">
        <f>Таблица2[[#This Row],[Прочие2010]]*0.9*1.082*1.068*1.059*1.058</f>
        <v>7.0265147594617448</v>
      </c>
      <c r="Q69" s="5">
        <v>3.64</v>
      </c>
      <c r="R69" s="5">
        <v>4.25</v>
      </c>
      <c r="S69" s="5">
        <v>10.83</v>
      </c>
      <c r="T69" s="5">
        <v>3.94</v>
      </c>
      <c r="U69" s="5">
        <v>7.74</v>
      </c>
      <c r="V69" s="5">
        <v>3.53</v>
      </c>
      <c r="W69" s="6">
        <v>4.17</v>
      </c>
      <c r="X69" s="6">
        <v>10.61</v>
      </c>
      <c r="Y69" s="6">
        <v>3.82</v>
      </c>
      <c r="Z69" s="6">
        <v>7.53</v>
      </c>
    </row>
    <row r="70" spans="3:26" x14ac:dyDescent="0.25">
      <c r="C70" s="10" t="s">
        <v>7</v>
      </c>
      <c r="D70" s="1" t="s">
        <v>18</v>
      </c>
      <c r="E70" s="1" t="s">
        <v>21</v>
      </c>
      <c r="F70" s="11" t="s">
        <v>30</v>
      </c>
      <c r="G70" s="5">
        <v>3.13</v>
      </c>
      <c r="H70" s="5">
        <v>5.48</v>
      </c>
      <c r="I70" s="5">
        <v>8.16</v>
      </c>
      <c r="J70" s="5">
        <v>3.27</v>
      </c>
      <c r="K70" s="5">
        <v>6.03</v>
      </c>
      <c r="L70" s="17">
        <f>Таблица2[[#This Row],[ПИР2010]]*0.9*1.082*1.068*1.059*1.058</f>
        <v>3.6472622217438251</v>
      </c>
      <c r="M70" s="5">
        <f>Таблица2[[#This Row],[СМР2010]]*0.9*1.082*1.068*1.059*1.058</f>
        <v>6.385622036791105</v>
      </c>
      <c r="N70" s="5">
        <f>Таблица2[[#This Row],[ПНР2010]]*0.9*1.082*1.068*1.059*1.058</f>
        <v>9.5085174854407697</v>
      </c>
      <c r="O70" s="5">
        <f>Таблица2[[#This Row],[Оборудование2010]]*0.9*1.082*1.068*1.059*1.058</f>
        <v>3.8103985511508971</v>
      </c>
      <c r="P70" s="20">
        <f>Таблица2[[#This Row],[Прочие2010]]*0.9*1.082*1.068*1.059*1.058</f>
        <v>7.0265147594617448</v>
      </c>
      <c r="Q70" s="5">
        <v>3.64</v>
      </c>
      <c r="R70" s="5">
        <v>4.71</v>
      </c>
      <c r="S70" s="5">
        <v>10.79</v>
      </c>
      <c r="T70" s="5">
        <v>3.94</v>
      </c>
      <c r="U70" s="5">
        <v>7.74</v>
      </c>
      <c r="V70" s="5">
        <v>3.53</v>
      </c>
      <c r="W70" s="6">
        <v>4.62</v>
      </c>
      <c r="X70" s="6">
        <v>10.57</v>
      </c>
      <c r="Y70" s="6">
        <v>3.82</v>
      </c>
      <c r="Z70" s="6">
        <v>7.53</v>
      </c>
    </row>
    <row r="71" spans="3:26" x14ac:dyDescent="0.25">
      <c r="C71" s="10" t="s">
        <v>8</v>
      </c>
      <c r="D71" s="1" t="s">
        <v>18</v>
      </c>
      <c r="E71" s="1" t="s">
        <v>21</v>
      </c>
      <c r="F71" s="11" t="s">
        <v>30</v>
      </c>
      <c r="G71" s="5">
        <v>3.13</v>
      </c>
      <c r="H71" s="5">
        <v>6.53</v>
      </c>
      <c r="I71" s="5">
        <v>8.59</v>
      </c>
      <c r="J71" s="5">
        <v>3.27</v>
      </c>
      <c r="K71" s="5">
        <v>6.03</v>
      </c>
      <c r="L71" s="17">
        <f>Таблица2[[#This Row],[ПИР2010]]*0.9*1.082*1.068*1.059*1.058</f>
        <v>3.6472622217438251</v>
      </c>
      <c r="M71" s="5">
        <f>Таблица2[[#This Row],[СМР2010]]*0.9*1.082*1.068*1.059*1.058</f>
        <v>7.6091445073441459</v>
      </c>
      <c r="N71" s="5">
        <f>Таблица2[[#This Row],[ПНР2010]]*0.9*1.082*1.068*1.059*1.058</f>
        <v>10.009579068619635</v>
      </c>
      <c r="O71" s="5">
        <f>Таблица2[[#This Row],[Оборудование2010]]*0.9*1.082*1.068*1.059*1.058</f>
        <v>3.8103985511508971</v>
      </c>
      <c r="P71" s="20">
        <f>Таблица2[[#This Row],[Прочие2010]]*0.9*1.082*1.068*1.059*1.058</f>
        <v>7.0265147594617448</v>
      </c>
      <c r="Q71" s="5">
        <v>3.64</v>
      </c>
      <c r="R71" s="5">
        <v>3.84</v>
      </c>
      <c r="S71" s="5">
        <v>13.67</v>
      </c>
      <c r="T71" s="5">
        <v>3.94</v>
      </c>
      <c r="U71" s="5">
        <v>7.74</v>
      </c>
      <c r="V71" s="5">
        <v>3.53</v>
      </c>
      <c r="W71" s="6">
        <v>3.76</v>
      </c>
      <c r="X71" s="6">
        <v>13.4</v>
      </c>
      <c r="Y71" s="6">
        <v>3.82</v>
      </c>
      <c r="Z71" s="6">
        <v>7.53</v>
      </c>
    </row>
    <row r="72" spans="3:26" x14ac:dyDescent="0.25">
      <c r="C72" s="10" t="s">
        <v>9</v>
      </c>
      <c r="D72" s="1" t="s">
        <v>18</v>
      </c>
      <c r="E72" s="1" t="s">
        <v>21</v>
      </c>
      <c r="F72" s="11" t="s">
        <v>30</v>
      </c>
      <c r="G72" s="5">
        <v>3.13</v>
      </c>
      <c r="H72" s="5">
        <v>6.83</v>
      </c>
      <c r="I72" s="5">
        <v>9.27</v>
      </c>
      <c r="J72" s="5">
        <v>3.27</v>
      </c>
      <c r="K72" s="5">
        <v>6.03</v>
      </c>
      <c r="L72" s="17">
        <f>Таблица2[[#This Row],[ПИР2010]]*0.9*1.082*1.068*1.059*1.058</f>
        <v>3.6472622217438251</v>
      </c>
      <c r="M72" s="5">
        <f>Таблица2[[#This Row],[СМР2010]]*0.9*1.082*1.068*1.059*1.058</f>
        <v>7.9587223560735856</v>
      </c>
      <c r="N72" s="5">
        <f>Таблица2[[#This Row],[ПНР2010]]*0.9*1.082*1.068*1.059*1.058</f>
        <v>10.801955525739698</v>
      </c>
      <c r="O72" s="5">
        <f>Таблица2[[#This Row],[Оборудование2010]]*0.9*1.082*1.068*1.059*1.058</f>
        <v>3.8103985511508971</v>
      </c>
      <c r="P72" s="20">
        <f>Таблица2[[#This Row],[Прочие2010]]*0.9*1.082*1.068*1.059*1.058</f>
        <v>7.0265147594617448</v>
      </c>
      <c r="Q72" s="5">
        <v>3.64</v>
      </c>
      <c r="R72" s="5">
        <v>5.94</v>
      </c>
      <c r="S72" s="5">
        <v>11.11</v>
      </c>
      <c r="T72" s="5">
        <v>3.94</v>
      </c>
      <c r="U72" s="5">
        <v>7.74</v>
      </c>
      <c r="V72" s="5">
        <v>3.53</v>
      </c>
      <c r="W72" s="6">
        <v>6.1</v>
      </c>
      <c r="X72" s="6">
        <v>10.89</v>
      </c>
      <c r="Y72" s="6">
        <v>3.82</v>
      </c>
      <c r="Z72" s="6">
        <v>7.53</v>
      </c>
    </row>
    <row r="73" spans="3:26" x14ac:dyDescent="0.25">
      <c r="C73" s="10" t="s">
        <v>10</v>
      </c>
      <c r="D73" s="1" t="s">
        <v>18</v>
      </c>
      <c r="E73" s="1" t="s">
        <v>21</v>
      </c>
      <c r="F73" s="11" t="s">
        <v>30</v>
      </c>
      <c r="G73" s="5">
        <v>3.13</v>
      </c>
      <c r="H73" s="5">
        <v>5.54</v>
      </c>
      <c r="I73" s="5">
        <v>10.18</v>
      </c>
      <c r="J73" s="5">
        <v>3.27</v>
      </c>
      <c r="K73" s="5">
        <v>6.03</v>
      </c>
      <c r="L73" s="17">
        <f>Таблица2[[#This Row],[ПИР2010]]*0.9*1.082*1.068*1.059*1.058</f>
        <v>3.6472622217438251</v>
      </c>
      <c r="M73" s="5">
        <f>Таблица2[[#This Row],[СМР2010]]*0.9*1.082*1.068*1.059*1.058</f>
        <v>6.4555376065369927</v>
      </c>
      <c r="N73" s="5">
        <f>Таблица2[[#This Row],[ПНР2010]]*0.9*1.082*1.068*1.059*1.058</f>
        <v>11.862341666885666</v>
      </c>
      <c r="O73" s="5">
        <f>Таблица2[[#This Row],[Оборудование2010]]*0.9*1.082*1.068*1.059*1.058</f>
        <v>3.8103985511508971</v>
      </c>
      <c r="P73" s="20">
        <f>Таблица2[[#This Row],[Прочие2010]]*0.9*1.082*1.068*1.059*1.058</f>
        <v>7.0265147594617448</v>
      </c>
      <c r="Q73" s="5">
        <v>3.64</v>
      </c>
      <c r="R73" s="5">
        <v>4.53</v>
      </c>
      <c r="S73" s="5">
        <v>11.69</v>
      </c>
      <c r="T73" s="5">
        <v>3.94</v>
      </c>
      <c r="U73" s="5">
        <v>7.74</v>
      </c>
      <c r="V73" s="5">
        <v>3.53</v>
      </c>
      <c r="W73" s="6">
        <v>4.45</v>
      </c>
      <c r="X73" s="6">
        <v>11.46</v>
      </c>
      <c r="Y73" s="6">
        <v>3.82</v>
      </c>
      <c r="Z73" s="6">
        <v>7.53</v>
      </c>
    </row>
    <row r="74" spans="3:26" x14ac:dyDescent="0.25">
      <c r="C74" s="10" t="s">
        <v>11</v>
      </c>
      <c r="D74" s="1" t="s">
        <v>18</v>
      </c>
      <c r="E74" s="1" t="s">
        <v>21</v>
      </c>
      <c r="F74" s="11" t="s">
        <v>30</v>
      </c>
      <c r="G74" s="5">
        <v>3.13</v>
      </c>
      <c r="H74" s="5">
        <v>5.28</v>
      </c>
      <c r="I74" s="5">
        <v>8.75</v>
      </c>
      <c r="J74" s="5">
        <v>3.27</v>
      </c>
      <c r="K74" s="5">
        <v>6.03</v>
      </c>
      <c r="L74" s="17">
        <f>Таблица2[[#This Row],[ПИР2010]]*0.9*1.082*1.068*1.059*1.058</f>
        <v>3.6472622217438251</v>
      </c>
      <c r="M74" s="5">
        <f>Таблица2[[#This Row],[СМР2010]]*0.9*1.082*1.068*1.059*1.058</f>
        <v>6.1525701376381461</v>
      </c>
      <c r="N74" s="5">
        <f>Таблица2[[#This Row],[ПНР2010]]*0.9*1.082*1.068*1.059*1.058</f>
        <v>10.196020587942002</v>
      </c>
      <c r="O74" s="5">
        <f>Таблица2[[#This Row],[Оборудование2010]]*0.9*1.082*1.068*1.059*1.058</f>
        <v>3.8103985511508971</v>
      </c>
      <c r="P74" s="20">
        <f>Таблица2[[#This Row],[Прочие2010]]*0.9*1.082*1.068*1.059*1.058</f>
        <v>7.0265147594617448</v>
      </c>
      <c r="Q74" s="5">
        <v>3.64</v>
      </c>
      <c r="R74" s="5">
        <v>5.35</v>
      </c>
      <c r="S74" s="5">
        <v>11.43</v>
      </c>
      <c r="T74" s="5">
        <v>3.94</v>
      </c>
      <c r="U74" s="5">
        <v>7.74</v>
      </c>
      <c r="V74" s="5">
        <v>3.53</v>
      </c>
      <c r="W74" s="6">
        <v>5.25</v>
      </c>
      <c r="X74" s="6">
        <v>11.21</v>
      </c>
      <c r="Y74" s="6">
        <v>3.82</v>
      </c>
      <c r="Z74" s="6">
        <v>7.53</v>
      </c>
    </row>
    <row r="75" spans="3:26" x14ac:dyDescent="0.25">
      <c r="C75" s="10" t="s">
        <v>12</v>
      </c>
      <c r="D75" s="1" t="s">
        <v>18</v>
      </c>
      <c r="E75" s="1" t="s">
        <v>21</v>
      </c>
      <c r="F75" s="11" t="s">
        <v>30</v>
      </c>
      <c r="G75" s="5">
        <v>3.13</v>
      </c>
      <c r="H75" s="5">
        <v>6.39</v>
      </c>
      <c r="I75" s="5">
        <v>9.25</v>
      </c>
      <c r="J75" s="5">
        <v>3.27</v>
      </c>
      <c r="K75" s="5">
        <v>6.03</v>
      </c>
      <c r="L75" s="17">
        <f>Таблица2[[#This Row],[ПИР2010]]*0.9*1.082*1.068*1.059*1.058</f>
        <v>3.6472622217438251</v>
      </c>
      <c r="M75" s="5">
        <f>Таблица2[[#This Row],[СМР2010]]*0.9*1.082*1.068*1.059*1.058</f>
        <v>7.4460081779370721</v>
      </c>
      <c r="N75" s="5">
        <f>Таблица2[[#This Row],[ПНР2010]]*0.9*1.082*1.068*1.059*1.058</f>
        <v>10.778650335824402</v>
      </c>
      <c r="O75" s="5">
        <f>Таблица2[[#This Row],[Оборудование2010]]*0.9*1.082*1.068*1.059*1.058</f>
        <v>3.8103985511508971</v>
      </c>
      <c r="P75" s="20">
        <f>Таблица2[[#This Row],[Прочие2010]]*0.9*1.082*1.068*1.059*1.058</f>
        <v>7.0265147594617448</v>
      </c>
      <c r="Q75" s="5">
        <v>3.64</v>
      </c>
      <c r="R75" s="5">
        <v>5.62</v>
      </c>
      <c r="S75" s="5">
        <v>14.55</v>
      </c>
      <c r="T75" s="5">
        <v>3.94</v>
      </c>
      <c r="U75" s="5">
        <v>7.74</v>
      </c>
      <c r="V75" s="5">
        <v>3.53</v>
      </c>
      <c r="W75" s="6">
        <v>5.53</v>
      </c>
      <c r="X75" s="6">
        <v>14.27</v>
      </c>
      <c r="Y75" s="6">
        <v>3.82</v>
      </c>
      <c r="Z75" s="6">
        <v>7.53</v>
      </c>
    </row>
    <row r="76" spans="3:26" x14ac:dyDescent="0.25">
      <c r="C76" s="10" t="s">
        <v>13</v>
      </c>
      <c r="D76" s="1" t="s">
        <v>18</v>
      </c>
      <c r="E76" s="1" t="s">
        <v>21</v>
      </c>
      <c r="F76" s="11" t="s">
        <v>30</v>
      </c>
      <c r="G76" s="5">
        <v>3.13</v>
      </c>
      <c r="H76" s="5">
        <v>5.43</v>
      </c>
      <c r="I76" s="5">
        <v>8.6999999999999993</v>
      </c>
      <c r="J76" s="5">
        <v>3.27</v>
      </c>
      <c r="K76" s="5">
        <v>6.03</v>
      </c>
      <c r="L76" s="17">
        <f>Таблица2[[#This Row],[ПИР2010]]*0.9*1.082*1.068*1.059*1.058</f>
        <v>3.6472622217438251</v>
      </c>
      <c r="M76" s="5">
        <f>Таблица2[[#This Row],[СМР2010]]*0.9*1.082*1.068*1.059*1.058</f>
        <v>6.3273590620028637</v>
      </c>
      <c r="N76" s="5">
        <f>Таблица2[[#This Row],[ПНР2010]]*0.9*1.082*1.068*1.059*1.058</f>
        <v>10.137757613153759</v>
      </c>
      <c r="O76" s="5">
        <f>Таблица2[[#This Row],[Оборудование2010]]*0.9*1.082*1.068*1.059*1.058</f>
        <v>3.8103985511508971</v>
      </c>
      <c r="P76" s="20">
        <f>Таблица2[[#This Row],[Прочие2010]]*0.9*1.082*1.068*1.059*1.058</f>
        <v>7.0265147594617448</v>
      </c>
      <c r="Q76" s="5">
        <v>3.64</v>
      </c>
      <c r="R76" s="5">
        <v>4.83</v>
      </c>
      <c r="S76" s="5">
        <v>10.45</v>
      </c>
      <c r="T76" s="5">
        <v>3.94</v>
      </c>
      <c r="U76" s="5">
        <v>7.74</v>
      </c>
      <c r="V76" s="5">
        <v>3.53</v>
      </c>
      <c r="W76" s="6">
        <v>4.7300000000000004</v>
      </c>
      <c r="X76" s="6">
        <v>10.25</v>
      </c>
      <c r="Y76" s="6">
        <v>3.82</v>
      </c>
      <c r="Z76" s="6">
        <v>7.53</v>
      </c>
    </row>
    <row r="77" spans="3:26" x14ac:dyDescent="0.25">
      <c r="C77" s="10" t="s">
        <v>14</v>
      </c>
      <c r="D77" s="1" t="s">
        <v>18</v>
      </c>
      <c r="E77" s="1" t="s">
        <v>21</v>
      </c>
      <c r="F77" s="11" t="s">
        <v>30</v>
      </c>
      <c r="G77" s="5">
        <v>3.13</v>
      </c>
      <c r="H77" s="5">
        <v>5.88</v>
      </c>
      <c r="I77" s="5">
        <v>8.59</v>
      </c>
      <c r="J77" s="5">
        <v>3.27</v>
      </c>
      <c r="K77" s="5">
        <v>6.03</v>
      </c>
      <c r="L77" s="17">
        <f>Таблица2[[#This Row],[ПИР2010]]*0.9*1.082*1.068*1.059*1.058</f>
        <v>3.6472622217438251</v>
      </c>
      <c r="M77" s="5">
        <f>Таблица2[[#This Row],[СМР2010]]*0.9*1.082*1.068*1.059*1.058</f>
        <v>6.8517258350970245</v>
      </c>
      <c r="N77" s="5">
        <f>Таблица2[[#This Row],[ПНР2010]]*0.9*1.082*1.068*1.059*1.058</f>
        <v>10.009579068619635</v>
      </c>
      <c r="O77" s="5">
        <f>Таблица2[[#This Row],[Оборудование2010]]*0.9*1.082*1.068*1.059*1.058</f>
        <v>3.8103985511508971</v>
      </c>
      <c r="P77" s="20">
        <f>Таблица2[[#This Row],[Прочие2010]]*0.9*1.082*1.068*1.059*1.058</f>
        <v>7.0265147594617448</v>
      </c>
      <c r="Q77" s="5">
        <v>3.64</v>
      </c>
      <c r="R77" s="5">
        <v>4.4800000000000004</v>
      </c>
      <c r="S77" s="5">
        <v>12.81</v>
      </c>
      <c r="T77" s="5">
        <v>3.94</v>
      </c>
      <c r="U77" s="5">
        <v>7.74</v>
      </c>
      <c r="V77" s="5">
        <v>3.53</v>
      </c>
      <c r="W77" s="6">
        <v>4.4000000000000004</v>
      </c>
      <c r="X77" s="6">
        <v>12.55</v>
      </c>
      <c r="Y77" s="6">
        <v>3.82</v>
      </c>
      <c r="Z77" s="6">
        <v>7.53</v>
      </c>
    </row>
    <row r="78" spans="3:26" x14ac:dyDescent="0.25">
      <c r="C78" s="10" t="s">
        <v>15</v>
      </c>
      <c r="D78" s="1" t="s">
        <v>18</v>
      </c>
      <c r="E78" s="1" t="s">
        <v>21</v>
      </c>
      <c r="F78" s="11" t="s">
        <v>30</v>
      </c>
      <c r="G78" s="5">
        <v>3.13</v>
      </c>
      <c r="H78" s="5">
        <v>5.92</v>
      </c>
      <c r="I78" s="5">
        <v>9.09</v>
      </c>
      <c r="J78" s="5">
        <v>3.27</v>
      </c>
      <c r="K78" s="5">
        <v>6.03</v>
      </c>
      <c r="L78" s="17">
        <f>Таблица2[[#This Row],[ПИР2010]]*0.9*1.082*1.068*1.059*1.058</f>
        <v>3.6472622217438251</v>
      </c>
      <c r="M78" s="5">
        <f>Таблица2[[#This Row],[СМР2010]]*0.9*1.082*1.068*1.059*1.058</f>
        <v>6.8983362149276175</v>
      </c>
      <c r="N78" s="5">
        <f>Таблица2[[#This Row],[ПНР2010]]*0.9*1.082*1.068*1.059*1.058</f>
        <v>10.592208816502035</v>
      </c>
      <c r="O78" s="5">
        <f>Таблица2[[#This Row],[Оборудование2010]]*0.9*1.082*1.068*1.059*1.058</f>
        <v>3.8103985511508971</v>
      </c>
      <c r="P78" s="20">
        <f>Таблица2[[#This Row],[Прочие2010]]*0.9*1.082*1.068*1.059*1.058</f>
        <v>7.0265147594617448</v>
      </c>
      <c r="Q78" s="5">
        <v>3.64</v>
      </c>
      <c r="R78" s="5">
        <v>4.93</v>
      </c>
      <c r="S78" s="5">
        <v>12.34</v>
      </c>
      <c r="T78" s="5">
        <v>3.94</v>
      </c>
      <c r="U78" s="5">
        <v>7.74</v>
      </c>
      <c r="V78" s="5">
        <v>3.53</v>
      </c>
      <c r="W78" s="6">
        <v>4.83</v>
      </c>
      <c r="X78" s="6">
        <v>12.1</v>
      </c>
      <c r="Y78" s="6">
        <v>3.82</v>
      </c>
      <c r="Z78" s="6">
        <v>7.53</v>
      </c>
    </row>
    <row r="79" spans="3:26" x14ac:dyDescent="0.25">
      <c r="C79" s="10" t="s">
        <v>16</v>
      </c>
      <c r="D79" s="1" t="s">
        <v>18</v>
      </c>
      <c r="E79" s="1" t="s">
        <v>21</v>
      </c>
      <c r="F79" s="11" t="s">
        <v>30</v>
      </c>
      <c r="G79" s="5">
        <v>3.13</v>
      </c>
      <c r="H79" s="5">
        <v>5.96</v>
      </c>
      <c r="I79" s="5">
        <v>10.45</v>
      </c>
      <c r="J79" s="5">
        <v>3.27</v>
      </c>
      <c r="K79" s="5">
        <v>6.03</v>
      </c>
      <c r="L79" s="17">
        <f>Таблица2[[#This Row],[ПИР2010]]*0.9*1.082*1.068*1.059*1.058</f>
        <v>3.6472622217438251</v>
      </c>
      <c r="M79" s="5">
        <f>Таблица2[[#This Row],[СМР2010]]*0.9*1.082*1.068*1.059*1.058</f>
        <v>6.9449465947582079</v>
      </c>
      <c r="N79" s="5">
        <f>Таблица2[[#This Row],[ПНР2010]]*0.9*1.082*1.068*1.059*1.058</f>
        <v>12.176961730742162</v>
      </c>
      <c r="O79" s="5">
        <f>Таблица2[[#This Row],[Оборудование2010]]*0.9*1.082*1.068*1.059*1.058</f>
        <v>3.8103985511508971</v>
      </c>
      <c r="P79" s="20">
        <f>Таблица2[[#This Row],[Прочие2010]]*0.9*1.082*1.068*1.059*1.058</f>
        <v>7.0265147594617448</v>
      </c>
      <c r="Q79" s="5">
        <v>3.64</v>
      </c>
      <c r="R79" s="5">
        <v>4.3</v>
      </c>
      <c r="S79" s="5">
        <v>12.05</v>
      </c>
      <c r="T79" s="5">
        <v>3.94</v>
      </c>
      <c r="U79" s="5">
        <v>7.74</v>
      </c>
      <c r="V79" s="5">
        <v>3.53</v>
      </c>
      <c r="W79" s="6">
        <v>4.78</v>
      </c>
      <c r="X79" s="6">
        <v>11.81</v>
      </c>
      <c r="Y79" s="6">
        <v>3.82</v>
      </c>
      <c r="Z79" s="6">
        <v>7.53</v>
      </c>
    </row>
    <row r="80" spans="3:26" x14ac:dyDescent="0.25">
      <c r="C80" s="10" t="s">
        <v>17</v>
      </c>
      <c r="D80" s="1" t="s">
        <v>18</v>
      </c>
      <c r="E80" s="1" t="s">
        <v>21</v>
      </c>
      <c r="F80" s="11" t="s">
        <v>30</v>
      </c>
      <c r="G80" s="5">
        <v>3.13</v>
      </c>
      <c r="H80" s="5">
        <v>5</v>
      </c>
      <c r="I80" s="5">
        <v>9.94</v>
      </c>
      <c r="J80" s="5">
        <v>3.27</v>
      </c>
      <c r="K80" s="5">
        <v>6.03</v>
      </c>
      <c r="L80" s="17">
        <f>Таблица2[[#This Row],[ПИР2010]]*0.9*1.082*1.068*1.059*1.058</f>
        <v>3.6472622217438251</v>
      </c>
      <c r="M80" s="5">
        <f>Таблица2[[#This Row],[СМР2010]]*0.9*1.082*1.068*1.059*1.058</f>
        <v>5.8262974788240003</v>
      </c>
      <c r="N80" s="5">
        <f>Таблица2[[#This Row],[ПНР2010]]*0.9*1.082*1.068*1.059*1.058</f>
        <v>11.582679387902113</v>
      </c>
      <c r="O80" s="5">
        <f>Таблица2[[#This Row],[Оборудование2010]]*0.9*1.082*1.068*1.059*1.058</f>
        <v>3.8103985511508971</v>
      </c>
      <c r="P80" s="20">
        <f>Таблица2[[#This Row],[Прочие2010]]*0.9*1.082*1.068*1.059*1.058</f>
        <v>7.0265147594617448</v>
      </c>
      <c r="Q80" s="5">
        <v>3.64</v>
      </c>
      <c r="R80" s="5">
        <v>4.26</v>
      </c>
      <c r="S80" s="5">
        <v>10.83</v>
      </c>
      <c r="T80" s="5">
        <v>3.94</v>
      </c>
      <c r="U80" s="5">
        <v>7.74</v>
      </c>
      <c r="V80" s="5">
        <v>3.53</v>
      </c>
      <c r="W80" s="6">
        <v>4.18</v>
      </c>
      <c r="X80" s="6">
        <v>10.61</v>
      </c>
      <c r="Y80" s="6">
        <v>3.82</v>
      </c>
      <c r="Z80" s="6">
        <v>7.53</v>
      </c>
    </row>
    <row r="81" spans="3:26" x14ac:dyDescent="0.25">
      <c r="C81" s="10" t="s">
        <v>7</v>
      </c>
      <c r="D81" s="1" t="s">
        <v>18</v>
      </c>
      <c r="E81" s="1" t="s">
        <v>22</v>
      </c>
      <c r="F81" s="11" t="s">
        <v>30</v>
      </c>
      <c r="G81" s="5">
        <v>3.13</v>
      </c>
      <c r="H81" s="5">
        <v>5.48</v>
      </c>
      <c r="I81" s="5">
        <v>8.16</v>
      </c>
      <c r="J81" s="5">
        <v>3.27</v>
      </c>
      <c r="K81" s="5">
        <v>6.03</v>
      </c>
      <c r="L81" s="17">
        <f>Таблица2[[#This Row],[ПИР2010]]*0.9*1.082*1.068*1.059*1.058</f>
        <v>3.6472622217438251</v>
      </c>
      <c r="M81" s="5">
        <f>Таблица2[[#This Row],[СМР2010]]*0.9*1.082*1.068*1.059*1.058</f>
        <v>6.385622036791105</v>
      </c>
      <c r="N81" s="5">
        <f>Таблица2[[#This Row],[ПНР2010]]*0.9*1.082*1.068*1.059*1.058</f>
        <v>9.5085174854407697</v>
      </c>
      <c r="O81" s="5">
        <f>Таблица2[[#This Row],[Оборудование2010]]*0.9*1.082*1.068*1.059*1.058</f>
        <v>3.8103985511508971</v>
      </c>
      <c r="P81" s="20">
        <f>Таблица2[[#This Row],[Прочие2010]]*0.9*1.082*1.068*1.059*1.058</f>
        <v>7.0265147594617448</v>
      </c>
      <c r="Q81" s="5">
        <v>3.64</v>
      </c>
      <c r="R81" s="5">
        <v>4.71</v>
      </c>
      <c r="S81" s="5">
        <v>10.79</v>
      </c>
      <c r="T81" s="5">
        <v>3.94</v>
      </c>
      <c r="U81" s="5">
        <v>7.74</v>
      </c>
      <c r="V81" s="5">
        <v>3.53</v>
      </c>
      <c r="W81" s="6">
        <v>4.62</v>
      </c>
      <c r="X81" s="6">
        <v>10.57</v>
      </c>
      <c r="Y81" s="6">
        <v>3.82</v>
      </c>
      <c r="Z81" s="6">
        <v>7.53</v>
      </c>
    </row>
    <row r="82" spans="3:26" x14ac:dyDescent="0.25">
      <c r="C82" s="10" t="s">
        <v>8</v>
      </c>
      <c r="D82" s="1" t="s">
        <v>18</v>
      </c>
      <c r="E82" s="1" t="s">
        <v>22</v>
      </c>
      <c r="F82" s="11" t="s">
        <v>30</v>
      </c>
      <c r="G82" s="5">
        <v>3.13</v>
      </c>
      <c r="H82" s="5">
        <v>6.53</v>
      </c>
      <c r="I82" s="5">
        <v>8.59</v>
      </c>
      <c r="J82" s="5">
        <v>3.27</v>
      </c>
      <c r="K82" s="5">
        <v>6.03</v>
      </c>
      <c r="L82" s="17">
        <f>Таблица2[[#This Row],[ПИР2010]]*0.9*1.082*1.068*1.059*1.058</f>
        <v>3.6472622217438251</v>
      </c>
      <c r="M82" s="5">
        <f>Таблица2[[#This Row],[СМР2010]]*0.9*1.082*1.068*1.059*1.058</f>
        <v>7.6091445073441459</v>
      </c>
      <c r="N82" s="5">
        <f>Таблица2[[#This Row],[ПНР2010]]*0.9*1.082*1.068*1.059*1.058</f>
        <v>10.009579068619635</v>
      </c>
      <c r="O82" s="5">
        <f>Таблица2[[#This Row],[Оборудование2010]]*0.9*1.082*1.068*1.059*1.058</f>
        <v>3.8103985511508971</v>
      </c>
      <c r="P82" s="20">
        <f>Таблица2[[#This Row],[Прочие2010]]*0.9*1.082*1.068*1.059*1.058</f>
        <v>7.0265147594617448</v>
      </c>
      <c r="Q82" s="5">
        <v>3.64</v>
      </c>
      <c r="R82" s="5">
        <v>3.84</v>
      </c>
      <c r="S82" s="5">
        <v>13.67</v>
      </c>
      <c r="T82" s="5">
        <v>3.94</v>
      </c>
      <c r="U82" s="5">
        <v>7.74</v>
      </c>
      <c r="V82" s="5">
        <v>3.53</v>
      </c>
      <c r="W82" s="6">
        <v>3.76</v>
      </c>
      <c r="X82" s="6">
        <v>13.4</v>
      </c>
      <c r="Y82" s="6">
        <v>3.82</v>
      </c>
      <c r="Z82" s="6">
        <v>7.53</v>
      </c>
    </row>
    <row r="83" spans="3:26" x14ac:dyDescent="0.25">
      <c r="C83" s="10" t="s">
        <v>9</v>
      </c>
      <c r="D83" s="1" t="s">
        <v>18</v>
      </c>
      <c r="E83" s="1" t="s">
        <v>22</v>
      </c>
      <c r="F83" s="11" t="s">
        <v>30</v>
      </c>
      <c r="G83" s="5">
        <v>3.13</v>
      </c>
      <c r="H83" s="5">
        <v>6.83</v>
      </c>
      <c r="I83" s="5">
        <v>9.27</v>
      </c>
      <c r="J83" s="5">
        <v>3.27</v>
      </c>
      <c r="K83" s="5">
        <v>6.03</v>
      </c>
      <c r="L83" s="17">
        <f>Таблица2[[#This Row],[ПИР2010]]*0.9*1.082*1.068*1.059*1.058</f>
        <v>3.6472622217438251</v>
      </c>
      <c r="M83" s="5">
        <f>Таблица2[[#This Row],[СМР2010]]*0.9*1.082*1.068*1.059*1.058</f>
        <v>7.9587223560735856</v>
      </c>
      <c r="N83" s="5">
        <f>Таблица2[[#This Row],[ПНР2010]]*0.9*1.082*1.068*1.059*1.058</f>
        <v>10.801955525739698</v>
      </c>
      <c r="O83" s="5">
        <f>Таблица2[[#This Row],[Оборудование2010]]*0.9*1.082*1.068*1.059*1.058</f>
        <v>3.8103985511508971</v>
      </c>
      <c r="P83" s="20">
        <f>Таблица2[[#This Row],[Прочие2010]]*0.9*1.082*1.068*1.059*1.058</f>
        <v>7.0265147594617448</v>
      </c>
      <c r="Q83" s="5">
        <v>3.64</v>
      </c>
      <c r="R83" s="5">
        <v>5.94</v>
      </c>
      <c r="S83" s="5">
        <v>11.11</v>
      </c>
      <c r="T83" s="5">
        <v>3.94</v>
      </c>
      <c r="U83" s="5">
        <v>7.74</v>
      </c>
      <c r="V83" s="5">
        <v>3.53</v>
      </c>
      <c r="W83" s="6">
        <v>6.1</v>
      </c>
      <c r="X83" s="6">
        <v>10.89</v>
      </c>
      <c r="Y83" s="6">
        <v>3.82</v>
      </c>
      <c r="Z83" s="6">
        <v>7.53</v>
      </c>
    </row>
    <row r="84" spans="3:26" x14ac:dyDescent="0.25">
      <c r="C84" s="10" t="s">
        <v>10</v>
      </c>
      <c r="D84" s="1" t="s">
        <v>18</v>
      </c>
      <c r="E84" s="1" t="s">
        <v>22</v>
      </c>
      <c r="F84" s="11" t="s">
        <v>30</v>
      </c>
      <c r="G84" s="5">
        <v>3.13</v>
      </c>
      <c r="H84" s="5">
        <v>5.54</v>
      </c>
      <c r="I84" s="5">
        <v>10.18</v>
      </c>
      <c r="J84" s="5">
        <v>3.27</v>
      </c>
      <c r="K84" s="5">
        <v>6.03</v>
      </c>
      <c r="L84" s="17">
        <f>Таблица2[[#This Row],[ПИР2010]]*0.9*1.082*1.068*1.059*1.058</f>
        <v>3.6472622217438251</v>
      </c>
      <c r="M84" s="5">
        <f>Таблица2[[#This Row],[СМР2010]]*0.9*1.082*1.068*1.059*1.058</f>
        <v>6.4555376065369927</v>
      </c>
      <c r="N84" s="5">
        <f>Таблица2[[#This Row],[ПНР2010]]*0.9*1.082*1.068*1.059*1.058</f>
        <v>11.862341666885666</v>
      </c>
      <c r="O84" s="5">
        <f>Таблица2[[#This Row],[Оборудование2010]]*0.9*1.082*1.068*1.059*1.058</f>
        <v>3.8103985511508971</v>
      </c>
      <c r="P84" s="20">
        <f>Таблица2[[#This Row],[Прочие2010]]*0.9*1.082*1.068*1.059*1.058</f>
        <v>7.0265147594617448</v>
      </c>
      <c r="Q84" s="5">
        <v>3.64</v>
      </c>
      <c r="R84" s="5">
        <v>4.53</v>
      </c>
      <c r="S84" s="5">
        <v>11.69</v>
      </c>
      <c r="T84" s="5">
        <v>3.94</v>
      </c>
      <c r="U84" s="5">
        <v>7.74</v>
      </c>
      <c r="V84" s="5">
        <v>3.53</v>
      </c>
      <c r="W84" s="6">
        <v>4.45</v>
      </c>
      <c r="X84" s="6">
        <v>11.46</v>
      </c>
      <c r="Y84" s="6">
        <v>3.82</v>
      </c>
      <c r="Z84" s="6">
        <v>7.53</v>
      </c>
    </row>
    <row r="85" spans="3:26" x14ac:dyDescent="0.25">
      <c r="C85" s="10" t="s">
        <v>11</v>
      </c>
      <c r="D85" s="1" t="s">
        <v>18</v>
      </c>
      <c r="E85" s="1" t="s">
        <v>22</v>
      </c>
      <c r="F85" s="11" t="s">
        <v>30</v>
      </c>
      <c r="G85" s="5">
        <v>3.13</v>
      </c>
      <c r="H85" s="5">
        <v>5.28</v>
      </c>
      <c r="I85" s="5">
        <v>8.75</v>
      </c>
      <c r="J85" s="5">
        <v>3.27</v>
      </c>
      <c r="K85" s="5">
        <v>6.03</v>
      </c>
      <c r="L85" s="17">
        <f>Таблица2[[#This Row],[ПИР2010]]*0.9*1.082*1.068*1.059*1.058</f>
        <v>3.6472622217438251</v>
      </c>
      <c r="M85" s="5">
        <f>Таблица2[[#This Row],[СМР2010]]*0.9*1.082*1.068*1.059*1.058</f>
        <v>6.1525701376381461</v>
      </c>
      <c r="N85" s="5">
        <f>Таблица2[[#This Row],[ПНР2010]]*0.9*1.082*1.068*1.059*1.058</f>
        <v>10.196020587942002</v>
      </c>
      <c r="O85" s="5">
        <f>Таблица2[[#This Row],[Оборудование2010]]*0.9*1.082*1.068*1.059*1.058</f>
        <v>3.8103985511508971</v>
      </c>
      <c r="P85" s="20">
        <f>Таблица2[[#This Row],[Прочие2010]]*0.9*1.082*1.068*1.059*1.058</f>
        <v>7.0265147594617448</v>
      </c>
      <c r="Q85" s="5">
        <v>3.64</v>
      </c>
      <c r="R85" s="5">
        <v>5.35</v>
      </c>
      <c r="S85" s="5">
        <v>11.43</v>
      </c>
      <c r="T85" s="5">
        <v>3.94</v>
      </c>
      <c r="U85" s="5">
        <v>7.74</v>
      </c>
      <c r="V85" s="5">
        <v>3.53</v>
      </c>
      <c r="W85" s="6">
        <v>5.25</v>
      </c>
      <c r="X85" s="6">
        <v>11.21</v>
      </c>
      <c r="Y85" s="6">
        <v>3.82</v>
      </c>
      <c r="Z85" s="6">
        <v>7.53</v>
      </c>
    </row>
    <row r="86" spans="3:26" x14ac:dyDescent="0.25">
      <c r="C86" s="10" t="s">
        <v>12</v>
      </c>
      <c r="D86" s="1" t="s">
        <v>18</v>
      </c>
      <c r="E86" s="1" t="s">
        <v>22</v>
      </c>
      <c r="F86" s="11" t="s">
        <v>30</v>
      </c>
      <c r="G86" s="5">
        <v>3.13</v>
      </c>
      <c r="H86" s="5">
        <v>6.39</v>
      </c>
      <c r="I86" s="5">
        <v>9.25</v>
      </c>
      <c r="J86" s="5">
        <v>3.27</v>
      </c>
      <c r="K86" s="5">
        <v>6.03</v>
      </c>
      <c r="L86" s="17">
        <f>Таблица2[[#This Row],[ПИР2010]]*0.9*1.082*1.068*1.059*1.058</f>
        <v>3.6472622217438251</v>
      </c>
      <c r="M86" s="5">
        <f>Таблица2[[#This Row],[СМР2010]]*0.9*1.082*1.068*1.059*1.058</f>
        <v>7.4460081779370721</v>
      </c>
      <c r="N86" s="5">
        <f>Таблица2[[#This Row],[ПНР2010]]*0.9*1.082*1.068*1.059*1.058</f>
        <v>10.778650335824402</v>
      </c>
      <c r="O86" s="5">
        <f>Таблица2[[#This Row],[Оборудование2010]]*0.9*1.082*1.068*1.059*1.058</f>
        <v>3.8103985511508971</v>
      </c>
      <c r="P86" s="20">
        <f>Таблица2[[#This Row],[Прочие2010]]*0.9*1.082*1.068*1.059*1.058</f>
        <v>7.0265147594617448</v>
      </c>
      <c r="Q86" s="5">
        <v>3.64</v>
      </c>
      <c r="R86" s="5">
        <v>5.62</v>
      </c>
      <c r="S86" s="5">
        <v>14.55</v>
      </c>
      <c r="T86" s="5">
        <v>3.94</v>
      </c>
      <c r="U86" s="5">
        <v>7.74</v>
      </c>
      <c r="V86" s="5">
        <v>3.53</v>
      </c>
      <c r="W86" s="6">
        <v>5.53</v>
      </c>
      <c r="X86" s="6">
        <v>14.27</v>
      </c>
      <c r="Y86" s="6">
        <v>3.82</v>
      </c>
      <c r="Z86" s="6">
        <v>7.53</v>
      </c>
    </row>
    <row r="87" spans="3:26" x14ac:dyDescent="0.25">
      <c r="C87" s="10" t="s">
        <v>13</v>
      </c>
      <c r="D87" s="1" t="s">
        <v>18</v>
      </c>
      <c r="E87" s="1" t="s">
        <v>22</v>
      </c>
      <c r="F87" s="11" t="s">
        <v>30</v>
      </c>
      <c r="G87" s="5">
        <v>3.13</v>
      </c>
      <c r="H87" s="5">
        <v>5.43</v>
      </c>
      <c r="I87" s="5">
        <v>8.6999999999999993</v>
      </c>
      <c r="J87" s="5">
        <v>3.27</v>
      </c>
      <c r="K87" s="5">
        <v>6.03</v>
      </c>
      <c r="L87" s="17">
        <f>Таблица2[[#This Row],[ПИР2010]]*0.9*1.082*1.068*1.059*1.058</f>
        <v>3.6472622217438251</v>
      </c>
      <c r="M87" s="5">
        <f>Таблица2[[#This Row],[СМР2010]]*0.9*1.082*1.068*1.059*1.058</f>
        <v>6.3273590620028637</v>
      </c>
      <c r="N87" s="5">
        <f>Таблица2[[#This Row],[ПНР2010]]*0.9*1.082*1.068*1.059*1.058</f>
        <v>10.137757613153759</v>
      </c>
      <c r="O87" s="5">
        <f>Таблица2[[#This Row],[Оборудование2010]]*0.9*1.082*1.068*1.059*1.058</f>
        <v>3.8103985511508971</v>
      </c>
      <c r="P87" s="20">
        <f>Таблица2[[#This Row],[Прочие2010]]*0.9*1.082*1.068*1.059*1.058</f>
        <v>7.0265147594617448</v>
      </c>
      <c r="Q87" s="5">
        <v>3.64</v>
      </c>
      <c r="R87" s="5">
        <v>4.83</v>
      </c>
      <c r="S87" s="5">
        <v>10.45</v>
      </c>
      <c r="T87" s="5">
        <v>3.94</v>
      </c>
      <c r="U87" s="5">
        <v>7.74</v>
      </c>
      <c r="V87" s="5">
        <v>3.53</v>
      </c>
      <c r="W87" s="6">
        <v>4.7300000000000004</v>
      </c>
      <c r="X87" s="6">
        <v>10.25</v>
      </c>
      <c r="Y87" s="6">
        <v>3.82</v>
      </c>
      <c r="Z87" s="6">
        <v>7.53</v>
      </c>
    </row>
    <row r="88" spans="3:26" x14ac:dyDescent="0.25">
      <c r="C88" s="10" t="s">
        <v>14</v>
      </c>
      <c r="D88" s="1" t="s">
        <v>18</v>
      </c>
      <c r="E88" s="1" t="s">
        <v>22</v>
      </c>
      <c r="F88" s="11" t="s">
        <v>30</v>
      </c>
      <c r="G88" s="5">
        <v>3.13</v>
      </c>
      <c r="H88" s="5">
        <v>5.88</v>
      </c>
      <c r="I88" s="5">
        <v>8.59</v>
      </c>
      <c r="J88" s="5">
        <v>3.27</v>
      </c>
      <c r="K88" s="5">
        <v>6.03</v>
      </c>
      <c r="L88" s="17">
        <f>Таблица2[[#This Row],[ПИР2010]]*0.9*1.082*1.068*1.059*1.058</f>
        <v>3.6472622217438251</v>
      </c>
      <c r="M88" s="5">
        <f>Таблица2[[#This Row],[СМР2010]]*0.9*1.082*1.068*1.059*1.058</f>
        <v>6.8517258350970245</v>
      </c>
      <c r="N88" s="5">
        <f>Таблица2[[#This Row],[ПНР2010]]*0.9*1.082*1.068*1.059*1.058</f>
        <v>10.009579068619635</v>
      </c>
      <c r="O88" s="5">
        <f>Таблица2[[#This Row],[Оборудование2010]]*0.9*1.082*1.068*1.059*1.058</f>
        <v>3.8103985511508971</v>
      </c>
      <c r="P88" s="20">
        <f>Таблица2[[#This Row],[Прочие2010]]*0.9*1.082*1.068*1.059*1.058</f>
        <v>7.0265147594617448</v>
      </c>
      <c r="Q88" s="5">
        <v>3.64</v>
      </c>
      <c r="R88" s="5">
        <v>4.4800000000000004</v>
      </c>
      <c r="S88" s="5">
        <v>12.81</v>
      </c>
      <c r="T88" s="5">
        <v>3.94</v>
      </c>
      <c r="U88" s="5">
        <v>7.74</v>
      </c>
      <c r="V88" s="5">
        <v>3.53</v>
      </c>
      <c r="W88" s="6">
        <v>4.4000000000000004</v>
      </c>
      <c r="X88" s="6">
        <v>12.55</v>
      </c>
      <c r="Y88" s="6">
        <v>3.82</v>
      </c>
      <c r="Z88" s="6">
        <v>7.53</v>
      </c>
    </row>
    <row r="89" spans="3:26" x14ac:dyDescent="0.25">
      <c r="C89" s="10" t="s">
        <v>15</v>
      </c>
      <c r="D89" s="1" t="s">
        <v>18</v>
      </c>
      <c r="E89" s="1" t="s">
        <v>22</v>
      </c>
      <c r="F89" s="11" t="s">
        <v>30</v>
      </c>
      <c r="G89" s="5">
        <v>3.13</v>
      </c>
      <c r="H89" s="5">
        <v>5.92</v>
      </c>
      <c r="I89" s="5">
        <v>9.09</v>
      </c>
      <c r="J89" s="5">
        <v>3.27</v>
      </c>
      <c r="K89" s="5">
        <v>6.03</v>
      </c>
      <c r="L89" s="17">
        <f>Таблица2[[#This Row],[ПИР2010]]*0.9*1.082*1.068*1.059*1.058</f>
        <v>3.6472622217438251</v>
      </c>
      <c r="M89" s="5">
        <f>Таблица2[[#This Row],[СМР2010]]*0.9*1.082*1.068*1.059*1.058</f>
        <v>6.8983362149276175</v>
      </c>
      <c r="N89" s="5">
        <f>Таблица2[[#This Row],[ПНР2010]]*0.9*1.082*1.068*1.059*1.058</f>
        <v>10.592208816502035</v>
      </c>
      <c r="O89" s="5">
        <f>Таблица2[[#This Row],[Оборудование2010]]*0.9*1.082*1.068*1.059*1.058</f>
        <v>3.8103985511508971</v>
      </c>
      <c r="P89" s="20">
        <f>Таблица2[[#This Row],[Прочие2010]]*0.9*1.082*1.068*1.059*1.058</f>
        <v>7.0265147594617448</v>
      </c>
      <c r="Q89" s="5">
        <v>3.64</v>
      </c>
      <c r="R89" s="5">
        <v>4.93</v>
      </c>
      <c r="S89" s="5">
        <v>12.34</v>
      </c>
      <c r="T89" s="5">
        <v>3.94</v>
      </c>
      <c r="U89" s="5">
        <v>7.74</v>
      </c>
      <c r="V89" s="5">
        <v>3.53</v>
      </c>
      <c r="W89" s="6">
        <v>4.83</v>
      </c>
      <c r="X89" s="6">
        <v>12.1</v>
      </c>
      <c r="Y89" s="6">
        <v>3.82</v>
      </c>
      <c r="Z89" s="6">
        <v>7.53</v>
      </c>
    </row>
    <row r="90" spans="3:26" x14ac:dyDescent="0.25">
      <c r="C90" s="10" t="s">
        <v>16</v>
      </c>
      <c r="D90" s="1" t="s">
        <v>18</v>
      </c>
      <c r="E90" s="1" t="s">
        <v>22</v>
      </c>
      <c r="F90" s="11" t="s">
        <v>30</v>
      </c>
      <c r="G90" s="5">
        <v>3.13</v>
      </c>
      <c r="H90" s="5">
        <v>5.96</v>
      </c>
      <c r="I90" s="5">
        <v>10.45</v>
      </c>
      <c r="J90" s="5">
        <v>3.27</v>
      </c>
      <c r="K90" s="5">
        <v>6.03</v>
      </c>
      <c r="L90" s="17">
        <f>Таблица2[[#This Row],[ПИР2010]]*0.9*1.082*1.068*1.059*1.058</f>
        <v>3.6472622217438251</v>
      </c>
      <c r="M90" s="5">
        <f>Таблица2[[#This Row],[СМР2010]]*0.9*1.082*1.068*1.059*1.058</f>
        <v>6.9449465947582079</v>
      </c>
      <c r="N90" s="5">
        <f>Таблица2[[#This Row],[ПНР2010]]*0.9*1.082*1.068*1.059*1.058</f>
        <v>12.176961730742162</v>
      </c>
      <c r="O90" s="5">
        <f>Таблица2[[#This Row],[Оборудование2010]]*0.9*1.082*1.068*1.059*1.058</f>
        <v>3.8103985511508971</v>
      </c>
      <c r="P90" s="20">
        <f>Таблица2[[#This Row],[Прочие2010]]*0.9*1.082*1.068*1.059*1.058</f>
        <v>7.0265147594617448</v>
      </c>
      <c r="Q90" s="5">
        <v>3.64</v>
      </c>
      <c r="R90" s="5">
        <v>4.3</v>
      </c>
      <c r="S90" s="5">
        <v>12.05</v>
      </c>
      <c r="T90" s="5">
        <v>3.94</v>
      </c>
      <c r="U90" s="5">
        <v>7.74</v>
      </c>
      <c r="V90" s="5">
        <v>3.53</v>
      </c>
      <c r="W90" s="6">
        <v>4.78</v>
      </c>
      <c r="X90" s="6">
        <v>11.81</v>
      </c>
      <c r="Y90" s="6">
        <v>3.82</v>
      </c>
      <c r="Z90" s="6">
        <v>7.53</v>
      </c>
    </row>
    <row r="91" spans="3:26" x14ac:dyDescent="0.25">
      <c r="C91" s="10" t="s">
        <v>17</v>
      </c>
      <c r="D91" s="1" t="s">
        <v>18</v>
      </c>
      <c r="E91" s="1" t="s">
        <v>22</v>
      </c>
      <c r="F91" s="11" t="s">
        <v>30</v>
      </c>
      <c r="G91" s="5">
        <v>3.13</v>
      </c>
      <c r="H91" s="5">
        <v>5</v>
      </c>
      <c r="I91" s="5">
        <v>9.94</v>
      </c>
      <c r="J91" s="5">
        <v>3.27</v>
      </c>
      <c r="K91" s="5">
        <v>6.03</v>
      </c>
      <c r="L91" s="17">
        <f>Таблица2[[#This Row],[ПИР2010]]*0.9*1.082*1.068*1.059*1.058</f>
        <v>3.6472622217438251</v>
      </c>
      <c r="M91" s="5">
        <f>Таблица2[[#This Row],[СМР2010]]*0.9*1.082*1.068*1.059*1.058</f>
        <v>5.8262974788240003</v>
      </c>
      <c r="N91" s="5">
        <f>Таблица2[[#This Row],[ПНР2010]]*0.9*1.082*1.068*1.059*1.058</f>
        <v>11.582679387902113</v>
      </c>
      <c r="O91" s="5">
        <f>Таблица2[[#This Row],[Оборудование2010]]*0.9*1.082*1.068*1.059*1.058</f>
        <v>3.8103985511508971</v>
      </c>
      <c r="P91" s="20">
        <f>Таблица2[[#This Row],[Прочие2010]]*0.9*1.082*1.068*1.059*1.058</f>
        <v>7.0265147594617448</v>
      </c>
      <c r="Q91" s="5">
        <v>3.64</v>
      </c>
      <c r="R91" s="5">
        <v>4.26</v>
      </c>
      <c r="S91" s="5">
        <v>10.83</v>
      </c>
      <c r="T91" s="5">
        <v>3.94</v>
      </c>
      <c r="U91" s="5">
        <v>7.74</v>
      </c>
      <c r="V91" s="5">
        <v>3.53</v>
      </c>
      <c r="W91" s="6">
        <v>4.18</v>
      </c>
      <c r="X91" s="6">
        <v>10.61</v>
      </c>
      <c r="Y91" s="6">
        <v>3.82</v>
      </c>
      <c r="Z91" s="6">
        <v>7.53</v>
      </c>
    </row>
    <row r="92" spans="3:26" x14ac:dyDescent="0.25">
      <c r="C92" s="10" t="s">
        <v>7</v>
      </c>
      <c r="D92" s="1" t="s">
        <v>19</v>
      </c>
      <c r="E92" s="1" t="s">
        <v>21</v>
      </c>
      <c r="F92" s="11" t="s">
        <v>31</v>
      </c>
      <c r="G92" s="5">
        <v>3.13</v>
      </c>
      <c r="H92" s="5">
        <v>4.5199999999999996</v>
      </c>
      <c r="I92" s="5">
        <v>8.16</v>
      </c>
      <c r="J92" s="5">
        <v>3.27</v>
      </c>
      <c r="K92" s="5">
        <v>6.03</v>
      </c>
      <c r="L92" s="17">
        <f>Таблица2[[#This Row],[ПИР2010]]*0.9*1.082*1.068*1.059*1.058</f>
        <v>3.6472622217438251</v>
      </c>
      <c r="M92" s="5">
        <f>Таблица2[[#This Row],[СМР2010]]*0.9*1.082*1.068*1.059*1.058</f>
        <v>5.2669729208568956</v>
      </c>
      <c r="N92" s="5">
        <f>Таблица2[[#This Row],[ПНР2010]]*0.9*1.082*1.068*1.059*1.058</f>
        <v>9.5085174854407697</v>
      </c>
      <c r="O92" s="5">
        <f>Таблица2[[#This Row],[Оборудование2010]]*0.9*1.082*1.068*1.059*1.058</f>
        <v>3.8103985511508971</v>
      </c>
      <c r="P92" s="20">
        <f>Таблица2[[#This Row],[Прочие2010]]*0.9*1.082*1.068*1.059*1.058</f>
        <v>7.0265147594617448</v>
      </c>
      <c r="Q92" s="5">
        <v>3.64</v>
      </c>
      <c r="R92" s="5">
        <v>5.51</v>
      </c>
      <c r="S92" s="5">
        <v>10.11</v>
      </c>
      <c r="T92" s="5">
        <v>3.94</v>
      </c>
      <c r="U92" s="5">
        <v>7.74</v>
      </c>
      <c r="V92" s="5">
        <v>3.53</v>
      </c>
      <c r="W92" s="6">
        <v>5.41</v>
      </c>
      <c r="X92" s="6">
        <v>9.91</v>
      </c>
      <c r="Y92" s="6">
        <v>3.82</v>
      </c>
      <c r="Z92" s="6">
        <v>7.53</v>
      </c>
    </row>
    <row r="93" spans="3:26" x14ac:dyDescent="0.25">
      <c r="C93" s="10" t="s">
        <v>8</v>
      </c>
      <c r="D93" s="1" t="s">
        <v>19</v>
      </c>
      <c r="E93" s="1" t="s">
        <v>21</v>
      </c>
      <c r="F93" s="11" t="s">
        <v>31</v>
      </c>
      <c r="G93" s="5">
        <v>3.13</v>
      </c>
      <c r="H93" s="5">
        <v>4.7300000000000004</v>
      </c>
      <c r="I93" s="5">
        <v>8.59</v>
      </c>
      <c r="J93" s="5">
        <v>3.27</v>
      </c>
      <c r="K93" s="5">
        <v>6.03</v>
      </c>
      <c r="L93" s="17">
        <f>Таблица2[[#This Row],[ПИР2010]]*0.9*1.082*1.068*1.059*1.058</f>
        <v>3.6472622217438251</v>
      </c>
      <c r="M93" s="5">
        <f>Таблица2[[#This Row],[СМР2010]]*0.9*1.082*1.068*1.059*1.058</f>
        <v>5.5116774149675063</v>
      </c>
      <c r="N93" s="5">
        <f>Таблица2[[#This Row],[ПНР2010]]*0.9*1.082*1.068*1.059*1.058</f>
        <v>10.009579068619635</v>
      </c>
      <c r="O93" s="5">
        <f>Таблица2[[#This Row],[Оборудование2010]]*0.9*1.082*1.068*1.059*1.058</f>
        <v>3.8103985511508971</v>
      </c>
      <c r="P93" s="20">
        <f>Таблица2[[#This Row],[Прочие2010]]*0.9*1.082*1.068*1.059*1.058</f>
        <v>7.0265147594617448</v>
      </c>
      <c r="Q93" s="5">
        <v>3.64</v>
      </c>
      <c r="R93" s="5">
        <v>5.73</v>
      </c>
      <c r="S93" s="5">
        <v>9.91</v>
      </c>
      <c r="T93" s="5">
        <v>3.94</v>
      </c>
      <c r="U93" s="5">
        <v>7.74</v>
      </c>
      <c r="V93" s="5">
        <v>3.53</v>
      </c>
      <c r="W93" s="6">
        <v>5.61</v>
      </c>
      <c r="X93" s="6">
        <v>9.7100000000000009</v>
      </c>
      <c r="Y93" s="6">
        <v>3.82</v>
      </c>
      <c r="Z93" s="6">
        <v>7.53</v>
      </c>
    </row>
    <row r="94" spans="3:26" x14ac:dyDescent="0.25">
      <c r="C94" s="10" t="s">
        <v>9</v>
      </c>
      <c r="D94" s="1" t="s">
        <v>19</v>
      </c>
      <c r="E94" s="1" t="s">
        <v>21</v>
      </c>
      <c r="F94" s="11" t="s">
        <v>31</v>
      </c>
      <c r="G94" s="5">
        <v>3.13</v>
      </c>
      <c r="H94" s="5">
        <v>5.13</v>
      </c>
      <c r="I94" s="5">
        <v>9.27</v>
      </c>
      <c r="J94" s="5">
        <v>3.27</v>
      </c>
      <c r="K94" s="5">
        <v>6.03</v>
      </c>
      <c r="L94" s="17">
        <f>Таблица2[[#This Row],[ПИР2010]]*0.9*1.082*1.068*1.059*1.058</f>
        <v>3.6472622217438251</v>
      </c>
      <c r="M94" s="5">
        <f>Таблица2[[#This Row],[СМР2010]]*0.9*1.082*1.068*1.059*1.058</f>
        <v>5.977781213273424</v>
      </c>
      <c r="N94" s="5">
        <f>Таблица2[[#This Row],[ПНР2010]]*0.9*1.082*1.068*1.059*1.058</f>
        <v>10.801955525739698</v>
      </c>
      <c r="O94" s="5">
        <f>Таблица2[[#This Row],[Оборудование2010]]*0.9*1.082*1.068*1.059*1.058</f>
        <v>3.8103985511508971</v>
      </c>
      <c r="P94" s="20">
        <f>Таблица2[[#This Row],[Прочие2010]]*0.9*1.082*1.068*1.059*1.058</f>
        <v>7.0265147594617448</v>
      </c>
      <c r="Q94" s="5">
        <v>3.64</v>
      </c>
      <c r="R94" s="5">
        <v>5.91</v>
      </c>
      <c r="S94" s="5">
        <v>10.61</v>
      </c>
      <c r="T94" s="5">
        <v>3.94</v>
      </c>
      <c r="U94" s="5">
        <v>7.74</v>
      </c>
      <c r="V94" s="5">
        <v>3.53</v>
      </c>
      <c r="W94" s="6">
        <v>5.91</v>
      </c>
      <c r="X94" s="6">
        <v>10.4</v>
      </c>
      <c r="Y94" s="6">
        <v>3.82</v>
      </c>
      <c r="Z94" s="6">
        <v>7.53</v>
      </c>
    </row>
    <row r="95" spans="3:26" x14ac:dyDescent="0.25">
      <c r="C95" s="10" t="s">
        <v>10</v>
      </c>
      <c r="D95" s="1" t="s">
        <v>19</v>
      </c>
      <c r="E95" s="1" t="s">
        <v>21</v>
      </c>
      <c r="F95" s="11" t="s">
        <v>31</v>
      </c>
      <c r="G95" s="5">
        <v>3.13</v>
      </c>
      <c r="H95" s="6">
        <v>4.74</v>
      </c>
      <c r="I95" s="6">
        <v>10.18</v>
      </c>
      <c r="J95" s="5">
        <v>3.27</v>
      </c>
      <c r="K95" s="5">
        <v>6.03</v>
      </c>
      <c r="L95" s="17">
        <f>Таблица2[[#This Row],[ПИР2010]]*0.9*1.082*1.068*1.059*1.058</f>
        <v>3.6472622217438251</v>
      </c>
      <c r="M95" s="5">
        <f>Таблица2[[#This Row],[СМР2010]]*0.9*1.082*1.068*1.059*1.058</f>
        <v>5.5233300099251519</v>
      </c>
      <c r="N95" s="5">
        <f>Таблица2[[#This Row],[ПНР2010]]*0.9*1.082*1.068*1.059*1.058</f>
        <v>11.862341666885666</v>
      </c>
      <c r="O95" s="5">
        <f>Таблица2[[#This Row],[Оборудование2010]]*0.9*1.082*1.068*1.059*1.058</f>
        <v>3.8103985511508971</v>
      </c>
      <c r="P95" s="20">
        <f>Таблица2[[#This Row],[Прочие2010]]*0.9*1.082*1.068*1.059*1.058</f>
        <v>7.0265147594617448</v>
      </c>
      <c r="Q95" s="5">
        <v>3.64</v>
      </c>
      <c r="R95" s="6">
        <v>5.53</v>
      </c>
      <c r="S95" s="6">
        <v>10.24</v>
      </c>
      <c r="T95" s="5">
        <v>3.94</v>
      </c>
      <c r="U95" s="5">
        <v>7.74</v>
      </c>
      <c r="V95" s="5">
        <v>3.53</v>
      </c>
      <c r="W95" s="6">
        <v>5.43</v>
      </c>
      <c r="X95" s="6">
        <v>10.039999999999999</v>
      </c>
      <c r="Y95" s="6">
        <v>3.82</v>
      </c>
      <c r="Z95" s="6">
        <v>7.53</v>
      </c>
    </row>
    <row r="96" spans="3:26" x14ac:dyDescent="0.25">
      <c r="C96" s="10" t="s">
        <v>11</v>
      </c>
      <c r="D96" s="1" t="s">
        <v>19</v>
      </c>
      <c r="E96" s="1" t="s">
        <v>21</v>
      </c>
      <c r="F96" s="11" t="s">
        <v>31</v>
      </c>
      <c r="G96" s="5">
        <v>3.13</v>
      </c>
      <c r="H96" s="6">
        <v>4.28</v>
      </c>
      <c r="I96" s="6">
        <v>8.75</v>
      </c>
      <c r="J96" s="5">
        <v>3.27</v>
      </c>
      <c r="K96" s="5">
        <v>6.03</v>
      </c>
      <c r="L96" s="17">
        <f>Таблица2[[#This Row],[ПИР2010]]*0.9*1.082*1.068*1.059*1.058</f>
        <v>3.6472622217438251</v>
      </c>
      <c r="M96" s="5">
        <f>Таблица2[[#This Row],[СМР2010]]*0.9*1.082*1.068*1.059*1.058</f>
        <v>4.9873106418733455</v>
      </c>
      <c r="N96" s="5">
        <f>Таблица2[[#This Row],[ПНР2010]]*0.9*1.082*1.068*1.059*1.058</f>
        <v>10.196020587942002</v>
      </c>
      <c r="O96" s="5">
        <f>Таблица2[[#This Row],[Оборудование2010]]*0.9*1.082*1.068*1.059*1.058</f>
        <v>3.8103985511508971</v>
      </c>
      <c r="P96" s="20">
        <f>Таблица2[[#This Row],[Прочие2010]]*0.9*1.082*1.068*1.059*1.058</f>
        <v>7.0265147594617448</v>
      </c>
      <c r="Q96" s="5">
        <v>3.64</v>
      </c>
      <c r="R96" s="6">
        <v>5.23</v>
      </c>
      <c r="S96" s="6">
        <v>10.47</v>
      </c>
      <c r="T96" s="5">
        <v>3.94</v>
      </c>
      <c r="U96" s="5">
        <v>7.74</v>
      </c>
      <c r="V96" s="5">
        <v>3.53</v>
      </c>
      <c r="W96" s="6">
        <v>5.13</v>
      </c>
      <c r="X96" s="6">
        <v>10.27</v>
      </c>
      <c r="Y96" s="6">
        <v>3.82</v>
      </c>
      <c r="Z96" s="6">
        <v>7.53</v>
      </c>
    </row>
    <row r="97" spans="3:26" x14ac:dyDescent="0.25">
      <c r="C97" s="10" t="s">
        <v>12</v>
      </c>
      <c r="D97" s="1" t="s">
        <v>19</v>
      </c>
      <c r="E97" s="1" t="s">
        <v>21</v>
      </c>
      <c r="F97" s="11" t="s">
        <v>31</v>
      </c>
      <c r="G97" s="5">
        <v>3.13</v>
      </c>
      <c r="H97" s="6">
        <v>4.74</v>
      </c>
      <c r="I97" s="6">
        <v>9.25</v>
      </c>
      <c r="J97" s="5">
        <v>3.27</v>
      </c>
      <c r="K97" s="5">
        <v>6.03</v>
      </c>
      <c r="L97" s="17">
        <f>Таблица2[[#This Row],[ПИР2010]]*0.9*1.082*1.068*1.059*1.058</f>
        <v>3.6472622217438251</v>
      </c>
      <c r="M97" s="5">
        <f>Таблица2[[#This Row],[СМР2010]]*0.9*1.082*1.068*1.059*1.058</f>
        <v>5.5233300099251519</v>
      </c>
      <c r="N97" s="5">
        <f>Таблица2[[#This Row],[ПНР2010]]*0.9*1.082*1.068*1.059*1.058</f>
        <v>10.778650335824402</v>
      </c>
      <c r="O97" s="5">
        <f>Таблица2[[#This Row],[Оборудование2010]]*0.9*1.082*1.068*1.059*1.058</f>
        <v>3.8103985511508971</v>
      </c>
      <c r="P97" s="20">
        <f>Таблица2[[#This Row],[Прочие2010]]*0.9*1.082*1.068*1.059*1.058</f>
        <v>7.0265147594617448</v>
      </c>
      <c r="Q97" s="5">
        <v>3.64</v>
      </c>
      <c r="R97" s="6">
        <v>5.56</v>
      </c>
      <c r="S97" s="6">
        <v>9.1300000000000008</v>
      </c>
      <c r="T97" s="5">
        <v>3.94</v>
      </c>
      <c r="U97" s="5">
        <v>7.74</v>
      </c>
      <c r="V97" s="5">
        <v>3.53</v>
      </c>
      <c r="W97" s="6">
        <v>5.46</v>
      </c>
      <c r="X97" s="6">
        <v>8.9499999999999993</v>
      </c>
      <c r="Y97" s="6">
        <v>3.82</v>
      </c>
      <c r="Z97" s="6">
        <v>7.53</v>
      </c>
    </row>
    <row r="98" spans="3:26" x14ac:dyDescent="0.25">
      <c r="C98" s="10" t="s">
        <v>13</v>
      </c>
      <c r="D98" s="1" t="s">
        <v>19</v>
      </c>
      <c r="E98" s="1" t="s">
        <v>21</v>
      </c>
      <c r="F98" s="11" t="s">
        <v>31</v>
      </c>
      <c r="G98" s="5">
        <v>3.13</v>
      </c>
      <c r="H98" s="6">
        <v>4.75</v>
      </c>
      <c r="I98" s="6">
        <v>8.6999999999999993</v>
      </c>
      <c r="J98" s="5">
        <v>3.27</v>
      </c>
      <c r="K98" s="5">
        <v>6.03</v>
      </c>
      <c r="L98" s="17">
        <f>Таблица2[[#This Row],[ПИР2010]]*0.9*1.082*1.068*1.059*1.058</f>
        <v>3.6472622217438251</v>
      </c>
      <c r="M98" s="5">
        <f>Таблица2[[#This Row],[СМР2010]]*0.9*1.082*1.068*1.059*1.058</f>
        <v>5.5349826048828019</v>
      </c>
      <c r="N98" s="5">
        <f>Таблица2[[#This Row],[ПНР2010]]*0.9*1.082*1.068*1.059*1.058</f>
        <v>10.137757613153759</v>
      </c>
      <c r="O98" s="5">
        <f>Таблица2[[#This Row],[Оборудование2010]]*0.9*1.082*1.068*1.059*1.058</f>
        <v>3.8103985511508971</v>
      </c>
      <c r="P98" s="20">
        <f>Таблица2[[#This Row],[Прочие2010]]*0.9*1.082*1.068*1.059*1.058</f>
        <v>7.0265147594617448</v>
      </c>
      <c r="Q98" s="5">
        <v>3.64</v>
      </c>
      <c r="R98" s="6">
        <v>5.77</v>
      </c>
      <c r="S98" s="6">
        <v>10.54</v>
      </c>
      <c r="T98" s="5">
        <v>3.94</v>
      </c>
      <c r="U98" s="5">
        <v>7.74</v>
      </c>
      <c r="V98" s="5">
        <v>3.53</v>
      </c>
      <c r="W98" s="6">
        <v>5.65</v>
      </c>
      <c r="X98" s="6">
        <v>10.34</v>
      </c>
      <c r="Y98" s="6">
        <v>3.82</v>
      </c>
      <c r="Z98" s="6">
        <v>7.53</v>
      </c>
    </row>
    <row r="99" spans="3:26" x14ac:dyDescent="0.25">
      <c r="C99" s="10" t="s">
        <v>14</v>
      </c>
      <c r="D99" s="1" t="s">
        <v>19</v>
      </c>
      <c r="E99" s="1" t="s">
        <v>21</v>
      </c>
      <c r="F99" s="11" t="s">
        <v>31</v>
      </c>
      <c r="G99" s="5">
        <v>3.13</v>
      </c>
      <c r="H99" s="6">
        <v>4.62</v>
      </c>
      <c r="I99" s="6">
        <v>8.59</v>
      </c>
      <c r="J99" s="5">
        <v>3.27</v>
      </c>
      <c r="K99" s="5">
        <v>6.03</v>
      </c>
      <c r="L99" s="17">
        <f>Таблица2[[#This Row],[ПИР2010]]*0.9*1.082*1.068*1.059*1.058</f>
        <v>3.6472622217438251</v>
      </c>
      <c r="M99" s="5">
        <f>Таблица2[[#This Row],[СМР2010]]*0.9*1.082*1.068*1.059*1.058</f>
        <v>5.3834988704333773</v>
      </c>
      <c r="N99" s="5">
        <f>Таблица2[[#This Row],[ПНР2010]]*0.9*1.082*1.068*1.059*1.058</f>
        <v>10.009579068619635</v>
      </c>
      <c r="O99" s="5">
        <f>Таблица2[[#This Row],[Оборудование2010]]*0.9*1.082*1.068*1.059*1.058</f>
        <v>3.8103985511508971</v>
      </c>
      <c r="P99" s="20">
        <f>Таблица2[[#This Row],[Прочие2010]]*0.9*1.082*1.068*1.059*1.058</f>
        <v>7.0265147594617448</v>
      </c>
      <c r="Q99" s="5">
        <v>3.64</v>
      </c>
      <c r="R99" s="6">
        <v>5.46</v>
      </c>
      <c r="S99" s="6">
        <v>10.42</v>
      </c>
      <c r="T99" s="5">
        <v>3.94</v>
      </c>
      <c r="U99" s="5">
        <v>7.74</v>
      </c>
      <c r="V99" s="5">
        <v>3.53</v>
      </c>
      <c r="W99" s="6">
        <v>5.36</v>
      </c>
      <c r="X99" s="6">
        <v>10.220000000000001</v>
      </c>
      <c r="Y99" s="6">
        <v>3.82</v>
      </c>
      <c r="Z99" s="6">
        <v>7.53</v>
      </c>
    </row>
    <row r="100" spans="3:26" x14ac:dyDescent="0.25">
      <c r="C100" s="10" t="s">
        <v>15</v>
      </c>
      <c r="D100" s="1" t="s">
        <v>19</v>
      </c>
      <c r="E100" s="1" t="s">
        <v>21</v>
      </c>
      <c r="F100" s="11" t="s">
        <v>31</v>
      </c>
      <c r="G100" s="5">
        <v>3.13</v>
      </c>
      <c r="H100" s="6">
        <v>5</v>
      </c>
      <c r="I100" s="6">
        <v>9.09</v>
      </c>
      <c r="J100" s="5">
        <v>3.27</v>
      </c>
      <c r="K100" s="5">
        <v>6.03</v>
      </c>
      <c r="L100" s="17">
        <f>Таблица2[[#This Row],[ПИР2010]]*0.9*1.082*1.068*1.059*1.058</f>
        <v>3.6472622217438251</v>
      </c>
      <c r="M100" s="5">
        <f>Таблица2[[#This Row],[СМР2010]]*0.9*1.082*1.068*1.059*1.058</f>
        <v>5.8262974788240003</v>
      </c>
      <c r="N100" s="5">
        <f>Таблица2[[#This Row],[ПНР2010]]*0.9*1.082*1.068*1.059*1.058</f>
        <v>10.592208816502035</v>
      </c>
      <c r="O100" s="5">
        <f>Таблица2[[#This Row],[Оборудование2010]]*0.9*1.082*1.068*1.059*1.058</f>
        <v>3.8103985511508971</v>
      </c>
      <c r="P100" s="20">
        <f>Таблица2[[#This Row],[Прочие2010]]*0.9*1.082*1.068*1.059*1.058</f>
        <v>7.0265147594617448</v>
      </c>
      <c r="Q100" s="5">
        <v>3.64</v>
      </c>
      <c r="R100" s="6">
        <v>5.98</v>
      </c>
      <c r="S100" s="6">
        <v>10.1</v>
      </c>
      <c r="T100" s="5">
        <v>3.94</v>
      </c>
      <c r="U100" s="5">
        <v>7.74</v>
      </c>
      <c r="V100" s="5">
        <v>3.53</v>
      </c>
      <c r="W100" s="6">
        <v>5.86</v>
      </c>
      <c r="X100" s="6">
        <v>9.9</v>
      </c>
      <c r="Y100" s="6">
        <v>3.82</v>
      </c>
      <c r="Z100" s="6">
        <v>7.53</v>
      </c>
    </row>
    <row r="101" spans="3:26" x14ac:dyDescent="0.25">
      <c r="C101" s="10" t="s">
        <v>16</v>
      </c>
      <c r="D101" s="1" t="s">
        <v>19</v>
      </c>
      <c r="E101" s="1" t="s">
        <v>21</v>
      </c>
      <c r="F101" s="11" t="s">
        <v>31</v>
      </c>
      <c r="G101" s="5">
        <v>3.13</v>
      </c>
      <c r="H101" s="6">
        <v>5.56</v>
      </c>
      <c r="I101" s="6">
        <v>10.45</v>
      </c>
      <c r="J101" s="5">
        <v>3.27</v>
      </c>
      <c r="K101" s="5">
        <v>6.03</v>
      </c>
      <c r="L101" s="17">
        <f>Таблица2[[#This Row],[ПИР2010]]*0.9*1.082*1.068*1.059*1.058</f>
        <v>3.6472622217438251</v>
      </c>
      <c r="M101" s="5">
        <f>Таблица2[[#This Row],[СМР2010]]*0.9*1.082*1.068*1.059*1.058</f>
        <v>6.4788427964522883</v>
      </c>
      <c r="N101" s="5">
        <f>Таблица2[[#This Row],[ПНР2010]]*0.9*1.082*1.068*1.059*1.058</f>
        <v>12.176961730742162</v>
      </c>
      <c r="O101" s="5">
        <f>Таблица2[[#This Row],[Оборудование2010]]*0.9*1.082*1.068*1.059*1.058</f>
        <v>3.8103985511508971</v>
      </c>
      <c r="P101" s="20">
        <f>Таблица2[[#This Row],[Прочие2010]]*0.9*1.082*1.068*1.059*1.058</f>
        <v>7.0265147594617448</v>
      </c>
      <c r="Q101" s="5">
        <v>3.64</v>
      </c>
      <c r="R101" s="6">
        <v>5.8</v>
      </c>
      <c r="S101" s="6">
        <v>11.64</v>
      </c>
      <c r="T101" s="5">
        <v>3.94</v>
      </c>
      <c r="U101" s="5">
        <v>7.74</v>
      </c>
      <c r="V101" s="5">
        <v>3.53</v>
      </c>
      <c r="W101" s="6">
        <v>5.92</v>
      </c>
      <c r="X101" s="6">
        <v>11.41</v>
      </c>
      <c r="Y101" s="6">
        <v>3.82</v>
      </c>
      <c r="Z101" s="6">
        <v>7.53</v>
      </c>
    </row>
    <row r="102" spans="3:26" x14ac:dyDescent="0.25">
      <c r="C102" s="10" t="s">
        <v>17</v>
      </c>
      <c r="D102" s="1" t="s">
        <v>19</v>
      </c>
      <c r="E102" s="1" t="s">
        <v>21</v>
      </c>
      <c r="F102" s="11" t="s">
        <v>31</v>
      </c>
      <c r="G102" s="5">
        <v>3.13</v>
      </c>
      <c r="H102" s="6">
        <v>4.51</v>
      </c>
      <c r="I102" s="6">
        <v>9.94</v>
      </c>
      <c r="J102" s="5">
        <v>3.27</v>
      </c>
      <c r="K102" s="5">
        <v>6.03</v>
      </c>
      <c r="L102" s="17">
        <f>Таблица2[[#This Row],[ПИР2010]]*0.9*1.082*1.068*1.059*1.058</f>
        <v>3.6472622217438251</v>
      </c>
      <c r="M102" s="5">
        <f>Таблица2[[#This Row],[СМР2010]]*0.9*1.082*1.068*1.059*1.058</f>
        <v>5.2553203258992491</v>
      </c>
      <c r="N102" s="5">
        <f>Таблица2[[#This Row],[ПНР2010]]*0.9*1.082*1.068*1.059*1.058</f>
        <v>11.582679387902113</v>
      </c>
      <c r="O102" s="5">
        <f>Таблица2[[#This Row],[Оборудование2010]]*0.9*1.082*1.068*1.059*1.058</f>
        <v>3.8103985511508971</v>
      </c>
      <c r="P102" s="20">
        <f>Таблица2[[#This Row],[Прочие2010]]*0.9*1.082*1.068*1.059*1.058</f>
        <v>7.0265147594617448</v>
      </c>
      <c r="Q102" s="5">
        <v>3.64</v>
      </c>
      <c r="R102" s="6">
        <v>5.36</v>
      </c>
      <c r="S102" s="6">
        <v>10.83</v>
      </c>
      <c r="T102" s="5">
        <v>3.94</v>
      </c>
      <c r="U102" s="5">
        <v>7.74</v>
      </c>
      <c r="V102" s="5">
        <v>3.53</v>
      </c>
      <c r="W102" s="6">
        <v>5.26</v>
      </c>
      <c r="X102" s="6">
        <v>10.61</v>
      </c>
      <c r="Y102" s="6">
        <v>3.82</v>
      </c>
      <c r="Z102" s="6">
        <v>7.53</v>
      </c>
    </row>
    <row r="103" spans="3:26" x14ac:dyDescent="0.25">
      <c r="C103" s="10" t="s">
        <v>7</v>
      </c>
      <c r="D103" s="1" t="s">
        <v>19</v>
      </c>
      <c r="E103" s="1" t="s">
        <v>22</v>
      </c>
      <c r="F103" s="11" t="s">
        <v>31</v>
      </c>
      <c r="G103" s="5">
        <v>3.13</v>
      </c>
      <c r="H103" s="6">
        <v>4.5199999999999996</v>
      </c>
      <c r="I103" s="6">
        <v>8.16</v>
      </c>
      <c r="J103" s="5">
        <v>3.27</v>
      </c>
      <c r="K103" s="5">
        <v>6.03</v>
      </c>
      <c r="L103" s="17">
        <f>Таблица2[[#This Row],[ПИР2010]]*0.9*1.082*1.068*1.059*1.058</f>
        <v>3.6472622217438251</v>
      </c>
      <c r="M103" s="5">
        <f>Таблица2[[#This Row],[СМР2010]]*0.9*1.082*1.068*1.059*1.058</f>
        <v>5.2669729208568956</v>
      </c>
      <c r="N103" s="5">
        <f>Таблица2[[#This Row],[ПНР2010]]*0.9*1.082*1.068*1.059*1.058</f>
        <v>9.5085174854407697</v>
      </c>
      <c r="O103" s="5">
        <f>Таблица2[[#This Row],[Оборудование2010]]*0.9*1.082*1.068*1.059*1.058</f>
        <v>3.8103985511508971</v>
      </c>
      <c r="P103" s="20">
        <f>Таблица2[[#This Row],[Прочие2010]]*0.9*1.082*1.068*1.059*1.058</f>
        <v>7.0265147594617448</v>
      </c>
      <c r="Q103" s="5">
        <v>3.64</v>
      </c>
      <c r="R103" s="6">
        <v>5.51</v>
      </c>
      <c r="S103" s="6">
        <v>10.11</v>
      </c>
      <c r="T103" s="5">
        <v>3.94</v>
      </c>
      <c r="U103" s="5">
        <v>7.74</v>
      </c>
      <c r="V103" s="5">
        <v>3.53</v>
      </c>
      <c r="W103" s="6">
        <v>5.41</v>
      </c>
      <c r="X103" s="6">
        <v>9.91</v>
      </c>
      <c r="Y103" s="6">
        <v>3.82</v>
      </c>
      <c r="Z103" s="6">
        <v>7.53</v>
      </c>
    </row>
    <row r="104" spans="3:26" x14ac:dyDescent="0.25">
      <c r="C104" s="10" t="s">
        <v>8</v>
      </c>
      <c r="D104" s="1" t="s">
        <v>19</v>
      </c>
      <c r="E104" s="1" t="s">
        <v>22</v>
      </c>
      <c r="F104" s="11" t="s">
        <v>31</v>
      </c>
      <c r="G104" s="5">
        <v>3.13</v>
      </c>
      <c r="H104" s="6">
        <v>4.7300000000000004</v>
      </c>
      <c r="I104" s="6">
        <v>8.59</v>
      </c>
      <c r="J104" s="5">
        <v>3.27</v>
      </c>
      <c r="K104" s="5">
        <v>6.03</v>
      </c>
      <c r="L104" s="17">
        <f>Таблица2[[#This Row],[ПИР2010]]*0.9*1.082*1.068*1.059*1.058</f>
        <v>3.6472622217438251</v>
      </c>
      <c r="M104" s="5">
        <f>Таблица2[[#This Row],[СМР2010]]*0.9*1.082*1.068*1.059*1.058</f>
        <v>5.5116774149675063</v>
      </c>
      <c r="N104" s="5">
        <f>Таблица2[[#This Row],[ПНР2010]]*0.9*1.082*1.068*1.059*1.058</f>
        <v>10.009579068619635</v>
      </c>
      <c r="O104" s="5">
        <f>Таблица2[[#This Row],[Оборудование2010]]*0.9*1.082*1.068*1.059*1.058</f>
        <v>3.8103985511508971</v>
      </c>
      <c r="P104" s="20">
        <f>Таблица2[[#This Row],[Прочие2010]]*0.9*1.082*1.068*1.059*1.058</f>
        <v>7.0265147594617448</v>
      </c>
      <c r="Q104" s="5">
        <v>3.64</v>
      </c>
      <c r="R104" s="6">
        <v>5.73</v>
      </c>
      <c r="S104" s="6">
        <v>9.91</v>
      </c>
      <c r="T104" s="5">
        <v>3.94</v>
      </c>
      <c r="U104" s="5">
        <v>7.74</v>
      </c>
      <c r="V104" s="5">
        <v>3.53</v>
      </c>
      <c r="W104" s="6">
        <v>5.61</v>
      </c>
      <c r="X104" s="6">
        <v>9.7100000000000009</v>
      </c>
      <c r="Y104" s="6">
        <v>3.82</v>
      </c>
      <c r="Z104" s="6">
        <v>7.53</v>
      </c>
    </row>
    <row r="105" spans="3:26" x14ac:dyDescent="0.25">
      <c r="C105" s="10" t="s">
        <v>9</v>
      </c>
      <c r="D105" s="1" t="s">
        <v>19</v>
      </c>
      <c r="E105" s="1" t="s">
        <v>22</v>
      </c>
      <c r="F105" s="11" t="s">
        <v>31</v>
      </c>
      <c r="G105" s="5">
        <v>3.13</v>
      </c>
      <c r="H105" s="6">
        <v>5.13</v>
      </c>
      <c r="I105" s="6">
        <v>9.27</v>
      </c>
      <c r="J105" s="5">
        <v>3.27</v>
      </c>
      <c r="K105" s="5">
        <v>6.03</v>
      </c>
      <c r="L105" s="17">
        <f>Таблица2[[#This Row],[ПИР2010]]*0.9*1.082*1.068*1.059*1.058</f>
        <v>3.6472622217438251</v>
      </c>
      <c r="M105" s="5">
        <f>Таблица2[[#This Row],[СМР2010]]*0.9*1.082*1.068*1.059*1.058</f>
        <v>5.977781213273424</v>
      </c>
      <c r="N105" s="5">
        <f>Таблица2[[#This Row],[ПНР2010]]*0.9*1.082*1.068*1.059*1.058</f>
        <v>10.801955525739698</v>
      </c>
      <c r="O105" s="5">
        <f>Таблица2[[#This Row],[Оборудование2010]]*0.9*1.082*1.068*1.059*1.058</f>
        <v>3.8103985511508971</v>
      </c>
      <c r="P105" s="20">
        <f>Таблица2[[#This Row],[Прочие2010]]*0.9*1.082*1.068*1.059*1.058</f>
        <v>7.0265147594617448</v>
      </c>
      <c r="Q105" s="5">
        <v>3.64</v>
      </c>
      <c r="R105" s="6">
        <v>5.91</v>
      </c>
      <c r="S105" s="6">
        <v>10.61</v>
      </c>
      <c r="T105" s="5">
        <v>3.94</v>
      </c>
      <c r="U105" s="5">
        <v>7.74</v>
      </c>
      <c r="V105" s="5">
        <v>3.53</v>
      </c>
      <c r="W105" s="6">
        <v>5.91</v>
      </c>
      <c r="X105" s="6">
        <v>10.4</v>
      </c>
      <c r="Y105" s="6">
        <v>3.82</v>
      </c>
      <c r="Z105" s="6">
        <v>7.53</v>
      </c>
    </row>
    <row r="106" spans="3:26" x14ac:dyDescent="0.25">
      <c r="C106" s="10" t="s">
        <v>10</v>
      </c>
      <c r="D106" s="1" t="s">
        <v>19</v>
      </c>
      <c r="E106" s="1" t="s">
        <v>22</v>
      </c>
      <c r="F106" s="11" t="s">
        <v>31</v>
      </c>
      <c r="G106" s="5">
        <v>3.13</v>
      </c>
      <c r="H106" s="6">
        <v>4.74</v>
      </c>
      <c r="I106" s="6">
        <v>10.18</v>
      </c>
      <c r="J106" s="5">
        <v>3.27</v>
      </c>
      <c r="K106" s="5">
        <v>6.03</v>
      </c>
      <c r="L106" s="17">
        <f>Таблица2[[#This Row],[ПИР2010]]*0.9*1.082*1.068*1.059*1.058</f>
        <v>3.6472622217438251</v>
      </c>
      <c r="M106" s="5">
        <f>Таблица2[[#This Row],[СМР2010]]*0.9*1.082*1.068*1.059*1.058</f>
        <v>5.5233300099251519</v>
      </c>
      <c r="N106" s="5">
        <f>Таблица2[[#This Row],[ПНР2010]]*0.9*1.082*1.068*1.059*1.058</f>
        <v>11.862341666885666</v>
      </c>
      <c r="O106" s="5">
        <f>Таблица2[[#This Row],[Оборудование2010]]*0.9*1.082*1.068*1.059*1.058</f>
        <v>3.8103985511508971</v>
      </c>
      <c r="P106" s="20">
        <f>Таблица2[[#This Row],[Прочие2010]]*0.9*1.082*1.068*1.059*1.058</f>
        <v>7.0265147594617448</v>
      </c>
      <c r="Q106" s="5">
        <v>3.64</v>
      </c>
      <c r="R106" s="6">
        <v>5.53</v>
      </c>
      <c r="S106" s="6">
        <v>10.24</v>
      </c>
      <c r="T106" s="5">
        <v>3.94</v>
      </c>
      <c r="U106" s="5">
        <v>7.74</v>
      </c>
      <c r="V106" s="5">
        <v>3.53</v>
      </c>
      <c r="W106" s="6">
        <v>5.43</v>
      </c>
      <c r="X106" s="6">
        <v>10.039999999999999</v>
      </c>
      <c r="Y106" s="6">
        <v>3.82</v>
      </c>
      <c r="Z106" s="6">
        <v>7.53</v>
      </c>
    </row>
    <row r="107" spans="3:26" x14ac:dyDescent="0.25">
      <c r="C107" s="10" t="s">
        <v>11</v>
      </c>
      <c r="D107" s="1" t="s">
        <v>19</v>
      </c>
      <c r="E107" s="1" t="s">
        <v>22</v>
      </c>
      <c r="F107" s="11" t="s">
        <v>31</v>
      </c>
      <c r="G107" s="5">
        <v>3.13</v>
      </c>
      <c r="H107" s="6">
        <v>4.28</v>
      </c>
      <c r="I107" s="6">
        <v>8.75</v>
      </c>
      <c r="J107" s="5">
        <v>3.27</v>
      </c>
      <c r="K107" s="5">
        <v>6.03</v>
      </c>
      <c r="L107" s="17">
        <f>Таблица2[[#This Row],[ПИР2010]]*0.9*1.082*1.068*1.059*1.058</f>
        <v>3.6472622217438251</v>
      </c>
      <c r="M107" s="5">
        <f>Таблица2[[#This Row],[СМР2010]]*0.9*1.082*1.068*1.059*1.058</f>
        <v>4.9873106418733455</v>
      </c>
      <c r="N107" s="5">
        <f>Таблица2[[#This Row],[ПНР2010]]*0.9*1.082*1.068*1.059*1.058</f>
        <v>10.196020587942002</v>
      </c>
      <c r="O107" s="5">
        <f>Таблица2[[#This Row],[Оборудование2010]]*0.9*1.082*1.068*1.059*1.058</f>
        <v>3.8103985511508971</v>
      </c>
      <c r="P107" s="20">
        <f>Таблица2[[#This Row],[Прочие2010]]*0.9*1.082*1.068*1.059*1.058</f>
        <v>7.0265147594617448</v>
      </c>
      <c r="Q107" s="5">
        <v>3.64</v>
      </c>
      <c r="R107" s="6">
        <v>5.23</v>
      </c>
      <c r="S107" s="6">
        <v>10.47</v>
      </c>
      <c r="T107" s="5">
        <v>3.94</v>
      </c>
      <c r="U107" s="5">
        <v>7.74</v>
      </c>
      <c r="V107" s="5">
        <v>3.53</v>
      </c>
      <c r="W107" s="6">
        <v>5.13</v>
      </c>
      <c r="X107" s="6">
        <v>10.27</v>
      </c>
      <c r="Y107" s="6">
        <v>3.82</v>
      </c>
      <c r="Z107" s="6">
        <v>7.53</v>
      </c>
    </row>
    <row r="108" spans="3:26" x14ac:dyDescent="0.25">
      <c r="C108" s="10" t="s">
        <v>12</v>
      </c>
      <c r="D108" s="1" t="s">
        <v>19</v>
      </c>
      <c r="E108" s="1" t="s">
        <v>22</v>
      </c>
      <c r="F108" s="11" t="s">
        <v>31</v>
      </c>
      <c r="G108" s="5">
        <v>3.13</v>
      </c>
      <c r="H108" s="6">
        <v>4.74</v>
      </c>
      <c r="I108" s="6">
        <v>9.25</v>
      </c>
      <c r="J108" s="5">
        <v>3.27</v>
      </c>
      <c r="K108" s="5">
        <v>6.03</v>
      </c>
      <c r="L108" s="17">
        <f>Таблица2[[#This Row],[ПИР2010]]*0.9*1.082*1.068*1.059*1.058</f>
        <v>3.6472622217438251</v>
      </c>
      <c r="M108" s="5">
        <f>Таблица2[[#This Row],[СМР2010]]*0.9*1.082*1.068*1.059*1.058</f>
        <v>5.5233300099251519</v>
      </c>
      <c r="N108" s="5">
        <f>Таблица2[[#This Row],[ПНР2010]]*0.9*1.082*1.068*1.059*1.058</f>
        <v>10.778650335824402</v>
      </c>
      <c r="O108" s="5">
        <f>Таблица2[[#This Row],[Оборудование2010]]*0.9*1.082*1.068*1.059*1.058</f>
        <v>3.8103985511508971</v>
      </c>
      <c r="P108" s="20">
        <f>Таблица2[[#This Row],[Прочие2010]]*0.9*1.082*1.068*1.059*1.058</f>
        <v>7.0265147594617448</v>
      </c>
      <c r="Q108" s="5">
        <v>3.64</v>
      </c>
      <c r="R108" s="6">
        <v>5.56</v>
      </c>
      <c r="S108" s="6">
        <v>9.1300000000000008</v>
      </c>
      <c r="T108" s="5">
        <v>3.94</v>
      </c>
      <c r="U108" s="5">
        <v>7.74</v>
      </c>
      <c r="V108" s="5">
        <v>3.53</v>
      </c>
      <c r="W108" s="6">
        <v>5.46</v>
      </c>
      <c r="X108" s="6">
        <v>8.9499999999999993</v>
      </c>
      <c r="Y108" s="6">
        <v>3.82</v>
      </c>
      <c r="Z108" s="6">
        <v>7.53</v>
      </c>
    </row>
    <row r="109" spans="3:26" x14ac:dyDescent="0.25">
      <c r="C109" s="10" t="s">
        <v>13</v>
      </c>
      <c r="D109" s="1" t="s">
        <v>19</v>
      </c>
      <c r="E109" s="1" t="s">
        <v>22</v>
      </c>
      <c r="F109" s="11" t="s">
        <v>31</v>
      </c>
      <c r="G109" s="5">
        <v>3.13</v>
      </c>
      <c r="H109" s="6">
        <v>4.75</v>
      </c>
      <c r="I109" s="6">
        <v>8.6999999999999993</v>
      </c>
      <c r="J109" s="5">
        <v>3.27</v>
      </c>
      <c r="K109" s="5">
        <v>6.03</v>
      </c>
      <c r="L109" s="17">
        <f>Таблица2[[#This Row],[ПИР2010]]*0.9*1.082*1.068*1.059*1.058</f>
        <v>3.6472622217438251</v>
      </c>
      <c r="M109" s="5">
        <f>Таблица2[[#This Row],[СМР2010]]*0.9*1.082*1.068*1.059*1.058</f>
        <v>5.5349826048828019</v>
      </c>
      <c r="N109" s="5">
        <f>Таблица2[[#This Row],[ПНР2010]]*0.9*1.082*1.068*1.059*1.058</f>
        <v>10.137757613153759</v>
      </c>
      <c r="O109" s="5">
        <f>Таблица2[[#This Row],[Оборудование2010]]*0.9*1.082*1.068*1.059*1.058</f>
        <v>3.8103985511508971</v>
      </c>
      <c r="P109" s="20">
        <f>Таблица2[[#This Row],[Прочие2010]]*0.9*1.082*1.068*1.059*1.058</f>
        <v>7.0265147594617448</v>
      </c>
      <c r="Q109" s="5">
        <v>3.64</v>
      </c>
      <c r="R109" s="6">
        <v>5.77</v>
      </c>
      <c r="S109" s="6">
        <v>10.54</v>
      </c>
      <c r="T109" s="5">
        <v>3.94</v>
      </c>
      <c r="U109" s="5">
        <v>7.74</v>
      </c>
      <c r="V109" s="5">
        <v>3.53</v>
      </c>
      <c r="W109" s="6">
        <v>5.65</v>
      </c>
      <c r="X109" s="6">
        <v>10.34</v>
      </c>
      <c r="Y109" s="6">
        <v>3.82</v>
      </c>
      <c r="Z109" s="6">
        <v>7.53</v>
      </c>
    </row>
    <row r="110" spans="3:26" x14ac:dyDescent="0.25">
      <c r="C110" s="10" t="s">
        <v>14</v>
      </c>
      <c r="D110" s="1" t="s">
        <v>19</v>
      </c>
      <c r="E110" s="1" t="s">
        <v>22</v>
      </c>
      <c r="F110" s="11" t="s">
        <v>31</v>
      </c>
      <c r="G110" s="5">
        <v>3.13</v>
      </c>
      <c r="H110" s="6">
        <v>5.18</v>
      </c>
      <c r="I110" s="6">
        <v>8.59</v>
      </c>
      <c r="J110" s="5">
        <v>3.27</v>
      </c>
      <c r="K110" s="5">
        <v>6.03</v>
      </c>
      <c r="L110" s="17">
        <f>Таблица2[[#This Row],[ПИР2010]]*0.9*1.082*1.068*1.059*1.058</f>
        <v>3.6472622217438251</v>
      </c>
      <c r="M110" s="5">
        <f>Таблица2[[#This Row],[СМР2010]]*0.9*1.082*1.068*1.059*1.058</f>
        <v>6.0360441880616644</v>
      </c>
      <c r="N110" s="5">
        <f>Таблица2[[#This Row],[ПНР2010]]*0.9*1.082*1.068*1.059*1.058</f>
        <v>10.009579068619635</v>
      </c>
      <c r="O110" s="5">
        <f>Таблица2[[#This Row],[Оборудование2010]]*0.9*1.082*1.068*1.059*1.058</f>
        <v>3.8103985511508971</v>
      </c>
      <c r="P110" s="20">
        <f>Таблица2[[#This Row],[Прочие2010]]*0.9*1.082*1.068*1.059*1.058</f>
        <v>7.0265147594617448</v>
      </c>
      <c r="Q110" s="5">
        <v>3.64</v>
      </c>
      <c r="R110" s="6">
        <v>5.46</v>
      </c>
      <c r="S110" s="6">
        <v>10.42</v>
      </c>
      <c r="T110" s="5">
        <v>3.94</v>
      </c>
      <c r="U110" s="5">
        <v>7.74</v>
      </c>
      <c r="V110" s="5">
        <v>3.53</v>
      </c>
      <c r="W110" s="6">
        <v>5.36</v>
      </c>
      <c r="X110" s="6">
        <v>10.220000000000001</v>
      </c>
      <c r="Y110" s="6">
        <v>3.82</v>
      </c>
      <c r="Z110" s="6">
        <v>7.53</v>
      </c>
    </row>
    <row r="111" spans="3:26" x14ac:dyDescent="0.25">
      <c r="C111" s="10" t="s">
        <v>15</v>
      </c>
      <c r="D111" s="1" t="s">
        <v>19</v>
      </c>
      <c r="E111" s="1" t="s">
        <v>22</v>
      </c>
      <c r="F111" s="11" t="s">
        <v>31</v>
      </c>
      <c r="G111" s="5">
        <v>3.13</v>
      </c>
      <c r="H111" s="6">
        <v>5</v>
      </c>
      <c r="I111" s="6">
        <v>9.09</v>
      </c>
      <c r="J111" s="5">
        <v>3.27</v>
      </c>
      <c r="K111" s="5">
        <v>6.03</v>
      </c>
      <c r="L111" s="17">
        <f>Таблица2[[#This Row],[ПИР2010]]*0.9*1.082*1.068*1.059*1.058</f>
        <v>3.6472622217438251</v>
      </c>
      <c r="M111" s="5">
        <f>Таблица2[[#This Row],[СМР2010]]*0.9*1.082*1.068*1.059*1.058</f>
        <v>5.8262974788240003</v>
      </c>
      <c r="N111" s="5">
        <f>Таблица2[[#This Row],[ПНР2010]]*0.9*1.082*1.068*1.059*1.058</f>
        <v>10.592208816502035</v>
      </c>
      <c r="O111" s="5">
        <f>Таблица2[[#This Row],[Оборудование2010]]*0.9*1.082*1.068*1.059*1.058</f>
        <v>3.8103985511508971</v>
      </c>
      <c r="P111" s="20">
        <f>Таблица2[[#This Row],[Прочие2010]]*0.9*1.082*1.068*1.059*1.058</f>
        <v>7.0265147594617448</v>
      </c>
      <c r="Q111" s="5">
        <v>3.64</v>
      </c>
      <c r="R111" s="6">
        <v>5.98</v>
      </c>
      <c r="S111" s="6">
        <v>10.1</v>
      </c>
      <c r="T111" s="5">
        <v>3.94</v>
      </c>
      <c r="U111" s="5">
        <v>7.74</v>
      </c>
      <c r="V111" s="5">
        <v>3.53</v>
      </c>
      <c r="W111" s="6">
        <v>5.86</v>
      </c>
      <c r="X111" s="6">
        <v>9.9</v>
      </c>
      <c r="Y111" s="6">
        <v>3.82</v>
      </c>
      <c r="Z111" s="6">
        <v>7.53</v>
      </c>
    </row>
    <row r="112" spans="3:26" x14ac:dyDescent="0.25">
      <c r="C112" s="10" t="s">
        <v>16</v>
      </c>
      <c r="D112" s="1" t="s">
        <v>19</v>
      </c>
      <c r="E112" s="1" t="s">
        <v>22</v>
      </c>
      <c r="F112" s="11" t="s">
        <v>31</v>
      </c>
      <c r="G112" s="5">
        <v>3.13</v>
      </c>
      <c r="H112" s="6">
        <v>5.56</v>
      </c>
      <c r="I112" s="6">
        <v>10.45</v>
      </c>
      <c r="J112" s="5">
        <v>3.27</v>
      </c>
      <c r="K112" s="5">
        <v>6.03</v>
      </c>
      <c r="L112" s="17">
        <f>Таблица2[[#This Row],[ПИР2010]]*0.9*1.082*1.068*1.059*1.058</f>
        <v>3.6472622217438251</v>
      </c>
      <c r="M112" s="5">
        <f>Таблица2[[#This Row],[СМР2010]]*0.9*1.082*1.068*1.059*1.058</f>
        <v>6.4788427964522883</v>
      </c>
      <c r="N112" s="5">
        <f>Таблица2[[#This Row],[ПНР2010]]*0.9*1.082*1.068*1.059*1.058</f>
        <v>12.176961730742162</v>
      </c>
      <c r="O112" s="5">
        <f>Таблица2[[#This Row],[Оборудование2010]]*0.9*1.082*1.068*1.059*1.058</f>
        <v>3.8103985511508971</v>
      </c>
      <c r="P112" s="20">
        <f>Таблица2[[#This Row],[Прочие2010]]*0.9*1.082*1.068*1.059*1.058</f>
        <v>7.0265147594617448</v>
      </c>
      <c r="Q112" s="5">
        <v>3.64</v>
      </c>
      <c r="R112" s="6">
        <v>5.8</v>
      </c>
      <c r="S112" s="6">
        <v>11.64</v>
      </c>
      <c r="T112" s="5">
        <v>3.94</v>
      </c>
      <c r="U112" s="5">
        <v>7.74</v>
      </c>
      <c r="V112" s="5">
        <v>3.53</v>
      </c>
      <c r="W112" s="6">
        <v>5.92</v>
      </c>
      <c r="X112" s="6">
        <v>11.41</v>
      </c>
      <c r="Y112" s="6">
        <v>3.82</v>
      </c>
      <c r="Z112" s="6">
        <v>7.53</v>
      </c>
    </row>
    <row r="113" spans="3:26" x14ac:dyDescent="0.25">
      <c r="C113" s="10" t="s">
        <v>17</v>
      </c>
      <c r="D113" s="1" t="s">
        <v>19</v>
      </c>
      <c r="E113" s="1" t="s">
        <v>22</v>
      </c>
      <c r="F113" s="11" t="s">
        <v>31</v>
      </c>
      <c r="G113" s="5">
        <v>3.13</v>
      </c>
      <c r="H113" s="6">
        <v>4.51</v>
      </c>
      <c r="I113" s="6">
        <v>9.94</v>
      </c>
      <c r="J113" s="5">
        <v>3.27</v>
      </c>
      <c r="K113" s="5">
        <v>6.03</v>
      </c>
      <c r="L113" s="17">
        <f>Таблица2[[#This Row],[ПИР2010]]*0.9*1.082*1.068*1.059*1.058</f>
        <v>3.6472622217438251</v>
      </c>
      <c r="M113" s="5">
        <f>Таблица2[[#This Row],[СМР2010]]*0.9*1.082*1.068*1.059*1.058</f>
        <v>5.2553203258992491</v>
      </c>
      <c r="N113" s="5">
        <f>Таблица2[[#This Row],[ПНР2010]]*0.9*1.082*1.068*1.059*1.058</f>
        <v>11.582679387902113</v>
      </c>
      <c r="O113" s="5">
        <f>Таблица2[[#This Row],[Оборудование2010]]*0.9*1.082*1.068*1.059*1.058</f>
        <v>3.8103985511508971</v>
      </c>
      <c r="P113" s="20">
        <f>Таблица2[[#This Row],[Прочие2010]]*0.9*1.082*1.068*1.059*1.058</f>
        <v>7.0265147594617448</v>
      </c>
      <c r="Q113" s="5">
        <v>3.64</v>
      </c>
      <c r="R113" s="6">
        <v>5.36</v>
      </c>
      <c r="S113" s="6">
        <v>10.83</v>
      </c>
      <c r="T113" s="5">
        <v>3.94</v>
      </c>
      <c r="U113" s="5">
        <v>7.74</v>
      </c>
      <c r="V113" s="5">
        <v>3.53</v>
      </c>
      <c r="W113" s="6">
        <v>5.26</v>
      </c>
      <c r="X113" s="6">
        <v>10.61</v>
      </c>
      <c r="Y113" s="6">
        <v>3.82</v>
      </c>
      <c r="Z113" s="6">
        <v>7.53</v>
      </c>
    </row>
    <row r="114" spans="3:26" x14ac:dyDescent="0.25">
      <c r="C114" s="10" t="s">
        <v>7</v>
      </c>
      <c r="D114" s="1" t="s">
        <v>18</v>
      </c>
      <c r="E114" s="1" t="s">
        <v>21</v>
      </c>
      <c r="F114" s="11" t="s">
        <v>31</v>
      </c>
      <c r="G114" s="5">
        <v>3.13</v>
      </c>
      <c r="H114" s="6">
        <v>5.48</v>
      </c>
      <c r="I114" s="6">
        <v>8.16</v>
      </c>
      <c r="J114" s="5">
        <v>3.27</v>
      </c>
      <c r="K114" s="5">
        <v>6.03</v>
      </c>
      <c r="L114" s="17">
        <f>Таблица2[[#This Row],[ПИР2010]]*0.9*1.082*1.068*1.059*1.058</f>
        <v>3.6472622217438251</v>
      </c>
      <c r="M114" s="5">
        <f>Таблица2[[#This Row],[СМР2010]]*0.9*1.082*1.068*1.059*1.058</f>
        <v>6.385622036791105</v>
      </c>
      <c r="N114" s="5">
        <f>Таблица2[[#This Row],[ПНР2010]]*0.9*1.082*1.068*1.059*1.058</f>
        <v>9.5085174854407697</v>
      </c>
      <c r="O114" s="5">
        <f>Таблица2[[#This Row],[Оборудование2010]]*0.9*1.082*1.068*1.059*1.058</f>
        <v>3.8103985511508971</v>
      </c>
      <c r="P114" s="20">
        <f>Таблица2[[#This Row],[Прочие2010]]*0.9*1.082*1.068*1.059*1.058</f>
        <v>7.0265147594617448</v>
      </c>
      <c r="Q114" s="5">
        <v>3.64</v>
      </c>
      <c r="R114" s="6">
        <v>5.98</v>
      </c>
      <c r="S114" s="6">
        <v>10.79</v>
      </c>
      <c r="T114" s="5">
        <v>3.94</v>
      </c>
      <c r="U114" s="5">
        <v>7.74</v>
      </c>
      <c r="V114" s="5">
        <v>3.53</v>
      </c>
      <c r="W114" s="6">
        <v>5.86</v>
      </c>
      <c r="X114" s="6">
        <v>10.57</v>
      </c>
      <c r="Y114" s="6">
        <v>3.82</v>
      </c>
      <c r="Z114" s="6">
        <v>7.53</v>
      </c>
    </row>
    <row r="115" spans="3:26" x14ac:dyDescent="0.25">
      <c r="C115" s="10" t="s">
        <v>8</v>
      </c>
      <c r="D115" s="1" t="s">
        <v>18</v>
      </c>
      <c r="E115" s="1" t="s">
        <v>21</v>
      </c>
      <c r="F115" s="11" t="s">
        <v>31</v>
      </c>
      <c r="G115" s="5">
        <v>3.13</v>
      </c>
      <c r="H115" s="6">
        <v>6.53</v>
      </c>
      <c r="I115" s="6">
        <v>8.59</v>
      </c>
      <c r="J115" s="5">
        <v>3.27</v>
      </c>
      <c r="K115" s="5">
        <v>6.03</v>
      </c>
      <c r="L115" s="17">
        <f>Таблица2[[#This Row],[ПИР2010]]*0.9*1.082*1.068*1.059*1.058</f>
        <v>3.6472622217438251</v>
      </c>
      <c r="M115" s="5">
        <f>Таблица2[[#This Row],[СМР2010]]*0.9*1.082*1.068*1.059*1.058</f>
        <v>7.6091445073441459</v>
      </c>
      <c r="N115" s="5">
        <f>Таблица2[[#This Row],[ПНР2010]]*0.9*1.082*1.068*1.059*1.058</f>
        <v>10.009579068619635</v>
      </c>
      <c r="O115" s="5">
        <f>Таблица2[[#This Row],[Оборудование2010]]*0.9*1.082*1.068*1.059*1.058</f>
        <v>3.8103985511508971</v>
      </c>
      <c r="P115" s="20">
        <f>Таблица2[[#This Row],[Прочие2010]]*0.9*1.082*1.068*1.059*1.058</f>
        <v>7.0265147594617448</v>
      </c>
      <c r="Q115" s="5">
        <v>3.64</v>
      </c>
      <c r="R115" s="6">
        <v>6.37</v>
      </c>
      <c r="S115" s="6">
        <v>13.67</v>
      </c>
      <c r="T115" s="5">
        <v>3.94</v>
      </c>
      <c r="U115" s="5">
        <v>7.74</v>
      </c>
      <c r="V115" s="5">
        <v>3.53</v>
      </c>
      <c r="W115" s="6">
        <v>6.25</v>
      </c>
      <c r="X115" s="6">
        <v>13.4</v>
      </c>
      <c r="Y115" s="6">
        <v>3.82</v>
      </c>
      <c r="Z115" s="6">
        <v>7.53</v>
      </c>
    </row>
    <row r="116" spans="3:26" x14ac:dyDescent="0.25">
      <c r="C116" s="10" t="s">
        <v>9</v>
      </c>
      <c r="D116" s="1" t="s">
        <v>18</v>
      </c>
      <c r="E116" s="1" t="s">
        <v>21</v>
      </c>
      <c r="F116" s="11" t="s">
        <v>31</v>
      </c>
      <c r="G116" s="5">
        <v>3.13</v>
      </c>
      <c r="H116" s="6">
        <v>6.83</v>
      </c>
      <c r="I116" s="6">
        <v>9.27</v>
      </c>
      <c r="J116" s="5">
        <v>3.27</v>
      </c>
      <c r="K116" s="5">
        <v>6.03</v>
      </c>
      <c r="L116" s="17">
        <f>Таблица2[[#This Row],[ПИР2010]]*0.9*1.082*1.068*1.059*1.058</f>
        <v>3.6472622217438251</v>
      </c>
      <c r="M116" s="5">
        <f>Таблица2[[#This Row],[СМР2010]]*0.9*1.082*1.068*1.059*1.058</f>
        <v>7.9587223560735856</v>
      </c>
      <c r="N116" s="5">
        <f>Таблица2[[#This Row],[ПНР2010]]*0.9*1.082*1.068*1.059*1.058</f>
        <v>10.801955525739698</v>
      </c>
      <c r="O116" s="5">
        <f>Таблица2[[#This Row],[Оборудование2010]]*0.9*1.082*1.068*1.059*1.058</f>
        <v>3.8103985511508971</v>
      </c>
      <c r="P116" s="20">
        <f>Таблица2[[#This Row],[Прочие2010]]*0.9*1.082*1.068*1.059*1.058</f>
        <v>7.0265147594617448</v>
      </c>
      <c r="Q116" s="5">
        <v>3.64</v>
      </c>
      <c r="R116" s="6">
        <v>6.36</v>
      </c>
      <c r="S116" s="6">
        <v>11.11</v>
      </c>
      <c r="T116" s="5">
        <v>3.94</v>
      </c>
      <c r="U116" s="5">
        <v>7.74</v>
      </c>
      <c r="V116" s="5">
        <v>3.53</v>
      </c>
      <c r="W116" s="6">
        <v>6.36</v>
      </c>
      <c r="X116" s="6">
        <v>10.89</v>
      </c>
      <c r="Y116" s="6">
        <v>3.82</v>
      </c>
      <c r="Z116" s="6">
        <v>7.53</v>
      </c>
    </row>
    <row r="117" spans="3:26" x14ac:dyDescent="0.25">
      <c r="C117" s="10" t="s">
        <v>10</v>
      </c>
      <c r="D117" s="1" t="s">
        <v>18</v>
      </c>
      <c r="E117" s="1" t="s">
        <v>21</v>
      </c>
      <c r="F117" s="11" t="s">
        <v>31</v>
      </c>
      <c r="G117" s="5">
        <v>3.13</v>
      </c>
      <c r="H117" s="6">
        <v>5.54</v>
      </c>
      <c r="I117" s="6">
        <v>10.18</v>
      </c>
      <c r="J117" s="5">
        <v>3.27</v>
      </c>
      <c r="K117" s="5">
        <v>6.03</v>
      </c>
      <c r="L117" s="17">
        <f>Таблица2[[#This Row],[ПИР2010]]*0.9*1.082*1.068*1.059*1.058</f>
        <v>3.6472622217438251</v>
      </c>
      <c r="M117" s="5">
        <f>Таблица2[[#This Row],[СМР2010]]*0.9*1.082*1.068*1.059*1.058</f>
        <v>6.4555376065369927</v>
      </c>
      <c r="N117" s="5">
        <f>Таблица2[[#This Row],[ПНР2010]]*0.9*1.082*1.068*1.059*1.058</f>
        <v>11.862341666885666</v>
      </c>
      <c r="O117" s="5">
        <f>Таблица2[[#This Row],[Оборудование2010]]*0.9*1.082*1.068*1.059*1.058</f>
        <v>3.8103985511508971</v>
      </c>
      <c r="P117" s="20">
        <f>Таблица2[[#This Row],[Прочие2010]]*0.9*1.082*1.068*1.059*1.058</f>
        <v>7.0265147594617448</v>
      </c>
      <c r="Q117" s="5">
        <v>3.64</v>
      </c>
      <c r="R117" s="6">
        <v>5.93</v>
      </c>
      <c r="S117" s="6">
        <v>11.69</v>
      </c>
      <c r="T117" s="5">
        <v>3.94</v>
      </c>
      <c r="U117" s="5">
        <v>7.74</v>
      </c>
      <c r="V117" s="5">
        <v>3.53</v>
      </c>
      <c r="W117" s="6">
        <v>5.81</v>
      </c>
      <c r="X117" s="6">
        <v>11.46</v>
      </c>
      <c r="Y117" s="6">
        <v>3.82</v>
      </c>
      <c r="Z117" s="6">
        <v>7.53</v>
      </c>
    </row>
    <row r="118" spans="3:26" x14ac:dyDescent="0.25">
      <c r="C118" s="10" t="s">
        <v>11</v>
      </c>
      <c r="D118" s="1" t="s">
        <v>18</v>
      </c>
      <c r="E118" s="1" t="s">
        <v>21</v>
      </c>
      <c r="F118" s="11" t="s">
        <v>31</v>
      </c>
      <c r="G118" s="5">
        <v>3.13</v>
      </c>
      <c r="H118" s="6">
        <v>5.28</v>
      </c>
      <c r="I118" s="6">
        <v>8.75</v>
      </c>
      <c r="J118" s="5">
        <v>3.27</v>
      </c>
      <c r="K118" s="5">
        <v>6.03</v>
      </c>
      <c r="L118" s="17">
        <f>Таблица2[[#This Row],[ПИР2010]]*0.9*1.082*1.068*1.059*1.058</f>
        <v>3.6472622217438251</v>
      </c>
      <c r="M118" s="5">
        <f>Таблица2[[#This Row],[СМР2010]]*0.9*1.082*1.068*1.059*1.058</f>
        <v>6.1525701376381461</v>
      </c>
      <c r="N118" s="5">
        <f>Таблица2[[#This Row],[ПНР2010]]*0.9*1.082*1.068*1.059*1.058</f>
        <v>10.196020587942002</v>
      </c>
      <c r="O118" s="5">
        <f>Таблица2[[#This Row],[Оборудование2010]]*0.9*1.082*1.068*1.059*1.058</f>
        <v>3.8103985511508971</v>
      </c>
      <c r="P118" s="20">
        <f>Таблица2[[#This Row],[Прочие2010]]*0.9*1.082*1.068*1.059*1.058</f>
        <v>7.0265147594617448</v>
      </c>
      <c r="Q118" s="5">
        <v>3.64</v>
      </c>
      <c r="R118" s="6">
        <v>5.54</v>
      </c>
      <c r="S118" s="6">
        <v>11.43</v>
      </c>
      <c r="T118" s="5">
        <v>3.94</v>
      </c>
      <c r="U118" s="5">
        <v>7.74</v>
      </c>
      <c r="V118" s="5">
        <v>3.53</v>
      </c>
      <c r="W118" s="6">
        <v>5.44</v>
      </c>
      <c r="X118" s="6">
        <v>11.21</v>
      </c>
      <c r="Y118" s="6">
        <v>3.82</v>
      </c>
      <c r="Z118" s="6">
        <v>7.53</v>
      </c>
    </row>
    <row r="119" spans="3:26" x14ac:dyDescent="0.25">
      <c r="C119" s="10" t="s">
        <v>12</v>
      </c>
      <c r="D119" s="1" t="s">
        <v>18</v>
      </c>
      <c r="E119" s="1" t="s">
        <v>21</v>
      </c>
      <c r="F119" s="11" t="s">
        <v>31</v>
      </c>
      <c r="G119" s="5">
        <v>3.13</v>
      </c>
      <c r="H119" s="6">
        <v>6.39</v>
      </c>
      <c r="I119" s="6">
        <v>9.25</v>
      </c>
      <c r="J119" s="5">
        <v>3.27</v>
      </c>
      <c r="K119" s="5">
        <v>6.03</v>
      </c>
      <c r="L119" s="17">
        <f>Таблица2[[#This Row],[ПИР2010]]*0.9*1.082*1.068*1.059*1.058</f>
        <v>3.6472622217438251</v>
      </c>
      <c r="M119" s="5">
        <f>Таблица2[[#This Row],[СМР2010]]*0.9*1.082*1.068*1.059*1.058</f>
        <v>7.4460081779370721</v>
      </c>
      <c r="N119" s="5">
        <f>Таблица2[[#This Row],[ПНР2010]]*0.9*1.082*1.068*1.059*1.058</f>
        <v>10.778650335824402</v>
      </c>
      <c r="O119" s="5">
        <f>Таблица2[[#This Row],[Оборудование2010]]*0.9*1.082*1.068*1.059*1.058</f>
        <v>3.8103985511508971</v>
      </c>
      <c r="P119" s="20">
        <f>Таблица2[[#This Row],[Прочие2010]]*0.9*1.082*1.068*1.059*1.058</f>
        <v>7.0265147594617448</v>
      </c>
      <c r="Q119" s="5">
        <v>3.64</v>
      </c>
      <c r="R119" s="6">
        <v>6.72</v>
      </c>
      <c r="S119" s="6">
        <v>14.55</v>
      </c>
      <c r="T119" s="5">
        <v>3.94</v>
      </c>
      <c r="U119" s="5">
        <v>7.74</v>
      </c>
      <c r="V119" s="5">
        <v>3.53</v>
      </c>
      <c r="W119" s="6">
        <v>6.61</v>
      </c>
      <c r="X119" s="6">
        <v>14.27</v>
      </c>
      <c r="Y119" s="6">
        <v>3.82</v>
      </c>
      <c r="Z119" s="6">
        <v>7.53</v>
      </c>
    </row>
    <row r="120" spans="3:26" x14ac:dyDescent="0.25">
      <c r="C120" s="10" t="s">
        <v>13</v>
      </c>
      <c r="D120" s="1" t="s">
        <v>18</v>
      </c>
      <c r="E120" s="1" t="s">
        <v>21</v>
      </c>
      <c r="F120" s="11" t="s">
        <v>31</v>
      </c>
      <c r="G120" s="5">
        <v>3.13</v>
      </c>
      <c r="H120" s="6">
        <v>5.43</v>
      </c>
      <c r="I120" s="6">
        <v>8.6999999999999993</v>
      </c>
      <c r="J120" s="5">
        <v>3.27</v>
      </c>
      <c r="K120" s="5">
        <v>6.03</v>
      </c>
      <c r="L120" s="17">
        <f>Таблица2[[#This Row],[ПИР2010]]*0.9*1.082*1.068*1.059*1.058</f>
        <v>3.6472622217438251</v>
      </c>
      <c r="M120" s="5">
        <f>Таблица2[[#This Row],[СМР2010]]*0.9*1.082*1.068*1.059*1.058</f>
        <v>6.3273590620028637</v>
      </c>
      <c r="N120" s="5">
        <f>Таблица2[[#This Row],[ПНР2010]]*0.9*1.082*1.068*1.059*1.058</f>
        <v>10.137757613153759</v>
      </c>
      <c r="O120" s="5">
        <f>Таблица2[[#This Row],[Оборудование2010]]*0.9*1.082*1.068*1.059*1.058</f>
        <v>3.8103985511508971</v>
      </c>
      <c r="P120" s="20">
        <f>Таблица2[[#This Row],[Прочие2010]]*0.9*1.082*1.068*1.059*1.058</f>
        <v>7.0265147594617448</v>
      </c>
      <c r="Q120" s="5">
        <v>3.64</v>
      </c>
      <c r="R120" s="6">
        <v>5.71</v>
      </c>
      <c r="S120" s="6">
        <v>10.45</v>
      </c>
      <c r="T120" s="5">
        <v>3.94</v>
      </c>
      <c r="U120" s="5">
        <v>7.74</v>
      </c>
      <c r="V120" s="5">
        <v>3.53</v>
      </c>
      <c r="W120" s="6">
        <v>5.59</v>
      </c>
      <c r="X120" s="6">
        <v>10.25</v>
      </c>
      <c r="Y120" s="6">
        <v>3.82</v>
      </c>
      <c r="Z120" s="6">
        <v>7.53</v>
      </c>
    </row>
    <row r="121" spans="3:26" x14ac:dyDescent="0.25">
      <c r="C121" s="10" t="s">
        <v>14</v>
      </c>
      <c r="D121" s="1" t="s">
        <v>18</v>
      </c>
      <c r="E121" s="1" t="s">
        <v>21</v>
      </c>
      <c r="F121" s="11" t="s">
        <v>31</v>
      </c>
      <c r="G121" s="5">
        <v>3.13</v>
      </c>
      <c r="H121" s="6">
        <v>5.88</v>
      </c>
      <c r="I121" s="6">
        <v>8.59</v>
      </c>
      <c r="J121" s="5">
        <v>3.27</v>
      </c>
      <c r="K121" s="5">
        <v>6.03</v>
      </c>
      <c r="L121" s="17">
        <f>Таблица2[[#This Row],[ПИР2010]]*0.9*1.082*1.068*1.059*1.058</f>
        <v>3.6472622217438251</v>
      </c>
      <c r="M121" s="5">
        <f>Таблица2[[#This Row],[СМР2010]]*0.9*1.082*1.068*1.059*1.058</f>
        <v>6.8517258350970245</v>
      </c>
      <c r="N121" s="5">
        <f>Таблица2[[#This Row],[ПНР2010]]*0.9*1.082*1.068*1.059*1.058</f>
        <v>10.009579068619635</v>
      </c>
      <c r="O121" s="5">
        <f>Таблица2[[#This Row],[Оборудование2010]]*0.9*1.082*1.068*1.059*1.058</f>
        <v>3.8103985511508971</v>
      </c>
      <c r="P121" s="20">
        <f>Таблица2[[#This Row],[Прочие2010]]*0.9*1.082*1.068*1.059*1.058</f>
        <v>7.0265147594617448</v>
      </c>
      <c r="Q121" s="5">
        <v>3.64</v>
      </c>
      <c r="R121" s="6">
        <v>5.91</v>
      </c>
      <c r="S121" s="6">
        <v>12.81</v>
      </c>
      <c r="T121" s="5">
        <v>3.94</v>
      </c>
      <c r="U121" s="5">
        <v>7.74</v>
      </c>
      <c r="V121" s="5">
        <v>3.53</v>
      </c>
      <c r="W121" s="6">
        <v>5.79</v>
      </c>
      <c r="X121" s="6">
        <v>12.55</v>
      </c>
      <c r="Y121" s="6">
        <v>3.82</v>
      </c>
      <c r="Z121" s="6">
        <v>7.53</v>
      </c>
    </row>
    <row r="122" spans="3:26" x14ac:dyDescent="0.25">
      <c r="C122" s="10" t="s">
        <v>15</v>
      </c>
      <c r="D122" s="1" t="s">
        <v>18</v>
      </c>
      <c r="E122" s="1" t="s">
        <v>21</v>
      </c>
      <c r="F122" s="11" t="s">
        <v>31</v>
      </c>
      <c r="G122" s="5">
        <v>3.13</v>
      </c>
      <c r="H122" s="6">
        <v>5.92</v>
      </c>
      <c r="I122" s="6">
        <v>9.09</v>
      </c>
      <c r="J122" s="5">
        <v>3.27</v>
      </c>
      <c r="K122" s="5">
        <v>6.03</v>
      </c>
      <c r="L122" s="17">
        <f>Таблица2[[#This Row],[ПИР2010]]*0.9*1.082*1.068*1.059*1.058</f>
        <v>3.6472622217438251</v>
      </c>
      <c r="M122" s="5">
        <f>Таблица2[[#This Row],[СМР2010]]*0.9*1.082*1.068*1.059*1.058</f>
        <v>6.8983362149276175</v>
      </c>
      <c r="N122" s="5">
        <f>Таблица2[[#This Row],[ПНР2010]]*0.9*1.082*1.068*1.059*1.058</f>
        <v>10.592208816502035</v>
      </c>
      <c r="O122" s="5">
        <f>Таблица2[[#This Row],[Оборудование2010]]*0.9*1.082*1.068*1.059*1.058</f>
        <v>3.8103985511508971</v>
      </c>
      <c r="P122" s="20">
        <f>Таблица2[[#This Row],[Прочие2010]]*0.9*1.082*1.068*1.059*1.058</f>
        <v>7.0265147594617448</v>
      </c>
      <c r="Q122" s="5">
        <v>3.64</v>
      </c>
      <c r="R122" s="6">
        <v>6.33</v>
      </c>
      <c r="S122" s="6">
        <v>12.34</v>
      </c>
      <c r="T122" s="5">
        <v>3.94</v>
      </c>
      <c r="U122" s="5">
        <v>7.74</v>
      </c>
      <c r="V122" s="5">
        <v>3.53</v>
      </c>
      <c r="W122" s="6">
        <v>6.21</v>
      </c>
      <c r="X122" s="6">
        <v>12.1</v>
      </c>
      <c r="Y122" s="6">
        <v>3.82</v>
      </c>
      <c r="Z122" s="6">
        <v>7.53</v>
      </c>
    </row>
    <row r="123" spans="3:26" x14ac:dyDescent="0.25">
      <c r="C123" s="10" t="s">
        <v>16</v>
      </c>
      <c r="D123" s="1" t="s">
        <v>18</v>
      </c>
      <c r="E123" s="1" t="s">
        <v>21</v>
      </c>
      <c r="F123" s="11" t="s">
        <v>31</v>
      </c>
      <c r="G123" s="5">
        <v>3.13</v>
      </c>
      <c r="H123" s="6">
        <v>5.96</v>
      </c>
      <c r="I123" s="6">
        <v>10.45</v>
      </c>
      <c r="J123" s="5">
        <v>3.27</v>
      </c>
      <c r="K123" s="5">
        <v>6.03</v>
      </c>
      <c r="L123" s="17">
        <f>Таблица2[[#This Row],[ПИР2010]]*0.9*1.082*1.068*1.059*1.058</f>
        <v>3.6472622217438251</v>
      </c>
      <c r="M123" s="5">
        <f>Таблица2[[#This Row],[СМР2010]]*0.9*1.082*1.068*1.059*1.058</f>
        <v>6.9449465947582079</v>
      </c>
      <c r="N123" s="5">
        <f>Таблица2[[#This Row],[ПНР2010]]*0.9*1.082*1.068*1.059*1.058</f>
        <v>12.176961730742162</v>
      </c>
      <c r="O123" s="5">
        <f>Таблица2[[#This Row],[Оборудование2010]]*0.9*1.082*1.068*1.059*1.058</f>
        <v>3.8103985511508971</v>
      </c>
      <c r="P123" s="20">
        <f>Таблица2[[#This Row],[Прочие2010]]*0.9*1.082*1.068*1.059*1.058</f>
        <v>7.0265147594617448</v>
      </c>
      <c r="Q123" s="5">
        <v>3.64</v>
      </c>
      <c r="R123" s="6">
        <v>5.97</v>
      </c>
      <c r="S123" s="6">
        <v>12.05</v>
      </c>
      <c r="T123" s="5">
        <v>3.94</v>
      </c>
      <c r="U123" s="5">
        <v>7.74</v>
      </c>
      <c r="V123" s="5">
        <v>3.53</v>
      </c>
      <c r="W123" s="6">
        <v>5.88</v>
      </c>
      <c r="X123" s="6">
        <v>11.81</v>
      </c>
      <c r="Y123" s="6">
        <v>3.82</v>
      </c>
      <c r="Z123" s="6">
        <v>7.53</v>
      </c>
    </row>
    <row r="124" spans="3:26" x14ac:dyDescent="0.25">
      <c r="C124" s="10" t="s">
        <v>17</v>
      </c>
      <c r="D124" s="1" t="s">
        <v>18</v>
      </c>
      <c r="E124" s="1" t="s">
        <v>21</v>
      </c>
      <c r="F124" s="11" t="s">
        <v>31</v>
      </c>
      <c r="G124" s="5">
        <v>3.13</v>
      </c>
      <c r="H124" s="6">
        <v>5</v>
      </c>
      <c r="I124" s="6">
        <v>9.94</v>
      </c>
      <c r="J124" s="5">
        <v>3.27</v>
      </c>
      <c r="K124" s="5">
        <v>6.03</v>
      </c>
      <c r="L124" s="17">
        <f>Таблица2[[#This Row],[ПИР2010]]*0.9*1.082*1.068*1.059*1.058</f>
        <v>3.6472622217438251</v>
      </c>
      <c r="M124" s="5">
        <f>Таблица2[[#This Row],[СМР2010]]*0.9*1.082*1.068*1.059*1.058</f>
        <v>5.8262974788240003</v>
      </c>
      <c r="N124" s="5">
        <f>Таблица2[[#This Row],[ПНР2010]]*0.9*1.082*1.068*1.059*1.058</f>
        <v>11.582679387902113</v>
      </c>
      <c r="O124" s="5">
        <f>Таблица2[[#This Row],[Оборудование2010]]*0.9*1.082*1.068*1.059*1.058</f>
        <v>3.8103985511508971</v>
      </c>
      <c r="P124" s="20">
        <f>Таблица2[[#This Row],[Прочие2010]]*0.9*1.082*1.068*1.059*1.058</f>
        <v>7.0265147594617448</v>
      </c>
      <c r="Q124" s="5">
        <v>3.64</v>
      </c>
      <c r="R124" s="6">
        <v>5.24</v>
      </c>
      <c r="S124" s="6">
        <v>10.83</v>
      </c>
      <c r="T124" s="5">
        <v>3.94</v>
      </c>
      <c r="U124" s="5">
        <v>7.74</v>
      </c>
      <c r="V124" s="5">
        <v>3.53</v>
      </c>
      <c r="W124" s="6">
        <v>5.14</v>
      </c>
      <c r="X124" s="6">
        <v>10.61</v>
      </c>
      <c r="Y124" s="6">
        <v>3.82</v>
      </c>
      <c r="Z124" s="6">
        <v>7.53</v>
      </c>
    </row>
    <row r="125" spans="3:26" x14ac:dyDescent="0.25">
      <c r="C125" s="10" t="s">
        <v>7</v>
      </c>
      <c r="D125" s="1" t="s">
        <v>18</v>
      </c>
      <c r="E125" s="1" t="s">
        <v>22</v>
      </c>
      <c r="F125" s="11" t="s">
        <v>31</v>
      </c>
      <c r="G125" s="5">
        <v>3.13</v>
      </c>
      <c r="H125" s="6">
        <v>5.48</v>
      </c>
      <c r="I125" s="6">
        <v>8.16</v>
      </c>
      <c r="J125" s="5">
        <v>3.27</v>
      </c>
      <c r="K125" s="5">
        <v>6.03</v>
      </c>
      <c r="L125" s="17">
        <f>Таблица2[[#This Row],[ПИР2010]]*0.9*1.082*1.068*1.059*1.058</f>
        <v>3.6472622217438251</v>
      </c>
      <c r="M125" s="5">
        <f>Таблица2[[#This Row],[СМР2010]]*0.9*1.082*1.068*1.059*1.058</f>
        <v>6.385622036791105</v>
      </c>
      <c r="N125" s="5">
        <f>Таблица2[[#This Row],[ПНР2010]]*0.9*1.082*1.068*1.059*1.058</f>
        <v>9.5085174854407697</v>
      </c>
      <c r="O125" s="5">
        <f>Таблица2[[#This Row],[Оборудование2010]]*0.9*1.082*1.068*1.059*1.058</f>
        <v>3.8103985511508971</v>
      </c>
      <c r="P125" s="20">
        <f>Таблица2[[#This Row],[Прочие2010]]*0.9*1.082*1.068*1.059*1.058</f>
        <v>7.0265147594617448</v>
      </c>
      <c r="Q125" s="5">
        <v>3.64</v>
      </c>
      <c r="R125" s="6">
        <v>5.98</v>
      </c>
      <c r="S125" s="6">
        <v>10.79</v>
      </c>
      <c r="T125" s="5">
        <v>3.94</v>
      </c>
      <c r="U125" s="5">
        <v>7.74</v>
      </c>
      <c r="V125" s="5">
        <v>3.53</v>
      </c>
      <c r="W125" s="6">
        <v>5.86</v>
      </c>
      <c r="X125" s="6">
        <v>10.57</v>
      </c>
      <c r="Y125" s="6">
        <v>3.82</v>
      </c>
      <c r="Z125" s="6">
        <v>7.53</v>
      </c>
    </row>
    <row r="126" spans="3:26" x14ac:dyDescent="0.25">
      <c r="C126" s="10" t="s">
        <v>8</v>
      </c>
      <c r="D126" s="1" t="s">
        <v>18</v>
      </c>
      <c r="E126" s="1" t="s">
        <v>22</v>
      </c>
      <c r="F126" s="11" t="s">
        <v>31</v>
      </c>
      <c r="G126" s="5">
        <v>3.13</v>
      </c>
      <c r="H126" s="6">
        <v>6.53</v>
      </c>
      <c r="I126" s="6">
        <v>8.59</v>
      </c>
      <c r="J126" s="5">
        <v>3.27</v>
      </c>
      <c r="K126" s="5">
        <v>6.03</v>
      </c>
      <c r="L126" s="17">
        <f>Таблица2[[#This Row],[ПИР2010]]*0.9*1.082*1.068*1.059*1.058</f>
        <v>3.6472622217438251</v>
      </c>
      <c r="M126" s="5">
        <f>Таблица2[[#This Row],[СМР2010]]*0.9*1.082*1.068*1.059*1.058</f>
        <v>7.6091445073441459</v>
      </c>
      <c r="N126" s="5">
        <f>Таблица2[[#This Row],[ПНР2010]]*0.9*1.082*1.068*1.059*1.058</f>
        <v>10.009579068619635</v>
      </c>
      <c r="O126" s="5">
        <f>Таблица2[[#This Row],[Оборудование2010]]*0.9*1.082*1.068*1.059*1.058</f>
        <v>3.8103985511508971</v>
      </c>
      <c r="P126" s="20">
        <f>Таблица2[[#This Row],[Прочие2010]]*0.9*1.082*1.068*1.059*1.058</f>
        <v>7.0265147594617448</v>
      </c>
      <c r="Q126" s="5">
        <v>3.64</v>
      </c>
      <c r="R126" s="6">
        <v>6.37</v>
      </c>
      <c r="S126" s="6">
        <v>13.67</v>
      </c>
      <c r="T126" s="5">
        <v>3.94</v>
      </c>
      <c r="U126" s="5">
        <v>7.74</v>
      </c>
      <c r="V126" s="5">
        <v>3.53</v>
      </c>
      <c r="W126" s="6">
        <v>6.25</v>
      </c>
      <c r="X126" s="6">
        <v>13.4</v>
      </c>
      <c r="Y126" s="6">
        <v>3.82</v>
      </c>
      <c r="Z126" s="6">
        <v>7.53</v>
      </c>
    </row>
    <row r="127" spans="3:26" x14ac:dyDescent="0.25">
      <c r="C127" s="10" t="s">
        <v>9</v>
      </c>
      <c r="D127" s="1" t="s">
        <v>18</v>
      </c>
      <c r="E127" s="1" t="s">
        <v>22</v>
      </c>
      <c r="F127" s="11" t="s">
        <v>31</v>
      </c>
      <c r="G127" s="5">
        <v>3.13</v>
      </c>
      <c r="H127" s="6">
        <v>6.83</v>
      </c>
      <c r="I127" s="6">
        <v>9.27</v>
      </c>
      <c r="J127" s="5">
        <v>3.27</v>
      </c>
      <c r="K127" s="5">
        <v>6.03</v>
      </c>
      <c r="L127" s="17">
        <f>Таблица2[[#This Row],[ПИР2010]]*0.9*1.082*1.068*1.059*1.058</f>
        <v>3.6472622217438251</v>
      </c>
      <c r="M127" s="5">
        <f>Таблица2[[#This Row],[СМР2010]]*0.9*1.082*1.068*1.059*1.058</f>
        <v>7.9587223560735856</v>
      </c>
      <c r="N127" s="5">
        <f>Таблица2[[#This Row],[ПНР2010]]*0.9*1.082*1.068*1.059*1.058</f>
        <v>10.801955525739698</v>
      </c>
      <c r="O127" s="5">
        <f>Таблица2[[#This Row],[Оборудование2010]]*0.9*1.082*1.068*1.059*1.058</f>
        <v>3.8103985511508971</v>
      </c>
      <c r="P127" s="20">
        <f>Таблица2[[#This Row],[Прочие2010]]*0.9*1.082*1.068*1.059*1.058</f>
        <v>7.0265147594617448</v>
      </c>
      <c r="Q127" s="5">
        <v>3.64</v>
      </c>
      <c r="R127" s="6">
        <v>6.36</v>
      </c>
      <c r="S127" s="6">
        <v>11.11</v>
      </c>
      <c r="T127" s="5">
        <v>3.94</v>
      </c>
      <c r="U127" s="5">
        <v>7.74</v>
      </c>
      <c r="V127" s="5">
        <v>3.53</v>
      </c>
      <c r="W127" s="6">
        <v>6.36</v>
      </c>
      <c r="X127" s="6">
        <v>10.89</v>
      </c>
      <c r="Y127" s="6">
        <v>3.82</v>
      </c>
      <c r="Z127" s="6">
        <v>7.53</v>
      </c>
    </row>
    <row r="128" spans="3:26" x14ac:dyDescent="0.25">
      <c r="C128" s="10" t="s">
        <v>10</v>
      </c>
      <c r="D128" s="1" t="s">
        <v>18</v>
      </c>
      <c r="E128" s="1" t="s">
        <v>22</v>
      </c>
      <c r="F128" s="11" t="s">
        <v>31</v>
      </c>
      <c r="G128" s="5">
        <v>3.13</v>
      </c>
      <c r="H128" s="6">
        <v>5.54</v>
      </c>
      <c r="I128" s="6">
        <v>10.18</v>
      </c>
      <c r="J128" s="5">
        <v>3.27</v>
      </c>
      <c r="K128" s="5">
        <v>6.03</v>
      </c>
      <c r="L128" s="17">
        <f>Таблица2[[#This Row],[ПИР2010]]*0.9*1.082*1.068*1.059*1.058</f>
        <v>3.6472622217438251</v>
      </c>
      <c r="M128" s="5">
        <f>Таблица2[[#This Row],[СМР2010]]*0.9*1.082*1.068*1.059*1.058</f>
        <v>6.4555376065369927</v>
      </c>
      <c r="N128" s="5">
        <f>Таблица2[[#This Row],[ПНР2010]]*0.9*1.082*1.068*1.059*1.058</f>
        <v>11.862341666885666</v>
      </c>
      <c r="O128" s="5">
        <f>Таблица2[[#This Row],[Оборудование2010]]*0.9*1.082*1.068*1.059*1.058</f>
        <v>3.8103985511508971</v>
      </c>
      <c r="P128" s="20">
        <f>Таблица2[[#This Row],[Прочие2010]]*0.9*1.082*1.068*1.059*1.058</f>
        <v>7.0265147594617448</v>
      </c>
      <c r="Q128" s="5">
        <v>3.64</v>
      </c>
      <c r="R128" s="6">
        <v>5.93</v>
      </c>
      <c r="S128" s="6">
        <v>11.69</v>
      </c>
      <c r="T128" s="5">
        <v>3.94</v>
      </c>
      <c r="U128" s="5">
        <v>7.74</v>
      </c>
      <c r="V128" s="5">
        <v>3.53</v>
      </c>
      <c r="W128" s="6">
        <v>5.81</v>
      </c>
      <c r="X128" s="6">
        <v>11.46</v>
      </c>
      <c r="Y128" s="6">
        <v>3.82</v>
      </c>
      <c r="Z128" s="6">
        <v>7.53</v>
      </c>
    </row>
    <row r="129" spans="3:26" x14ac:dyDescent="0.25">
      <c r="C129" s="10" t="s">
        <v>11</v>
      </c>
      <c r="D129" s="1" t="s">
        <v>18</v>
      </c>
      <c r="E129" s="1" t="s">
        <v>22</v>
      </c>
      <c r="F129" s="11" t="s">
        <v>31</v>
      </c>
      <c r="G129" s="5">
        <v>3.13</v>
      </c>
      <c r="H129" s="6">
        <v>5.28</v>
      </c>
      <c r="I129" s="6">
        <v>8.75</v>
      </c>
      <c r="J129" s="5">
        <v>3.27</v>
      </c>
      <c r="K129" s="5">
        <v>6.03</v>
      </c>
      <c r="L129" s="17">
        <f>Таблица2[[#This Row],[ПИР2010]]*0.9*1.082*1.068*1.059*1.058</f>
        <v>3.6472622217438251</v>
      </c>
      <c r="M129" s="5">
        <f>Таблица2[[#This Row],[СМР2010]]*0.9*1.082*1.068*1.059*1.058</f>
        <v>6.1525701376381461</v>
      </c>
      <c r="N129" s="5">
        <f>Таблица2[[#This Row],[ПНР2010]]*0.9*1.082*1.068*1.059*1.058</f>
        <v>10.196020587942002</v>
      </c>
      <c r="O129" s="5">
        <f>Таблица2[[#This Row],[Оборудование2010]]*0.9*1.082*1.068*1.059*1.058</f>
        <v>3.8103985511508971</v>
      </c>
      <c r="P129" s="20">
        <f>Таблица2[[#This Row],[Прочие2010]]*0.9*1.082*1.068*1.059*1.058</f>
        <v>7.0265147594617448</v>
      </c>
      <c r="Q129" s="5">
        <v>3.64</v>
      </c>
      <c r="R129" s="6">
        <v>5.54</v>
      </c>
      <c r="S129" s="6">
        <v>11.43</v>
      </c>
      <c r="T129" s="5">
        <v>3.94</v>
      </c>
      <c r="U129" s="5">
        <v>7.74</v>
      </c>
      <c r="V129" s="5">
        <v>3.53</v>
      </c>
      <c r="W129" s="6">
        <v>5.44</v>
      </c>
      <c r="X129" s="6">
        <v>11.21</v>
      </c>
      <c r="Y129" s="6">
        <v>3.82</v>
      </c>
      <c r="Z129" s="6">
        <v>7.53</v>
      </c>
    </row>
    <row r="130" spans="3:26" x14ac:dyDescent="0.25">
      <c r="C130" s="10" t="s">
        <v>12</v>
      </c>
      <c r="D130" s="1" t="s">
        <v>18</v>
      </c>
      <c r="E130" s="1" t="s">
        <v>22</v>
      </c>
      <c r="F130" s="11" t="s">
        <v>31</v>
      </c>
      <c r="G130" s="5">
        <v>3.13</v>
      </c>
      <c r="H130" s="6">
        <v>6.39</v>
      </c>
      <c r="I130" s="6">
        <v>9.25</v>
      </c>
      <c r="J130" s="5">
        <v>3.27</v>
      </c>
      <c r="K130" s="5">
        <v>6.03</v>
      </c>
      <c r="L130" s="17">
        <f>Таблица2[[#This Row],[ПИР2010]]*0.9*1.082*1.068*1.059*1.058</f>
        <v>3.6472622217438251</v>
      </c>
      <c r="M130" s="5">
        <f>Таблица2[[#This Row],[СМР2010]]*0.9*1.082*1.068*1.059*1.058</f>
        <v>7.4460081779370721</v>
      </c>
      <c r="N130" s="5">
        <f>Таблица2[[#This Row],[ПНР2010]]*0.9*1.082*1.068*1.059*1.058</f>
        <v>10.778650335824402</v>
      </c>
      <c r="O130" s="5">
        <f>Таблица2[[#This Row],[Оборудование2010]]*0.9*1.082*1.068*1.059*1.058</f>
        <v>3.8103985511508971</v>
      </c>
      <c r="P130" s="20">
        <f>Таблица2[[#This Row],[Прочие2010]]*0.9*1.082*1.068*1.059*1.058</f>
        <v>7.0265147594617448</v>
      </c>
      <c r="Q130" s="5">
        <v>3.64</v>
      </c>
      <c r="R130" s="6">
        <v>6.72</v>
      </c>
      <c r="S130" s="6">
        <v>14.55</v>
      </c>
      <c r="T130" s="5">
        <v>3.94</v>
      </c>
      <c r="U130" s="5">
        <v>7.74</v>
      </c>
      <c r="V130" s="5">
        <v>3.53</v>
      </c>
      <c r="W130" s="6">
        <v>6.61</v>
      </c>
      <c r="X130" s="6">
        <v>14.27</v>
      </c>
      <c r="Y130" s="6">
        <v>3.82</v>
      </c>
      <c r="Z130" s="6">
        <v>7.53</v>
      </c>
    </row>
    <row r="131" spans="3:26" x14ac:dyDescent="0.25">
      <c r="C131" s="10" t="s">
        <v>13</v>
      </c>
      <c r="D131" s="1" t="s">
        <v>18</v>
      </c>
      <c r="E131" s="1" t="s">
        <v>22</v>
      </c>
      <c r="F131" s="11" t="s">
        <v>31</v>
      </c>
      <c r="G131" s="5">
        <v>3.13</v>
      </c>
      <c r="H131" s="6">
        <v>5.43</v>
      </c>
      <c r="I131" s="6">
        <v>8.6999999999999993</v>
      </c>
      <c r="J131" s="5">
        <v>3.27</v>
      </c>
      <c r="K131" s="5">
        <v>6.03</v>
      </c>
      <c r="L131" s="17">
        <f>Таблица2[[#This Row],[ПИР2010]]*0.9*1.082*1.068*1.059*1.058</f>
        <v>3.6472622217438251</v>
      </c>
      <c r="M131" s="5">
        <f>Таблица2[[#This Row],[СМР2010]]*0.9*1.082*1.068*1.059*1.058</f>
        <v>6.3273590620028637</v>
      </c>
      <c r="N131" s="5">
        <f>Таблица2[[#This Row],[ПНР2010]]*0.9*1.082*1.068*1.059*1.058</f>
        <v>10.137757613153759</v>
      </c>
      <c r="O131" s="5">
        <f>Таблица2[[#This Row],[Оборудование2010]]*0.9*1.082*1.068*1.059*1.058</f>
        <v>3.8103985511508971</v>
      </c>
      <c r="P131" s="20">
        <f>Таблица2[[#This Row],[Прочие2010]]*0.9*1.082*1.068*1.059*1.058</f>
        <v>7.0265147594617448</v>
      </c>
      <c r="Q131" s="5">
        <v>3.64</v>
      </c>
      <c r="R131" s="6">
        <v>5.71</v>
      </c>
      <c r="S131" s="6">
        <v>10.45</v>
      </c>
      <c r="T131" s="5">
        <v>3.94</v>
      </c>
      <c r="U131" s="5">
        <v>7.74</v>
      </c>
      <c r="V131" s="5">
        <v>3.53</v>
      </c>
      <c r="W131" s="6">
        <v>5.59</v>
      </c>
      <c r="X131" s="6">
        <v>10.25</v>
      </c>
      <c r="Y131" s="6">
        <v>3.82</v>
      </c>
      <c r="Z131" s="6">
        <v>7.53</v>
      </c>
    </row>
    <row r="132" spans="3:26" x14ac:dyDescent="0.25">
      <c r="C132" s="10" t="s">
        <v>14</v>
      </c>
      <c r="D132" s="1" t="s">
        <v>18</v>
      </c>
      <c r="E132" s="1" t="s">
        <v>22</v>
      </c>
      <c r="F132" s="11" t="s">
        <v>31</v>
      </c>
      <c r="G132" s="5">
        <v>3.13</v>
      </c>
      <c r="H132" s="6">
        <v>5.88</v>
      </c>
      <c r="I132" s="6">
        <v>8.59</v>
      </c>
      <c r="J132" s="5">
        <v>3.27</v>
      </c>
      <c r="K132" s="5">
        <v>6.03</v>
      </c>
      <c r="L132" s="17">
        <f>Таблица2[[#This Row],[ПИР2010]]*0.9*1.082*1.068*1.059*1.058</f>
        <v>3.6472622217438251</v>
      </c>
      <c r="M132" s="5">
        <f>Таблица2[[#This Row],[СМР2010]]*0.9*1.082*1.068*1.059*1.058</f>
        <v>6.8517258350970245</v>
      </c>
      <c r="N132" s="5">
        <f>Таблица2[[#This Row],[ПНР2010]]*0.9*1.082*1.068*1.059*1.058</f>
        <v>10.009579068619635</v>
      </c>
      <c r="O132" s="5">
        <f>Таблица2[[#This Row],[Оборудование2010]]*0.9*1.082*1.068*1.059*1.058</f>
        <v>3.8103985511508971</v>
      </c>
      <c r="P132" s="20">
        <f>Таблица2[[#This Row],[Прочие2010]]*0.9*1.082*1.068*1.059*1.058</f>
        <v>7.0265147594617448</v>
      </c>
      <c r="Q132" s="5">
        <v>3.64</v>
      </c>
      <c r="R132" s="6">
        <v>5.91</v>
      </c>
      <c r="S132" s="6">
        <v>12.81</v>
      </c>
      <c r="T132" s="5">
        <v>3.94</v>
      </c>
      <c r="U132" s="5">
        <v>7.74</v>
      </c>
      <c r="V132" s="5">
        <v>3.53</v>
      </c>
      <c r="W132" s="6">
        <v>5.79</v>
      </c>
      <c r="X132" s="6">
        <v>12.55</v>
      </c>
      <c r="Y132" s="6">
        <v>3.82</v>
      </c>
      <c r="Z132" s="6">
        <v>7.53</v>
      </c>
    </row>
    <row r="133" spans="3:26" x14ac:dyDescent="0.25">
      <c r="C133" s="10" t="s">
        <v>15</v>
      </c>
      <c r="D133" s="1" t="s">
        <v>18</v>
      </c>
      <c r="E133" s="1" t="s">
        <v>22</v>
      </c>
      <c r="F133" s="11" t="s">
        <v>31</v>
      </c>
      <c r="G133" s="5">
        <v>3.13</v>
      </c>
      <c r="H133" s="6">
        <v>5.92</v>
      </c>
      <c r="I133" s="6">
        <v>9.09</v>
      </c>
      <c r="J133" s="5">
        <v>3.27</v>
      </c>
      <c r="K133" s="5">
        <v>6.03</v>
      </c>
      <c r="L133" s="17">
        <f>Таблица2[[#This Row],[ПИР2010]]*0.9*1.082*1.068*1.059*1.058</f>
        <v>3.6472622217438251</v>
      </c>
      <c r="M133" s="5">
        <f>Таблица2[[#This Row],[СМР2010]]*0.9*1.082*1.068*1.059*1.058</f>
        <v>6.8983362149276175</v>
      </c>
      <c r="N133" s="5">
        <f>Таблица2[[#This Row],[ПНР2010]]*0.9*1.082*1.068*1.059*1.058</f>
        <v>10.592208816502035</v>
      </c>
      <c r="O133" s="5">
        <f>Таблица2[[#This Row],[Оборудование2010]]*0.9*1.082*1.068*1.059*1.058</f>
        <v>3.8103985511508971</v>
      </c>
      <c r="P133" s="20">
        <f>Таблица2[[#This Row],[Прочие2010]]*0.9*1.082*1.068*1.059*1.058</f>
        <v>7.0265147594617448</v>
      </c>
      <c r="Q133" s="5">
        <v>3.64</v>
      </c>
      <c r="R133" s="6">
        <v>6.33</v>
      </c>
      <c r="S133" s="6">
        <v>12.34</v>
      </c>
      <c r="T133" s="5">
        <v>3.94</v>
      </c>
      <c r="U133" s="5">
        <v>7.74</v>
      </c>
      <c r="V133" s="5">
        <v>3.53</v>
      </c>
      <c r="W133" s="6">
        <v>6.21</v>
      </c>
      <c r="X133" s="6">
        <v>12.1</v>
      </c>
      <c r="Y133" s="6">
        <v>3.82</v>
      </c>
      <c r="Z133" s="6">
        <v>7.53</v>
      </c>
    </row>
    <row r="134" spans="3:26" x14ac:dyDescent="0.25">
      <c r="C134" s="10" t="s">
        <v>16</v>
      </c>
      <c r="D134" s="1" t="s">
        <v>18</v>
      </c>
      <c r="E134" s="1" t="s">
        <v>22</v>
      </c>
      <c r="F134" s="11" t="s">
        <v>31</v>
      </c>
      <c r="G134" s="5">
        <v>3.13</v>
      </c>
      <c r="H134" s="6">
        <v>5.96</v>
      </c>
      <c r="I134" s="6">
        <v>10.45</v>
      </c>
      <c r="J134" s="5">
        <v>3.27</v>
      </c>
      <c r="K134" s="5">
        <v>6.03</v>
      </c>
      <c r="L134" s="17">
        <f>Таблица2[[#This Row],[ПИР2010]]*0.9*1.082*1.068*1.059*1.058</f>
        <v>3.6472622217438251</v>
      </c>
      <c r="M134" s="5">
        <f>Таблица2[[#This Row],[СМР2010]]*0.9*1.082*1.068*1.059*1.058</f>
        <v>6.9449465947582079</v>
      </c>
      <c r="N134" s="5">
        <f>Таблица2[[#This Row],[ПНР2010]]*0.9*1.082*1.068*1.059*1.058</f>
        <v>12.176961730742162</v>
      </c>
      <c r="O134" s="5">
        <f>Таблица2[[#This Row],[Оборудование2010]]*0.9*1.082*1.068*1.059*1.058</f>
        <v>3.8103985511508971</v>
      </c>
      <c r="P134" s="20">
        <f>Таблица2[[#This Row],[Прочие2010]]*0.9*1.082*1.068*1.059*1.058</f>
        <v>7.0265147594617448</v>
      </c>
      <c r="Q134" s="5">
        <v>3.64</v>
      </c>
      <c r="R134" s="6">
        <v>5.97</v>
      </c>
      <c r="S134" s="6">
        <v>12.05</v>
      </c>
      <c r="T134" s="5">
        <v>3.94</v>
      </c>
      <c r="U134" s="5">
        <v>7.74</v>
      </c>
      <c r="V134" s="5">
        <v>3.53</v>
      </c>
      <c r="W134" s="6">
        <v>5.88</v>
      </c>
      <c r="X134" s="6">
        <v>11.81</v>
      </c>
      <c r="Y134" s="6">
        <v>3.82</v>
      </c>
      <c r="Z134" s="6">
        <v>7.53</v>
      </c>
    </row>
    <row r="135" spans="3:26" ht="15.75" thickBot="1" x14ac:dyDescent="0.3">
      <c r="C135" s="12" t="s">
        <v>17</v>
      </c>
      <c r="D135" s="13" t="s">
        <v>18</v>
      </c>
      <c r="E135" s="13" t="s">
        <v>22</v>
      </c>
      <c r="F135" s="14" t="s">
        <v>31</v>
      </c>
      <c r="G135" s="5">
        <v>3.13</v>
      </c>
      <c r="H135" s="6">
        <v>5</v>
      </c>
      <c r="I135" s="6">
        <v>9.94</v>
      </c>
      <c r="J135" s="5">
        <v>3.27</v>
      </c>
      <c r="K135" s="5">
        <v>6.03</v>
      </c>
      <c r="L135" s="18">
        <f>Таблица2[[#This Row],[ПИР2010]]*0.9*1.082*1.068*1.059*1.058</f>
        <v>3.6472622217438251</v>
      </c>
      <c r="M135" s="19">
        <f>Таблица2[[#This Row],[СМР2010]]*0.9*1.082*1.068*1.059*1.058</f>
        <v>5.8262974788240003</v>
      </c>
      <c r="N135" s="19">
        <f>Таблица2[[#This Row],[ПНР2010]]*0.9*1.082*1.068*1.059*1.058</f>
        <v>11.582679387902113</v>
      </c>
      <c r="O135" s="19">
        <f>Таблица2[[#This Row],[Оборудование2010]]*0.9*1.082*1.068*1.059*1.058</f>
        <v>3.8103985511508971</v>
      </c>
      <c r="P135" s="21">
        <f>Таблица2[[#This Row],[Прочие2010]]*0.9*1.082*1.068*1.059*1.058</f>
        <v>7.0265147594617448</v>
      </c>
      <c r="Q135" s="5">
        <v>3.64</v>
      </c>
      <c r="R135" s="6">
        <v>5.24</v>
      </c>
      <c r="S135" s="6">
        <v>10.83</v>
      </c>
      <c r="T135" s="5">
        <v>3.94</v>
      </c>
      <c r="U135" s="5">
        <v>7.74</v>
      </c>
      <c r="V135" s="5">
        <v>3.53</v>
      </c>
      <c r="W135" s="6">
        <v>5.14</v>
      </c>
      <c r="X135" s="6">
        <v>10.61</v>
      </c>
      <c r="Y135" s="6">
        <v>3.82</v>
      </c>
      <c r="Z135" s="6">
        <v>7.53</v>
      </c>
    </row>
    <row r="139" spans="3:26" x14ac:dyDescent="0.25">
      <c r="G139" s="147"/>
      <c r="H139" s="147"/>
      <c r="I139" s="147"/>
      <c r="J139" s="147"/>
      <c r="K139" s="147"/>
      <c r="L139" s="148"/>
    </row>
    <row r="140" spans="3:26" x14ac:dyDescent="0.25">
      <c r="G140" s="147"/>
      <c r="H140" s="147"/>
      <c r="I140" s="147"/>
      <c r="J140" s="147"/>
      <c r="K140" s="147"/>
      <c r="L140" s="148"/>
    </row>
    <row r="141" spans="3:26" x14ac:dyDescent="0.25">
      <c r="L141" s="148"/>
    </row>
    <row r="142" spans="3:26" x14ac:dyDescent="0.25">
      <c r="G142" s="149"/>
      <c r="H142" s="149"/>
      <c r="I142" s="149"/>
      <c r="J142" s="149"/>
      <c r="K142" s="149"/>
      <c r="L142" s="148"/>
      <c r="M142" s="149"/>
    </row>
    <row r="143" spans="3:26" x14ac:dyDescent="0.25">
      <c r="L143" s="148"/>
    </row>
    <row r="144" spans="3:26" x14ac:dyDescent="0.25">
      <c r="D144" s="73"/>
      <c r="F144" s="66"/>
      <c r="G144" s="66"/>
      <c r="H144" s="66"/>
      <c r="I144" s="66"/>
      <c r="J144" s="66"/>
      <c r="K144" s="66"/>
      <c r="L144" s="148"/>
    </row>
    <row r="145" spans="5:20" x14ac:dyDescent="0.25">
      <c r="F145" s="66"/>
      <c r="G145" s="66"/>
      <c r="H145" s="66"/>
      <c r="I145" s="66"/>
      <c r="J145" s="66"/>
      <c r="K145" s="66"/>
      <c r="L145" s="148"/>
    </row>
    <row r="146" spans="5:20" x14ac:dyDescent="0.25">
      <c r="F146" s="66"/>
      <c r="G146" s="66"/>
    </row>
    <row r="147" spans="5:20" x14ac:dyDescent="0.25">
      <c r="F147" s="66"/>
      <c r="G147" s="66"/>
    </row>
    <row r="148" spans="5:20" x14ac:dyDescent="0.25">
      <c r="F148" s="66"/>
      <c r="G148" s="66"/>
    </row>
    <row r="153" spans="5:20" x14ac:dyDescent="0.25">
      <c r="E153" s="74"/>
    </row>
    <row r="154" spans="5:20" x14ac:dyDescent="0.25">
      <c r="E154" s="74"/>
      <c r="P154" s="6"/>
      <c r="Q154" s="6"/>
      <c r="R154" s="6"/>
      <c r="S154" s="6"/>
      <c r="T154" s="6"/>
    </row>
    <row r="155" spans="5:20" x14ac:dyDescent="0.25">
      <c r="E155" s="74"/>
    </row>
    <row r="156" spans="5:20" x14ac:dyDescent="0.25">
      <c r="E156" s="74"/>
      <c r="P156" s="66"/>
      <c r="Q156" s="66"/>
      <c r="R156" s="66"/>
      <c r="S156" s="66"/>
      <c r="T156" s="66"/>
    </row>
    <row r="157" spans="5:20" x14ac:dyDescent="0.25">
      <c r="E157" s="74"/>
    </row>
    <row r="158" spans="5:20" x14ac:dyDescent="0.25">
      <c r="E158" s="74"/>
    </row>
  </sheetData>
  <mergeCells count="4">
    <mergeCell ref="L2:P2"/>
    <mergeCell ref="G2:K2"/>
    <mergeCell ref="Q2:U2"/>
    <mergeCell ref="V2:Z2"/>
  </mergeCells>
  <pageMargins left="0.7" right="0.7" top="0.75" bottom="0.75" header="0.3" footer="0.3"/>
  <pageSetup paperSize="9" orientation="portrait" verticalDpi="0" r:id="rId1"/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/>
  <dimension ref="B1:BB216"/>
  <sheetViews>
    <sheetView topLeftCell="M1" zoomScale="60" zoomScaleNormal="60" workbookViewId="0">
      <selection activeCell="U51" sqref="U51"/>
    </sheetView>
  </sheetViews>
  <sheetFormatPr defaultRowHeight="15" x14ac:dyDescent="0.25"/>
  <cols>
    <col min="2" max="2" width="14.85546875" customWidth="1"/>
    <col min="3" max="3" width="2.85546875" customWidth="1"/>
    <col min="4" max="4" width="16.28515625" bestFit="1" customWidth="1"/>
    <col min="5" max="5" width="23.28515625" bestFit="1" customWidth="1"/>
    <col min="6" max="6" width="23.140625" bestFit="1" customWidth="1"/>
    <col min="7" max="7" width="13.7109375" bestFit="1" customWidth="1"/>
    <col min="8" max="8" width="9.5703125" bestFit="1" customWidth="1"/>
    <col min="9" max="9" width="9.7109375" bestFit="1" customWidth="1"/>
    <col min="10" max="10" width="12.28515625" bestFit="1" customWidth="1"/>
    <col min="11" max="11" width="9.7109375" bestFit="1" customWidth="1"/>
    <col min="12" max="12" width="17.140625" bestFit="1" customWidth="1"/>
    <col min="13" max="13" width="10.28515625" bestFit="1" customWidth="1"/>
    <col min="14" max="14" width="9.7109375" bestFit="1" customWidth="1"/>
    <col min="15" max="15" width="12.28515625" bestFit="1" customWidth="1"/>
    <col min="16" max="16" width="9.7109375" bestFit="1" customWidth="1"/>
    <col min="17" max="17" width="18.140625" bestFit="1" customWidth="1"/>
    <col min="18" max="18" width="11.28515625" bestFit="1" customWidth="1"/>
    <col min="19" max="19" width="8.7109375" bestFit="1" customWidth="1"/>
    <col min="20" max="20" width="11.28515625" bestFit="1" customWidth="1"/>
    <col min="21" max="21" width="9.7109375" bestFit="1" customWidth="1"/>
    <col min="22" max="22" width="19.140625" bestFit="1" customWidth="1"/>
    <col min="23" max="23" width="10.42578125" customWidth="1"/>
    <col min="24" max="27" width="21.28515625" customWidth="1"/>
    <col min="28" max="28" width="12.42578125" bestFit="1" customWidth="1"/>
    <col min="29" max="32" width="17.140625" customWidth="1"/>
    <col min="33" max="37" width="16.42578125" customWidth="1"/>
    <col min="38" max="42" width="18.28515625" customWidth="1"/>
    <col min="43" max="43" width="14.140625" customWidth="1"/>
    <col min="47" max="48" width="11.140625" bestFit="1" customWidth="1"/>
    <col min="50" max="50" width="9.85546875" customWidth="1"/>
    <col min="51" max="54" width="9.85546875" bestFit="1" customWidth="1"/>
  </cols>
  <sheetData>
    <row r="1" spans="2:54" ht="15.75" thickBot="1" x14ac:dyDescent="0.3">
      <c r="I1" s="179" t="s">
        <v>24</v>
      </c>
      <c r="J1" s="179"/>
      <c r="K1" s="179"/>
      <c r="L1" s="179"/>
      <c r="M1" s="179"/>
      <c r="N1" s="180" t="s">
        <v>25</v>
      </c>
      <c r="O1" s="181"/>
      <c r="P1" s="181"/>
      <c r="Q1" s="181"/>
      <c r="R1" s="182"/>
      <c r="S1" s="183" t="s">
        <v>32</v>
      </c>
      <c r="T1" s="184"/>
      <c r="U1" s="184"/>
      <c r="V1" s="184"/>
      <c r="W1" s="184"/>
      <c r="X1" s="185" t="s">
        <v>33</v>
      </c>
      <c r="Y1" s="186"/>
      <c r="Z1" s="186"/>
      <c r="AA1" s="186"/>
      <c r="AB1" s="187"/>
      <c r="AE1" s="66">
        <f>AF3*0.9*1.058</f>
        <v>2237.2889295599998</v>
      </c>
      <c r="AG1" s="185" t="s">
        <v>66</v>
      </c>
      <c r="AH1" s="186"/>
      <c r="AI1" s="186"/>
      <c r="AJ1" s="186"/>
      <c r="AK1" s="187"/>
      <c r="AL1">
        <v>1.0589999999999999</v>
      </c>
      <c r="AM1">
        <v>1.0580000000000001</v>
      </c>
      <c r="AN1">
        <v>1.0620000000000001</v>
      </c>
      <c r="AO1">
        <v>1.0649999999999999</v>
      </c>
      <c r="AP1">
        <v>1.0669999999999999</v>
      </c>
      <c r="AQ1">
        <v>1.069</v>
      </c>
      <c r="AT1" s="72"/>
      <c r="AU1" s="66"/>
    </row>
    <row r="2" spans="2:54" x14ac:dyDescent="0.25">
      <c r="B2" t="str">
        <f>калькулятор!B2</f>
        <v>Тамбовэнерго</v>
      </c>
      <c r="D2" s="57" t="s">
        <v>43</v>
      </c>
      <c r="E2" s="58" t="s">
        <v>28</v>
      </c>
      <c r="F2" s="58" t="s">
        <v>0</v>
      </c>
      <c r="G2" s="58" t="s">
        <v>20</v>
      </c>
      <c r="H2" s="58" t="s">
        <v>1</v>
      </c>
      <c r="I2" s="58" t="s">
        <v>2</v>
      </c>
      <c r="J2" s="58" t="s">
        <v>3</v>
      </c>
      <c r="K2" s="58" t="s">
        <v>4</v>
      </c>
      <c r="L2" s="58" t="s">
        <v>5</v>
      </c>
      <c r="M2" s="58" t="s">
        <v>6</v>
      </c>
      <c r="N2" s="59" t="s">
        <v>27</v>
      </c>
      <c r="O2" s="59" t="s">
        <v>70</v>
      </c>
      <c r="P2" s="59" t="s">
        <v>71</v>
      </c>
      <c r="Q2" s="59" t="s">
        <v>72</v>
      </c>
      <c r="R2" s="59" t="s">
        <v>73</v>
      </c>
      <c r="S2" s="58" t="s">
        <v>44</v>
      </c>
      <c r="T2" s="58" t="s">
        <v>45</v>
      </c>
      <c r="U2" s="58" t="s">
        <v>46</v>
      </c>
      <c r="V2" s="58" t="s">
        <v>47</v>
      </c>
      <c r="W2" s="58" t="s">
        <v>36</v>
      </c>
      <c r="X2" s="59" t="s">
        <v>48</v>
      </c>
      <c r="Y2" s="59" t="s">
        <v>49</v>
      </c>
      <c r="Z2" s="59" t="s">
        <v>50</v>
      </c>
      <c r="AA2" s="59" t="s">
        <v>51</v>
      </c>
      <c r="AB2" s="59" t="s">
        <v>52</v>
      </c>
      <c r="AC2" s="59" t="s">
        <v>24</v>
      </c>
      <c r="AD2" s="60" t="s">
        <v>25</v>
      </c>
      <c r="AE2" s="59" t="s">
        <v>32</v>
      </c>
      <c r="AF2" s="59" t="s">
        <v>33</v>
      </c>
      <c r="AG2" s="59" t="s">
        <v>62</v>
      </c>
      <c r="AH2" s="59" t="s">
        <v>63</v>
      </c>
      <c r="AI2" s="59" t="s">
        <v>64</v>
      </c>
      <c r="AJ2" s="59" t="s">
        <v>61</v>
      </c>
      <c r="AK2" s="59" t="s">
        <v>67</v>
      </c>
      <c r="AL2" s="59">
        <v>2013</v>
      </c>
      <c r="AM2" s="59">
        <v>2014</v>
      </c>
      <c r="AN2" s="59">
        <v>2015</v>
      </c>
      <c r="AO2" s="59">
        <v>2016</v>
      </c>
      <c r="AP2" s="59">
        <v>2017</v>
      </c>
      <c r="AQ2" s="59">
        <v>2018</v>
      </c>
      <c r="AR2" s="59">
        <v>2019</v>
      </c>
      <c r="AS2" s="61">
        <v>2020</v>
      </c>
      <c r="AU2" s="74"/>
      <c r="AV2" s="66"/>
      <c r="AX2" s="59" t="s">
        <v>27</v>
      </c>
      <c r="AY2" s="59" t="s">
        <v>70</v>
      </c>
      <c r="AZ2" s="59" t="s">
        <v>71</v>
      </c>
      <c r="BA2" s="59" t="s">
        <v>72</v>
      </c>
      <c r="BB2" s="59" t="s">
        <v>73</v>
      </c>
    </row>
    <row r="3" spans="2:54" x14ac:dyDescent="0.25">
      <c r="B3" t="str">
        <f>калькулятор!B3</f>
        <v>ФЕР</v>
      </c>
      <c r="D3" s="62">
        <f>калькулятор!C7</f>
        <v>1</v>
      </c>
      <c r="E3" s="62" t="str">
        <f>калькулятор!F7</f>
        <v>Строительство ВЛ 10 кВ</v>
      </c>
      <c r="F3" s="62" t="str">
        <f>калькулятор!G7</f>
        <v>ВЛЭП</v>
      </c>
      <c r="G3" s="62" t="str">
        <f>калькулятор!H7</f>
        <v>НСиР</v>
      </c>
      <c r="H3" s="62">
        <f>калькулятор!I7</f>
        <v>2</v>
      </c>
      <c r="I3" s="63">
        <f>S3*SUMPRODUCT(($B$2=Таблица2[Филиал])*($B$3=Таблица2[ФЕР/ТЕР])*(F3=Таблица2[Наименование работ])*(G3=Таблица2[ТПиР/НСиР])*Таблица2[ПИР2010])</f>
        <v>125.8886</v>
      </c>
      <c r="J3" s="63">
        <f>T3*SUMPRODUCT(($B$2=Таблица2[Филиал])*($B$3=Таблица2[ФЕР/ТЕР])*(F3=Таблица2[Наименование работ])*(G3=Таблица2[ТПиР/НСиР])*Таблица2[СМР2010])</f>
        <v>2486.3000000000002</v>
      </c>
      <c r="K3" s="63">
        <f>U3*SUMPRODUCT(($B$2=Таблица2[Филиал])*($B$3=Таблица2[ФЕР/ТЕР])*(F3=Таблица2[Наименование работ])*(G3=Таблица2[ТПиР/НСиР])*Таблица2[ПНР2010])</f>
        <v>12.435120000000001</v>
      </c>
      <c r="L3" s="63">
        <f>V3*SUMPRODUCT(($B$2=Таблица2[Филиал])*($B$3=Таблица2[ФЕР/ТЕР])*(F3=Таблица2[Наименование работ])*(G3=Таблица2[ТПиР/НСиР])*Таблица2[Оборудование2010])</f>
        <v>0</v>
      </c>
      <c r="M3" s="63">
        <f>W3*SUMPRODUCT(($B$2=Таблица2[Филиал])*($B$3=Таблица2[ФЕР/ТЕР])*(F3=Таблица2[Наименование работ])*(G3=Таблица2[ТПиР/НСиР])*Таблица2[Прочие2010])</f>
        <v>70.852500000000006</v>
      </c>
      <c r="N3" s="63">
        <f>S3*SUMPRODUCT(($B$2=Таблица2[Филиал])*($B$3=Таблица2[ФЕР/ТЕР])*(F3=Таблица2[Наименование работ])*(G3=Таблица2[ТПиР/НСиР])*Таблица2[ПИР2013-10])</f>
        <v>146.69288655853663</v>
      </c>
      <c r="O3" s="63">
        <f>T3*SUMPRODUCT(($B$2=Таблица2[Филиал])*($B$3=Таблица2[ФЕР/ТЕР])*(F3=Таблица2[Наименование работ])*(G3=Таблица2[ТПиР/НСиР])*Таблица2[СМР2013-10])</f>
        <v>2897.1846843200224</v>
      </c>
      <c r="P3" s="63">
        <f>U3*SUMPRODUCT(($B$2=Таблица2[Филиал])*($B$3=Таблица2[ФЕР/ТЕР])*(F3=Таблица2[Наименование работ])*(G3=Таблица2[ТПиР/НСиР])*Таблица2[ПНР2013-10])</f>
        <v>14.490141660974786</v>
      </c>
      <c r="Q3" s="63">
        <f>V3*SUMPRODUCT(($B$2=Таблица2[Филиал])*($B$3=Таблица2[ФЕР/ТЕР])*(F3=Таблица2[Наименование работ])*(G3=Таблица2[ТПиР/НСиР])*Таблица2[Оборудование2013-10])</f>
        <v>0</v>
      </c>
      <c r="R3" s="63">
        <f>W3*SUMPRODUCT(($B$2=Таблица2[Филиал])*($B$3=Таблица2[ФЕР/ТЕР])*(F3=Таблица2[Наименование работ])*(G3=Таблица2[ТПиР/НСиР])*Таблица2[Прочие2013-10])</f>
        <v>82.561548423675504</v>
      </c>
      <c r="S3" s="63">
        <f>IF($B$4="в базовых ценах",калькулятор!J7,X3*SUMPRODUCT(($B$2=Таблица2[Филиал])*($B$3=Таблица2[ФЕР/ТЕР])*(F3=Таблица2[Наименование работ])*(G3=Таблица2[ТПиР/НСиР])/Таблица2[ПИР2013]))</f>
        <v>40.22</v>
      </c>
      <c r="T3" s="63">
        <f>IF($B$4="в базовых ценах",калькулятор!K7,Y3*SUMPRODUCT(($B$2=Таблица2[Филиал])*($B$3=Таблица2[ФЕР/ТЕР])*(F3=Таблица2[Наименование работ])*(G3=Таблица2[ТПиР/НСиР])/Таблица2[СМР2013]))</f>
        <v>497.26</v>
      </c>
      <c r="U3" s="63">
        <f>IF($B$4="в базовых ценах",калькулятор!L7,Z3*SUMPRODUCT(($B$2=Таблица2[Филиал])*($B$3=Таблица2[ФЕР/ТЕР])*(F3=Таблица2[Наименование работ])*(G3=Таблица2[ТПиР/НСиР])/Таблица2[ПНР2013]))</f>
        <v>1.3680000000000001</v>
      </c>
      <c r="V3" s="63">
        <f>IF($B$4="в базовых ценах",калькулятор!M7,AA3*SUMPRODUCT(($B$2=Таблица2[Филиал])*($B$3=Таблица2[ФЕР/ТЕР])*(F3=Таблица2[Наименование работ])*(G3=Таблица2[ТПиР/НСиР])/Таблица2[Оборудование2013]))</f>
        <v>0</v>
      </c>
      <c r="W3" s="63">
        <f>IF($B$4="в базовых ценах",калькулятор!N7,AB3*SUMPRODUCT(($B$2=Таблица2[Филиал])*($B$3=Таблица2[ФЕР/ТЕР])*(F3=Таблица2[Наименование работ])*(G3=Таблица2[ТПиР/НСиР])/Таблица2[Прочие3]))</f>
        <v>11.75</v>
      </c>
      <c r="X3" s="63">
        <f>IF($B$4="в текущих ценах",калькулятор!J7,S3*SUMPRODUCT(($B$2=Таблица2[Филиал])*($B$3=Таблица2[ФЕР/ТЕР])*(F3=Таблица2[Наименование работ])*(G3=Таблица2[ТПиР/НСиР])*Таблица2[ПИР2013]))</f>
        <v>146.4008</v>
      </c>
      <c r="Y3" s="63">
        <f>IF($B$4="в текущих ценах",калькулятор!K7,T3*SUMPRODUCT(($B$2=Таблица2[Филиал])*($B$3=Таблица2[ФЕР/ТЕР])*(F3=Таблица2[Наименование работ])*(G3=Таблица2[ТПиР/НСиР])*Таблица2[СМР2013]))</f>
        <v>2098.4371999999998</v>
      </c>
      <c r="Z3" s="63">
        <f>IF($B$4="в текущих ценах",калькулятор!L7,U3*SUMPRODUCT(($B$2=Таблица2[Филиал])*($B$3=Таблица2[ФЕР/ТЕР])*(F3=Таблица2[Наименование работ])*(G3=Таблица2[ТПиР/НСиР])*Таблица2[ПНР2013]))</f>
        <v>13.816800000000001</v>
      </c>
      <c r="AA3" s="63">
        <f>IF($B$4="в текущих ценах",калькулятор!M7,V3*SUMPRODUCT(($B$2=Таблица2[Филиал])*($B$3=Таблица2[ФЕР/ТЕР])*(F3=Таблица2[Наименование работ])*(G3=Таблица2[ТПиР/НСиР])*Таблица2[Оборудование2013]))</f>
        <v>0</v>
      </c>
      <c r="AB3" s="63">
        <f>IF($B$4="в текущих ценах",калькулятор!N7,W3*SUMPRODUCT(($B$2=Таблица2[Филиал])*($B$3=Таблица2[ФЕР/ТЕР])*(F3=Таблица2[Наименование работ])*(G3=Таблица2[ТПиР/НСиР])*Таблица2[Прочие3]))</f>
        <v>90.945000000000007</v>
      </c>
      <c r="AC3" s="63">
        <f>SUM(данные!$I3:$M3)</f>
        <v>2695.4762200000005</v>
      </c>
      <c r="AD3" s="63">
        <f>IF(SUM(данные!$N3:$R3)&gt;данные!$AF3,данные!$AF3*0.9*1.058,SUM(данные!$N3:$R3))</f>
        <v>2237.2889295599998</v>
      </c>
      <c r="AE3" s="63">
        <f>SUM(данные!$S3:$W3)</f>
        <v>550.59800000000007</v>
      </c>
      <c r="AF3" s="63">
        <f>SUM(данные!$X3:$AB3)</f>
        <v>2349.5998</v>
      </c>
      <c r="AG3" s="63">
        <f>IF($B$4="в текущих ценах",S3*SUMPRODUCT(($B$2=Таблица2[Филиал])*($B$3=Таблица2[ФЕР/ТЕР])*(F3=Таблица2[Наименование работ])*(G3=Таблица2[ТПиР/НСиР])*Таблица2[ПИР2012]),S3*SUMPRODUCT(($B$2=Таблица2[Филиал])*($B$3=Таблица2[ФЕР/ТЕР])*(F3=Таблица2[Наименование работ])*(G3=Таблица2[ТПиР/НСиР])*Таблица2[ПИР2012]))</f>
        <v>141.97659999999999</v>
      </c>
      <c r="AH3" s="63">
        <f>IF($B$4="в текущих ценах",T3*SUMPRODUCT(($B$2=Таблица2[Филиал])*($B$3=Таблица2[ФЕР/ТЕР])*(F3=Таблица2[Наименование работ])*(G3=Таблица2[ТПиР/НСиР])*Таблица2[СМР2012]),T3*SUMPRODUCT(($B$2=Таблица2[Филиал])*($B$3=Таблица2[ФЕР/ТЕР])*(F3=Таблица2[Наименование работ])*(G3=Таблица2[ТПиР/НСиР])*Таблица2[СМР2012]))</f>
        <v>2058.6563999999998</v>
      </c>
      <c r="AI3" s="63">
        <f>IF($B$4="в текущих ценах",U3*SUMPRODUCT(($B$2=Таблица2[Филиал])*($B$3=Таблица2[ФЕР/ТЕР])*(F3=Таблица2[Наименование работ])*(G3=Таблица2[ТПиР/НСиР])*Таблица2[ПНР2012]),U3*SUMPRODUCT(($B$2=Таблица2[Филиал])*($B$3=Таблица2[ФЕР/ТЕР])*(F3=Таблица2[Наименование работ])*(G3=Таблица2[ТПиР/НСиР])*Таблица2[ПНР2012]))</f>
        <v>13.543200000000002</v>
      </c>
      <c r="AJ3" s="63">
        <f>IF($B$4="в текущих ценах",V3*SUMPRODUCT(($B$2=Таблица2[Филиал])*($B$3=Таблица2[ФЕР/ТЕР])*(F3=Таблица2[Наименование работ])*(G3=Таблица2[ТПиР/НСиР])*Таблица2[Оборудование2012]),V3*SUMPRODUCT(($B$2=Таблица2[Филиал])*($B$3=Таблица2[ФЕР/ТЕР])*(F3=Таблица2[Наименование работ])*(G3=Таблица2[ТПиР/НСиР])*Таблица2[Оборудование2012]))</f>
        <v>0</v>
      </c>
      <c r="AK3" s="63">
        <f>IF($B$4="в текущих ценах",W3*SUMPRODUCT(($B$2=Таблица2[Филиал])*($B$3=Таблица2[ФЕР/ТЕР])*(F3=Таблица2[Наименование работ])*(G3=Таблица2[ТПиР/НСиР])*Таблица2[Прочее2012]),W3*SUMPRODUCT(($B$2=Таблица2[Филиал])*($B$3=Таблица2[ФЕР/ТЕР])*(F3=Таблица2[Наименование работ])*(G3=Таблица2[ТПиР/НСиР])*Таблица2[Прочее2012]))</f>
        <v>88.477500000000006</v>
      </c>
      <c r="AL3" s="63">
        <f>данные!$X3+данные!$Y3+данные!$Z3+данные!$AA3+данные!$AB3</f>
        <v>2349.5998</v>
      </c>
      <c r="AM3" s="63">
        <f>AL1*AM1*0.925</f>
        <v>1.03639035</v>
      </c>
      <c r="AN3" s="70">
        <f>AL1*AN1*AM1*0.85</f>
        <v>1.0114049394</v>
      </c>
      <c r="AO3" s="70">
        <f>AO1*AL1*AM1*AN1*0.775</f>
        <v>0.9821039433615002</v>
      </c>
      <c r="AP3" s="70">
        <f>AP1*AL1*AM1*AN1*AO1*0.7</f>
        <v>0.9464947552215538</v>
      </c>
      <c r="AQ3" s="70">
        <f>AP1*AQ1*0.7*AL1*AM1*AN1*AO1</f>
        <v>1.011802893331841</v>
      </c>
      <c r="AR3" s="70"/>
      <c r="AS3" s="71"/>
      <c r="AT3" s="72">
        <f>HLOOKUP(результат!K2,AL2:AS3,2)</f>
        <v>1.03639035</v>
      </c>
      <c r="AU3" s="66">
        <f>AG3+AH3+AI3+AJ3+AK3</f>
        <v>2302.6536999999998</v>
      </c>
      <c r="AV3" s="66">
        <f>AU3*AT3</f>
        <v>2386.448074071795</v>
      </c>
      <c r="AX3" s="66">
        <f>IF(SUM(N3:R3)&gt;SUM(X3:AB3),X3*0.9*1.058,N3)</f>
        <v>139.40284176000003</v>
      </c>
      <c r="AY3" s="66">
        <f>IF(SUM(N3:R3)&gt;SUM(X3:AB3),Y3*0.9*1.058,O3)</f>
        <v>1998.1319018400002</v>
      </c>
      <c r="AZ3" s="66">
        <f>IF(SUM(N3:R3)&gt;SUM(X3:AB3),Z3*0.9*1.058,P3)</f>
        <v>13.156356960000002</v>
      </c>
      <c r="BA3" s="66">
        <f>IF(SUM(N3:R3)&gt;SUM(X3:AB3),AA3*0.9*1.058,Q3)</f>
        <v>0</v>
      </c>
      <c r="BB3" s="66">
        <f>IF(SUM(N3:R3)&gt;SUM(X3:AB3),AB3*0.9*1.058,R3)</f>
        <v>86.597829000000019</v>
      </c>
    </row>
    <row r="4" spans="2:54" x14ac:dyDescent="0.25">
      <c r="B4" t="str">
        <f>калькулятор!B4</f>
        <v>в базовых ценах</v>
      </c>
      <c r="D4" s="62">
        <f>калькулятор!C8</f>
        <v>0</v>
      </c>
      <c r="E4" s="62">
        <f>калькулятор!F8</f>
        <v>0</v>
      </c>
      <c r="F4" s="62">
        <f>калькулятор!G8</f>
        <v>0</v>
      </c>
      <c r="G4" s="62">
        <f>калькулятор!H8</f>
        <v>0</v>
      </c>
      <c r="H4" s="62">
        <f>калькулятор!I8</f>
        <v>0</v>
      </c>
      <c r="I4" s="63">
        <f>S4*SUMPRODUCT(($B$2=Таблица2[Филиал])*($B$3=Таблица2[ФЕР/ТЕР])*(F4=Таблица2[Наименование работ])*(G4=Таблица2[ТПиР/НСиР])*Таблица2[ПИР2010])</f>
        <v>0</v>
      </c>
      <c r="J4" s="63">
        <f>T4*SUMPRODUCT(($B$2=Таблица2[Филиал])*($B$3=Таблица2[ФЕР/ТЕР])*(F4=Таблица2[Наименование работ])*(G4=Таблица2[ТПиР/НСиР])*Таблица2[СМР2010])</f>
        <v>0</v>
      </c>
      <c r="K4" s="63">
        <f>U4*SUMPRODUCT(($B$2=Таблица2[Филиал])*($B$3=Таблица2[ФЕР/ТЕР])*(F4=Таблица2[Наименование работ])*(G4=Таблица2[ТПиР/НСиР])*Таблица2[ПНР2010])</f>
        <v>0</v>
      </c>
      <c r="L4" s="63">
        <f>V4*SUMPRODUCT(($B$2=Таблица2[Филиал])*($B$3=Таблица2[ФЕР/ТЕР])*(F4=Таблица2[Наименование работ])*(G4=Таблица2[ТПиР/НСиР])*Таблица2[Оборудование2010])</f>
        <v>0</v>
      </c>
      <c r="M4" s="63">
        <f>W4*SUMPRODUCT(($B$2=Таблица2[Филиал])*($B$3=Таблица2[ФЕР/ТЕР])*(F4=Таблица2[Наименование работ])*(G4=Таблица2[ТПиР/НСиР])*Таблица2[Прочие2010])</f>
        <v>0</v>
      </c>
      <c r="N4" s="63">
        <f>S4*SUMPRODUCT(($B$2=Таблица2[Филиал])*($B$3=Таблица2[ФЕР/ТЕР])*(F4=Таблица2[Наименование работ])*(G4=Таблица2[ТПиР/НСиР])*Таблица2[ПИР2013-10])</f>
        <v>0</v>
      </c>
      <c r="O4" s="63">
        <f>T4*SUMPRODUCT(($B$2=Таблица2[Филиал])*($B$3=Таблица2[ФЕР/ТЕР])*(F4=Таблица2[Наименование работ])*(G4=Таблица2[ТПиР/НСиР])*Таблица2[СМР2013-10])</f>
        <v>0</v>
      </c>
      <c r="P4" s="63">
        <f>U4*SUMPRODUCT(($B$2=Таблица2[Филиал])*($B$3=Таблица2[ФЕР/ТЕР])*(F4=Таблица2[Наименование работ])*(G4=Таблица2[ТПиР/НСиР])*Таблица2[ПНР2013-10])</f>
        <v>0</v>
      </c>
      <c r="Q4" s="63">
        <f>V4*SUMPRODUCT(($B$2=Таблица2[Филиал])*($B$3=Таблица2[ФЕР/ТЕР])*(F4=Таблица2[Наименование работ])*(G4=Таблица2[ТПиР/НСиР])*Таблица2[Оборудование2013-10])</f>
        <v>0</v>
      </c>
      <c r="R4" s="63">
        <f>W4*SUMPRODUCT(($B$2=Таблица2[Филиал])*($B$3=Таблица2[ФЕР/ТЕР])*(F4=Таблица2[Наименование работ])*(G4=Таблица2[ТПиР/НСиР])*Таблица2[Прочие2013-10])</f>
        <v>0</v>
      </c>
      <c r="S4" s="63">
        <f>IF($B$4="в базовых ценах",калькулятор!J8,X4*SUMPRODUCT(($B$2=Таблица2[Филиал])*($B$3=Таблица2[ФЕР/ТЕР])*(F4=Таблица2[Наименование работ])*(G4=Таблица2[ТПиР/НСиР])/Таблица2[ПИР2013]))</f>
        <v>0</v>
      </c>
      <c r="T4" s="63">
        <f>IF($B$4="в базовых ценах",калькулятор!K8,Y4*SUMPRODUCT(($B$2=Таблица2[Филиал])*($B$3=Таблица2[ФЕР/ТЕР])*(F4=Таблица2[Наименование работ])*(G4=Таблица2[ТПиР/НСиР])/Таблица2[СМР2013]))</f>
        <v>0</v>
      </c>
      <c r="U4" s="63">
        <f>IF($B$4="в базовых ценах",калькулятор!L8,Z4*SUMPRODUCT(($B$2=Таблица2[Филиал])*($B$3=Таблица2[ФЕР/ТЕР])*(F4=Таблица2[Наименование работ])*(G4=Таблица2[ТПиР/НСиР])/Таблица2[ПНР2013]))</f>
        <v>0</v>
      </c>
      <c r="V4" s="63">
        <f>IF($B$4="в базовых ценах",калькулятор!M8,AA4*SUMPRODUCT(($B$2=Таблица2[Филиал])*($B$3=Таблица2[ФЕР/ТЕР])*(F4=Таблица2[Наименование работ])*(G4=Таблица2[ТПиР/НСиР])/Таблица2[Оборудование2013]))</f>
        <v>0</v>
      </c>
      <c r="W4" s="63">
        <f>IF($B$4="в базовых ценах",калькулятор!N8,AB4*SUMPRODUCT(($B$2=Таблица2[Филиал])*($B$3=Таблица2[ФЕР/ТЕР])*(F4=Таблица2[Наименование работ])*(G4=Таблица2[ТПиР/НСиР])/Таблица2[Прочие3]))</f>
        <v>0</v>
      </c>
      <c r="X4" s="63">
        <f>IF($B$4="в текущих ценах",калькулятор!J8,S4*SUMPRODUCT(($B$2=Таблица2[Филиал])*($B$3=Таблица2[ФЕР/ТЕР])*(F4=Таблица2[Наименование работ])*(G4=Таблица2[ТПиР/НСиР])*Таблица2[ПИР2013]))</f>
        <v>0</v>
      </c>
      <c r="Y4" s="63">
        <f>IF($B$4="в текущих ценах",калькулятор!K8,T4*SUMPRODUCT(($B$2=Таблица2[Филиал])*($B$3=Таблица2[ФЕР/ТЕР])*(F4=Таблица2[Наименование работ])*(G4=Таблица2[ТПиР/НСиР])*Таблица2[СМР2013]))</f>
        <v>0</v>
      </c>
      <c r="Z4" s="63">
        <f>IF($B$4="в текущих ценах",калькулятор!L8,U4*SUMPRODUCT(($B$2=Таблица2[Филиал])*($B$3=Таблица2[ФЕР/ТЕР])*(F4=Таблица2[Наименование работ])*(G4=Таблица2[ТПиР/НСиР])*Таблица2[ПНР2013]))</f>
        <v>0</v>
      </c>
      <c r="AA4" s="63">
        <f>IF($B$4="в текущих ценах",калькулятор!M8,V4*SUMPRODUCT(($B$2=Таблица2[Филиал])*($B$3=Таблица2[ФЕР/ТЕР])*(F4=Таблица2[Наименование работ])*(G4=Таблица2[ТПиР/НСиР])*Таблица2[Оборудование2013]))</f>
        <v>0</v>
      </c>
      <c r="AB4" s="63">
        <f>IF($B$4="в текущих ценах",калькулятор!N8,W4*SUMPRODUCT(($B$2=Таблица2[Филиал])*($B$3=Таблица2[ФЕР/ТЕР])*(F4=Таблица2[Наименование работ])*(G4=Таблица2[ТПиР/НСиР])*Таблица2[Прочие3]))</f>
        <v>0</v>
      </c>
      <c r="AC4" s="63">
        <f>SUM(данные!$I4:$M4)</f>
        <v>0</v>
      </c>
      <c r="AD4" s="63">
        <f>IF(SUM(данные!$N4:$R4)&gt;данные!$AF4,данные!$AF4*0.9*1.058,SUM(данные!$N4:$R4))</f>
        <v>0</v>
      </c>
      <c r="AE4" s="63">
        <f>SUM(данные!$S4:$W4)</f>
        <v>0</v>
      </c>
      <c r="AF4" s="63">
        <f>SUM(данные!$X4:$AB4)</f>
        <v>0</v>
      </c>
      <c r="AG4" s="63">
        <f>IF($B$4="в текущих ценах",S4*SUMPRODUCT(($B$2=Таблица2[Филиал])*($B$3=Таблица2[ФЕР/ТЕР])*(F4=Таблица2[Наименование работ])*(G4=Таблица2[ТПиР/НСиР])*Таблица2[ПИР2012]),S4*SUMPRODUCT(($B$2=Таблица2[Филиал])*($B$3=Таблица2[ФЕР/ТЕР])*(F4=Таблица2[Наименование работ])*(G4=Таблица2[ТПиР/НСиР])*Таблица2[ПИР2012]))</f>
        <v>0</v>
      </c>
      <c r="AH4" s="63">
        <f>IF($B$4="в текущих ценах",T4*SUMPRODUCT(($B$2=Таблица2[Филиал])*($B$3=Таблица2[ФЕР/ТЕР])*(F4=Таблица2[Наименование работ])*(G4=Таблица2[ТПиР/НСиР])*Таблица2[СМР2012]),T4*SUMPRODUCT(($B$2=Таблица2[Филиал])*($B$3=Таблица2[ФЕР/ТЕР])*(F4=Таблица2[Наименование работ])*(G4=Таблица2[ТПиР/НСиР])*Таблица2[СМР2012]))</f>
        <v>0</v>
      </c>
      <c r="AI4" s="63">
        <f>IF($B$4="в текущих ценах",U4*SUMPRODUCT(($B$2=Таблица2[Филиал])*($B$3=Таблица2[ФЕР/ТЕР])*(F4=Таблица2[Наименование работ])*(G4=Таблица2[ТПиР/НСиР])*Таблица2[ПНР2012]),U4*SUMPRODUCT(($B$2=Таблица2[Филиал])*($B$3=Таблица2[ФЕР/ТЕР])*(F4=Таблица2[Наименование работ])*(G4=Таблица2[ТПиР/НСиР])*Таблица2[ПНР2012]))</f>
        <v>0</v>
      </c>
      <c r="AJ4" s="63">
        <f>IF($B$4="в текущих ценах",V4*SUMPRODUCT(($B$2=Таблица2[Филиал])*($B$3=Таблица2[ФЕР/ТЕР])*(F4=Таблица2[Наименование работ])*(G4=Таблица2[ТПиР/НСиР])*Таблица2[Оборудование2012]),V4*SUMPRODUCT(($B$2=Таблица2[Филиал])*($B$3=Таблица2[ФЕР/ТЕР])*(F4=Таблица2[Наименование работ])*(G4=Таблица2[ТПиР/НСиР])*Таблица2[Оборудование2012]))</f>
        <v>0</v>
      </c>
      <c r="AK4" s="63">
        <f>IF($B$4="в текущих ценах",W4*SUMPRODUCT(($B$2=Таблица2[Филиал])*($B$3=Таблица2[ФЕР/ТЕР])*(F4=Таблица2[Наименование работ])*(G4=Таблица2[ТПиР/НСиР])*Таблица2[Прочее2012]),W4*SUMPRODUCT(($B$2=Таблица2[Филиал])*($B$3=Таблица2[ФЕР/ТЕР])*(F4=Таблица2[Наименование работ])*(G4=Таблица2[ТПиР/НСиР])*Таблица2[Прочее2012]))</f>
        <v>0</v>
      </c>
      <c r="AL4" s="63">
        <f>данные!$X4+данные!$Y4+данные!$Z4+данные!$AA4+данные!$AB4</f>
        <v>0</v>
      </c>
      <c r="AM4" s="63">
        <v>1.03639035</v>
      </c>
      <c r="AN4" s="63">
        <v>1.0114049394</v>
      </c>
      <c r="AO4" s="63">
        <v>0.98210394336149998</v>
      </c>
      <c r="AP4" s="63">
        <v>0.93762413895893393</v>
      </c>
      <c r="AQ4" s="63"/>
      <c r="AR4" s="63"/>
      <c r="AS4" s="64"/>
      <c r="AU4" s="66">
        <f>AG4+AH4+AI4+AJ4+AK4</f>
        <v>0</v>
      </c>
      <c r="AX4" s="66">
        <f t="shared" ref="AX4:AX67" si="0">IF(SUM(N4:R4)&gt;SUM(X4:AB4),X4*0.9*1.058,N4)</f>
        <v>0</v>
      </c>
      <c r="AY4" s="66">
        <f t="shared" ref="AY4:AY67" si="1">IF(SUM(N4:R4)&gt;SUM(X4:AB4),Y4*0.9*1.058,O4)</f>
        <v>0</v>
      </c>
      <c r="AZ4" s="66">
        <f t="shared" ref="AZ4:AZ67" si="2">IF(SUM(N4:R4)&gt;SUM(X4:AB4),Z4*0.9*1.058,P4)</f>
        <v>0</v>
      </c>
      <c r="BA4" s="66">
        <f t="shared" ref="BA4:BA67" si="3">IF(SUM(N4:R4)&gt;SUM(X4:AB4),AA4*0.9*1.058,Q4)</f>
        <v>0</v>
      </c>
      <c r="BB4" s="66">
        <f t="shared" ref="BB4:BB67" si="4">IF(SUM(N4:R4)&gt;SUM(X4:AB4),AB4*0.9*1.058,R4)</f>
        <v>0</v>
      </c>
    </row>
    <row r="5" spans="2:54" x14ac:dyDescent="0.25">
      <c r="D5" s="62">
        <f>калькулятор!C9</f>
        <v>0</v>
      </c>
      <c r="E5" s="62">
        <f>калькулятор!F9</f>
        <v>0</v>
      </c>
      <c r="F5" s="62">
        <f>калькулятор!G9</f>
        <v>0</v>
      </c>
      <c r="G5" s="62">
        <f>калькулятор!H9</f>
        <v>0</v>
      </c>
      <c r="H5" s="62">
        <f>калькулятор!I9</f>
        <v>0</v>
      </c>
      <c r="I5" s="63">
        <f>S5*SUMPRODUCT(($B$2=Таблица2[Филиал])*($B$3=Таблица2[ФЕР/ТЕР])*(F5=Таблица2[Наименование работ])*(G5=Таблица2[ТПиР/НСиР])*Таблица2[ПИР2010])</f>
        <v>0</v>
      </c>
      <c r="J5" s="63">
        <f>T5*SUMPRODUCT(($B$2=Таблица2[Филиал])*($B$3=Таблица2[ФЕР/ТЕР])*(F5=Таблица2[Наименование работ])*(G5=Таблица2[ТПиР/НСиР])*Таблица2[СМР2010])</f>
        <v>0</v>
      </c>
      <c r="K5" s="63">
        <f>U5*SUMPRODUCT(($B$2=Таблица2[Филиал])*($B$3=Таблица2[ФЕР/ТЕР])*(F5=Таблица2[Наименование работ])*(G5=Таблица2[ТПиР/НСиР])*Таблица2[ПНР2010])</f>
        <v>0</v>
      </c>
      <c r="L5" s="63">
        <f>V5*SUMPRODUCT(($B$2=Таблица2[Филиал])*($B$3=Таблица2[ФЕР/ТЕР])*(F5=Таблица2[Наименование работ])*(G5=Таблица2[ТПиР/НСиР])*Таблица2[Оборудование2010])</f>
        <v>0</v>
      </c>
      <c r="M5" s="63">
        <f>W5*SUMPRODUCT(($B$2=Таблица2[Филиал])*($B$3=Таблица2[ФЕР/ТЕР])*(F5=Таблица2[Наименование работ])*(G5=Таблица2[ТПиР/НСиР])*Таблица2[Прочие2010])</f>
        <v>0</v>
      </c>
      <c r="N5" s="63">
        <f>S5*SUMPRODUCT(($B$2=Таблица2[Филиал])*($B$3=Таблица2[ФЕР/ТЕР])*(F5=Таблица2[Наименование работ])*(G5=Таблица2[ТПиР/НСиР])*Таблица2[ПИР2013-10])</f>
        <v>0</v>
      </c>
      <c r="O5" s="63">
        <f>T5*SUMPRODUCT(($B$2=Таблица2[Филиал])*($B$3=Таблица2[ФЕР/ТЕР])*(F5=Таблица2[Наименование работ])*(G5=Таблица2[ТПиР/НСиР])*Таблица2[СМР2013-10])</f>
        <v>0</v>
      </c>
      <c r="P5" s="63">
        <f>U5*SUMPRODUCT(($B$2=Таблица2[Филиал])*($B$3=Таблица2[ФЕР/ТЕР])*(F5=Таблица2[Наименование работ])*(G5=Таблица2[ТПиР/НСиР])*Таблица2[ПНР2013-10])</f>
        <v>0</v>
      </c>
      <c r="Q5" s="63">
        <f>V5*SUMPRODUCT(($B$2=Таблица2[Филиал])*($B$3=Таблица2[ФЕР/ТЕР])*(F5=Таблица2[Наименование работ])*(G5=Таблица2[ТПиР/НСиР])*Таблица2[Оборудование2013-10])</f>
        <v>0</v>
      </c>
      <c r="R5" s="63">
        <f>W5*SUMPRODUCT(($B$2=Таблица2[Филиал])*($B$3=Таблица2[ФЕР/ТЕР])*(F5=Таблица2[Наименование работ])*(G5=Таблица2[ТПиР/НСиР])*Таблица2[Прочие2013-10])</f>
        <v>0</v>
      </c>
      <c r="S5" s="63">
        <f>IF($B$4="в базовых ценах",калькулятор!J9,X5*SUMPRODUCT(($B$2=Таблица2[Филиал])*($B$3=Таблица2[ФЕР/ТЕР])*(F5=Таблица2[Наименование работ])*(G5=Таблица2[ТПиР/НСиР])/Таблица2[ПИР2013]))</f>
        <v>0</v>
      </c>
      <c r="T5" s="63">
        <f>IF($B$4="в базовых ценах",калькулятор!K9,Y5*SUMPRODUCT(($B$2=Таблица2[Филиал])*($B$3=Таблица2[ФЕР/ТЕР])*(F5=Таблица2[Наименование работ])*(G5=Таблица2[ТПиР/НСиР])/Таблица2[СМР2013]))</f>
        <v>0</v>
      </c>
      <c r="U5" s="63">
        <f>IF($B$4="в базовых ценах",калькулятор!L9,Z5*SUMPRODUCT(($B$2=Таблица2[Филиал])*($B$3=Таблица2[ФЕР/ТЕР])*(F5=Таблица2[Наименование работ])*(G5=Таблица2[ТПиР/НСиР])/Таблица2[ПНР2013]))</f>
        <v>0</v>
      </c>
      <c r="V5" s="63">
        <f>IF($B$4="в базовых ценах",калькулятор!M9,AA5*SUMPRODUCT(($B$2=Таблица2[Филиал])*($B$3=Таблица2[ФЕР/ТЕР])*(F5=Таблица2[Наименование работ])*(G5=Таблица2[ТПиР/НСиР])/Таблица2[Оборудование2013]))</f>
        <v>0</v>
      </c>
      <c r="W5" s="63">
        <f>IF($B$4="в базовых ценах",калькулятор!N9,AB5*SUMPRODUCT(($B$2=Таблица2[Филиал])*($B$3=Таблица2[ФЕР/ТЕР])*(F5=Таблица2[Наименование работ])*(G5=Таблица2[ТПиР/НСиР])/Таблица2[Прочие3]))</f>
        <v>0</v>
      </c>
      <c r="X5" s="63">
        <f>IF($B$4="в текущих ценах",калькулятор!J9,S5*SUMPRODUCT(($B$2=Таблица2[Филиал])*($B$3=Таблица2[ФЕР/ТЕР])*(F5=Таблица2[Наименование работ])*(G5=Таблица2[ТПиР/НСиР])*Таблица2[ПИР2013]))</f>
        <v>0</v>
      </c>
      <c r="Y5" s="63">
        <f>IF($B$4="в текущих ценах",калькулятор!K9,T5*SUMPRODUCT(($B$2=Таблица2[Филиал])*($B$3=Таблица2[ФЕР/ТЕР])*(F5=Таблица2[Наименование работ])*(G5=Таблица2[ТПиР/НСиР])*Таблица2[СМР2013]))</f>
        <v>0</v>
      </c>
      <c r="Z5" s="63">
        <f>IF($B$4="в текущих ценах",калькулятор!L9,U5*SUMPRODUCT(($B$2=Таблица2[Филиал])*($B$3=Таблица2[ФЕР/ТЕР])*(F5=Таблица2[Наименование работ])*(G5=Таблица2[ТПиР/НСиР])*Таблица2[ПНР2013]))</f>
        <v>0</v>
      </c>
      <c r="AA5" s="63">
        <f>IF($B$4="в текущих ценах",калькулятор!M9,V5*SUMPRODUCT(($B$2=Таблица2[Филиал])*($B$3=Таблица2[ФЕР/ТЕР])*(F5=Таблица2[Наименование работ])*(G5=Таблица2[ТПиР/НСиР])*Таблица2[Оборудование2013]))</f>
        <v>0</v>
      </c>
      <c r="AB5" s="63">
        <f>IF($B$4="в текущих ценах",калькулятор!N9,W5*SUMPRODUCT(($B$2=Таблица2[Филиал])*($B$3=Таблица2[ФЕР/ТЕР])*(F5=Таблица2[Наименование работ])*(G5=Таблица2[ТПиР/НСиР])*Таблица2[Прочие3]))</f>
        <v>0</v>
      </c>
      <c r="AC5" s="63">
        <f>SUM(данные!$I5:$M5)</f>
        <v>0</v>
      </c>
      <c r="AD5" s="63">
        <f>IF(SUM(данные!$N5:$R5)&gt;данные!$AF5,данные!$AF5*0.9*1.058,SUM(данные!$N5:$R5))</f>
        <v>0</v>
      </c>
      <c r="AE5" s="63">
        <f>SUM(данные!$S5:$W5)</f>
        <v>0</v>
      </c>
      <c r="AF5" s="63">
        <f>SUM(данные!$X5:$AB5)</f>
        <v>0</v>
      </c>
      <c r="AG5" s="63">
        <f>IF($B$4="в текущих ценах",S5*SUMPRODUCT(($B$2=Таблица2[Филиал])*($B$3=Таблица2[ФЕР/ТЕР])*(F5=Таблица2[Наименование работ])*(G5=Таблица2[ТПиР/НСиР])*Таблица2[ПИР2012]),S5*SUMPRODUCT(($B$2=Таблица2[Филиал])*($B$3=Таблица2[ФЕР/ТЕР])*(F5=Таблица2[Наименование работ])*(G5=Таблица2[ТПиР/НСиР])*Таблица2[ПИР2012]))</f>
        <v>0</v>
      </c>
      <c r="AH5" s="63">
        <f>IF($B$4="в текущих ценах",T5*SUMPRODUCT(($B$2=Таблица2[Филиал])*($B$3=Таблица2[ФЕР/ТЕР])*(F5=Таблица2[Наименование работ])*(G5=Таблица2[ТПиР/НСиР])*Таблица2[СМР2012]),T5*SUMPRODUCT(($B$2=Таблица2[Филиал])*($B$3=Таблица2[ФЕР/ТЕР])*(F5=Таблица2[Наименование работ])*(G5=Таблица2[ТПиР/НСиР])*Таблица2[СМР2012]))</f>
        <v>0</v>
      </c>
      <c r="AI5" s="63">
        <f>IF($B$4="в текущих ценах",U5*SUMPRODUCT(($B$2=Таблица2[Филиал])*($B$3=Таблица2[ФЕР/ТЕР])*(F5=Таблица2[Наименование работ])*(G5=Таблица2[ТПиР/НСиР])*Таблица2[ПНР2012]),U5*SUMPRODUCT(($B$2=Таблица2[Филиал])*($B$3=Таблица2[ФЕР/ТЕР])*(F5=Таблица2[Наименование работ])*(G5=Таблица2[ТПиР/НСиР])*Таблица2[ПНР2012]))</f>
        <v>0</v>
      </c>
      <c r="AJ5" s="63">
        <f>IF($B$4="в текущих ценах",V5*SUMPRODUCT(($B$2=Таблица2[Филиал])*($B$3=Таблица2[ФЕР/ТЕР])*(F5=Таблица2[Наименование работ])*(G5=Таблица2[ТПиР/НСиР])*Таблица2[Оборудование2012]),V5*SUMPRODUCT(($B$2=Таблица2[Филиал])*($B$3=Таблица2[ФЕР/ТЕР])*(F5=Таблица2[Наименование работ])*(G5=Таблица2[ТПиР/НСиР])*Таблица2[Оборудование2012]))</f>
        <v>0</v>
      </c>
      <c r="AK5" s="63">
        <f>IF($B$4="в текущих ценах",W5*SUMPRODUCT(($B$2=Таблица2[Филиал])*($B$3=Таблица2[ФЕР/ТЕР])*(F5=Таблица2[Наименование работ])*(G5=Таблица2[ТПиР/НСиР])*Таблица2[Прочее2012]),W5*SUMPRODUCT(($B$2=Таблица2[Филиал])*($B$3=Таблица2[ФЕР/ТЕР])*(F5=Таблица2[Наименование работ])*(G5=Таблица2[ТПиР/НСиР])*Таблица2[Прочее2012]))</f>
        <v>0</v>
      </c>
      <c r="AL5" s="63">
        <f>данные!$X5+данные!$Y5+данные!$Z5+данные!$AA5+данные!$AB5</f>
        <v>0</v>
      </c>
      <c r="AM5" s="63">
        <v>1.03639035</v>
      </c>
      <c r="AN5" s="63">
        <v>1.0114049394</v>
      </c>
      <c r="AO5" s="63">
        <v>0.98210394336149998</v>
      </c>
      <c r="AP5" s="63">
        <v>0.93762413895893393</v>
      </c>
      <c r="AQ5" s="63"/>
      <c r="AR5" s="63"/>
      <c r="AS5" s="64"/>
      <c r="AU5" s="66">
        <f>AG5+AH5+AI5+AJ5+AK5</f>
        <v>0</v>
      </c>
      <c r="AV5" s="66"/>
      <c r="AX5" s="66">
        <f>IF(SUM(N5:R5)&gt;SUM(X5:AB5),X5*0.9*1.058,N5)</f>
        <v>0</v>
      </c>
      <c r="AY5" s="66">
        <f t="shared" si="1"/>
        <v>0</v>
      </c>
      <c r="AZ5" s="66">
        <f t="shared" si="2"/>
        <v>0</v>
      </c>
      <c r="BA5" s="66">
        <f t="shared" si="3"/>
        <v>0</v>
      </c>
      <c r="BB5" s="66">
        <f t="shared" si="4"/>
        <v>0</v>
      </c>
    </row>
    <row r="6" spans="2:54" x14ac:dyDescent="0.25">
      <c r="D6" s="62">
        <f>калькулятор!C10</f>
        <v>0</v>
      </c>
      <c r="E6" s="62">
        <f>калькулятор!F10</f>
        <v>0</v>
      </c>
      <c r="F6" s="62">
        <f>калькулятор!G10</f>
        <v>0</v>
      </c>
      <c r="G6" s="62">
        <f>калькулятор!H10</f>
        <v>0</v>
      </c>
      <c r="H6" s="62">
        <f>калькулятор!I10</f>
        <v>0</v>
      </c>
      <c r="I6" s="63">
        <f>S6*SUMPRODUCT(($B$2=Таблица2[Филиал])*($B$3=Таблица2[ФЕР/ТЕР])*(F6=Таблица2[Наименование работ])*(G6=Таблица2[ТПиР/НСиР])*Таблица2[ПИР2010])</f>
        <v>0</v>
      </c>
      <c r="J6" s="63">
        <f>T6*SUMPRODUCT(($B$2=Таблица2[Филиал])*($B$3=Таблица2[ФЕР/ТЕР])*(F6=Таблица2[Наименование работ])*(G6=Таблица2[ТПиР/НСиР])*Таблица2[СМР2010])</f>
        <v>0</v>
      </c>
      <c r="K6" s="63">
        <f>U6*SUMPRODUCT(($B$2=Таблица2[Филиал])*($B$3=Таблица2[ФЕР/ТЕР])*(F6=Таблица2[Наименование работ])*(G6=Таблица2[ТПиР/НСиР])*Таблица2[ПНР2010])</f>
        <v>0</v>
      </c>
      <c r="L6" s="63">
        <f>V6*SUMPRODUCT(($B$2=Таблица2[Филиал])*($B$3=Таблица2[ФЕР/ТЕР])*(F6=Таблица2[Наименование работ])*(G6=Таблица2[ТПиР/НСиР])*Таблица2[Оборудование2010])</f>
        <v>0</v>
      </c>
      <c r="M6" s="63">
        <f>W6*SUMPRODUCT(($B$2=Таблица2[Филиал])*($B$3=Таблица2[ФЕР/ТЕР])*(F6=Таблица2[Наименование работ])*(G6=Таблица2[ТПиР/НСиР])*Таблица2[Прочие2010])</f>
        <v>0</v>
      </c>
      <c r="N6" s="63">
        <f>S6*SUMPRODUCT(($B$2=Таблица2[Филиал])*($B$3=Таблица2[ФЕР/ТЕР])*(F6=Таблица2[Наименование работ])*(G6=Таблица2[ТПиР/НСиР])*Таблица2[ПИР2013-10])</f>
        <v>0</v>
      </c>
      <c r="O6" s="63">
        <f>T6*SUMPRODUCT(($B$2=Таблица2[Филиал])*($B$3=Таблица2[ФЕР/ТЕР])*(F6=Таблица2[Наименование работ])*(G6=Таблица2[ТПиР/НСиР])*Таблица2[СМР2013-10])</f>
        <v>0</v>
      </c>
      <c r="P6" s="63">
        <f>U6*SUMPRODUCT(($B$2=Таблица2[Филиал])*($B$3=Таблица2[ФЕР/ТЕР])*(F6=Таблица2[Наименование работ])*(G6=Таблица2[ТПиР/НСиР])*Таблица2[ПНР2013-10])</f>
        <v>0</v>
      </c>
      <c r="Q6" s="63">
        <f>V6*SUMPRODUCT(($B$2=Таблица2[Филиал])*($B$3=Таблица2[ФЕР/ТЕР])*(F6=Таблица2[Наименование работ])*(G6=Таблица2[ТПиР/НСиР])*Таблица2[Оборудование2013-10])</f>
        <v>0</v>
      </c>
      <c r="R6" s="63">
        <f>W6*SUMPRODUCT(($B$2=Таблица2[Филиал])*($B$3=Таблица2[ФЕР/ТЕР])*(F6=Таблица2[Наименование работ])*(G6=Таблица2[ТПиР/НСиР])*Таблица2[Прочие2013-10])</f>
        <v>0</v>
      </c>
      <c r="S6" s="63">
        <f>IF($B$4="в базовых ценах",калькулятор!J10,X6*SUMPRODUCT(($B$2=Таблица2[Филиал])*($B$3=Таблица2[ФЕР/ТЕР])*(F6=Таблица2[Наименование работ])*(G6=Таблица2[ТПиР/НСиР])/Таблица2[ПИР2013]))</f>
        <v>0</v>
      </c>
      <c r="T6" s="63">
        <f>IF($B$4="в базовых ценах",калькулятор!K10,Y6*SUMPRODUCT(($B$2=Таблица2[Филиал])*($B$3=Таблица2[ФЕР/ТЕР])*(F6=Таблица2[Наименование работ])*(G6=Таблица2[ТПиР/НСиР])/Таблица2[СМР2013]))</f>
        <v>0</v>
      </c>
      <c r="U6" s="63">
        <f>IF($B$4="в базовых ценах",калькулятор!L10,Z6*SUMPRODUCT(($B$2=Таблица2[Филиал])*($B$3=Таблица2[ФЕР/ТЕР])*(F6=Таблица2[Наименование работ])*(G6=Таблица2[ТПиР/НСиР])/Таблица2[ПНР2013]))</f>
        <v>0</v>
      </c>
      <c r="V6" s="63">
        <f>IF($B$4="в базовых ценах",калькулятор!M10,AA6*SUMPRODUCT(($B$2=Таблица2[Филиал])*($B$3=Таблица2[ФЕР/ТЕР])*(F6=Таблица2[Наименование работ])*(G6=Таблица2[ТПиР/НСиР])/Таблица2[Оборудование2013]))</f>
        <v>0</v>
      </c>
      <c r="W6" s="63">
        <f>IF($B$4="в базовых ценах",калькулятор!N10,AB6*SUMPRODUCT(($B$2=Таблица2[Филиал])*($B$3=Таблица2[ФЕР/ТЕР])*(F6=Таблица2[Наименование работ])*(G6=Таблица2[ТПиР/НСиР])/Таблица2[Прочие3]))</f>
        <v>0</v>
      </c>
      <c r="X6" s="63">
        <f>IF($B$4="в текущих ценах",калькулятор!J10,S6*SUMPRODUCT(($B$2=Таблица2[Филиал])*($B$3=Таблица2[ФЕР/ТЕР])*(F6=Таблица2[Наименование работ])*(G6=Таблица2[ТПиР/НСиР])*Таблица2[ПИР2013]))</f>
        <v>0</v>
      </c>
      <c r="Y6" s="63">
        <f>IF($B$4="в текущих ценах",калькулятор!K10,T6*SUMPRODUCT(($B$2=Таблица2[Филиал])*($B$3=Таблица2[ФЕР/ТЕР])*(F6=Таблица2[Наименование работ])*(G6=Таблица2[ТПиР/НСиР])*Таблица2[СМР2013]))</f>
        <v>0</v>
      </c>
      <c r="Z6" s="63">
        <f>IF($B$4="в текущих ценах",калькулятор!L10,U6*SUMPRODUCT(($B$2=Таблица2[Филиал])*($B$3=Таблица2[ФЕР/ТЕР])*(F6=Таблица2[Наименование работ])*(G6=Таблица2[ТПиР/НСиР])*Таблица2[ПНР2013]))</f>
        <v>0</v>
      </c>
      <c r="AA6" s="63">
        <f>IF($B$4="в текущих ценах",калькулятор!M10,V6*SUMPRODUCT(($B$2=Таблица2[Филиал])*($B$3=Таблица2[ФЕР/ТЕР])*(F6=Таблица2[Наименование работ])*(G6=Таблица2[ТПиР/НСиР])*Таблица2[Оборудование2013]))</f>
        <v>0</v>
      </c>
      <c r="AB6" s="63">
        <f>IF($B$4="в текущих ценах",калькулятор!N10,W6*SUMPRODUCT(($B$2=Таблица2[Филиал])*($B$3=Таблица2[ФЕР/ТЕР])*(F6=Таблица2[Наименование работ])*(G6=Таблица2[ТПиР/НСиР])*Таблица2[Прочие3]))</f>
        <v>0</v>
      </c>
      <c r="AC6" s="63">
        <f>SUM(данные!$I6:$M6)</f>
        <v>0</v>
      </c>
      <c r="AD6" s="63">
        <f>IF(SUM(данные!$N6:$R6)&gt;данные!$AF6,данные!$AF6*0.9*1.058,SUM(данные!$N6:$R6))</f>
        <v>0</v>
      </c>
      <c r="AE6" s="63">
        <f>SUM(данные!$S6:$W6)</f>
        <v>0</v>
      </c>
      <c r="AF6" s="63">
        <f>SUM(данные!$X6:$AB6)</f>
        <v>0</v>
      </c>
      <c r="AG6" s="63">
        <f>IF($B$4="в текущих ценах",S6*SUMPRODUCT(($B$2=Таблица2[Филиал])*($B$3=Таблица2[ФЕР/ТЕР])*(F6=Таблица2[Наименование работ])*(G6=Таблица2[ТПиР/НСиР])*Таблица2[ПИР2012]),S6*SUMPRODUCT(($B$2=Таблица2[Филиал])*($B$3=Таблица2[ФЕР/ТЕР])*(F6=Таблица2[Наименование работ])*(G6=Таблица2[ТПиР/НСиР])*Таблица2[ПИР2012]))</f>
        <v>0</v>
      </c>
      <c r="AH6" s="63">
        <f>IF($B$4="в текущих ценах",T6*SUMPRODUCT(($B$2=Таблица2[Филиал])*($B$3=Таблица2[ФЕР/ТЕР])*(F6=Таблица2[Наименование работ])*(G6=Таблица2[ТПиР/НСиР])*Таблица2[СМР2012]),T6*SUMPRODUCT(($B$2=Таблица2[Филиал])*($B$3=Таблица2[ФЕР/ТЕР])*(F6=Таблица2[Наименование работ])*(G6=Таблица2[ТПиР/НСиР])*Таблица2[СМР2012]))</f>
        <v>0</v>
      </c>
      <c r="AI6" s="63">
        <f>IF($B$4="в текущих ценах",U6*SUMPRODUCT(($B$2=Таблица2[Филиал])*($B$3=Таблица2[ФЕР/ТЕР])*(F6=Таблица2[Наименование работ])*(G6=Таблица2[ТПиР/НСиР])*Таблица2[ПНР2012]),U6*SUMPRODUCT(($B$2=Таблица2[Филиал])*($B$3=Таблица2[ФЕР/ТЕР])*(F6=Таблица2[Наименование работ])*(G6=Таблица2[ТПиР/НСиР])*Таблица2[ПНР2012]))</f>
        <v>0</v>
      </c>
      <c r="AJ6" s="63">
        <f>IF($B$4="в текущих ценах",V6*SUMPRODUCT(($B$2=Таблица2[Филиал])*($B$3=Таблица2[ФЕР/ТЕР])*(F6=Таблица2[Наименование работ])*(G6=Таблица2[ТПиР/НСиР])*Таблица2[Оборудование2012]),V6*SUMPRODUCT(($B$2=Таблица2[Филиал])*($B$3=Таблица2[ФЕР/ТЕР])*(F6=Таблица2[Наименование работ])*(G6=Таблица2[ТПиР/НСиР])*Таблица2[Оборудование2012]))</f>
        <v>0</v>
      </c>
      <c r="AK6" s="63">
        <f>IF($B$4="в текущих ценах",W6*SUMPRODUCT(($B$2=Таблица2[Филиал])*($B$3=Таблица2[ФЕР/ТЕР])*(F6=Таблица2[Наименование работ])*(G6=Таблица2[ТПиР/НСиР])*Таблица2[Прочее2012]),W6*SUMPRODUCT(($B$2=Таблица2[Филиал])*($B$3=Таблица2[ФЕР/ТЕР])*(F6=Таблица2[Наименование работ])*(G6=Таблица2[ТПиР/НСиР])*Таблица2[Прочее2012]))</f>
        <v>0</v>
      </c>
      <c r="AL6" s="63">
        <f>данные!$X6+данные!$Y6+данные!$Z6+данные!$AA6+данные!$AB6</f>
        <v>0</v>
      </c>
      <c r="AM6" s="63">
        <v>1.03639035</v>
      </c>
      <c r="AN6" s="63">
        <v>1.0114049394</v>
      </c>
      <c r="AO6" s="63">
        <v>0.98210394336149998</v>
      </c>
      <c r="AP6" s="63">
        <v>0.93762413895893393</v>
      </c>
      <c r="AQ6" s="63"/>
      <c r="AR6" s="63"/>
      <c r="AS6" s="64"/>
      <c r="AU6" s="66">
        <f t="shared" ref="AU6:AU67" si="5">AG6+AH6+AI6+AJ6+AK6</f>
        <v>0</v>
      </c>
      <c r="AX6" s="66">
        <f t="shared" si="0"/>
        <v>0</v>
      </c>
      <c r="AY6" s="66">
        <f t="shared" si="1"/>
        <v>0</v>
      </c>
      <c r="AZ6" s="66">
        <f t="shared" si="2"/>
        <v>0</v>
      </c>
      <c r="BA6" s="66">
        <f t="shared" si="3"/>
        <v>0</v>
      </c>
      <c r="BB6" s="66">
        <f t="shared" si="4"/>
        <v>0</v>
      </c>
    </row>
    <row r="7" spans="2:54" x14ac:dyDescent="0.25">
      <c r="D7" s="62">
        <f>калькулятор!C11</f>
        <v>0</v>
      </c>
      <c r="E7" s="62">
        <f>калькулятор!F11</f>
        <v>0</v>
      </c>
      <c r="F7" s="62">
        <f>калькулятор!G11</f>
        <v>0</v>
      </c>
      <c r="G7" s="62">
        <f>калькулятор!H11</f>
        <v>0</v>
      </c>
      <c r="H7" s="62">
        <f>калькулятор!I11</f>
        <v>0</v>
      </c>
      <c r="I7" s="63">
        <f>S7*SUMPRODUCT(($B$2=Таблица2[Филиал])*($B$3=Таблица2[ФЕР/ТЕР])*(F7=Таблица2[Наименование работ])*(G7=Таблица2[ТПиР/НСиР])*Таблица2[ПИР2010])</f>
        <v>0</v>
      </c>
      <c r="J7" s="63">
        <f>T7*SUMPRODUCT(($B$2=Таблица2[Филиал])*($B$3=Таблица2[ФЕР/ТЕР])*(F7=Таблица2[Наименование работ])*(G7=Таблица2[ТПиР/НСиР])*Таблица2[СМР2010])</f>
        <v>0</v>
      </c>
      <c r="K7" s="63">
        <f>U7*SUMPRODUCT(($B$2=Таблица2[Филиал])*($B$3=Таблица2[ФЕР/ТЕР])*(F7=Таблица2[Наименование работ])*(G7=Таблица2[ТПиР/НСиР])*Таблица2[ПНР2010])</f>
        <v>0</v>
      </c>
      <c r="L7" s="63">
        <f>V7*SUMPRODUCT(($B$2=Таблица2[Филиал])*($B$3=Таблица2[ФЕР/ТЕР])*(F7=Таблица2[Наименование работ])*(G7=Таблица2[ТПиР/НСиР])*Таблица2[Оборудование2010])</f>
        <v>0</v>
      </c>
      <c r="M7" s="63">
        <f>W7*SUMPRODUCT(($B$2=Таблица2[Филиал])*($B$3=Таблица2[ФЕР/ТЕР])*(F7=Таблица2[Наименование работ])*(G7=Таблица2[ТПиР/НСиР])*Таблица2[Прочие2010])</f>
        <v>0</v>
      </c>
      <c r="N7" s="63">
        <f>S7*SUMPRODUCT(($B$2=Таблица2[Филиал])*($B$3=Таблица2[ФЕР/ТЕР])*(F7=Таблица2[Наименование работ])*(G7=Таблица2[ТПиР/НСиР])*Таблица2[ПИР2013-10])</f>
        <v>0</v>
      </c>
      <c r="O7" s="63">
        <f>T7*SUMPRODUCT(($B$2=Таблица2[Филиал])*($B$3=Таблица2[ФЕР/ТЕР])*(F7=Таблица2[Наименование работ])*(G7=Таблица2[ТПиР/НСиР])*Таблица2[СМР2013-10])</f>
        <v>0</v>
      </c>
      <c r="P7" s="63">
        <f>U7*SUMPRODUCT(($B$2=Таблица2[Филиал])*($B$3=Таблица2[ФЕР/ТЕР])*(F7=Таблица2[Наименование работ])*(G7=Таблица2[ТПиР/НСиР])*Таблица2[ПНР2013-10])</f>
        <v>0</v>
      </c>
      <c r="Q7" s="63">
        <f>V7*SUMPRODUCT(($B$2=Таблица2[Филиал])*($B$3=Таблица2[ФЕР/ТЕР])*(F7=Таблица2[Наименование работ])*(G7=Таблица2[ТПиР/НСиР])*Таблица2[Оборудование2013-10])</f>
        <v>0</v>
      </c>
      <c r="R7" s="63">
        <f>W7*SUMPRODUCT(($B$2=Таблица2[Филиал])*($B$3=Таблица2[ФЕР/ТЕР])*(F7=Таблица2[Наименование работ])*(G7=Таблица2[ТПиР/НСиР])*Таблица2[Прочие2013-10])</f>
        <v>0</v>
      </c>
      <c r="S7" s="63">
        <f>IF($B$4="в базовых ценах",калькулятор!J11,X7*SUMPRODUCT(($B$2=Таблица2[Филиал])*($B$3=Таблица2[ФЕР/ТЕР])*(F7=Таблица2[Наименование работ])*(G7=Таблица2[ТПиР/НСиР])/Таблица2[ПИР2013]))</f>
        <v>0</v>
      </c>
      <c r="T7" s="63">
        <f>IF($B$4="в базовых ценах",калькулятор!K11,Y7*SUMPRODUCT(($B$2=Таблица2[Филиал])*($B$3=Таблица2[ФЕР/ТЕР])*(F7=Таблица2[Наименование работ])*(G7=Таблица2[ТПиР/НСиР])/Таблица2[СМР2013]))</f>
        <v>0</v>
      </c>
      <c r="U7" s="63">
        <f>IF($B$4="в базовых ценах",калькулятор!L11,Z7*SUMPRODUCT(($B$2=Таблица2[Филиал])*($B$3=Таблица2[ФЕР/ТЕР])*(F7=Таблица2[Наименование работ])*(G7=Таблица2[ТПиР/НСиР])/Таблица2[ПНР2013]))</f>
        <v>0</v>
      </c>
      <c r="V7" s="63">
        <f>IF($B$4="в базовых ценах",калькулятор!M11,AA7*SUMPRODUCT(($B$2=Таблица2[Филиал])*($B$3=Таблица2[ФЕР/ТЕР])*(F7=Таблица2[Наименование работ])*(G7=Таблица2[ТПиР/НСиР])/Таблица2[Оборудование2013]))</f>
        <v>0</v>
      </c>
      <c r="W7" s="63">
        <f>IF($B$4="в базовых ценах",калькулятор!N11,AB7*SUMPRODUCT(($B$2=Таблица2[Филиал])*($B$3=Таблица2[ФЕР/ТЕР])*(F7=Таблица2[Наименование работ])*(G7=Таблица2[ТПиР/НСиР])/Таблица2[Прочие3]))</f>
        <v>0</v>
      </c>
      <c r="X7" s="63">
        <f>IF($B$4="в текущих ценах",калькулятор!J11,S7*SUMPRODUCT(($B$2=Таблица2[Филиал])*($B$3=Таблица2[ФЕР/ТЕР])*(F7=Таблица2[Наименование работ])*(G7=Таблица2[ТПиР/НСиР])*Таблица2[ПИР2013]))</f>
        <v>0</v>
      </c>
      <c r="Y7" s="63">
        <f>IF($B$4="в текущих ценах",калькулятор!K11,T7*SUMPRODUCT(($B$2=Таблица2[Филиал])*($B$3=Таблица2[ФЕР/ТЕР])*(F7=Таблица2[Наименование работ])*(G7=Таблица2[ТПиР/НСиР])*Таблица2[СМР2013]))</f>
        <v>0</v>
      </c>
      <c r="Z7" s="63">
        <f>IF($B$4="в текущих ценах",калькулятор!L11,U7*SUMPRODUCT(($B$2=Таблица2[Филиал])*($B$3=Таблица2[ФЕР/ТЕР])*(F7=Таблица2[Наименование работ])*(G7=Таблица2[ТПиР/НСиР])*Таблица2[ПНР2013]))</f>
        <v>0</v>
      </c>
      <c r="AA7" s="63">
        <f>IF($B$4="в текущих ценах",калькулятор!M11,V7*SUMPRODUCT(($B$2=Таблица2[Филиал])*($B$3=Таблица2[ФЕР/ТЕР])*(F7=Таблица2[Наименование работ])*(G7=Таблица2[ТПиР/НСиР])*Таблица2[Оборудование2013]))</f>
        <v>0</v>
      </c>
      <c r="AB7" s="63">
        <f>IF($B$4="в текущих ценах",калькулятор!N11,W7*SUMPRODUCT(($B$2=Таблица2[Филиал])*($B$3=Таблица2[ФЕР/ТЕР])*(F7=Таблица2[Наименование работ])*(G7=Таблица2[ТПиР/НСиР])*Таблица2[Прочие3]))</f>
        <v>0</v>
      </c>
      <c r="AC7" s="63">
        <f>SUM(данные!$I7:$M7)</f>
        <v>0</v>
      </c>
      <c r="AD7" s="63">
        <f>IF(SUM(данные!$N7:$R7)&gt;данные!$AF7,данные!$AF7*0.9*1.058,SUM(данные!$N7:$R7))</f>
        <v>0</v>
      </c>
      <c r="AE7" s="63">
        <f>SUM(данные!$S7:$W7)</f>
        <v>0</v>
      </c>
      <c r="AF7" s="63">
        <f>SUM(данные!$X7:$AB7)</f>
        <v>0</v>
      </c>
      <c r="AG7" s="63">
        <f>IF($B$4="в текущих ценах",S7*SUMPRODUCT(($B$2=Таблица2[Филиал])*($B$3=Таблица2[ФЕР/ТЕР])*(F7=Таблица2[Наименование работ])*(G7=Таблица2[ТПиР/НСиР])*Таблица2[ПИР2012]),S7*SUMPRODUCT(($B$2=Таблица2[Филиал])*($B$3=Таблица2[ФЕР/ТЕР])*(F7=Таблица2[Наименование работ])*(G7=Таблица2[ТПиР/НСиР])*Таблица2[ПИР2012]))</f>
        <v>0</v>
      </c>
      <c r="AH7" s="63">
        <f>IF($B$4="в текущих ценах",T7*SUMPRODUCT(($B$2=Таблица2[Филиал])*($B$3=Таблица2[ФЕР/ТЕР])*(F7=Таблица2[Наименование работ])*(G7=Таблица2[ТПиР/НСиР])*Таблица2[СМР2012]),T7*SUMPRODUCT(($B$2=Таблица2[Филиал])*($B$3=Таблица2[ФЕР/ТЕР])*(F7=Таблица2[Наименование работ])*(G7=Таблица2[ТПиР/НСиР])*Таблица2[СМР2012]))</f>
        <v>0</v>
      </c>
      <c r="AI7" s="63">
        <f>IF($B$4="в текущих ценах",U7*SUMPRODUCT(($B$2=Таблица2[Филиал])*($B$3=Таблица2[ФЕР/ТЕР])*(F7=Таблица2[Наименование работ])*(G7=Таблица2[ТПиР/НСиР])*Таблица2[ПНР2012]),U7*SUMPRODUCT(($B$2=Таблица2[Филиал])*($B$3=Таблица2[ФЕР/ТЕР])*(F7=Таблица2[Наименование работ])*(G7=Таблица2[ТПиР/НСиР])*Таблица2[ПНР2012]))</f>
        <v>0</v>
      </c>
      <c r="AJ7" s="63">
        <f>IF($B$4="в текущих ценах",V7*SUMPRODUCT(($B$2=Таблица2[Филиал])*($B$3=Таблица2[ФЕР/ТЕР])*(F7=Таблица2[Наименование работ])*(G7=Таблица2[ТПиР/НСиР])*Таблица2[Оборудование2012]),V7*SUMPRODUCT(($B$2=Таблица2[Филиал])*($B$3=Таблица2[ФЕР/ТЕР])*(F7=Таблица2[Наименование работ])*(G7=Таблица2[ТПиР/НСиР])*Таблица2[Оборудование2012]))</f>
        <v>0</v>
      </c>
      <c r="AK7" s="63">
        <f>IF($B$4="в текущих ценах",W7*SUMPRODUCT(($B$2=Таблица2[Филиал])*($B$3=Таблица2[ФЕР/ТЕР])*(F7=Таблица2[Наименование работ])*(G7=Таблица2[ТПиР/НСиР])*Таблица2[Прочее2012]),W7*SUMPRODUCT(($B$2=Таблица2[Филиал])*($B$3=Таблица2[ФЕР/ТЕР])*(F7=Таблица2[Наименование работ])*(G7=Таблица2[ТПиР/НСиР])*Таблица2[Прочее2012]))</f>
        <v>0</v>
      </c>
      <c r="AL7" s="63">
        <f>данные!$X7+данные!$Y7+данные!$Z7+данные!$AA7+данные!$AB7</f>
        <v>0</v>
      </c>
      <c r="AM7" s="63">
        <v>1.03639035</v>
      </c>
      <c r="AN7" s="63">
        <v>1.0114049394</v>
      </c>
      <c r="AO7" s="63">
        <v>0.98210394336149998</v>
      </c>
      <c r="AP7" s="63">
        <v>0.93762413895893393</v>
      </c>
      <c r="AQ7" s="63"/>
      <c r="AR7" s="63"/>
      <c r="AS7" s="64"/>
      <c r="AU7" s="66">
        <f t="shared" si="5"/>
        <v>0</v>
      </c>
      <c r="AX7" s="66">
        <f t="shared" si="0"/>
        <v>0</v>
      </c>
      <c r="AY7" s="66">
        <f t="shared" si="1"/>
        <v>0</v>
      </c>
      <c r="AZ7" s="66">
        <f t="shared" si="2"/>
        <v>0</v>
      </c>
      <c r="BA7" s="66">
        <f t="shared" si="3"/>
        <v>0</v>
      </c>
      <c r="BB7" s="66">
        <f t="shared" si="4"/>
        <v>0</v>
      </c>
    </row>
    <row r="8" spans="2:54" x14ac:dyDescent="0.25">
      <c r="D8" s="62">
        <f>калькулятор!C12</f>
        <v>0</v>
      </c>
      <c r="E8" s="62">
        <f>калькулятор!F12</f>
        <v>0</v>
      </c>
      <c r="F8" s="62">
        <f>калькулятор!G12</f>
        <v>0</v>
      </c>
      <c r="G8" s="62">
        <f>калькулятор!H12</f>
        <v>0</v>
      </c>
      <c r="H8" s="62">
        <f>калькулятор!I12</f>
        <v>0</v>
      </c>
      <c r="I8" s="63">
        <f>S8*SUMPRODUCT(($B$2=Таблица2[Филиал])*($B$3=Таблица2[ФЕР/ТЕР])*(F8=Таблица2[Наименование работ])*(G8=Таблица2[ТПиР/НСиР])*Таблица2[ПИР2010])</f>
        <v>0</v>
      </c>
      <c r="J8" s="63">
        <f>T8*SUMPRODUCT(($B$2=Таблица2[Филиал])*($B$3=Таблица2[ФЕР/ТЕР])*(F8=Таблица2[Наименование работ])*(G8=Таблица2[ТПиР/НСиР])*Таблица2[СМР2010])</f>
        <v>0</v>
      </c>
      <c r="K8" s="63">
        <f>U8*SUMPRODUCT(($B$2=Таблица2[Филиал])*($B$3=Таблица2[ФЕР/ТЕР])*(F8=Таблица2[Наименование работ])*(G8=Таблица2[ТПиР/НСиР])*Таблица2[ПНР2010])</f>
        <v>0</v>
      </c>
      <c r="L8" s="63">
        <f>V8*SUMPRODUCT(($B$2=Таблица2[Филиал])*($B$3=Таблица2[ФЕР/ТЕР])*(F8=Таблица2[Наименование работ])*(G8=Таблица2[ТПиР/НСиР])*Таблица2[Оборудование2010])</f>
        <v>0</v>
      </c>
      <c r="M8" s="63">
        <f>W8*SUMPRODUCT(($B$2=Таблица2[Филиал])*($B$3=Таблица2[ФЕР/ТЕР])*(F8=Таблица2[Наименование работ])*(G8=Таблица2[ТПиР/НСиР])*Таблица2[Прочие2010])</f>
        <v>0</v>
      </c>
      <c r="N8" s="63">
        <f>S8*SUMPRODUCT(($B$2=Таблица2[Филиал])*($B$3=Таблица2[ФЕР/ТЕР])*(F8=Таблица2[Наименование работ])*(G8=Таблица2[ТПиР/НСиР])*Таблица2[ПИР2013-10])</f>
        <v>0</v>
      </c>
      <c r="O8" s="63">
        <f>T8*SUMPRODUCT(($B$2=Таблица2[Филиал])*($B$3=Таблица2[ФЕР/ТЕР])*(F8=Таблица2[Наименование работ])*(G8=Таблица2[ТПиР/НСиР])*Таблица2[СМР2013-10])</f>
        <v>0</v>
      </c>
      <c r="P8" s="63">
        <f>U8*SUMPRODUCT(($B$2=Таблица2[Филиал])*($B$3=Таблица2[ФЕР/ТЕР])*(F8=Таблица2[Наименование работ])*(G8=Таблица2[ТПиР/НСиР])*Таблица2[ПНР2013-10])</f>
        <v>0</v>
      </c>
      <c r="Q8" s="63">
        <f>V8*SUMPRODUCT(($B$2=Таблица2[Филиал])*($B$3=Таблица2[ФЕР/ТЕР])*(F8=Таблица2[Наименование работ])*(G8=Таблица2[ТПиР/НСиР])*Таблица2[Оборудование2013-10])</f>
        <v>0</v>
      </c>
      <c r="R8" s="63">
        <f>W8*SUMPRODUCT(($B$2=Таблица2[Филиал])*($B$3=Таблица2[ФЕР/ТЕР])*(F8=Таблица2[Наименование работ])*(G8=Таблица2[ТПиР/НСиР])*Таблица2[Прочие2013-10])</f>
        <v>0</v>
      </c>
      <c r="S8" s="63">
        <f>IF($B$4="в базовых ценах",калькулятор!J12,X8*SUMPRODUCT(($B$2=Таблица2[Филиал])*($B$3=Таблица2[ФЕР/ТЕР])*(F8=Таблица2[Наименование работ])*(G8=Таблица2[ТПиР/НСиР])/Таблица2[ПИР2013]))</f>
        <v>0</v>
      </c>
      <c r="T8" s="63">
        <f>IF($B$4="в базовых ценах",калькулятор!K12,Y8*SUMPRODUCT(($B$2=Таблица2[Филиал])*($B$3=Таблица2[ФЕР/ТЕР])*(F8=Таблица2[Наименование работ])*(G8=Таблица2[ТПиР/НСиР])/Таблица2[СМР2013]))</f>
        <v>0</v>
      </c>
      <c r="U8" s="63">
        <f>IF($B$4="в базовых ценах",калькулятор!L12,Z8*SUMPRODUCT(($B$2=Таблица2[Филиал])*($B$3=Таблица2[ФЕР/ТЕР])*(F8=Таблица2[Наименование работ])*(G8=Таблица2[ТПиР/НСиР])/Таблица2[ПНР2013]))</f>
        <v>0</v>
      </c>
      <c r="V8" s="63">
        <f>IF($B$4="в базовых ценах",калькулятор!M12,AA8*SUMPRODUCT(($B$2=Таблица2[Филиал])*($B$3=Таблица2[ФЕР/ТЕР])*(F8=Таблица2[Наименование работ])*(G8=Таблица2[ТПиР/НСиР])/Таблица2[Оборудование2013]))</f>
        <v>0</v>
      </c>
      <c r="W8" s="63">
        <f>IF($B$4="в базовых ценах",калькулятор!N12,AB8*SUMPRODUCT(($B$2=Таблица2[Филиал])*($B$3=Таблица2[ФЕР/ТЕР])*(F8=Таблица2[Наименование работ])*(G8=Таблица2[ТПиР/НСиР])/Таблица2[Прочие3]))</f>
        <v>0</v>
      </c>
      <c r="X8" s="63">
        <f>IF($B$4="в текущих ценах",калькулятор!J12,S8*SUMPRODUCT(($B$2=Таблица2[Филиал])*($B$3=Таблица2[ФЕР/ТЕР])*(F8=Таблица2[Наименование работ])*(G8=Таблица2[ТПиР/НСиР])*Таблица2[ПИР2013]))</f>
        <v>0</v>
      </c>
      <c r="Y8" s="63">
        <f>IF($B$4="в текущих ценах",калькулятор!K12,T8*SUMPRODUCT(($B$2=Таблица2[Филиал])*($B$3=Таблица2[ФЕР/ТЕР])*(F8=Таблица2[Наименование работ])*(G8=Таблица2[ТПиР/НСиР])*Таблица2[СМР2013]))</f>
        <v>0</v>
      </c>
      <c r="Z8" s="63">
        <f>IF($B$4="в текущих ценах",калькулятор!L12,U8*SUMPRODUCT(($B$2=Таблица2[Филиал])*($B$3=Таблица2[ФЕР/ТЕР])*(F8=Таблица2[Наименование работ])*(G8=Таблица2[ТПиР/НСиР])*Таблица2[ПНР2013]))</f>
        <v>0</v>
      </c>
      <c r="AA8" s="63">
        <f>IF($B$4="в текущих ценах",калькулятор!M12,V8*SUMPRODUCT(($B$2=Таблица2[Филиал])*($B$3=Таблица2[ФЕР/ТЕР])*(F8=Таблица2[Наименование работ])*(G8=Таблица2[ТПиР/НСиР])*Таблица2[Оборудование2013]))</f>
        <v>0</v>
      </c>
      <c r="AB8" s="63">
        <f>IF($B$4="в текущих ценах",калькулятор!N12,W8*SUMPRODUCT(($B$2=Таблица2[Филиал])*($B$3=Таблица2[ФЕР/ТЕР])*(F8=Таблица2[Наименование работ])*(G8=Таблица2[ТПиР/НСиР])*Таблица2[Прочие3]))</f>
        <v>0</v>
      </c>
      <c r="AC8" s="63">
        <f>SUM(данные!$I8:$M8)</f>
        <v>0</v>
      </c>
      <c r="AD8" s="63">
        <f>IF(SUM(данные!$N8:$R8)&gt;данные!$AF8,данные!$AF8*0.9*1.058,SUM(данные!$N8:$R8))</f>
        <v>0</v>
      </c>
      <c r="AE8" s="63">
        <f>SUM(данные!$S8:$W8)</f>
        <v>0</v>
      </c>
      <c r="AF8" s="63">
        <f>SUM(данные!$X8:$AB8)</f>
        <v>0</v>
      </c>
      <c r="AG8" s="63">
        <f>IF($B$4="в текущих ценах",S8*SUMPRODUCT(($B$2=Таблица2[Филиал])*($B$3=Таблица2[ФЕР/ТЕР])*(F8=Таблица2[Наименование работ])*(G8=Таблица2[ТПиР/НСиР])*Таблица2[ПИР2012]),S8*SUMPRODUCT(($B$2=Таблица2[Филиал])*($B$3=Таблица2[ФЕР/ТЕР])*(F8=Таблица2[Наименование работ])*(G8=Таблица2[ТПиР/НСиР])*Таблица2[ПИР2012]))</f>
        <v>0</v>
      </c>
      <c r="AH8" s="63">
        <f>IF($B$4="в текущих ценах",T8*SUMPRODUCT(($B$2=Таблица2[Филиал])*($B$3=Таблица2[ФЕР/ТЕР])*(F8=Таблица2[Наименование работ])*(G8=Таблица2[ТПиР/НСиР])*Таблица2[СМР2012]),T8*SUMPRODUCT(($B$2=Таблица2[Филиал])*($B$3=Таблица2[ФЕР/ТЕР])*(F8=Таблица2[Наименование работ])*(G8=Таблица2[ТПиР/НСиР])*Таблица2[СМР2012]))</f>
        <v>0</v>
      </c>
      <c r="AI8" s="63">
        <f>IF($B$4="в текущих ценах",U8*SUMPRODUCT(($B$2=Таблица2[Филиал])*($B$3=Таблица2[ФЕР/ТЕР])*(F8=Таблица2[Наименование работ])*(G8=Таблица2[ТПиР/НСиР])*Таблица2[ПНР2012]),U8*SUMPRODUCT(($B$2=Таблица2[Филиал])*($B$3=Таблица2[ФЕР/ТЕР])*(F8=Таблица2[Наименование работ])*(G8=Таблица2[ТПиР/НСиР])*Таблица2[ПНР2012]))</f>
        <v>0</v>
      </c>
      <c r="AJ8" s="63">
        <f>IF($B$4="в текущих ценах",V8*SUMPRODUCT(($B$2=Таблица2[Филиал])*($B$3=Таблица2[ФЕР/ТЕР])*(F8=Таблица2[Наименование работ])*(G8=Таблица2[ТПиР/НСиР])*Таблица2[Оборудование2012]),V8*SUMPRODUCT(($B$2=Таблица2[Филиал])*($B$3=Таблица2[ФЕР/ТЕР])*(F8=Таблица2[Наименование работ])*(G8=Таблица2[ТПиР/НСиР])*Таблица2[Оборудование2012]))</f>
        <v>0</v>
      </c>
      <c r="AK8" s="63">
        <f>IF($B$4="в текущих ценах",W8*SUMPRODUCT(($B$2=Таблица2[Филиал])*($B$3=Таблица2[ФЕР/ТЕР])*(F8=Таблица2[Наименование работ])*(G8=Таблица2[ТПиР/НСиР])*Таблица2[Прочее2012]),W8*SUMPRODUCT(($B$2=Таблица2[Филиал])*($B$3=Таблица2[ФЕР/ТЕР])*(F8=Таблица2[Наименование работ])*(G8=Таблица2[ТПиР/НСиР])*Таблица2[Прочее2012]))</f>
        <v>0</v>
      </c>
      <c r="AL8" s="63">
        <f>данные!$X8+данные!$Y8+данные!$Z8+данные!$AA8+данные!$AB8</f>
        <v>0</v>
      </c>
      <c r="AM8" s="63">
        <v>1.03639035</v>
      </c>
      <c r="AN8" s="63">
        <v>1.0114049394</v>
      </c>
      <c r="AO8" s="63">
        <v>0.98210394336149998</v>
      </c>
      <c r="AP8" s="63">
        <v>0.93762413895893393</v>
      </c>
      <c r="AQ8" s="63"/>
      <c r="AR8" s="63"/>
      <c r="AS8" s="64"/>
      <c r="AU8" s="66">
        <f t="shared" si="5"/>
        <v>0</v>
      </c>
      <c r="AX8" s="66">
        <f t="shared" si="0"/>
        <v>0</v>
      </c>
      <c r="AY8" s="66">
        <f t="shared" si="1"/>
        <v>0</v>
      </c>
      <c r="AZ8" s="66">
        <f t="shared" si="2"/>
        <v>0</v>
      </c>
      <c r="BA8" s="66">
        <f t="shared" si="3"/>
        <v>0</v>
      </c>
      <c r="BB8" s="66">
        <f t="shared" si="4"/>
        <v>0</v>
      </c>
    </row>
    <row r="9" spans="2:54" x14ac:dyDescent="0.25">
      <c r="D9" s="62">
        <f>калькулятор!C13</f>
        <v>0</v>
      </c>
      <c r="E9" s="62">
        <f>калькулятор!F13</f>
        <v>0</v>
      </c>
      <c r="F9" s="62">
        <f>калькулятор!G13</f>
        <v>0</v>
      </c>
      <c r="G9" s="62">
        <f>калькулятор!H13</f>
        <v>0</v>
      </c>
      <c r="H9" s="62">
        <f>калькулятор!I13</f>
        <v>0</v>
      </c>
      <c r="I9" s="63">
        <f>S9*SUMPRODUCT(($B$2=Таблица2[Филиал])*($B$3=Таблица2[ФЕР/ТЕР])*(F9=Таблица2[Наименование работ])*(G9=Таблица2[ТПиР/НСиР])*Таблица2[ПИР2010])</f>
        <v>0</v>
      </c>
      <c r="J9" s="63">
        <f>T9*SUMPRODUCT(($B$2=Таблица2[Филиал])*($B$3=Таблица2[ФЕР/ТЕР])*(F9=Таблица2[Наименование работ])*(G9=Таблица2[ТПиР/НСиР])*Таблица2[СМР2010])</f>
        <v>0</v>
      </c>
      <c r="K9" s="63">
        <f>U9*SUMPRODUCT(($B$2=Таблица2[Филиал])*($B$3=Таблица2[ФЕР/ТЕР])*(F9=Таблица2[Наименование работ])*(G9=Таблица2[ТПиР/НСиР])*Таблица2[ПНР2010])</f>
        <v>0</v>
      </c>
      <c r="L9" s="63">
        <f>V9*SUMPRODUCT(($B$2=Таблица2[Филиал])*($B$3=Таблица2[ФЕР/ТЕР])*(F9=Таблица2[Наименование работ])*(G9=Таблица2[ТПиР/НСиР])*Таблица2[Оборудование2010])</f>
        <v>0</v>
      </c>
      <c r="M9" s="63">
        <f>W9*SUMPRODUCT(($B$2=Таблица2[Филиал])*($B$3=Таблица2[ФЕР/ТЕР])*(F9=Таблица2[Наименование работ])*(G9=Таблица2[ТПиР/НСиР])*Таблица2[Прочие2010])</f>
        <v>0</v>
      </c>
      <c r="N9" s="63">
        <f>S9*SUMPRODUCT(($B$2=Таблица2[Филиал])*($B$3=Таблица2[ФЕР/ТЕР])*(F9=Таблица2[Наименование работ])*(G9=Таблица2[ТПиР/НСиР])*Таблица2[ПИР2013-10])</f>
        <v>0</v>
      </c>
      <c r="O9" s="63">
        <f>T9*SUMPRODUCT(($B$2=Таблица2[Филиал])*($B$3=Таблица2[ФЕР/ТЕР])*(F9=Таблица2[Наименование работ])*(G9=Таблица2[ТПиР/НСиР])*Таблица2[СМР2013-10])</f>
        <v>0</v>
      </c>
      <c r="P9" s="63">
        <f>U9*SUMPRODUCT(($B$2=Таблица2[Филиал])*($B$3=Таблица2[ФЕР/ТЕР])*(F9=Таблица2[Наименование работ])*(G9=Таблица2[ТПиР/НСиР])*Таблица2[ПНР2013-10])</f>
        <v>0</v>
      </c>
      <c r="Q9" s="63">
        <f>V9*SUMPRODUCT(($B$2=Таблица2[Филиал])*($B$3=Таблица2[ФЕР/ТЕР])*(F9=Таблица2[Наименование работ])*(G9=Таблица2[ТПиР/НСиР])*Таблица2[Оборудование2013-10])</f>
        <v>0</v>
      </c>
      <c r="R9" s="63">
        <f>W9*SUMPRODUCT(($B$2=Таблица2[Филиал])*($B$3=Таблица2[ФЕР/ТЕР])*(F9=Таблица2[Наименование работ])*(G9=Таблица2[ТПиР/НСиР])*Таблица2[Прочие2013-10])</f>
        <v>0</v>
      </c>
      <c r="S9" s="63">
        <f>IF($B$4="в базовых ценах",калькулятор!J13,X9*SUMPRODUCT(($B$2=Таблица2[Филиал])*($B$3=Таблица2[ФЕР/ТЕР])*(F9=Таблица2[Наименование работ])*(G9=Таблица2[ТПиР/НСиР])/Таблица2[ПИР2013]))</f>
        <v>0</v>
      </c>
      <c r="T9" s="63">
        <f>IF($B$4="в базовых ценах",калькулятор!K13,Y9*SUMPRODUCT(($B$2=Таблица2[Филиал])*($B$3=Таблица2[ФЕР/ТЕР])*(F9=Таблица2[Наименование работ])*(G9=Таблица2[ТПиР/НСиР])/Таблица2[СМР2013]))</f>
        <v>0</v>
      </c>
      <c r="U9" s="63">
        <f>IF($B$4="в базовых ценах",калькулятор!L13,Z9*SUMPRODUCT(($B$2=Таблица2[Филиал])*($B$3=Таблица2[ФЕР/ТЕР])*(F9=Таблица2[Наименование работ])*(G9=Таблица2[ТПиР/НСиР])/Таблица2[ПНР2013]))</f>
        <v>0</v>
      </c>
      <c r="V9" s="63">
        <f>IF($B$4="в базовых ценах",калькулятор!M13,AA9*SUMPRODUCT(($B$2=Таблица2[Филиал])*($B$3=Таблица2[ФЕР/ТЕР])*(F9=Таблица2[Наименование работ])*(G9=Таблица2[ТПиР/НСиР])/Таблица2[Оборудование2013]))</f>
        <v>0</v>
      </c>
      <c r="W9" s="63">
        <f>IF($B$4="в базовых ценах",калькулятор!N13,AB9*SUMPRODUCT(($B$2=Таблица2[Филиал])*($B$3=Таблица2[ФЕР/ТЕР])*(F9=Таблица2[Наименование работ])*(G9=Таблица2[ТПиР/НСиР])/Таблица2[Прочие3]))</f>
        <v>0</v>
      </c>
      <c r="X9" s="63">
        <f>IF($B$4="в текущих ценах",калькулятор!J13,S9*SUMPRODUCT(($B$2=Таблица2[Филиал])*($B$3=Таблица2[ФЕР/ТЕР])*(F9=Таблица2[Наименование работ])*(G9=Таблица2[ТПиР/НСиР])*Таблица2[ПИР2013]))</f>
        <v>0</v>
      </c>
      <c r="Y9" s="63">
        <f>IF($B$4="в текущих ценах",калькулятор!K13,T9*SUMPRODUCT(($B$2=Таблица2[Филиал])*($B$3=Таблица2[ФЕР/ТЕР])*(F9=Таблица2[Наименование работ])*(G9=Таблица2[ТПиР/НСиР])*Таблица2[СМР2013]))</f>
        <v>0</v>
      </c>
      <c r="Z9" s="63">
        <f>IF($B$4="в текущих ценах",калькулятор!L13,U9*SUMPRODUCT(($B$2=Таблица2[Филиал])*($B$3=Таблица2[ФЕР/ТЕР])*(F9=Таблица2[Наименование работ])*(G9=Таблица2[ТПиР/НСиР])*Таблица2[ПНР2013]))</f>
        <v>0</v>
      </c>
      <c r="AA9" s="63">
        <f>IF($B$4="в текущих ценах",калькулятор!M13,V9*SUMPRODUCT(($B$2=Таблица2[Филиал])*($B$3=Таблица2[ФЕР/ТЕР])*(F9=Таблица2[Наименование работ])*(G9=Таблица2[ТПиР/НСиР])*Таблица2[Оборудование2013]))</f>
        <v>0</v>
      </c>
      <c r="AB9" s="63">
        <f>IF($B$4="в текущих ценах",калькулятор!N13,W9*SUMPRODUCT(($B$2=Таблица2[Филиал])*($B$3=Таблица2[ФЕР/ТЕР])*(F9=Таблица2[Наименование работ])*(G9=Таблица2[ТПиР/НСиР])*Таблица2[Прочие3]))</f>
        <v>0</v>
      </c>
      <c r="AC9" s="63">
        <f>SUM(данные!$I9:$M9)</f>
        <v>0</v>
      </c>
      <c r="AD9" s="63">
        <f>IF(SUM(данные!$N9:$R9)&gt;данные!$AF9,данные!$AF9*0.9*1.058,SUM(данные!$N9:$R9))</f>
        <v>0</v>
      </c>
      <c r="AE9" s="63">
        <f>SUM(данные!$S9:$W9)</f>
        <v>0</v>
      </c>
      <c r="AF9" s="63">
        <f>SUM(данные!$X9:$AB9)</f>
        <v>0</v>
      </c>
      <c r="AG9" s="63">
        <f>IF($B$4="в текущих ценах",S9*SUMPRODUCT(($B$2=Таблица2[Филиал])*($B$3=Таблица2[ФЕР/ТЕР])*(F9=Таблица2[Наименование работ])*(G9=Таблица2[ТПиР/НСиР])*Таблица2[ПИР2012]),S9*SUMPRODUCT(($B$2=Таблица2[Филиал])*($B$3=Таблица2[ФЕР/ТЕР])*(F9=Таблица2[Наименование работ])*(G9=Таблица2[ТПиР/НСиР])*Таблица2[ПИР2012]))</f>
        <v>0</v>
      </c>
      <c r="AH9" s="63">
        <f>IF($B$4="в текущих ценах",T9*SUMPRODUCT(($B$2=Таблица2[Филиал])*($B$3=Таблица2[ФЕР/ТЕР])*(F9=Таблица2[Наименование работ])*(G9=Таблица2[ТПиР/НСиР])*Таблица2[СМР2012]),T9*SUMPRODUCT(($B$2=Таблица2[Филиал])*($B$3=Таблица2[ФЕР/ТЕР])*(F9=Таблица2[Наименование работ])*(G9=Таблица2[ТПиР/НСиР])*Таблица2[СМР2012]))</f>
        <v>0</v>
      </c>
      <c r="AI9" s="63">
        <f>IF($B$4="в текущих ценах",U9*SUMPRODUCT(($B$2=Таблица2[Филиал])*($B$3=Таблица2[ФЕР/ТЕР])*(F9=Таблица2[Наименование работ])*(G9=Таблица2[ТПиР/НСиР])*Таблица2[ПНР2012]),U9*SUMPRODUCT(($B$2=Таблица2[Филиал])*($B$3=Таблица2[ФЕР/ТЕР])*(F9=Таблица2[Наименование работ])*(G9=Таблица2[ТПиР/НСиР])*Таблица2[ПНР2012]))</f>
        <v>0</v>
      </c>
      <c r="AJ9" s="63">
        <f>IF($B$4="в текущих ценах",V9*SUMPRODUCT(($B$2=Таблица2[Филиал])*($B$3=Таблица2[ФЕР/ТЕР])*(F9=Таблица2[Наименование работ])*(G9=Таблица2[ТПиР/НСиР])*Таблица2[Оборудование2012]),V9*SUMPRODUCT(($B$2=Таблица2[Филиал])*($B$3=Таблица2[ФЕР/ТЕР])*(F9=Таблица2[Наименование работ])*(G9=Таблица2[ТПиР/НСиР])*Таблица2[Оборудование2012]))</f>
        <v>0</v>
      </c>
      <c r="AK9" s="63">
        <f>IF($B$4="в текущих ценах",W9*SUMPRODUCT(($B$2=Таблица2[Филиал])*($B$3=Таблица2[ФЕР/ТЕР])*(F9=Таблица2[Наименование работ])*(G9=Таблица2[ТПиР/НСиР])*Таблица2[Прочее2012]),W9*SUMPRODUCT(($B$2=Таблица2[Филиал])*($B$3=Таблица2[ФЕР/ТЕР])*(F9=Таблица2[Наименование работ])*(G9=Таблица2[ТПиР/НСиР])*Таблица2[Прочее2012]))</f>
        <v>0</v>
      </c>
      <c r="AL9" s="63">
        <f>данные!$X9+данные!$Y9+данные!$Z9+данные!$AA9+данные!$AB9</f>
        <v>0</v>
      </c>
      <c r="AM9" s="63">
        <v>1.03639035</v>
      </c>
      <c r="AN9" s="63">
        <v>1.0114049394</v>
      </c>
      <c r="AO9" s="63">
        <v>0.98210394336149998</v>
      </c>
      <c r="AP9" s="63">
        <v>0.93762413895893393</v>
      </c>
      <c r="AQ9" s="63"/>
      <c r="AR9" s="63"/>
      <c r="AS9" s="64"/>
      <c r="AU9" s="66">
        <f t="shared" si="5"/>
        <v>0</v>
      </c>
      <c r="AX9" s="66">
        <f t="shared" si="0"/>
        <v>0</v>
      </c>
      <c r="AY9" s="66">
        <f t="shared" si="1"/>
        <v>0</v>
      </c>
      <c r="AZ9" s="66">
        <f t="shared" si="2"/>
        <v>0</v>
      </c>
      <c r="BA9" s="66">
        <f t="shared" si="3"/>
        <v>0</v>
      </c>
      <c r="BB9" s="66">
        <f t="shared" si="4"/>
        <v>0</v>
      </c>
    </row>
    <row r="10" spans="2:54" x14ac:dyDescent="0.25">
      <c r="D10" s="62">
        <f>калькулятор!C14</f>
        <v>0</v>
      </c>
      <c r="E10" s="62">
        <f>калькулятор!F14</f>
        <v>0</v>
      </c>
      <c r="F10" s="62">
        <f>калькулятор!G14</f>
        <v>0</v>
      </c>
      <c r="G10" s="62">
        <f>калькулятор!H14</f>
        <v>0</v>
      </c>
      <c r="H10" s="62">
        <f>калькулятор!I14</f>
        <v>0</v>
      </c>
      <c r="I10" s="63">
        <f>S10*SUMPRODUCT(($B$2=Таблица2[Филиал])*($B$3=Таблица2[ФЕР/ТЕР])*(F10=Таблица2[Наименование работ])*(G10=Таблица2[ТПиР/НСиР])*Таблица2[ПИР2010])</f>
        <v>0</v>
      </c>
      <c r="J10" s="63">
        <f>T10*SUMPRODUCT(($B$2=Таблица2[Филиал])*($B$3=Таблица2[ФЕР/ТЕР])*(F10=Таблица2[Наименование работ])*(G10=Таблица2[ТПиР/НСиР])*Таблица2[СМР2010])</f>
        <v>0</v>
      </c>
      <c r="K10" s="63">
        <f>U10*SUMPRODUCT(($B$2=Таблица2[Филиал])*($B$3=Таблица2[ФЕР/ТЕР])*(F10=Таблица2[Наименование работ])*(G10=Таблица2[ТПиР/НСиР])*Таблица2[ПНР2010])</f>
        <v>0</v>
      </c>
      <c r="L10" s="63">
        <f>V10*SUMPRODUCT(($B$2=Таблица2[Филиал])*($B$3=Таблица2[ФЕР/ТЕР])*(F10=Таблица2[Наименование работ])*(G10=Таблица2[ТПиР/НСиР])*Таблица2[Оборудование2010])</f>
        <v>0</v>
      </c>
      <c r="M10" s="63">
        <f>W10*SUMPRODUCT(($B$2=Таблица2[Филиал])*($B$3=Таблица2[ФЕР/ТЕР])*(F10=Таблица2[Наименование работ])*(G10=Таблица2[ТПиР/НСиР])*Таблица2[Прочие2010])</f>
        <v>0</v>
      </c>
      <c r="N10" s="63">
        <f>S10*SUMPRODUCT(($B$2=Таблица2[Филиал])*($B$3=Таблица2[ФЕР/ТЕР])*(F10=Таблица2[Наименование работ])*(G10=Таблица2[ТПиР/НСиР])*Таблица2[ПИР2013-10])</f>
        <v>0</v>
      </c>
      <c r="O10" s="63">
        <f>T10*SUMPRODUCT(($B$2=Таблица2[Филиал])*($B$3=Таблица2[ФЕР/ТЕР])*(F10=Таблица2[Наименование работ])*(G10=Таблица2[ТПиР/НСиР])*Таблица2[СМР2013-10])</f>
        <v>0</v>
      </c>
      <c r="P10" s="63">
        <f>U10*SUMPRODUCT(($B$2=Таблица2[Филиал])*($B$3=Таблица2[ФЕР/ТЕР])*(F10=Таблица2[Наименование работ])*(G10=Таблица2[ТПиР/НСиР])*Таблица2[ПНР2013-10])</f>
        <v>0</v>
      </c>
      <c r="Q10" s="63">
        <f>V10*SUMPRODUCT(($B$2=Таблица2[Филиал])*($B$3=Таблица2[ФЕР/ТЕР])*(F10=Таблица2[Наименование работ])*(G10=Таблица2[ТПиР/НСиР])*Таблица2[Оборудование2013-10])</f>
        <v>0</v>
      </c>
      <c r="R10" s="63">
        <f>W10*SUMPRODUCT(($B$2=Таблица2[Филиал])*($B$3=Таблица2[ФЕР/ТЕР])*(F10=Таблица2[Наименование работ])*(G10=Таблица2[ТПиР/НСиР])*Таблица2[Прочие2013-10])</f>
        <v>0</v>
      </c>
      <c r="S10" s="63">
        <f>IF($B$4="в базовых ценах",калькулятор!J14,X10*SUMPRODUCT(($B$2=Таблица2[Филиал])*($B$3=Таблица2[ФЕР/ТЕР])*(F10=Таблица2[Наименование работ])*(G10=Таблица2[ТПиР/НСиР])/Таблица2[ПИР2013]))</f>
        <v>0</v>
      </c>
      <c r="T10" s="63">
        <f>IF($B$4="в базовых ценах",калькулятор!K14,Y10*SUMPRODUCT(($B$2=Таблица2[Филиал])*($B$3=Таблица2[ФЕР/ТЕР])*(F10=Таблица2[Наименование работ])*(G10=Таблица2[ТПиР/НСиР])/Таблица2[СМР2013]))</f>
        <v>0</v>
      </c>
      <c r="U10" s="63">
        <f>IF($B$4="в базовых ценах",калькулятор!L14,Z10*SUMPRODUCT(($B$2=Таблица2[Филиал])*($B$3=Таблица2[ФЕР/ТЕР])*(F10=Таблица2[Наименование работ])*(G10=Таблица2[ТПиР/НСиР])/Таблица2[ПНР2013]))</f>
        <v>0</v>
      </c>
      <c r="V10" s="63">
        <f>IF($B$4="в базовых ценах",калькулятор!M14,AA10*SUMPRODUCT(($B$2=Таблица2[Филиал])*($B$3=Таблица2[ФЕР/ТЕР])*(F10=Таблица2[Наименование работ])*(G10=Таблица2[ТПиР/НСиР])/Таблица2[Оборудование2013]))</f>
        <v>0</v>
      </c>
      <c r="W10" s="63">
        <f>IF($B$4="в базовых ценах",калькулятор!N14,AB10*SUMPRODUCT(($B$2=Таблица2[Филиал])*($B$3=Таблица2[ФЕР/ТЕР])*(F10=Таблица2[Наименование работ])*(G10=Таблица2[ТПиР/НСиР])/Таблица2[Прочие3]))</f>
        <v>0</v>
      </c>
      <c r="X10" s="63">
        <f>IF($B$4="в текущих ценах",калькулятор!J14,S10*SUMPRODUCT(($B$2=Таблица2[Филиал])*($B$3=Таблица2[ФЕР/ТЕР])*(F10=Таблица2[Наименование работ])*(G10=Таблица2[ТПиР/НСиР])*Таблица2[ПИР2013]))</f>
        <v>0</v>
      </c>
      <c r="Y10" s="63">
        <f>IF($B$4="в текущих ценах",калькулятор!K14,T10*SUMPRODUCT(($B$2=Таблица2[Филиал])*($B$3=Таблица2[ФЕР/ТЕР])*(F10=Таблица2[Наименование работ])*(G10=Таблица2[ТПиР/НСиР])*Таблица2[СМР2013]))</f>
        <v>0</v>
      </c>
      <c r="Z10" s="63">
        <f>IF($B$4="в текущих ценах",калькулятор!L14,U10*SUMPRODUCT(($B$2=Таблица2[Филиал])*($B$3=Таблица2[ФЕР/ТЕР])*(F10=Таблица2[Наименование работ])*(G10=Таблица2[ТПиР/НСиР])*Таблица2[ПНР2013]))</f>
        <v>0</v>
      </c>
      <c r="AA10" s="63">
        <f>IF($B$4="в текущих ценах",калькулятор!M14,V10*SUMPRODUCT(($B$2=Таблица2[Филиал])*($B$3=Таблица2[ФЕР/ТЕР])*(F10=Таблица2[Наименование работ])*(G10=Таблица2[ТПиР/НСиР])*Таблица2[Оборудование2013]))</f>
        <v>0</v>
      </c>
      <c r="AB10" s="63">
        <f>IF($B$4="в текущих ценах",калькулятор!N14,W10*SUMPRODUCT(($B$2=Таблица2[Филиал])*($B$3=Таблица2[ФЕР/ТЕР])*(F10=Таблица2[Наименование работ])*(G10=Таблица2[ТПиР/НСиР])*Таблица2[Прочие3]))</f>
        <v>0</v>
      </c>
      <c r="AC10" s="63">
        <f>SUM(данные!$I10:$M10)</f>
        <v>0</v>
      </c>
      <c r="AD10" s="63">
        <f>IF(SUM(данные!$N10:$R10)&gt;данные!$AF10,данные!$AF10*0.9*1.058,SUM(данные!$N10:$R10))</f>
        <v>0</v>
      </c>
      <c r="AE10" s="63">
        <f>SUM(данные!$S10:$W10)</f>
        <v>0</v>
      </c>
      <c r="AF10" s="63">
        <f>SUM(данные!$X10:$AB10)</f>
        <v>0</v>
      </c>
      <c r="AG10" s="63">
        <f>IF($B$4="в текущих ценах",S10*SUMPRODUCT(($B$2=Таблица2[Филиал])*($B$3=Таблица2[ФЕР/ТЕР])*(F10=Таблица2[Наименование работ])*(G10=Таблица2[ТПиР/НСиР])*Таблица2[ПИР2012]),S10*SUMPRODUCT(($B$2=Таблица2[Филиал])*($B$3=Таблица2[ФЕР/ТЕР])*(F10=Таблица2[Наименование работ])*(G10=Таблица2[ТПиР/НСиР])*Таблица2[ПИР2012]))</f>
        <v>0</v>
      </c>
      <c r="AH10" s="63">
        <f>IF($B$4="в текущих ценах",T10*SUMPRODUCT(($B$2=Таблица2[Филиал])*($B$3=Таблица2[ФЕР/ТЕР])*(F10=Таблица2[Наименование работ])*(G10=Таблица2[ТПиР/НСиР])*Таблица2[СМР2012]),T10*SUMPRODUCT(($B$2=Таблица2[Филиал])*($B$3=Таблица2[ФЕР/ТЕР])*(F10=Таблица2[Наименование работ])*(G10=Таблица2[ТПиР/НСиР])*Таблица2[СМР2012]))</f>
        <v>0</v>
      </c>
      <c r="AI10" s="63">
        <f>IF($B$4="в текущих ценах",U10*SUMPRODUCT(($B$2=Таблица2[Филиал])*($B$3=Таблица2[ФЕР/ТЕР])*(F10=Таблица2[Наименование работ])*(G10=Таблица2[ТПиР/НСиР])*Таблица2[ПНР2012]),U10*SUMPRODUCT(($B$2=Таблица2[Филиал])*($B$3=Таблица2[ФЕР/ТЕР])*(F10=Таблица2[Наименование работ])*(G10=Таблица2[ТПиР/НСиР])*Таблица2[ПНР2012]))</f>
        <v>0</v>
      </c>
      <c r="AJ10" s="63">
        <f>IF($B$4="в текущих ценах",V10*SUMPRODUCT(($B$2=Таблица2[Филиал])*($B$3=Таблица2[ФЕР/ТЕР])*(F10=Таблица2[Наименование работ])*(G10=Таблица2[ТПиР/НСиР])*Таблица2[Оборудование2012]),V10*SUMPRODUCT(($B$2=Таблица2[Филиал])*($B$3=Таблица2[ФЕР/ТЕР])*(F10=Таблица2[Наименование работ])*(G10=Таблица2[ТПиР/НСиР])*Таблица2[Оборудование2012]))</f>
        <v>0</v>
      </c>
      <c r="AK10" s="63">
        <f>IF($B$4="в текущих ценах",W10*SUMPRODUCT(($B$2=Таблица2[Филиал])*($B$3=Таблица2[ФЕР/ТЕР])*(F10=Таблица2[Наименование работ])*(G10=Таблица2[ТПиР/НСиР])*Таблица2[Прочее2012]),W10*SUMPRODUCT(($B$2=Таблица2[Филиал])*($B$3=Таблица2[ФЕР/ТЕР])*(F10=Таблица2[Наименование работ])*(G10=Таблица2[ТПиР/НСиР])*Таблица2[Прочее2012]))</f>
        <v>0</v>
      </c>
      <c r="AL10" s="63">
        <f>данные!$X10+данные!$Y10+данные!$Z10+данные!$AA10+данные!$AB10</f>
        <v>0</v>
      </c>
      <c r="AM10" s="63">
        <v>1.03639035</v>
      </c>
      <c r="AN10" s="63">
        <v>1.0114049394</v>
      </c>
      <c r="AO10" s="63">
        <v>0.98210394336149998</v>
      </c>
      <c r="AP10" s="63">
        <v>0.93762413895893393</v>
      </c>
      <c r="AQ10" s="63"/>
      <c r="AR10" s="63"/>
      <c r="AS10" s="64"/>
      <c r="AU10" s="66">
        <f t="shared" si="5"/>
        <v>0</v>
      </c>
      <c r="AX10" s="66">
        <f t="shared" si="0"/>
        <v>0</v>
      </c>
      <c r="AY10" s="66">
        <f t="shared" si="1"/>
        <v>0</v>
      </c>
      <c r="AZ10" s="66">
        <f t="shared" si="2"/>
        <v>0</v>
      </c>
      <c r="BA10" s="66">
        <f t="shared" si="3"/>
        <v>0</v>
      </c>
      <c r="BB10" s="66">
        <f t="shared" si="4"/>
        <v>0</v>
      </c>
    </row>
    <row r="11" spans="2:54" x14ac:dyDescent="0.25">
      <c r="D11" s="62">
        <f>калькулятор!C15</f>
        <v>0</v>
      </c>
      <c r="E11" s="62">
        <f>калькулятор!F15</f>
        <v>0</v>
      </c>
      <c r="F11" s="62">
        <f>калькулятор!G15</f>
        <v>0</v>
      </c>
      <c r="G11" s="62">
        <f>калькулятор!H15</f>
        <v>0</v>
      </c>
      <c r="H11" s="62">
        <f>калькулятор!I15</f>
        <v>0</v>
      </c>
      <c r="I11" s="63">
        <f>S11*SUMPRODUCT(($B$2=Таблица2[Филиал])*($B$3=Таблица2[ФЕР/ТЕР])*(F11=Таблица2[Наименование работ])*(G11=Таблица2[ТПиР/НСиР])*Таблица2[ПИР2010])</f>
        <v>0</v>
      </c>
      <c r="J11" s="63">
        <f>T11*SUMPRODUCT(($B$2=Таблица2[Филиал])*($B$3=Таблица2[ФЕР/ТЕР])*(F11=Таблица2[Наименование работ])*(G11=Таблица2[ТПиР/НСиР])*Таблица2[СМР2010])</f>
        <v>0</v>
      </c>
      <c r="K11" s="63">
        <f>U11*SUMPRODUCT(($B$2=Таблица2[Филиал])*($B$3=Таблица2[ФЕР/ТЕР])*(F11=Таблица2[Наименование работ])*(G11=Таблица2[ТПиР/НСиР])*Таблица2[ПНР2010])</f>
        <v>0</v>
      </c>
      <c r="L11" s="63">
        <f>V11*SUMPRODUCT(($B$2=Таблица2[Филиал])*($B$3=Таблица2[ФЕР/ТЕР])*(F11=Таблица2[Наименование работ])*(G11=Таблица2[ТПиР/НСиР])*Таблица2[Оборудование2010])</f>
        <v>0</v>
      </c>
      <c r="M11" s="63">
        <f>W11*SUMPRODUCT(($B$2=Таблица2[Филиал])*($B$3=Таблица2[ФЕР/ТЕР])*(F11=Таблица2[Наименование работ])*(G11=Таблица2[ТПиР/НСиР])*Таблица2[Прочие2010])</f>
        <v>0</v>
      </c>
      <c r="N11" s="63">
        <f>S11*SUMPRODUCT(($B$2=Таблица2[Филиал])*($B$3=Таблица2[ФЕР/ТЕР])*(F11=Таблица2[Наименование работ])*(G11=Таблица2[ТПиР/НСиР])*Таблица2[ПИР2013-10])</f>
        <v>0</v>
      </c>
      <c r="O11" s="63">
        <f>T11*SUMPRODUCT(($B$2=Таблица2[Филиал])*($B$3=Таблица2[ФЕР/ТЕР])*(F11=Таблица2[Наименование работ])*(G11=Таблица2[ТПиР/НСиР])*Таблица2[СМР2013-10])</f>
        <v>0</v>
      </c>
      <c r="P11" s="63">
        <f>U11*SUMPRODUCT(($B$2=Таблица2[Филиал])*($B$3=Таблица2[ФЕР/ТЕР])*(F11=Таблица2[Наименование работ])*(G11=Таблица2[ТПиР/НСиР])*Таблица2[ПНР2013-10])</f>
        <v>0</v>
      </c>
      <c r="Q11" s="63">
        <f>V11*SUMPRODUCT(($B$2=Таблица2[Филиал])*($B$3=Таблица2[ФЕР/ТЕР])*(F11=Таблица2[Наименование работ])*(G11=Таблица2[ТПиР/НСиР])*Таблица2[Оборудование2013-10])</f>
        <v>0</v>
      </c>
      <c r="R11" s="63">
        <f>W11*SUMPRODUCT(($B$2=Таблица2[Филиал])*($B$3=Таблица2[ФЕР/ТЕР])*(F11=Таблица2[Наименование работ])*(G11=Таблица2[ТПиР/НСиР])*Таблица2[Прочие2013-10])</f>
        <v>0</v>
      </c>
      <c r="S11" s="63">
        <f>IF($B$4="в базовых ценах",калькулятор!J15,X11*SUMPRODUCT(($B$2=Таблица2[Филиал])*($B$3=Таблица2[ФЕР/ТЕР])*(F11=Таблица2[Наименование работ])*(G11=Таблица2[ТПиР/НСиР])/Таблица2[ПИР2013]))</f>
        <v>0</v>
      </c>
      <c r="T11" s="63">
        <f>IF($B$4="в базовых ценах",калькулятор!K15,Y11*SUMPRODUCT(($B$2=Таблица2[Филиал])*($B$3=Таблица2[ФЕР/ТЕР])*(F11=Таблица2[Наименование работ])*(G11=Таблица2[ТПиР/НСиР])/Таблица2[СМР2013]))</f>
        <v>0</v>
      </c>
      <c r="U11" s="63">
        <f>IF($B$4="в базовых ценах",калькулятор!L15,Z11*SUMPRODUCT(($B$2=Таблица2[Филиал])*($B$3=Таблица2[ФЕР/ТЕР])*(F11=Таблица2[Наименование работ])*(G11=Таблица2[ТПиР/НСиР])/Таблица2[ПНР2013]))</f>
        <v>0</v>
      </c>
      <c r="V11" s="63">
        <f>IF($B$4="в базовых ценах",калькулятор!M15,AA11*SUMPRODUCT(($B$2=Таблица2[Филиал])*($B$3=Таблица2[ФЕР/ТЕР])*(F11=Таблица2[Наименование работ])*(G11=Таблица2[ТПиР/НСиР])/Таблица2[Оборудование2013]))</f>
        <v>0</v>
      </c>
      <c r="W11" s="63">
        <f>IF($B$4="в базовых ценах",калькулятор!N15,AB11*SUMPRODUCT(($B$2=Таблица2[Филиал])*($B$3=Таблица2[ФЕР/ТЕР])*(F11=Таблица2[Наименование работ])*(G11=Таблица2[ТПиР/НСиР])/Таблица2[Прочие3]))</f>
        <v>0</v>
      </c>
      <c r="X11" s="63">
        <f>IF($B$4="в текущих ценах",калькулятор!J15,S11*SUMPRODUCT(($B$2=Таблица2[Филиал])*($B$3=Таблица2[ФЕР/ТЕР])*(F11=Таблица2[Наименование работ])*(G11=Таблица2[ТПиР/НСиР])*Таблица2[ПИР2013]))</f>
        <v>0</v>
      </c>
      <c r="Y11" s="63">
        <f>IF($B$4="в текущих ценах",калькулятор!K15,T11*SUMPRODUCT(($B$2=Таблица2[Филиал])*($B$3=Таблица2[ФЕР/ТЕР])*(F11=Таблица2[Наименование работ])*(G11=Таблица2[ТПиР/НСиР])*Таблица2[СМР2013]))</f>
        <v>0</v>
      </c>
      <c r="Z11" s="63">
        <f>IF($B$4="в текущих ценах",калькулятор!L15,U11*SUMPRODUCT(($B$2=Таблица2[Филиал])*($B$3=Таблица2[ФЕР/ТЕР])*(F11=Таблица2[Наименование работ])*(G11=Таблица2[ТПиР/НСиР])*Таблица2[ПНР2013]))</f>
        <v>0</v>
      </c>
      <c r="AA11" s="63">
        <f>IF($B$4="в текущих ценах",калькулятор!M15,V11*SUMPRODUCT(($B$2=Таблица2[Филиал])*($B$3=Таблица2[ФЕР/ТЕР])*(F11=Таблица2[Наименование работ])*(G11=Таблица2[ТПиР/НСиР])*Таблица2[Оборудование2013]))</f>
        <v>0</v>
      </c>
      <c r="AB11" s="63">
        <f>IF($B$4="в текущих ценах",калькулятор!N15,W11*SUMPRODUCT(($B$2=Таблица2[Филиал])*($B$3=Таблица2[ФЕР/ТЕР])*(F11=Таблица2[Наименование работ])*(G11=Таблица2[ТПиР/НСиР])*Таблица2[Прочие3]))</f>
        <v>0</v>
      </c>
      <c r="AC11" s="63">
        <f>SUM(данные!$I11:$M11)</f>
        <v>0</v>
      </c>
      <c r="AD11" s="63">
        <f>IF(SUM(данные!$N11:$R11)&gt;данные!$AF11,данные!$AF11*0.9*1.058,SUM(данные!$N11:$R11))</f>
        <v>0</v>
      </c>
      <c r="AE11" s="63">
        <f>SUM(данные!$S11:$W11)</f>
        <v>0</v>
      </c>
      <c r="AF11" s="63">
        <f>SUM(данные!$X11:$AB11)</f>
        <v>0</v>
      </c>
      <c r="AG11" s="63">
        <f>IF($B$4="в текущих ценах",S11*SUMPRODUCT(($B$2=Таблица2[Филиал])*($B$3=Таблица2[ФЕР/ТЕР])*(F11=Таблица2[Наименование работ])*(G11=Таблица2[ТПиР/НСиР])*Таблица2[ПИР2012]),S11*SUMPRODUCT(($B$2=Таблица2[Филиал])*($B$3=Таблица2[ФЕР/ТЕР])*(F11=Таблица2[Наименование работ])*(G11=Таблица2[ТПиР/НСиР])*Таблица2[ПИР2012]))</f>
        <v>0</v>
      </c>
      <c r="AH11" s="63">
        <f>IF($B$4="в текущих ценах",T11*SUMPRODUCT(($B$2=Таблица2[Филиал])*($B$3=Таблица2[ФЕР/ТЕР])*(F11=Таблица2[Наименование работ])*(G11=Таблица2[ТПиР/НСиР])*Таблица2[СМР2012]),T11*SUMPRODUCT(($B$2=Таблица2[Филиал])*($B$3=Таблица2[ФЕР/ТЕР])*(F11=Таблица2[Наименование работ])*(G11=Таблица2[ТПиР/НСиР])*Таблица2[СМР2012]))</f>
        <v>0</v>
      </c>
      <c r="AI11" s="63">
        <f>IF($B$4="в текущих ценах",U11*SUMPRODUCT(($B$2=Таблица2[Филиал])*($B$3=Таблица2[ФЕР/ТЕР])*(F11=Таблица2[Наименование работ])*(G11=Таблица2[ТПиР/НСиР])*Таблица2[ПНР2012]),U11*SUMPRODUCT(($B$2=Таблица2[Филиал])*($B$3=Таблица2[ФЕР/ТЕР])*(F11=Таблица2[Наименование работ])*(G11=Таблица2[ТПиР/НСиР])*Таблица2[ПНР2012]))</f>
        <v>0</v>
      </c>
      <c r="AJ11" s="63">
        <f>IF($B$4="в текущих ценах",V11*SUMPRODUCT(($B$2=Таблица2[Филиал])*($B$3=Таблица2[ФЕР/ТЕР])*(F11=Таблица2[Наименование работ])*(G11=Таблица2[ТПиР/НСиР])*Таблица2[Оборудование2012]),V11*SUMPRODUCT(($B$2=Таблица2[Филиал])*($B$3=Таблица2[ФЕР/ТЕР])*(F11=Таблица2[Наименование работ])*(G11=Таблица2[ТПиР/НСиР])*Таблица2[Оборудование2012]))</f>
        <v>0</v>
      </c>
      <c r="AK11" s="63">
        <f>IF($B$4="в текущих ценах",W11*SUMPRODUCT(($B$2=Таблица2[Филиал])*($B$3=Таблица2[ФЕР/ТЕР])*(F11=Таблица2[Наименование работ])*(G11=Таблица2[ТПиР/НСиР])*Таблица2[Прочее2012]),W11*SUMPRODUCT(($B$2=Таблица2[Филиал])*($B$3=Таблица2[ФЕР/ТЕР])*(F11=Таблица2[Наименование работ])*(G11=Таблица2[ТПиР/НСиР])*Таблица2[Прочее2012]))</f>
        <v>0</v>
      </c>
      <c r="AL11" s="63">
        <f>данные!$X11+данные!$Y11+данные!$Z11+данные!$AA11+данные!$AB11</f>
        <v>0</v>
      </c>
      <c r="AM11" s="63">
        <v>1.03639035</v>
      </c>
      <c r="AN11" s="63">
        <v>1.0114049394</v>
      </c>
      <c r="AO11" s="63">
        <v>0.98210394336149998</v>
      </c>
      <c r="AP11" s="63">
        <v>0.93762413895893393</v>
      </c>
      <c r="AQ11" s="63"/>
      <c r="AR11" s="63"/>
      <c r="AS11" s="64"/>
      <c r="AU11" s="66">
        <f t="shared" si="5"/>
        <v>0</v>
      </c>
      <c r="AX11" s="66">
        <f t="shared" si="0"/>
        <v>0</v>
      </c>
      <c r="AY11" s="66">
        <f t="shared" si="1"/>
        <v>0</v>
      </c>
      <c r="AZ11" s="66">
        <f t="shared" si="2"/>
        <v>0</v>
      </c>
      <c r="BA11" s="66">
        <f t="shared" si="3"/>
        <v>0</v>
      </c>
      <c r="BB11" s="66">
        <f t="shared" si="4"/>
        <v>0</v>
      </c>
    </row>
    <row r="12" spans="2:54" x14ac:dyDescent="0.25">
      <c r="D12" s="62">
        <f>калькулятор!C16</f>
        <v>0</v>
      </c>
      <c r="E12" s="62">
        <f>калькулятор!F16</f>
        <v>0</v>
      </c>
      <c r="F12" s="62">
        <f>калькулятор!G16</f>
        <v>0</v>
      </c>
      <c r="G12" s="62">
        <f>калькулятор!H16</f>
        <v>0</v>
      </c>
      <c r="H12" s="62">
        <f>калькулятор!I16</f>
        <v>0</v>
      </c>
      <c r="I12" s="63">
        <f>S12*SUMPRODUCT(($B$2=Таблица2[Филиал])*($B$3=Таблица2[ФЕР/ТЕР])*(F12=Таблица2[Наименование работ])*(G12=Таблица2[ТПиР/НСиР])*Таблица2[ПИР2010])</f>
        <v>0</v>
      </c>
      <c r="J12" s="63">
        <f>T12*SUMPRODUCT(($B$2=Таблица2[Филиал])*($B$3=Таблица2[ФЕР/ТЕР])*(F12=Таблица2[Наименование работ])*(G12=Таблица2[ТПиР/НСиР])*Таблица2[СМР2010])</f>
        <v>0</v>
      </c>
      <c r="K12" s="63">
        <f>U12*SUMPRODUCT(($B$2=Таблица2[Филиал])*($B$3=Таблица2[ФЕР/ТЕР])*(F12=Таблица2[Наименование работ])*(G12=Таблица2[ТПиР/НСиР])*Таблица2[ПНР2010])</f>
        <v>0</v>
      </c>
      <c r="L12" s="63">
        <f>V12*SUMPRODUCT(($B$2=Таблица2[Филиал])*($B$3=Таблица2[ФЕР/ТЕР])*(F12=Таблица2[Наименование работ])*(G12=Таблица2[ТПиР/НСиР])*Таблица2[Оборудование2010])</f>
        <v>0</v>
      </c>
      <c r="M12" s="63">
        <f>W12*SUMPRODUCT(($B$2=Таблица2[Филиал])*($B$3=Таблица2[ФЕР/ТЕР])*(F12=Таблица2[Наименование работ])*(G12=Таблица2[ТПиР/НСиР])*Таблица2[Прочие2010])</f>
        <v>0</v>
      </c>
      <c r="N12" s="63">
        <f>S12*SUMPRODUCT(($B$2=Таблица2[Филиал])*($B$3=Таблица2[ФЕР/ТЕР])*(F12=Таблица2[Наименование работ])*(G12=Таблица2[ТПиР/НСиР])*Таблица2[ПИР2013-10])</f>
        <v>0</v>
      </c>
      <c r="O12" s="63">
        <f>T12*SUMPRODUCT(($B$2=Таблица2[Филиал])*($B$3=Таблица2[ФЕР/ТЕР])*(F12=Таблица2[Наименование работ])*(G12=Таблица2[ТПиР/НСиР])*Таблица2[СМР2013-10])</f>
        <v>0</v>
      </c>
      <c r="P12" s="63">
        <f>U12*SUMPRODUCT(($B$2=Таблица2[Филиал])*($B$3=Таблица2[ФЕР/ТЕР])*(F12=Таблица2[Наименование работ])*(G12=Таблица2[ТПиР/НСиР])*Таблица2[ПНР2013-10])</f>
        <v>0</v>
      </c>
      <c r="Q12" s="63">
        <f>V12*SUMPRODUCT(($B$2=Таблица2[Филиал])*($B$3=Таблица2[ФЕР/ТЕР])*(F12=Таблица2[Наименование работ])*(G12=Таблица2[ТПиР/НСиР])*Таблица2[Оборудование2013-10])</f>
        <v>0</v>
      </c>
      <c r="R12" s="63">
        <f>W12*SUMPRODUCT(($B$2=Таблица2[Филиал])*($B$3=Таблица2[ФЕР/ТЕР])*(F12=Таблица2[Наименование работ])*(G12=Таблица2[ТПиР/НСиР])*Таблица2[Прочие2013-10])</f>
        <v>0</v>
      </c>
      <c r="S12" s="63">
        <f>IF($B$4="в базовых ценах",калькулятор!J16,X12*SUMPRODUCT(($B$2=Таблица2[Филиал])*($B$3=Таблица2[ФЕР/ТЕР])*(F12=Таблица2[Наименование работ])*(G12=Таблица2[ТПиР/НСиР])/Таблица2[ПИР2013]))</f>
        <v>0</v>
      </c>
      <c r="T12" s="63">
        <f>IF($B$4="в базовых ценах",калькулятор!K16,Y12*SUMPRODUCT(($B$2=Таблица2[Филиал])*($B$3=Таблица2[ФЕР/ТЕР])*(F12=Таблица2[Наименование работ])*(G12=Таблица2[ТПиР/НСиР])/Таблица2[СМР2013]))</f>
        <v>0</v>
      </c>
      <c r="U12" s="63">
        <f>IF($B$4="в базовых ценах",калькулятор!L16,Z12*SUMPRODUCT(($B$2=Таблица2[Филиал])*($B$3=Таблица2[ФЕР/ТЕР])*(F12=Таблица2[Наименование работ])*(G12=Таблица2[ТПиР/НСиР])/Таблица2[ПНР2013]))</f>
        <v>0</v>
      </c>
      <c r="V12" s="63">
        <f>IF($B$4="в базовых ценах",калькулятор!M16,AA12*SUMPRODUCT(($B$2=Таблица2[Филиал])*($B$3=Таблица2[ФЕР/ТЕР])*(F12=Таблица2[Наименование работ])*(G12=Таблица2[ТПиР/НСиР])/Таблица2[Оборудование2013]))</f>
        <v>0</v>
      </c>
      <c r="W12" s="63">
        <f>IF($B$4="в базовых ценах",калькулятор!N16,AB12*SUMPRODUCT(($B$2=Таблица2[Филиал])*($B$3=Таблица2[ФЕР/ТЕР])*(F12=Таблица2[Наименование работ])*(G12=Таблица2[ТПиР/НСиР])/Таблица2[Прочие3]))</f>
        <v>0</v>
      </c>
      <c r="X12" s="63">
        <f>IF($B$4="в текущих ценах",калькулятор!J16,S12*SUMPRODUCT(($B$2=Таблица2[Филиал])*($B$3=Таблица2[ФЕР/ТЕР])*(F12=Таблица2[Наименование работ])*(G12=Таблица2[ТПиР/НСиР])*Таблица2[ПИР2013]))</f>
        <v>0</v>
      </c>
      <c r="Y12" s="63">
        <f>IF($B$4="в текущих ценах",калькулятор!K16,T12*SUMPRODUCT(($B$2=Таблица2[Филиал])*($B$3=Таблица2[ФЕР/ТЕР])*(F12=Таблица2[Наименование работ])*(G12=Таблица2[ТПиР/НСиР])*Таблица2[СМР2013]))</f>
        <v>0</v>
      </c>
      <c r="Z12" s="63">
        <f>IF($B$4="в текущих ценах",калькулятор!L16,U12*SUMPRODUCT(($B$2=Таблица2[Филиал])*($B$3=Таблица2[ФЕР/ТЕР])*(F12=Таблица2[Наименование работ])*(G12=Таблица2[ТПиР/НСиР])*Таблица2[ПНР2013]))</f>
        <v>0</v>
      </c>
      <c r="AA12" s="63">
        <f>IF($B$4="в текущих ценах",калькулятор!M16,V12*SUMPRODUCT(($B$2=Таблица2[Филиал])*($B$3=Таблица2[ФЕР/ТЕР])*(F12=Таблица2[Наименование работ])*(G12=Таблица2[ТПиР/НСиР])*Таблица2[Оборудование2013]))</f>
        <v>0</v>
      </c>
      <c r="AB12" s="63">
        <f>IF($B$4="в текущих ценах",калькулятор!N16,W12*SUMPRODUCT(($B$2=Таблица2[Филиал])*($B$3=Таблица2[ФЕР/ТЕР])*(F12=Таблица2[Наименование работ])*(G12=Таблица2[ТПиР/НСиР])*Таблица2[Прочие3]))</f>
        <v>0</v>
      </c>
      <c r="AC12" s="63">
        <f>SUM(данные!$I12:$M12)</f>
        <v>0</v>
      </c>
      <c r="AD12" s="63">
        <f>IF(SUM(данные!$N12:$R12)&gt;данные!$AF12,данные!$AF12*0.9*1.058,SUM(данные!$N12:$R12))</f>
        <v>0</v>
      </c>
      <c r="AE12" s="63">
        <f>SUM(данные!$S12:$W12)</f>
        <v>0</v>
      </c>
      <c r="AF12" s="63">
        <f>SUM(данные!$X12:$AB12)</f>
        <v>0</v>
      </c>
      <c r="AG12" s="63">
        <f>IF($B$4="в текущих ценах",S12*SUMPRODUCT(($B$2=Таблица2[Филиал])*($B$3=Таблица2[ФЕР/ТЕР])*(F12=Таблица2[Наименование работ])*(G12=Таблица2[ТПиР/НСиР])*Таблица2[ПИР2012]),S12*SUMPRODUCT(($B$2=Таблица2[Филиал])*($B$3=Таблица2[ФЕР/ТЕР])*(F12=Таблица2[Наименование работ])*(G12=Таблица2[ТПиР/НСиР])*Таблица2[ПИР2012]))</f>
        <v>0</v>
      </c>
      <c r="AH12" s="63">
        <f>IF($B$4="в текущих ценах",T12*SUMPRODUCT(($B$2=Таблица2[Филиал])*($B$3=Таблица2[ФЕР/ТЕР])*(F12=Таблица2[Наименование работ])*(G12=Таблица2[ТПиР/НСиР])*Таблица2[СМР2012]),T12*SUMPRODUCT(($B$2=Таблица2[Филиал])*($B$3=Таблица2[ФЕР/ТЕР])*(F12=Таблица2[Наименование работ])*(G12=Таблица2[ТПиР/НСиР])*Таблица2[СМР2012]))</f>
        <v>0</v>
      </c>
      <c r="AI12" s="63">
        <f>IF($B$4="в текущих ценах",U12*SUMPRODUCT(($B$2=Таблица2[Филиал])*($B$3=Таблица2[ФЕР/ТЕР])*(F12=Таблица2[Наименование работ])*(G12=Таблица2[ТПиР/НСиР])*Таблица2[ПНР2012]),U12*SUMPRODUCT(($B$2=Таблица2[Филиал])*($B$3=Таблица2[ФЕР/ТЕР])*(F12=Таблица2[Наименование работ])*(G12=Таблица2[ТПиР/НСиР])*Таблица2[ПНР2012]))</f>
        <v>0</v>
      </c>
      <c r="AJ12" s="63">
        <f>IF($B$4="в текущих ценах",V12*SUMPRODUCT(($B$2=Таблица2[Филиал])*($B$3=Таблица2[ФЕР/ТЕР])*(F12=Таблица2[Наименование работ])*(G12=Таблица2[ТПиР/НСиР])*Таблица2[Оборудование2012]),V12*SUMPRODUCT(($B$2=Таблица2[Филиал])*($B$3=Таблица2[ФЕР/ТЕР])*(F12=Таблица2[Наименование работ])*(G12=Таблица2[ТПиР/НСиР])*Таблица2[Оборудование2012]))</f>
        <v>0</v>
      </c>
      <c r="AK12" s="63">
        <f>IF($B$4="в текущих ценах",W12*SUMPRODUCT(($B$2=Таблица2[Филиал])*($B$3=Таблица2[ФЕР/ТЕР])*(F12=Таблица2[Наименование работ])*(G12=Таблица2[ТПиР/НСиР])*Таблица2[Прочее2012]),W12*SUMPRODUCT(($B$2=Таблица2[Филиал])*($B$3=Таблица2[ФЕР/ТЕР])*(F12=Таблица2[Наименование работ])*(G12=Таблица2[ТПиР/НСиР])*Таблица2[Прочее2012]))</f>
        <v>0</v>
      </c>
      <c r="AL12" s="63">
        <f>данные!$X12+данные!$Y12+данные!$Z12+данные!$AA12+данные!$AB12</f>
        <v>0</v>
      </c>
      <c r="AM12" s="63">
        <v>1.03639035</v>
      </c>
      <c r="AN12" s="63">
        <v>1.0114049394</v>
      </c>
      <c r="AO12" s="63">
        <v>0.98210394336149998</v>
      </c>
      <c r="AP12" s="63">
        <v>0.93762413895893393</v>
      </c>
      <c r="AQ12" s="63"/>
      <c r="AR12" s="63"/>
      <c r="AS12" s="64"/>
      <c r="AU12" s="66">
        <f t="shared" si="5"/>
        <v>0</v>
      </c>
      <c r="AX12" s="66">
        <f t="shared" si="0"/>
        <v>0</v>
      </c>
      <c r="AY12" s="66">
        <f t="shared" si="1"/>
        <v>0</v>
      </c>
      <c r="AZ12" s="66">
        <f t="shared" si="2"/>
        <v>0</v>
      </c>
      <c r="BA12" s="66">
        <f t="shared" si="3"/>
        <v>0</v>
      </c>
      <c r="BB12" s="66">
        <f t="shared" si="4"/>
        <v>0</v>
      </c>
    </row>
    <row r="13" spans="2:54" x14ac:dyDescent="0.25">
      <c r="D13" s="62">
        <f>калькулятор!C17</f>
        <v>0</v>
      </c>
      <c r="E13" s="62">
        <f>калькулятор!F17</f>
        <v>0</v>
      </c>
      <c r="F13" s="62">
        <f>калькулятор!G17</f>
        <v>0</v>
      </c>
      <c r="G13" s="62">
        <f>калькулятор!H17</f>
        <v>0</v>
      </c>
      <c r="H13" s="62">
        <f>калькулятор!I17</f>
        <v>0</v>
      </c>
      <c r="I13" s="63">
        <f>S13*SUMPRODUCT(($B$2=Таблица2[Филиал])*($B$3=Таблица2[ФЕР/ТЕР])*(F13=Таблица2[Наименование работ])*(G13=Таблица2[ТПиР/НСиР])*Таблица2[ПИР2010])</f>
        <v>0</v>
      </c>
      <c r="J13" s="63">
        <f>T13*SUMPRODUCT(($B$2=Таблица2[Филиал])*($B$3=Таблица2[ФЕР/ТЕР])*(F13=Таблица2[Наименование работ])*(G13=Таблица2[ТПиР/НСиР])*Таблица2[СМР2010])</f>
        <v>0</v>
      </c>
      <c r="K13" s="63">
        <f>U13*SUMPRODUCT(($B$2=Таблица2[Филиал])*($B$3=Таблица2[ФЕР/ТЕР])*(F13=Таблица2[Наименование работ])*(G13=Таблица2[ТПиР/НСиР])*Таблица2[ПНР2010])</f>
        <v>0</v>
      </c>
      <c r="L13" s="63">
        <f>V13*SUMPRODUCT(($B$2=Таблица2[Филиал])*($B$3=Таблица2[ФЕР/ТЕР])*(F13=Таблица2[Наименование работ])*(G13=Таблица2[ТПиР/НСиР])*Таблица2[Оборудование2010])</f>
        <v>0</v>
      </c>
      <c r="M13" s="63">
        <f>W13*SUMPRODUCT(($B$2=Таблица2[Филиал])*($B$3=Таблица2[ФЕР/ТЕР])*(F13=Таблица2[Наименование работ])*(G13=Таблица2[ТПиР/НСиР])*Таблица2[Прочие2010])</f>
        <v>0</v>
      </c>
      <c r="N13" s="63">
        <f>S13*SUMPRODUCT(($B$2=Таблица2[Филиал])*($B$3=Таблица2[ФЕР/ТЕР])*(F13=Таблица2[Наименование работ])*(G13=Таблица2[ТПиР/НСиР])*Таблица2[ПИР2013-10])</f>
        <v>0</v>
      </c>
      <c r="O13" s="63">
        <f>T13*SUMPRODUCT(($B$2=Таблица2[Филиал])*($B$3=Таблица2[ФЕР/ТЕР])*(F13=Таблица2[Наименование работ])*(G13=Таблица2[ТПиР/НСиР])*Таблица2[СМР2013-10])</f>
        <v>0</v>
      </c>
      <c r="P13" s="63">
        <f>U13*SUMPRODUCT(($B$2=Таблица2[Филиал])*($B$3=Таблица2[ФЕР/ТЕР])*(F13=Таблица2[Наименование работ])*(G13=Таблица2[ТПиР/НСиР])*Таблица2[ПНР2013-10])</f>
        <v>0</v>
      </c>
      <c r="Q13" s="63">
        <f>V13*SUMPRODUCT(($B$2=Таблица2[Филиал])*($B$3=Таблица2[ФЕР/ТЕР])*(F13=Таблица2[Наименование работ])*(G13=Таблица2[ТПиР/НСиР])*Таблица2[Оборудование2013-10])</f>
        <v>0</v>
      </c>
      <c r="R13" s="63">
        <f>W13*SUMPRODUCT(($B$2=Таблица2[Филиал])*($B$3=Таблица2[ФЕР/ТЕР])*(F13=Таблица2[Наименование работ])*(G13=Таблица2[ТПиР/НСиР])*Таблица2[Прочие2013-10])</f>
        <v>0</v>
      </c>
      <c r="S13" s="63">
        <f>IF($B$4="в базовых ценах",калькулятор!J17,X13*SUMPRODUCT(($B$2=Таблица2[Филиал])*($B$3=Таблица2[ФЕР/ТЕР])*(F13=Таблица2[Наименование работ])*(G13=Таблица2[ТПиР/НСиР])/Таблица2[ПИР2013]))</f>
        <v>0</v>
      </c>
      <c r="T13" s="63">
        <f>IF($B$4="в базовых ценах",калькулятор!K17,Y13*SUMPRODUCT(($B$2=Таблица2[Филиал])*($B$3=Таблица2[ФЕР/ТЕР])*(F13=Таблица2[Наименование работ])*(G13=Таблица2[ТПиР/НСиР])/Таблица2[СМР2013]))</f>
        <v>0</v>
      </c>
      <c r="U13" s="63">
        <f>IF($B$4="в базовых ценах",калькулятор!L17,Z13*SUMPRODUCT(($B$2=Таблица2[Филиал])*($B$3=Таблица2[ФЕР/ТЕР])*(F13=Таблица2[Наименование работ])*(G13=Таблица2[ТПиР/НСиР])/Таблица2[ПНР2013]))</f>
        <v>0</v>
      </c>
      <c r="V13" s="63">
        <f>IF($B$4="в базовых ценах",калькулятор!M17,AA13*SUMPRODUCT(($B$2=Таблица2[Филиал])*($B$3=Таблица2[ФЕР/ТЕР])*(F13=Таблица2[Наименование работ])*(G13=Таблица2[ТПиР/НСиР])/Таблица2[Оборудование2013]))</f>
        <v>0</v>
      </c>
      <c r="W13" s="63">
        <f>IF($B$4="в базовых ценах",калькулятор!N17,AB13*SUMPRODUCT(($B$2=Таблица2[Филиал])*($B$3=Таблица2[ФЕР/ТЕР])*(F13=Таблица2[Наименование работ])*(G13=Таблица2[ТПиР/НСиР])/Таблица2[Прочие3]))</f>
        <v>0</v>
      </c>
      <c r="X13" s="63">
        <f>IF($B$4="в текущих ценах",калькулятор!J17,S13*SUMPRODUCT(($B$2=Таблица2[Филиал])*($B$3=Таблица2[ФЕР/ТЕР])*(F13=Таблица2[Наименование работ])*(G13=Таблица2[ТПиР/НСиР])*Таблица2[ПИР2013]))</f>
        <v>0</v>
      </c>
      <c r="Y13" s="63">
        <f>IF($B$4="в текущих ценах",калькулятор!K17,T13*SUMPRODUCT(($B$2=Таблица2[Филиал])*($B$3=Таблица2[ФЕР/ТЕР])*(F13=Таблица2[Наименование работ])*(G13=Таблица2[ТПиР/НСиР])*Таблица2[СМР2013]))</f>
        <v>0</v>
      </c>
      <c r="Z13" s="63">
        <f>IF($B$4="в текущих ценах",калькулятор!L17,U13*SUMPRODUCT(($B$2=Таблица2[Филиал])*($B$3=Таблица2[ФЕР/ТЕР])*(F13=Таблица2[Наименование работ])*(G13=Таблица2[ТПиР/НСиР])*Таблица2[ПНР2013]))</f>
        <v>0</v>
      </c>
      <c r="AA13" s="63">
        <f>IF($B$4="в текущих ценах",калькулятор!M17,V13*SUMPRODUCT(($B$2=Таблица2[Филиал])*($B$3=Таблица2[ФЕР/ТЕР])*(F13=Таблица2[Наименование работ])*(G13=Таблица2[ТПиР/НСиР])*Таблица2[Оборудование2013]))</f>
        <v>0</v>
      </c>
      <c r="AB13" s="63">
        <f>IF($B$4="в текущих ценах",калькулятор!N17,W13*SUMPRODUCT(($B$2=Таблица2[Филиал])*($B$3=Таблица2[ФЕР/ТЕР])*(F13=Таблица2[Наименование работ])*(G13=Таблица2[ТПиР/НСиР])*Таблица2[Прочие3]))</f>
        <v>0</v>
      </c>
      <c r="AC13" s="63">
        <f>SUM(данные!$I13:$M13)</f>
        <v>0</v>
      </c>
      <c r="AD13" s="63">
        <f>IF(SUM(данные!$N13:$R13)&gt;данные!$AF13,данные!$AF13*0.9*1.058,SUM(данные!$N13:$R13))</f>
        <v>0</v>
      </c>
      <c r="AE13" s="63">
        <f>SUM(данные!$S13:$W13)</f>
        <v>0</v>
      </c>
      <c r="AF13" s="63">
        <f>SUM(данные!$X13:$AB13)</f>
        <v>0</v>
      </c>
      <c r="AG13" s="63">
        <f>IF($B$4="в текущих ценах",S13*SUMPRODUCT(($B$2=Таблица2[Филиал])*($B$3=Таблица2[ФЕР/ТЕР])*(F13=Таблица2[Наименование работ])*(G13=Таблица2[ТПиР/НСиР])*Таблица2[ПИР2012]),S13*SUMPRODUCT(($B$2=Таблица2[Филиал])*($B$3=Таблица2[ФЕР/ТЕР])*(F13=Таблица2[Наименование работ])*(G13=Таблица2[ТПиР/НСиР])*Таблица2[ПИР2012]))</f>
        <v>0</v>
      </c>
      <c r="AH13" s="63">
        <f>IF($B$4="в текущих ценах",T13*SUMPRODUCT(($B$2=Таблица2[Филиал])*($B$3=Таблица2[ФЕР/ТЕР])*(F13=Таблица2[Наименование работ])*(G13=Таблица2[ТПиР/НСиР])*Таблица2[СМР2012]),T13*SUMPRODUCT(($B$2=Таблица2[Филиал])*($B$3=Таблица2[ФЕР/ТЕР])*(F13=Таблица2[Наименование работ])*(G13=Таблица2[ТПиР/НСиР])*Таблица2[СМР2012]))</f>
        <v>0</v>
      </c>
      <c r="AI13" s="63">
        <f>IF($B$4="в текущих ценах",U13*SUMPRODUCT(($B$2=Таблица2[Филиал])*($B$3=Таблица2[ФЕР/ТЕР])*(F13=Таблица2[Наименование работ])*(G13=Таблица2[ТПиР/НСиР])*Таблица2[ПНР2012]),U13*SUMPRODUCT(($B$2=Таблица2[Филиал])*($B$3=Таблица2[ФЕР/ТЕР])*(F13=Таблица2[Наименование работ])*(G13=Таблица2[ТПиР/НСиР])*Таблица2[ПНР2012]))</f>
        <v>0</v>
      </c>
      <c r="AJ13" s="63">
        <f>IF($B$4="в текущих ценах",V13*SUMPRODUCT(($B$2=Таблица2[Филиал])*($B$3=Таблица2[ФЕР/ТЕР])*(F13=Таблица2[Наименование работ])*(G13=Таблица2[ТПиР/НСиР])*Таблица2[Оборудование2012]),V13*SUMPRODUCT(($B$2=Таблица2[Филиал])*($B$3=Таблица2[ФЕР/ТЕР])*(F13=Таблица2[Наименование работ])*(G13=Таблица2[ТПиР/НСиР])*Таблица2[Оборудование2012]))</f>
        <v>0</v>
      </c>
      <c r="AK13" s="63">
        <f>IF($B$4="в текущих ценах",W13*SUMPRODUCT(($B$2=Таблица2[Филиал])*($B$3=Таблица2[ФЕР/ТЕР])*(F13=Таблица2[Наименование работ])*(G13=Таблица2[ТПиР/НСиР])*Таблица2[Прочее2012]),W13*SUMPRODUCT(($B$2=Таблица2[Филиал])*($B$3=Таблица2[ФЕР/ТЕР])*(F13=Таблица2[Наименование работ])*(G13=Таблица2[ТПиР/НСиР])*Таблица2[Прочее2012]))</f>
        <v>0</v>
      </c>
      <c r="AL13" s="63">
        <f>данные!$X13+данные!$Y13+данные!$Z13+данные!$AA13+данные!$AB13</f>
        <v>0</v>
      </c>
      <c r="AM13" s="63">
        <v>1.03639035</v>
      </c>
      <c r="AN13" s="63">
        <v>1.0114049394</v>
      </c>
      <c r="AO13" s="63">
        <v>0.98210394336149998</v>
      </c>
      <c r="AP13" s="63">
        <v>0.93762413895893393</v>
      </c>
      <c r="AQ13" s="63"/>
      <c r="AR13" s="63"/>
      <c r="AS13" s="64"/>
      <c r="AU13" s="66">
        <f t="shared" si="5"/>
        <v>0</v>
      </c>
      <c r="AX13" s="66">
        <f t="shared" si="0"/>
        <v>0</v>
      </c>
      <c r="AY13" s="66">
        <f t="shared" si="1"/>
        <v>0</v>
      </c>
      <c r="AZ13" s="66">
        <f t="shared" si="2"/>
        <v>0</v>
      </c>
      <c r="BA13" s="66">
        <f t="shared" si="3"/>
        <v>0</v>
      </c>
      <c r="BB13" s="66">
        <f t="shared" si="4"/>
        <v>0</v>
      </c>
    </row>
    <row r="14" spans="2:54" x14ac:dyDescent="0.25">
      <c r="D14" s="62">
        <f>калькулятор!C18</f>
        <v>0</v>
      </c>
      <c r="E14" s="62">
        <f>калькулятор!F18</f>
        <v>0</v>
      </c>
      <c r="F14" s="62">
        <f>калькулятор!G18</f>
        <v>0</v>
      </c>
      <c r="G14" s="62">
        <f>калькулятор!H18</f>
        <v>0</v>
      </c>
      <c r="H14" s="62">
        <f>калькулятор!I18</f>
        <v>0</v>
      </c>
      <c r="I14" s="63">
        <f>S14*SUMPRODUCT(($B$2=Таблица2[Филиал])*($B$3=Таблица2[ФЕР/ТЕР])*(F14=Таблица2[Наименование работ])*(G14=Таблица2[ТПиР/НСиР])*Таблица2[ПИР2010])</f>
        <v>0</v>
      </c>
      <c r="J14" s="63">
        <f>T14*SUMPRODUCT(($B$2=Таблица2[Филиал])*($B$3=Таблица2[ФЕР/ТЕР])*(F14=Таблица2[Наименование работ])*(G14=Таблица2[ТПиР/НСиР])*Таблица2[СМР2010])</f>
        <v>0</v>
      </c>
      <c r="K14" s="63">
        <f>U14*SUMPRODUCT(($B$2=Таблица2[Филиал])*($B$3=Таблица2[ФЕР/ТЕР])*(F14=Таблица2[Наименование работ])*(G14=Таблица2[ТПиР/НСиР])*Таблица2[ПНР2010])</f>
        <v>0</v>
      </c>
      <c r="L14" s="63">
        <f>V14*SUMPRODUCT(($B$2=Таблица2[Филиал])*($B$3=Таблица2[ФЕР/ТЕР])*(F14=Таблица2[Наименование работ])*(G14=Таблица2[ТПиР/НСиР])*Таблица2[Оборудование2010])</f>
        <v>0</v>
      </c>
      <c r="M14" s="63">
        <f>W14*SUMPRODUCT(($B$2=Таблица2[Филиал])*($B$3=Таблица2[ФЕР/ТЕР])*(F14=Таблица2[Наименование работ])*(G14=Таблица2[ТПиР/НСиР])*Таблица2[Прочие2010])</f>
        <v>0</v>
      </c>
      <c r="N14" s="63">
        <f>S14*SUMPRODUCT(($B$2=Таблица2[Филиал])*($B$3=Таблица2[ФЕР/ТЕР])*(F14=Таблица2[Наименование работ])*(G14=Таблица2[ТПиР/НСиР])*Таблица2[ПИР2013-10])</f>
        <v>0</v>
      </c>
      <c r="O14" s="63">
        <f>T14*SUMPRODUCT(($B$2=Таблица2[Филиал])*($B$3=Таблица2[ФЕР/ТЕР])*(F14=Таблица2[Наименование работ])*(G14=Таблица2[ТПиР/НСиР])*Таблица2[СМР2013-10])</f>
        <v>0</v>
      </c>
      <c r="P14" s="63">
        <f>U14*SUMPRODUCT(($B$2=Таблица2[Филиал])*($B$3=Таблица2[ФЕР/ТЕР])*(F14=Таблица2[Наименование работ])*(G14=Таблица2[ТПиР/НСиР])*Таблица2[ПНР2013-10])</f>
        <v>0</v>
      </c>
      <c r="Q14" s="63">
        <f>V14*SUMPRODUCT(($B$2=Таблица2[Филиал])*($B$3=Таблица2[ФЕР/ТЕР])*(F14=Таблица2[Наименование работ])*(G14=Таблица2[ТПиР/НСиР])*Таблица2[Оборудование2013-10])</f>
        <v>0</v>
      </c>
      <c r="R14" s="63">
        <f>W14*SUMPRODUCT(($B$2=Таблица2[Филиал])*($B$3=Таблица2[ФЕР/ТЕР])*(F14=Таблица2[Наименование работ])*(G14=Таблица2[ТПиР/НСиР])*Таблица2[Прочие2013-10])</f>
        <v>0</v>
      </c>
      <c r="S14" s="63">
        <f>IF($B$4="в базовых ценах",калькулятор!J18,X14*SUMPRODUCT(($B$2=Таблица2[Филиал])*($B$3=Таблица2[ФЕР/ТЕР])*(F14=Таблица2[Наименование работ])*(G14=Таблица2[ТПиР/НСиР])/Таблица2[ПИР2013]))</f>
        <v>0</v>
      </c>
      <c r="T14" s="63">
        <f>IF($B$4="в базовых ценах",калькулятор!K18,Y14*SUMPRODUCT(($B$2=Таблица2[Филиал])*($B$3=Таблица2[ФЕР/ТЕР])*(F14=Таблица2[Наименование работ])*(G14=Таблица2[ТПиР/НСиР])/Таблица2[СМР2013]))</f>
        <v>0</v>
      </c>
      <c r="U14" s="63">
        <f>IF($B$4="в базовых ценах",калькулятор!L18,Z14*SUMPRODUCT(($B$2=Таблица2[Филиал])*($B$3=Таблица2[ФЕР/ТЕР])*(F14=Таблица2[Наименование работ])*(G14=Таблица2[ТПиР/НСиР])/Таблица2[ПНР2013]))</f>
        <v>0</v>
      </c>
      <c r="V14" s="63">
        <f>IF($B$4="в базовых ценах",калькулятор!M18,AA14*SUMPRODUCT(($B$2=Таблица2[Филиал])*($B$3=Таблица2[ФЕР/ТЕР])*(F14=Таблица2[Наименование работ])*(G14=Таблица2[ТПиР/НСиР])/Таблица2[Оборудование2013]))</f>
        <v>0</v>
      </c>
      <c r="W14" s="63">
        <f>IF($B$4="в базовых ценах",калькулятор!N18,AB14*SUMPRODUCT(($B$2=Таблица2[Филиал])*($B$3=Таблица2[ФЕР/ТЕР])*(F14=Таблица2[Наименование работ])*(G14=Таблица2[ТПиР/НСиР])/Таблица2[Прочие3]))</f>
        <v>0</v>
      </c>
      <c r="X14" s="63">
        <f>IF($B$4="в текущих ценах",калькулятор!J18,S14*SUMPRODUCT(($B$2=Таблица2[Филиал])*($B$3=Таблица2[ФЕР/ТЕР])*(F14=Таблица2[Наименование работ])*(G14=Таблица2[ТПиР/НСиР])*Таблица2[ПИР2013]))</f>
        <v>0</v>
      </c>
      <c r="Y14" s="63">
        <f>IF($B$4="в текущих ценах",калькулятор!K18,T14*SUMPRODUCT(($B$2=Таблица2[Филиал])*($B$3=Таблица2[ФЕР/ТЕР])*(F14=Таблица2[Наименование работ])*(G14=Таблица2[ТПиР/НСиР])*Таблица2[СМР2013]))</f>
        <v>0</v>
      </c>
      <c r="Z14" s="63">
        <f>IF($B$4="в текущих ценах",калькулятор!L18,U14*SUMPRODUCT(($B$2=Таблица2[Филиал])*($B$3=Таблица2[ФЕР/ТЕР])*(F14=Таблица2[Наименование работ])*(G14=Таблица2[ТПиР/НСиР])*Таблица2[ПНР2013]))</f>
        <v>0</v>
      </c>
      <c r="AA14" s="63">
        <f>IF($B$4="в текущих ценах",калькулятор!M18,V14*SUMPRODUCT(($B$2=Таблица2[Филиал])*($B$3=Таблица2[ФЕР/ТЕР])*(F14=Таблица2[Наименование работ])*(G14=Таблица2[ТПиР/НСиР])*Таблица2[Оборудование2013]))</f>
        <v>0</v>
      </c>
      <c r="AB14" s="63">
        <f>IF($B$4="в текущих ценах",калькулятор!N18,W14*SUMPRODUCT(($B$2=Таблица2[Филиал])*($B$3=Таблица2[ФЕР/ТЕР])*(F14=Таблица2[Наименование работ])*(G14=Таблица2[ТПиР/НСиР])*Таблица2[Прочие3]))</f>
        <v>0</v>
      </c>
      <c r="AC14" s="63">
        <f>SUM(данные!$I14:$M14)</f>
        <v>0</v>
      </c>
      <c r="AD14" s="63">
        <f>IF(SUM(данные!$N14:$R14)&gt;данные!$AF14,данные!$AF14*0.9*1.058,SUM(данные!$N14:$R14))</f>
        <v>0</v>
      </c>
      <c r="AE14" s="63">
        <f>SUM(данные!$S14:$W14)</f>
        <v>0</v>
      </c>
      <c r="AF14" s="63">
        <f>SUM(данные!$X14:$AB14)</f>
        <v>0</v>
      </c>
      <c r="AG14" s="63">
        <f>IF($B$4="в текущих ценах",S14*SUMPRODUCT(($B$2=Таблица2[Филиал])*($B$3=Таблица2[ФЕР/ТЕР])*(F14=Таблица2[Наименование работ])*(G14=Таблица2[ТПиР/НСиР])*Таблица2[ПИР2012]),S14*SUMPRODUCT(($B$2=Таблица2[Филиал])*($B$3=Таблица2[ФЕР/ТЕР])*(F14=Таблица2[Наименование работ])*(G14=Таблица2[ТПиР/НСиР])*Таблица2[ПИР2012]))</f>
        <v>0</v>
      </c>
      <c r="AH14" s="63">
        <f>IF($B$4="в текущих ценах",T14*SUMPRODUCT(($B$2=Таблица2[Филиал])*($B$3=Таблица2[ФЕР/ТЕР])*(F14=Таблица2[Наименование работ])*(G14=Таблица2[ТПиР/НСиР])*Таблица2[СМР2012]),T14*SUMPRODUCT(($B$2=Таблица2[Филиал])*($B$3=Таблица2[ФЕР/ТЕР])*(F14=Таблица2[Наименование работ])*(G14=Таблица2[ТПиР/НСиР])*Таблица2[СМР2012]))</f>
        <v>0</v>
      </c>
      <c r="AI14" s="63">
        <f>IF($B$4="в текущих ценах",U14*SUMPRODUCT(($B$2=Таблица2[Филиал])*($B$3=Таблица2[ФЕР/ТЕР])*(F14=Таблица2[Наименование работ])*(G14=Таблица2[ТПиР/НСиР])*Таблица2[ПНР2012]),U14*SUMPRODUCT(($B$2=Таблица2[Филиал])*($B$3=Таблица2[ФЕР/ТЕР])*(F14=Таблица2[Наименование работ])*(G14=Таблица2[ТПиР/НСиР])*Таблица2[ПНР2012]))</f>
        <v>0</v>
      </c>
      <c r="AJ14" s="63">
        <f>IF($B$4="в текущих ценах",V14*SUMPRODUCT(($B$2=Таблица2[Филиал])*($B$3=Таблица2[ФЕР/ТЕР])*(F14=Таблица2[Наименование работ])*(G14=Таблица2[ТПиР/НСиР])*Таблица2[Оборудование2012]),V14*SUMPRODUCT(($B$2=Таблица2[Филиал])*($B$3=Таблица2[ФЕР/ТЕР])*(F14=Таблица2[Наименование работ])*(G14=Таблица2[ТПиР/НСиР])*Таблица2[Оборудование2012]))</f>
        <v>0</v>
      </c>
      <c r="AK14" s="63">
        <f>IF($B$4="в текущих ценах",W14*SUMPRODUCT(($B$2=Таблица2[Филиал])*($B$3=Таблица2[ФЕР/ТЕР])*(F14=Таблица2[Наименование работ])*(G14=Таблица2[ТПиР/НСиР])*Таблица2[Прочее2012]),W14*SUMPRODUCT(($B$2=Таблица2[Филиал])*($B$3=Таблица2[ФЕР/ТЕР])*(F14=Таблица2[Наименование работ])*(G14=Таблица2[ТПиР/НСиР])*Таблица2[Прочее2012]))</f>
        <v>0</v>
      </c>
      <c r="AL14" s="63">
        <f>данные!$X14+данные!$Y14+данные!$Z14+данные!$AA14+данные!$AB14</f>
        <v>0</v>
      </c>
      <c r="AM14" s="63">
        <v>1.03639035</v>
      </c>
      <c r="AN14" s="63">
        <v>1.0114049394</v>
      </c>
      <c r="AO14" s="63">
        <v>0.98210394336149998</v>
      </c>
      <c r="AP14" s="63">
        <v>0.93762413895893393</v>
      </c>
      <c r="AQ14" s="63"/>
      <c r="AR14" s="63"/>
      <c r="AS14" s="64"/>
      <c r="AU14" s="66">
        <f t="shared" si="5"/>
        <v>0</v>
      </c>
      <c r="AX14" s="66">
        <f t="shared" si="0"/>
        <v>0</v>
      </c>
      <c r="AY14" s="66">
        <f t="shared" si="1"/>
        <v>0</v>
      </c>
      <c r="AZ14" s="66">
        <f t="shared" si="2"/>
        <v>0</v>
      </c>
      <c r="BA14" s="66">
        <f t="shared" si="3"/>
        <v>0</v>
      </c>
      <c r="BB14" s="66">
        <f t="shared" si="4"/>
        <v>0</v>
      </c>
    </row>
    <row r="15" spans="2:54" x14ac:dyDescent="0.25">
      <c r="D15" s="62">
        <f>калькулятор!C19</f>
        <v>0</v>
      </c>
      <c r="E15" s="62">
        <f>калькулятор!F19</f>
        <v>0</v>
      </c>
      <c r="F15" s="62">
        <f>калькулятор!G19</f>
        <v>0</v>
      </c>
      <c r="G15" s="62">
        <f>калькулятор!H19</f>
        <v>0</v>
      </c>
      <c r="H15" s="62">
        <f>калькулятор!I19</f>
        <v>0</v>
      </c>
      <c r="I15" s="63">
        <f>S15*SUMPRODUCT(($B$2=Таблица2[Филиал])*($B$3=Таблица2[ФЕР/ТЕР])*(F15=Таблица2[Наименование работ])*(G15=Таблица2[ТПиР/НСиР])*Таблица2[ПИР2010])</f>
        <v>0</v>
      </c>
      <c r="J15" s="63">
        <f>T15*SUMPRODUCT(($B$2=Таблица2[Филиал])*($B$3=Таблица2[ФЕР/ТЕР])*(F15=Таблица2[Наименование работ])*(G15=Таблица2[ТПиР/НСиР])*Таблица2[СМР2010])</f>
        <v>0</v>
      </c>
      <c r="K15" s="63">
        <f>U15*SUMPRODUCT(($B$2=Таблица2[Филиал])*($B$3=Таблица2[ФЕР/ТЕР])*(F15=Таблица2[Наименование работ])*(G15=Таблица2[ТПиР/НСиР])*Таблица2[ПНР2010])</f>
        <v>0</v>
      </c>
      <c r="L15" s="63">
        <f>V15*SUMPRODUCT(($B$2=Таблица2[Филиал])*($B$3=Таблица2[ФЕР/ТЕР])*(F15=Таблица2[Наименование работ])*(G15=Таблица2[ТПиР/НСиР])*Таблица2[Оборудование2010])</f>
        <v>0</v>
      </c>
      <c r="M15" s="63">
        <f>W15*SUMPRODUCT(($B$2=Таблица2[Филиал])*($B$3=Таблица2[ФЕР/ТЕР])*(F15=Таблица2[Наименование работ])*(G15=Таблица2[ТПиР/НСиР])*Таблица2[Прочие2010])</f>
        <v>0</v>
      </c>
      <c r="N15" s="63">
        <f>S15*SUMPRODUCT(($B$2=Таблица2[Филиал])*($B$3=Таблица2[ФЕР/ТЕР])*(F15=Таблица2[Наименование работ])*(G15=Таблица2[ТПиР/НСиР])*Таблица2[ПИР2013-10])</f>
        <v>0</v>
      </c>
      <c r="O15" s="63">
        <f>T15*SUMPRODUCT(($B$2=Таблица2[Филиал])*($B$3=Таблица2[ФЕР/ТЕР])*(F15=Таблица2[Наименование работ])*(G15=Таблица2[ТПиР/НСиР])*Таблица2[СМР2013-10])</f>
        <v>0</v>
      </c>
      <c r="P15" s="63">
        <f>U15*SUMPRODUCT(($B$2=Таблица2[Филиал])*($B$3=Таблица2[ФЕР/ТЕР])*(F15=Таблица2[Наименование работ])*(G15=Таблица2[ТПиР/НСиР])*Таблица2[ПНР2013-10])</f>
        <v>0</v>
      </c>
      <c r="Q15" s="63">
        <f>V15*SUMPRODUCT(($B$2=Таблица2[Филиал])*($B$3=Таблица2[ФЕР/ТЕР])*(F15=Таблица2[Наименование работ])*(G15=Таблица2[ТПиР/НСиР])*Таблица2[Оборудование2013-10])</f>
        <v>0</v>
      </c>
      <c r="R15" s="63">
        <f>W15*SUMPRODUCT(($B$2=Таблица2[Филиал])*($B$3=Таблица2[ФЕР/ТЕР])*(F15=Таблица2[Наименование работ])*(G15=Таблица2[ТПиР/НСиР])*Таблица2[Прочие2013-10])</f>
        <v>0</v>
      </c>
      <c r="S15" s="63">
        <f>IF($B$4="в базовых ценах",калькулятор!J19,X15*SUMPRODUCT(($B$2=Таблица2[Филиал])*($B$3=Таблица2[ФЕР/ТЕР])*(F15=Таблица2[Наименование работ])*(G15=Таблица2[ТПиР/НСиР])/Таблица2[ПИР2013]))</f>
        <v>0</v>
      </c>
      <c r="T15" s="63">
        <f>IF($B$4="в базовых ценах",калькулятор!K19,Y15*SUMPRODUCT(($B$2=Таблица2[Филиал])*($B$3=Таблица2[ФЕР/ТЕР])*(F15=Таблица2[Наименование работ])*(G15=Таблица2[ТПиР/НСиР])/Таблица2[СМР2013]))</f>
        <v>0</v>
      </c>
      <c r="U15" s="63">
        <f>IF($B$4="в базовых ценах",калькулятор!L19,Z15*SUMPRODUCT(($B$2=Таблица2[Филиал])*($B$3=Таблица2[ФЕР/ТЕР])*(F15=Таблица2[Наименование работ])*(G15=Таблица2[ТПиР/НСиР])/Таблица2[ПНР2013]))</f>
        <v>0</v>
      </c>
      <c r="V15" s="63">
        <f>IF($B$4="в базовых ценах",калькулятор!M19,AA15*SUMPRODUCT(($B$2=Таблица2[Филиал])*($B$3=Таблица2[ФЕР/ТЕР])*(F15=Таблица2[Наименование работ])*(G15=Таблица2[ТПиР/НСиР])/Таблица2[Оборудование2013]))</f>
        <v>0</v>
      </c>
      <c r="W15" s="63">
        <f>IF($B$4="в базовых ценах",калькулятор!N19,AB15*SUMPRODUCT(($B$2=Таблица2[Филиал])*($B$3=Таблица2[ФЕР/ТЕР])*(F15=Таблица2[Наименование работ])*(G15=Таблица2[ТПиР/НСиР])/Таблица2[Прочие3]))</f>
        <v>0</v>
      </c>
      <c r="X15" s="63">
        <f>IF($B$4="в текущих ценах",калькулятор!J19,S15*SUMPRODUCT(($B$2=Таблица2[Филиал])*($B$3=Таблица2[ФЕР/ТЕР])*(F15=Таблица2[Наименование работ])*(G15=Таблица2[ТПиР/НСиР])*Таблица2[ПИР2013]))</f>
        <v>0</v>
      </c>
      <c r="Y15" s="63">
        <f>IF($B$4="в текущих ценах",калькулятор!K19,T15*SUMPRODUCT(($B$2=Таблица2[Филиал])*($B$3=Таблица2[ФЕР/ТЕР])*(F15=Таблица2[Наименование работ])*(G15=Таблица2[ТПиР/НСиР])*Таблица2[СМР2013]))</f>
        <v>0</v>
      </c>
      <c r="Z15" s="63">
        <f>IF($B$4="в текущих ценах",калькулятор!L19,U15*SUMPRODUCT(($B$2=Таблица2[Филиал])*($B$3=Таблица2[ФЕР/ТЕР])*(F15=Таблица2[Наименование работ])*(G15=Таблица2[ТПиР/НСиР])*Таблица2[ПНР2013]))</f>
        <v>0</v>
      </c>
      <c r="AA15" s="63">
        <f>IF($B$4="в текущих ценах",калькулятор!M19,V15*SUMPRODUCT(($B$2=Таблица2[Филиал])*($B$3=Таблица2[ФЕР/ТЕР])*(F15=Таблица2[Наименование работ])*(G15=Таблица2[ТПиР/НСиР])*Таблица2[Оборудование2013]))</f>
        <v>0</v>
      </c>
      <c r="AB15" s="63">
        <f>IF($B$4="в текущих ценах",калькулятор!N19,W15*SUMPRODUCT(($B$2=Таблица2[Филиал])*($B$3=Таблица2[ФЕР/ТЕР])*(F15=Таблица2[Наименование работ])*(G15=Таблица2[ТПиР/НСиР])*Таблица2[Прочие3]))</f>
        <v>0</v>
      </c>
      <c r="AC15" s="63">
        <f>SUM(данные!$I15:$M15)</f>
        <v>0</v>
      </c>
      <c r="AD15" s="63">
        <f>IF(SUM(данные!$N15:$R15)&gt;данные!$AF15,данные!$AF15*0.9*1.058,SUM(данные!$N15:$R15))</f>
        <v>0</v>
      </c>
      <c r="AE15" s="63">
        <f>SUM(данные!$S15:$W15)</f>
        <v>0</v>
      </c>
      <c r="AF15" s="63">
        <f>SUM(данные!$X15:$AB15)</f>
        <v>0</v>
      </c>
      <c r="AG15" s="63">
        <f>IF($B$4="в текущих ценах",S15*SUMPRODUCT(($B$2=Таблица2[Филиал])*($B$3=Таблица2[ФЕР/ТЕР])*(F15=Таблица2[Наименование работ])*(G15=Таблица2[ТПиР/НСиР])*Таблица2[ПИР2012]),S15*SUMPRODUCT(($B$2=Таблица2[Филиал])*($B$3=Таблица2[ФЕР/ТЕР])*(F15=Таблица2[Наименование работ])*(G15=Таблица2[ТПиР/НСиР])*Таблица2[ПИР2012]))</f>
        <v>0</v>
      </c>
      <c r="AH15" s="63">
        <f>IF($B$4="в текущих ценах",T15*SUMPRODUCT(($B$2=Таблица2[Филиал])*($B$3=Таблица2[ФЕР/ТЕР])*(F15=Таблица2[Наименование работ])*(G15=Таблица2[ТПиР/НСиР])*Таблица2[СМР2012]),T15*SUMPRODUCT(($B$2=Таблица2[Филиал])*($B$3=Таблица2[ФЕР/ТЕР])*(F15=Таблица2[Наименование работ])*(G15=Таблица2[ТПиР/НСиР])*Таблица2[СМР2012]))</f>
        <v>0</v>
      </c>
      <c r="AI15" s="63">
        <f>IF($B$4="в текущих ценах",U15*SUMPRODUCT(($B$2=Таблица2[Филиал])*($B$3=Таблица2[ФЕР/ТЕР])*(F15=Таблица2[Наименование работ])*(G15=Таблица2[ТПиР/НСиР])*Таблица2[ПНР2012]),U15*SUMPRODUCT(($B$2=Таблица2[Филиал])*($B$3=Таблица2[ФЕР/ТЕР])*(F15=Таблица2[Наименование работ])*(G15=Таблица2[ТПиР/НСиР])*Таблица2[ПНР2012]))</f>
        <v>0</v>
      </c>
      <c r="AJ15" s="63">
        <f>IF($B$4="в текущих ценах",V15*SUMPRODUCT(($B$2=Таблица2[Филиал])*($B$3=Таблица2[ФЕР/ТЕР])*(F15=Таблица2[Наименование работ])*(G15=Таблица2[ТПиР/НСиР])*Таблица2[Оборудование2012]),V15*SUMPRODUCT(($B$2=Таблица2[Филиал])*($B$3=Таблица2[ФЕР/ТЕР])*(F15=Таблица2[Наименование работ])*(G15=Таблица2[ТПиР/НСиР])*Таблица2[Оборудование2012]))</f>
        <v>0</v>
      </c>
      <c r="AK15" s="63">
        <f>IF($B$4="в текущих ценах",W15*SUMPRODUCT(($B$2=Таблица2[Филиал])*($B$3=Таблица2[ФЕР/ТЕР])*(F15=Таблица2[Наименование работ])*(G15=Таблица2[ТПиР/НСиР])*Таблица2[Прочее2012]),W15*SUMPRODUCT(($B$2=Таблица2[Филиал])*($B$3=Таблица2[ФЕР/ТЕР])*(F15=Таблица2[Наименование работ])*(G15=Таблица2[ТПиР/НСиР])*Таблица2[Прочее2012]))</f>
        <v>0</v>
      </c>
      <c r="AL15" s="63">
        <f>данные!$X15+данные!$Y15+данные!$Z15+данные!$AA15+данные!$AB15</f>
        <v>0</v>
      </c>
      <c r="AM15" s="63">
        <v>1.03639035</v>
      </c>
      <c r="AN15" s="63">
        <v>1.0114049394</v>
      </c>
      <c r="AO15" s="63">
        <v>0.98210394336149998</v>
      </c>
      <c r="AP15" s="63">
        <v>0.93762413895893393</v>
      </c>
      <c r="AQ15" s="63"/>
      <c r="AR15" s="63"/>
      <c r="AS15" s="64"/>
      <c r="AU15" s="66">
        <f t="shared" si="5"/>
        <v>0</v>
      </c>
      <c r="AX15" s="66">
        <f t="shared" si="0"/>
        <v>0</v>
      </c>
      <c r="AY15" s="66">
        <f t="shared" si="1"/>
        <v>0</v>
      </c>
      <c r="AZ15" s="66">
        <f t="shared" si="2"/>
        <v>0</v>
      </c>
      <c r="BA15" s="66">
        <f t="shared" si="3"/>
        <v>0</v>
      </c>
      <c r="BB15" s="66">
        <f t="shared" si="4"/>
        <v>0</v>
      </c>
    </row>
    <row r="16" spans="2:54" x14ac:dyDescent="0.25">
      <c r="D16" s="62">
        <f>калькулятор!C20</f>
        <v>0</v>
      </c>
      <c r="E16" s="62">
        <f>калькулятор!F20</f>
        <v>0</v>
      </c>
      <c r="F16" s="62">
        <f>калькулятор!G20</f>
        <v>0</v>
      </c>
      <c r="G16" s="62">
        <f>калькулятор!H20</f>
        <v>0</v>
      </c>
      <c r="H16" s="62">
        <f>калькулятор!I20</f>
        <v>0</v>
      </c>
      <c r="I16" s="63">
        <f>S16*SUMPRODUCT(($B$2=Таблица2[Филиал])*($B$3=Таблица2[ФЕР/ТЕР])*(F16=Таблица2[Наименование работ])*(G16=Таблица2[ТПиР/НСиР])*Таблица2[ПИР2010])</f>
        <v>0</v>
      </c>
      <c r="J16" s="63">
        <f>T16*SUMPRODUCT(($B$2=Таблица2[Филиал])*($B$3=Таблица2[ФЕР/ТЕР])*(F16=Таблица2[Наименование работ])*(G16=Таблица2[ТПиР/НСиР])*Таблица2[СМР2010])</f>
        <v>0</v>
      </c>
      <c r="K16" s="63">
        <f>U16*SUMPRODUCT(($B$2=Таблица2[Филиал])*($B$3=Таблица2[ФЕР/ТЕР])*(F16=Таблица2[Наименование работ])*(G16=Таблица2[ТПиР/НСиР])*Таблица2[ПНР2010])</f>
        <v>0</v>
      </c>
      <c r="L16" s="63">
        <f>V16*SUMPRODUCT(($B$2=Таблица2[Филиал])*($B$3=Таблица2[ФЕР/ТЕР])*(F16=Таблица2[Наименование работ])*(G16=Таблица2[ТПиР/НСиР])*Таблица2[Оборудование2010])</f>
        <v>0</v>
      </c>
      <c r="M16" s="63">
        <f>W16*SUMPRODUCT(($B$2=Таблица2[Филиал])*($B$3=Таблица2[ФЕР/ТЕР])*(F16=Таблица2[Наименование работ])*(G16=Таблица2[ТПиР/НСиР])*Таблица2[Прочие2010])</f>
        <v>0</v>
      </c>
      <c r="N16" s="63">
        <f>S16*SUMPRODUCT(($B$2=Таблица2[Филиал])*($B$3=Таблица2[ФЕР/ТЕР])*(F16=Таблица2[Наименование работ])*(G16=Таблица2[ТПиР/НСиР])*Таблица2[ПИР2013-10])</f>
        <v>0</v>
      </c>
      <c r="O16" s="63">
        <f>T16*SUMPRODUCT(($B$2=Таблица2[Филиал])*($B$3=Таблица2[ФЕР/ТЕР])*(F16=Таблица2[Наименование работ])*(G16=Таблица2[ТПиР/НСиР])*Таблица2[СМР2013-10])</f>
        <v>0</v>
      </c>
      <c r="P16" s="63">
        <f>U16*SUMPRODUCT(($B$2=Таблица2[Филиал])*($B$3=Таблица2[ФЕР/ТЕР])*(F16=Таблица2[Наименование работ])*(G16=Таблица2[ТПиР/НСиР])*Таблица2[ПНР2013-10])</f>
        <v>0</v>
      </c>
      <c r="Q16" s="63">
        <f>V16*SUMPRODUCT(($B$2=Таблица2[Филиал])*($B$3=Таблица2[ФЕР/ТЕР])*(F16=Таблица2[Наименование работ])*(G16=Таблица2[ТПиР/НСиР])*Таблица2[Оборудование2013-10])</f>
        <v>0</v>
      </c>
      <c r="R16" s="63">
        <f>W16*SUMPRODUCT(($B$2=Таблица2[Филиал])*($B$3=Таблица2[ФЕР/ТЕР])*(F16=Таблица2[Наименование работ])*(G16=Таблица2[ТПиР/НСиР])*Таблица2[Прочие2013-10])</f>
        <v>0</v>
      </c>
      <c r="S16" s="63">
        <f>IF($B$4="в базовых ценах",калькулятор!J20,X16*SUMPRODUCT(($B$2=Таблица2[Филиал])*($B$3=Таблица2[ФЕР/ТЕР])*(F16=Таблица2[Наименование работ])*(G16=Таблица2[ТПиР/НСиР])/Таблица2[ПИР2013]))</f>
        <v>0</v>
      </c>
      <c r="T16" s="63">
        <f>IF($B$4="в базовых ценах",калькулятор!K20,Y16*SUMPRODUCT(($B$2=Таблица2[Филиал])*($B$3=Таблица2[ФЕР/ТЕР])*(F16=Таблица2[Наименование работ])*(G16=Таблица2[ТПиР/НСиР])/Таблица2[СМР2013]))</f>
        <v>0</v>
      </c>
      <c r="U16" s="63">
        <f>IF($B$4="в базовых ценах",калькулятор!L20,Z16*SUMPRODUCT(($B$2=Таблица2[Филиал])*($B$3=Таблица2[ФЕР/ТЕР])*(F16=Таблица2[Наименование работ])*(G16=Таблица2[ТПиР/НСиР])/Таблица2[ПНР2013]))</f>
        <v>0</v>
      </c>
      <c r="V16" s="63">
        <f>IF($B$4="в базовых ценах",калькулятор!M20,AA16*SUMPRODUCT(($B$2=Таблица2[Филиал])*($B$3=Таблица2[ФЕР/ТЕР])*(F16=Таблица2[Наименование работ])*(G16=Таблица2[ТПиР/НСиР])/Таблица2[Оборудование2013]))</f>
        <v>0</v>
      </c>
      <c r="W16" s="63">
        <f>IF($B$4="в базовых ценах",калькулятор!N20,AB16*SUMPRODUCT(($B$2=Таблица2[Филиал])*($B$3=Таблица2[ФЕР/ТЕР])*(F16=Таблица2[Наименование работ])*(G16=Таблица2[ТПиР/НСиР])/Таблица2[Прочие3]))</f>
        <v>0</v>
      </c>
      <c r="X16" s="63">
        <f>IF($B$4="в текущих ценах",калькулятор!J20,S16*SUMPRODUCT(($B$2=Таблица2[Филиал])*($B$3=Таблица2[ФЕР/ТЕР])*(F16=Таблица2[Наименование работ])*(G16=Таблица2[ТПиР/НСиР])*Таблица2[ПИР2013]))</f>
        <v>0</v>
      </c>
      <c r="Y16" s="63">
        <f>IF($B$4="в текущих ценах",калькулятор!K20,T16*SUMPRODUCT(($B$2=Таблица2[Филиал])*($B$3=Таблица2[ФЕР/ТЕР])*(F16=Таблица2[Наименование работ])*(G16=Таблица2[ТПиР/НСиР])*Таблица2[СМР2013]))</f>
        <v>0</v>
      </c>
      <c r="Z16" s="63">
        <f>IF($B$4="в текущих ценах",калькулятор!L20,U16*SUMPRODUCT(($B$2=Таблица2[Филиал])*($B$3=Таблица2[ФЕР/ТЕР])*(F16=Таблица2[Наименование работ])*(G16=Таблица2[ТПиР/НСиР])*Таблица2[ПНР2013]))</f>
        <v>0</v>
      </c>
      <c r="AA16" s="63">
        <f>IF($B$4="в текущих ценах",калькулятор!M20,V16*SUMPRODUCT(($B$2=Таблица2[Филиал])*($B$3=Таблица2[ФЕР/ТЕР])*(F16=Таблица2[Наименование работ])*(G16=Таблица2[ТПиР/НСиР])*Таблица2[Оборудование2013]))</f>
        <v>0</v>
      </c>
      <c r="AB16" s="63">
        <f>IF($B$4="в текущих ценах",калькулятор!N20,W16*SUMPRODUCT(($B$2=Таблица2[Филиал])*($B$3=Таблица2[ФЕР/ТЕР])*(F16=Таблица2[Наименование работ])*(G16=Таблица2[ТПиР/НСиР])*Таблица2[Прочие3]))</f>
        <v>0</v>
      </c>
      <c r="AC16" s="63">
        <f>SUM(данные!$I16:$M16)</f>
        <v>0</v>
      </c>
      <c r="AD16" s="63">
        <f>IF(SUM(данные!$N16:$R16)&gt;данные!$AF16,данные!$AF16*0.9*1.058,SUM(данные!$N16:$R16))</f>
        <v>0</v>
      </c>
      <c r="AE16" s="63">
        <f>SUM(данные!$S16:$W16)</f>
        <v>0</v>
      </c>
      <c r="AF16" s="63">
        <f>SUM(данные!$X16:$AB16)</f>
        <v>0</v>
      </c>
      <c r="AG16" s="63">
        <f>IF($B$4="в текущих ценах",S16*SUMPRODUCT(($B$2=Таблица2[Филиал])*($B$3=Таблица2[ФЕР/ТЕР])*(F16=Таблица2[Наименование работ])*(G16=Таблица2[ТПиР/НСиР])*Таблица2[ПИР2012]),S16*SUMPRODUCT(($B$2=Таблица2[Филиал])*($B$3=Таблица2[ФЕР/ТЕР])*(F16=Таблица2[Наименование работ])*(G16=Таблица2[ТПиР/НСиР])*Таблица2[ПИР2012]))</f>
        <v>0</v>
      </c>
      <c r="AH16" s="63">
        <f>IF($B$4="в текущих ценах",T16*SUMPRODUCT(($B$2=Таблица2[Филиал])*($B$3=Таблица2[ФЕР/ТЕР])*(F16=Таблица2[Наименование работ])*(G16=Таблица2[ТПиР/НСиР])*Таблица2[СМР2012]),T16*SUMPRODUCT(($B$2=Таблица2[Филиал])*($B$3=Таблица2[ФЕР/ТЕР])*(F16=Таблица2[Наименование работ])*(G16=Таблица2[ТПиР/НСиР])*Таблица2[СМР2012]))</f>
        <v>0</v>
      </c>
      <c r="AI16" s="63">
        <f>IF($B$4="в текущих ценах",U16*SUMPRODUCT(($B$2=Таблица2[Филиал])*($B$3=Таблица2[ФЕР/ТЕР])*(F16=Таблица2[Наименование работ])*(G16=Таблица2[ТПиР/НСиР])*Таблица2[ПНР2012]),U16*SUMPRODUCT(($B$2=Таблица2[Филиал])*($B$3=Таблица2[ФЕР/ТЕР])*(F16=Таблица2[Наименование работ])*(G16=Таблица2[ТПиР/НСиР])*Таблица2[ПНР2012]))</f>
        <v>0</v>
      </c>
      <c r="AJ16" s="63">
        <f>IF($B$4="в текущих ценах",V16*SUMPRODUCT(($B$2=Таблица2[Филиал])*($B$3=Таблица2[ФЕР/ТЕР])*(F16=Таблица2[Наименование работ])*(G16=Таблица2[ТПиР/НСиР])*Таблица2[Оборудование2012]),V16*SUMPRODUCT(($B$2=Таблица2[Филиал])*($B$3=Таблица2[ФЕР/ТЕР])*(F16=Таблица2[Наименование работ])*(G16=Таблица2[ТПиР/НСиР])*Таблица2[Оборудование2012]))</f>
        <v>0</v>
      </c>
      <c r="AK16" s="63">
        <f>IF($B$4="в текущих ценах",W16*SUMPRODUCT(($B$2=Таблица2[Филиал])*($B$3=Таблица2[ФЕР/ТЕР])*(F16=Таблица2[Наименование работ])*(G16=Таблица2[ТПиР/НСиР])*Таблица2[Прочее2012]),W16*SUMPRODUCT(($B$2=Таблица2[Филиал])*($B$3=Таблица2[ФЕР/ТЕР])*(F16=Таблица2[Наименование работ])*(G16=Таблица2[ТПиР/НСиР])*Таблица2[Прочее2012]))</f>
        <v>0</v>
      </c>
      <c r="AL16" s="63">
        <f>данные!$X16+данные!$Y16+данные!$Z16+данные!$AA16+данные!$AB16</f>
        <v>0</v>
      </c>
      <c r="AM16" s="63">
        <v>1.03639035</v>
      </c>
      <c r="AN16" s="63">
        <v>1.0114049394</v>
      </c>
      <c r="AO16" s="63">
        <v>0.98210394336149998</v>
      </c>
      <c r="AP16" s="63">
        <v>0.93762413895893393</v>
      </c>
      <c r="AQ16" s="63"/>
      <c r="AR16" s="63"/>
      <c r="AS16" s="64"/>
      <c r="AU16" s="66">
        <f t="shared" si="5"/>
        <v>0</v>
      </c>
      <c r="AX16" s="66">
        <f t="shared" si="0"/>
        <v>0</v>
      </c>
      <c r="AY16" s="66">
        <f t="shared" si="1"/>
        <v>0</v>
      </c>
      <c r="AZ16" s="66">
        <f t="shared" si="2"/>
        <v>0</v>
      </c>
      <c r="BA16" s="66">
        <f t="shared" si="3"/>
        <v>0</v>
      </c>
      <c r="BB16" s="66">
        <f t="shared" si="4"/>
        <v>0</v>
      </c>
    </row>
    <row r="17" spans="4:54" x14ac:dyDescent="0.25">
      <c r="D17" s="62">
        <f>калькулятор!C21</f>
        <v>0</v>
      </c>
      <c r="E17" s="62">
        <f>калькулятор!F21</f>
        <v>0</v>
      </c>
      <c r="F17" s="62">
        <f>калькулятор!G21</f>
        <v>0</v>
      </c>
      <c r="G17" s="62">
        <f>калькулятор!H21</f>
        <v>0</v>
      </c>
      <c r="H17" s="62">
        <f>калькулятор!I21</f>
        <v>0</v>
      </c>
      <c r="I17" s="63">
        <f>S17*SUMPRODUCT(($B$2=Таблица2[Филиал])*($B$3=Таблица2[ФЕР/ТЕР])*(F17=Таблица2[Наименование работ])*(G17=Таблица2[ТПиР/НСиР])*Таблица2[ПИР2010])</f>
        <v>0</v>
      </c>
      <c r="J17" s="63">
        <f>T17*SUMPRODUCT(($B$2=Таблица2[Филиал])*($B$3=Таблица2[ФЕР/ТЕР])*(F17=Таблица2[Наименование работ])*(G17=Таблица2[ТПиР/НСиР])*Таблица2[СМР2010])</f>
        <v>0</v>
      </c>
      <c r="K17" s="63">
        <f>U17*SUMPRODUCT(($B$2=Таблица2[Филиал])*($B$3=Таблица2[ФЕР/ТЕР])*(F17=Таблица2[Наименование работ])*(G17=Таблица2[ТПиР/НСиР])*Таблица2[ПНР2010])</f>
        <v>0</v>
      </c>
      <c r="L17" s="63">
        <f>V17*SUMPRODUCT(($B$2=Таблица2[Филиал])*($B$3=Таблица2[ФЕР/ТЕР])*(F17=Таблица2[Наименование работ])*(G17=Таблица2[ТПиР/НСиР])*Таблица2[Оборудование2010])</f>
        <v>0</v>
      </c>
      <c r="M17" s="63">
        <f>W17*SUMPRODUCT(($B$2=Таблица2[Филиал])*($B$3=Таблица2[ФЕР/ТЕР])*(F17=Таблица2[Наименование работ])*(G17=Таблица2[ТПиР/НСиР])*Таблица2[Прочие2010])</f>
        <v>0</v>
      </c>
      <c r="N17" s="63">
        <f>S17*SUMPRODUCT(($B$2=Таблица2[Филиал])*($B$3=Таблица2[ФЕР/ТЕР])*(F17=Таблица2[Наименование работ])*(G17=Таблица2[ТПиР/НСиР])*Таблица2[ПИР2013-10])</f>
        <v>0</v>
      </c>
      <c r="O17" s="63">
        <f>T17*SUMPRODUCT(($B$2=Таблица2[Филиал])*($B$3=Таблица2[ФЕР/ТЕР])*(F17=Таблица2[Наименование работ])*(G17=Таблица2[ТПиР/НСиР])*Таблица2[СМР2013-10])</f>
        <v>0</v>
      </c>
      <c r="P17" s="63">
        <f>U17*SUMPRODUCT(($B$2=Таблица2[Филиал])*($B$3=Таблица2[ФЕР/ТЕР])*(F17=Таблица2[Наименование работ])*(G17=Таблица2[ТПиР/НСиР])*Таблица2[ПНР2013-10])</f>
        <v>0</v>
      </c>
      <c r="Q17" s="63">
        <f>V17*SUMPRODUCT(($B$2=Таблица2[Филиал])*($B$3=Таблица2[ФЕР/ТЕР])*(F17=Таблица2[Наименование работ])*(G17=Таблица2[ТПиР/НСиР])*Таблица2[Оборудование2013-10])</f>
        <v>0</v>
      </c>
      <c r="R17" s="63">
        <f>W17*SUMPRODUCT(($B$2=Таблица2[Филиал])*($B$3=Таблица2[ФЕР/ТЕР])*(F17=Таблица2[Наименование работ])*(G17=Таблица2[ТПиР/НСиР])*Таблица2[Прочие2013-10])</f>
        <v>0</v>
      </c>
      <c r="S17" s="63">
        <f>IF($B$4="в базовых ценах",калькулятор!J21,X17*SUMPRODUCT(($B$2=Таблица2[Филиал])*($B$3=Таблица2[ФЕР/ТЕР])*(F17=Таблица2[Наименование работ])*(G17=Таблица2[ТПиР/НСиР])/Таблица2[ПИР2013]))</f>
        <v>0</v>
      </c>
      <c r="T17" s="63">
        <f>IF($B$4="в базовых ценах",калькулятор!K21,Y17*SUMPRODUCT(($B$2=Таблица2[Филиал])*($B$3=Таблица2[ФЕР/ТЕР])*(F17=Таблица2[Наименование работ])*(G17=Таблица2[ТПиР/НСиР])/Таблица2[СМР2013]))</f>
        <v>0</v>
      </c>
      <c r="U17" s="63">
        <f>IF($B$4="в базовых ценах",калькулятор!L21,Z17*SUMPRODUCT(($B$2=Таблица2[Филиал])*($B$3=Таблица2[ФЕР/ТЕР])*(F17=Таблица2[Наименование работ])*(G17=Таблица2[ТПиР/НСиР])/Таблица2[ПНР2013]))</f>
        <v>0</v>
      </c>
      <c r="V17" s="63">
        <f>IF($B$4="в базовых ценах",калькулятор!M21,AA17*SUMPRODUCT(($B$2=Таблица2[Филиал])*($B$3=Таблица2[ФЕР/ТЕР])*(F17=Таблица2[Наименование работ])*(G17=Таблица2[ТПиР/НСиР])/Таблица2[Оборудование2013]))</f>
        <v>0</v>
      </c>
      <c r="W17" s="63">
        <f>IF($B$4="в базовых ценах",калькулятор!N21,AB17*SUMPRODUCT(($B$2=Таблица2[Филиал])*($B$3=Таблица2[ФЕР/ТЕР])*(F17=Таблица2[Наименование работ])*(G17=Таблица2[ТПиР/НСиР])/Таблица2[Прочие3]))</f>
        <v>0</v>
      </c>
      <c r="X17" s="63">
        <f>IF($B$4="в текущих ценах",калькулятор!J21,S17*SUMPRODUCT(($B$2=Таблица2[Филиал])*($B$3=Таблица2[ФЕР/ТЕР])*(F17=Таблица2[Наименование работ])*(G17=Таблица2[ТПиР/НСиР])*Таблица2[ПИР2013]))</f>
        <v>0</v>
      </c>
      <c r="Y17" s="63">
        <f>IF($B$4="в текущих ценах",калькулятор!K21,T17*SUMPRODUCT(($B$2=Таблица2[Филиал])*($B$3=Таблица2[ФЕР/ТЕР])*(F17=Таблица2[Наименование работ])*(G17=Таблица2[ТПиР/НСиР])*Таблица2[СМР2013]))</f>
        <v>0</v>
      </c>
      <c r="Z17" s="63">
        <f>IF($B$4="в текущих ценах",калькулятор!L21,U17*SUMPRODUCT(($B$2=Таблица2[Филиал])*($B$3=Таблица2[ФЕР/ТЕР])*(F17=Таблица2[Наименование работ])*(G17=Таблица2[ТПиР/НСиР])*Таблица2[ПНР2013]))</f>
        <v>0</v>
      </c>
      <c r="AA17" s="63">
        <f>IF($B$4="в текущих ценах",калькулятор!M21,V17*SUMPRODUCT(($B$2=Таблица2[Филиал])*($B$3=Таблица2[ФЕР/ТЕР])*(F17=Таблица2[Наименование работ])*(G17=Таблица2[ТПиР/НСиР])*Таблица2[Оборудование2013]))</f>
        <v>0</v>
      </c>
      <c r="AB17" s="63">
        <f>IF($B$4="в текущих ценах",калькулятор!N21,W17*SUMPRODUCT(($B$2=Таблица2[Филиал])*($B$3=Таблица2[ФЕР/ТЕР])*(F17=Таблица2[Наименование работ])*(G17=Таблица2[ТПиР/НСиР])*Таблица2[Прочие3]))</f>
        <v>0</v>
      </c>
      <c r="AC17" s="63">
        <f>SUM(данные!$I17:$M17)</f>
        <v>0</v>
      </c>
      <c r="AD17" s="63">
        <f>IF(SUM(данные!$N17:$R17)&gt;данные!$AF17,данные!$AF17*0.9*1.058,SUM(данные!$N17:$R17))</f>
        <v>0</v>
      </c>
      <c r="AE17" s="63">
        <f>SUM(данные!$S17:$W17)</f>
        <v>0</v>
      </c>
      <c r="AF17" s="63">
        <f>SUM(данные!$X17:$AB17)</f>
        <v>0</v>
      </c>
      <c r="AG17" s="63">
        <f>IF($B$4="в текущих ценах",S17*SUMPRODUCT(($B$2=Таблица2[Филиал])*($B$3=Таблица2[ФЕР/ТЕР])*(F17=Таблица2[Наименование работ])*(G17=Таблица2[ТПиР/НСиР])*Таблица2[ПИР2012]),S17*SUMPRODUCT(($B$2=Таблица2[Филиал])*($B$3=Таблица2[ФЕР/ТЕР])*(F17=Таблица2[Наименование работ])*(G17=Таблица2[ТПиР/НСиР])*Таблица2[ПИР2012]))</f>
        <v>0</v>
      </c>
      <c r="AH17" s="63">
        <f>IF($B$4="в текущих ценах",T17*SUMPRODUCT(($B$2=Таблица2[Филиал])*($B$3=Таблица2[ФЕР/ТЕР])*(F17=Таблица2[Наименование работ])*(G17=Таблица2[ТПиР/НСиР])*Таблица2[СМР2012]),T17*SUMPRODUCT(($B$2=Таблица2[Филиал])*($B$3=Таблица2[ФЕР/ТЕР])*(F17=Таблица2[Наименование работ])*(G17=Таблица2[ТПиР/НСиР])*Таблица2[СМР2012]))</f>
        <v>0</v>
      </c>
      <c r="AI17" s="63">
        <f>IF($B$4="в текущих ценах",U17*SUMPRODUCT(($B$2=Таблица2[Филиал])*($B$3=Таблица2[ФЕР/ТЕР])*(F17=Таблица2[Наименование работ])*(G17=Таблица2[ТПиР/НСиР])*Таблица2[ПНР2012]),U17*SUMPRODUCT(($B$2=Таблица2[Филиал])*($B$3=Таблица2[ФЕР/ТЕР])*(F17=Таблица2[Наименование работ])*(G17=Таблица2[ТПиР/НСиР])*Таблица2[ПНР2012]))</f>
        <v>0</v>
      </c>
      <c r="AJ17" s="63">
        <f>IF($B$4="в текущих ценах",V17*SUMPRODUCT(($B$2=Таблица2[Филиал])*($B$3=Таблица2[ФЕР/ТЕР])*(F17=Таблица2[Наименование работ])*(G17=Таблица2[ТПиР/НСиР])*Таблица2[Оборудование2012]),V17*SUMPRODUCT(($B$2=Таблица2[Филиал])*($B$3=Таблица2[ФЕР/ТЕР])*(F17=Таблица2[Наименование работ])*(G17=Таблица2[ТПиР/НСиР])*Таблица2[Оборудование2012]))</f>
        <v>0</v>
      </c>
      <c r="AK17" s="63">
        <f>IF($B$4="в текущих ценах",W17*SUMPRODUCT(($B$2=Таблица2[Филиал])*($B$3=Таблица2[ФЕР/ТЕР])*(F17=Таблица2[Наименование работ])*(G17=Таблица2[ТПиР/НСиР])*Таблица2[Прочее2012]),W17*SUMPRODUCT(($B$2=Таблица2[Филиал])*($B$3=Таблица2[ФЕР/ТЕР])*(F17=Таблица2[Наименование работ])*(G17=Таблица2[ТПиР/НСиР])*Таблица2[Прочее2012]))</f>
        <v>0</v>
      </c>
      <c r="AL17" s="63">
        <f>данные!$X17+данные!$Y17+данные!$Z17+данные!$AA17+данные!$AB17</f>
        <v>0</v>
      </c>
      <c r="AM17" s="63">
        <v>1.03639035</v>
      </c>
      <c r="AN17" s="63">
        <v>1.0114049394</v>
      </c>
      <c r="AO17" s="63">
        <v>0.98210394336149998</v>
      </c>
      <c r="AP17" s="63">
        <v>0.93762413895893393</v>
      </c>
      <c r="AQ17" s="63"/>
      <c r="AR17" s="63"/>
      <c r="AS17" s="64"/>
      <c r="AU17" s="66">
        <f t="shared" si="5"/>
        <v>0</v>
      </c>
      <c r="AX17" s="66">
        <f t="shared" si="0"/>
        <v>0</v>
      </c>
      <c r="AY17" s="66">
        <f t="shared" si="1"/>
        <v>0</v>
      </c>
      <c r="AZ17" s="66">
        <f t="shared" si="2"/>
        <v>0</v>
      </c>
      <c r="BA17" s="66">
        <f t="shared" si="3"/>
        <v>0</v>
      </c>
      <c r="BB17" s="66">
        <f t="shared" si="4"/>
        <v>0</v>
      </c>
    </row>
    <row r="18" spans="4:54" x14ac:dyDescent="0.25">
      <c r="D18" s="62">
        <f>калькулятор!C22</f>
        <v>0</v>
      </c>
      <c r="E18" s="62">
        <f>калькулятор!F22</f>
        <v>0</v>
      </c>
      <c r="F18" s="62">
        <f>калькулятор!G22</f>
        <v>0</v>
      </c>
      <c r="G18" s="62">
        <f>калькулятор!H22</f>
        <v>0</v>
      </c>
      <c r="H18" s="62">
        <f>калькулятор!I22</f>
        <v>0</v>
      </c>
      <c r="I18" s="63">
        <f>S18*SUMPRODUCT(($B$2=Таблица2[Филиал])*($B$3=Таблица2[ФЕР/ТЕР])*(F18=Таблица2[Наименование работ])*(G18=Таблица2[ТПиР/НСиР])*Таблица2[ПИР2010])</f>
        <v>0</v>
      </c>
      <c r="J18" s="63">
        <f>T18*SUMPRODUCT(($B$2=Таблица2[Филиал])*($B$3=Таблица2[ФЕР/ТЕР])*(F18=Таблица2[Наименование работ])*(G18=Таблица2[ТПиР/НСиР])*Таблица2[СМР2010])</f>
        <v>0</v>
      </c>
      <c r="K18" s="63">
        <f>U18*SUMPRODUCT(($B$2=Таблица2[Филиал])*($B$3=Таблица2[ФЕР/ТЕР])*(F18=Таблица2[Наименование работ])*(G18=Таблица2[ТПиР/НСиР])*Таблица2[ПНР2010])</f>
        <v>0</v>
      </c>
      <c r="L18" s="63">
        <f>V18*SUMPRODUCT(($B$2=Таблица2[Филиал])*($B$3=Таблица2[ФЕР/ТЕР])*(F18=Таблица2[Наименование работ])*(G18=Таблица2[ТПиР/НСиР])*Таблица2[Оборудование2010])</f>
        <v>0</v>
      </c>
      <c r="M18" s="63">
        <f>W18*SUMPRODUCT(($B$2=Таблица2[Филиал])*($B$3=Таблица2[ФЕР/ТЕР])*(F18=Таблица2[Наименование работ])*(G18=Таблица2[ТПиР/НСиР])*Таблица2[Прочие2010])</f>
        <v>0</v>
      </c>
      <c r="N18" s="63">
        <f>S18*SUMPRODUCT(($B$2=Таблица2[Филиал])*($B$3=Таблица2[ФЕР/ТЕР])*(F18=Таблица2[Наименование работ])*(G18=Таблица2[ТПиР/НСиР])*Таблица2[ПИР2013-10])</f>
        <v>0</v>
      </c>
      <c r="O18" s="63">
        <f>T18*SUMPRODUCT(($B$2=Таблица2[Филиал])*($B$3=Таблица2[ФЕР/ТЕР])*(F18=Таблица2[Наименование работ])*(G18=Таблица2[ТПиР/НСиР])*Таблица2[СМР2013-10])</f>
        <v>0</v>
      </c>
      <c r="P18" s="63">
        <f>U18*SUMPRODUCT(($B$2=Таблица2[Филиал])*($B$3=Таблица2[ФЕР/ТЕР])*(F18=Таблица2[Наименование работ])*(G18=Таблица2[ТПиР/НСиР])*Таблица2[ПНР2013-10])</f>
        <v>0</v>
      </c>
      <c r="Q18" s="63">
        <f>V18*SUMPRODUCT(($B$2=Таблица2[Филиал])*($B$3=Таблица2[ФЕР/ТЕР])*(F18=Таблица2[Наименование работ])*(G18=Таблица2[ТПиР/НСиР])*Таблица2[Оборудование2013-10])</f>
        <v>0</v>
      </c>
      <c r="R18" s="63">
        <f>W18*SUMPRODUCT(($B$2=Таблица2[Филиал])*($B$3=Таблица2[ФЕР/ТЕР])*(F18=Таблица2[Наименование работ])*(G18=Таблица2[ТПиР/НСиР])*Таблица2[Прочие2013-10])</f>
        <v>0</v>
      </c>
      <c r="S18" s="63">
        <f>IF($B$4="в базовых ценах",калькулятор!J22,X18*SUMPRODUCT(($B$2=Таблица2[Филиал])*($B$3=Таблица2[ФЕР/ТЕР])*(F18=Таблица2[Наименование работ])*(G18=Таблица2[ТПиР/НСиР])/Таблица2[ПИР2013]))</f>
        <v>0</v>
      </c>
      <c r="T18" s="63">
        <f>IF($B$4="в базовых ценах",калькулятор!K22,Y18*SUMPRODUCT(($B$2=Таблица2[Филиал])*($B$3=Таблица2[ФЕР/ТЕР])*(F18=Таблица2[Наименование работ])*(G18=Таблица2[ТПиР/НСиР])/Таблица2[СМР2013]))</f>
        <v>0</v>
      </c>
      <c r="U18" s="63">
        <f>IF($B$4="в базовых ценах",калькулятор!L22,Z18*SUMPRODUCT(($B$2=Таблица2[Филиал])*($B$3=Таблица2[ФЕР/ТЕР])*(F18=Таблица2[Наименование работ])*(G18=Таблица2[ТПиР/НСиР])/Таблица2[ПНР2013]))</f>
        <v>0</v>
      </c>
      <c r="V18" s="63">
        <f>IF($B$4="в базовых ценах",калькулятор!M22,AA18*SUMPRODUCT(($B$2=Таблица2[Филиал])*($B$3=Таблица2[ФЕР/ТЕР])*(F18=Таблица2[Наименование работ])*(G18=Таблица2[ТПиР/НСиР])/Таблица2[Оборудование2013]))</f>
        <v>0</v>
      </c>
      <c r="W18" s="63">
        <f>IF($B$4="в базовых ценах",калькулятор!N22,AB18*SUMPRODUCT(($B$2=Таблица2[Филиал])*($B$3=Таблица2[ФЕР/ТЕР])*(F18=Таблица2[Наименование работ])*(G18=Таблица2[ТПиР/НСиР])/Таблица2[Прочие3]))</f>
        <v>0</v>
      </c>
      <c r="X18" s="63">
        <f>IF($B$4="в текущих ценах",калькулятор!J22,S18*SUMPRODUCT(($B$2=Таблица2[Филиал])*($B$3=Таблица2[ФЕР/ТЕР])*(F18=Таблица2[Наименование работ])*(G18=Таблица2[ТПиР/НСиР])*Таблица2[ПИР2013]))</f>
        <v>0</v>
      </c>
      <c r="Y18" s="63">
        <f>IF($B$4="в текущих ценах",калькулятор!K22,T18*SUMPRODUCT(($B$2=Таблица2[Филиал])*($B$3=Таблица2[ФЕР/ТЕР])*(F18=Таблица2[Наименование работ])*(G18=Таблица2[ТПиР/НСиР])*Таблица2[СМР2013]))</f>
        <v>0</v>
      </c>
      <c r="Z18" s="63">
        <f>IF($B$4="в текущих ценах",калькулятор!L22,U18*SUMPRODUCT(($B$2=Таблица2[Филиал])*($B$3=Таблица2[ФЕР/ТЕР])*(F18=Таблица2[Наименование работ])*(G18=Таблица2[ТПиР/НСиР])*Таблица2[ПНР2013]))</f>
        <v>0</v>
      </c>
      <c r="AA18" s="63">
        <f>IF($B$4="в текущих ценах",калькулятор!M22,V18*SUMPRODUCT(($B$2=Таблица2[Филиал])*($B$3=Таблица2[ФЕР/ТЕР])*(F18=Таблица2[Наименование работ])*(G18=Таблица2[ТПиР/НСиР])*Таблица2[Оборудование2013]))</f>
        <v>0</v>
      </c>
      <c r="AB18" s="63">
        <f>IF($B$4="в текущих ценах",калькулятор!N22,W18*SUMPRODUCT(($B$2=Таблица2[Филиал])*($B$3=Таблица2[ФЕР/ТЕР])*(F18=Таблица2[Наименование работ])*(G18=Таблица2[ТПиР/НСиР])*Таблица2[Прочие3]))</f>
        <v>0</v>
      </c>
      <c r="AC18" s="63">
        <f>SUM(данные!$I18:$M18)</f>
        <v>0</v>
      </c>
      <c r="AD18" s="63">
        <f>IF(SUM(данные!$N18:$R18)&gt;данные!$AF18,данные!$AF18*0.9*1.058,SUM(данные!$N18:$R18))</f>
        <v>0</v>
      </c>
      <c r="AE18" s="63">
        <f>SUM(данные!$S18:$W18)</f>
        <v>0</v>
      </c>
      <c r="AF18" s="63">
        <f>SUM(данные!$X18:$AB18)</f>
        <v>0</v>
      </c>
      <c r="AG18" s="63">
        <f>IF($B$4="в текущих ценах",S18*SUMPRODUCT(($B$2=Таблица2[Филиал])*($B$3=Таблица2[ФЕР/ТЕР])*(F18=Таблица2[Наименование работ])*(G18=Таблица2[ТПиР/НСиР])*Таблица2[ПИР2012]),S18*SUMPRODUCT(($B$2=Таблица2[Филиал])*($B$3=Таблица2[ФЕР/ТЕР])*(F18=Таблица2[Наименование работ])*(G18=Таблица2[ТПиР/НСиР])*Таблица2[ПИР2012]))</f>
        <v>0</v>
      </c>
      <c r="AH18" s="63">
        <f>IF($B$4="в текущих ценах",T18*SUMPRODUCT(($B$2=Таблица2[Филиал])*($B$3=Таблица2[ФЕР/ТЕР])*(F18=Таблица2[Наименование работ])*(G18=Таблица2[ТПиР/НСиР])*Таблица2[СМР2012]),T18*SUMPRODUCT(($B$2=Таблица2[Филиал])*($B$3=Таблица2[ФЕР/ТЕР])*(F18=Таблица2[Наименование работ])*(G18=Таблица2[ТПиР/НСиР])*Таблица2[СМР2012]))</f>
        <v>0</v>
      </c>
      <c r="AI18" s="63">
        <f>IF($B$4="в текущих ценах",U18*SUMPRODUCT(($B$2=Таблица2[Филиал])*($B$3=Таблица2[ФЕР/ТЕР])*(F18=Таблица2[Наименование работ])*(G18=Таблица2[ТПиР/НСиР])*Таблица2[ПНР2012]),U18*SUMPRODUCT(($B$2=Таблица2[Филиал])*($B$3=Таблица2[ФЕР/ТЕР])*(F18=Таблица2[Наименование работ])*(G18=Таблица2[ТПиР/НСиР])*Таблица2[ПНР2012]))</f>
        <v>0</v>
      </c>
      <c r="AJ18" s="63">
        <f>IF($B$4="в текущих ценах",V18*SUMPRODUCT(($B$2=Таблица2[Филиал])*($B$3=Таблица2[ФЕР/ТЕР])*(F18=Таблица2[Наименование работ])*(G18=Таблица2[ТПиР/НСиР])*Таблица2[Оборудование2012]),V18*SUMPRODUCT(($B$2=Таблица2[Филиал])*($B$3=Таблица2[ФЕР/ТЕР])*(F18=Таблица2[Наименование работ])*(G18=Таблица2[ТПиР/НСиР])*Таблица2[Оборудование2012]))</f>
        <v>0</v>
      </c>
      <c r="AK18" s="63">
        <f>IF($B$4="в текущих ценах",W18*SUMPRODUCT(($B$2=Таблица2[Филиал])*($B$3=Таблица2[ФЕР/ТЕР])*(F18=Таблица2[Наименование работ])*(G18=Таблица2[ТПиР/НСиР])*Таблица2[Прочее2012]),W18*SUMPRODUCT(($B$2=Таблица2[Филиал])*($B$3=Таблица2[ФЕР/ТЕР])*(F18=Таблица2[Наименование работ])*(G18=Таблица2[ТПиР/НСиР])*Таблица2[Прочее2012]))</f>
        <v>0</v>
      </c>
      <c r="AL18" s="63">
        <f>данные!$X18+данные!$Y18+данные!$Z18+данные!$AA18+данные!$AB18</f>
        <v>0</v>
      </c>
      <c r="AM18" s="63">
        <v>1.03639035</v>
      </c>
      <c r="AN18" s="63">
        <v>1.0114049394</v>
      </c>
      <c r="AO18" s="63">
        <v>0.98210394336149998</v>
      </c>
      <c r="AP18" s="63">
        <v>0.93762413895893393</v>
      </c>
      <c r="AQ18" s="63"/>
      <c r="AR18" s="63"/>
      <c r="AS18" s="64"/>
      <c r="AU18" s="66">
        <f t="shared" si="5"/>
        <v>0</v>
      </c>
      <c r="AX18" s="66">
        <f t="shared" si="0"/>
        <v>0</v>
      </c>
      <c r="AY18" s="66">
        <f t="shared" si="1"/>
        <v>0</v>
      </c>
      <c r="AZ18" s="66">
        <f t="shared" si="2"/>
        <v>0</v>
      </c>
      <c r="BA18" s="66">
        <f t="shared" si="3"/>
        <v>0</v>
      </c>
      <c r="BB18" s="66">
        <f t="shared" si="4"/>
        <v>0</v>
      </c>
    </row>
    <row r="19" spans="4:54" x14ac:dyDescent="0.25">
      <c r="D19" s="62">
        <f>калькулятор!C23</f>
        <v>0</v>
      </c>
      <c r="E19" s="62">
        <f>калькулятор!F23</f>
        <v>0</v>
      </c>
      <c r="F19" s="62">
        <f>калькулятор!G23</f>
        <v>0</v>
      </c>
      <c r="G19" s="62">
        <f>калькулятор!H23</f>
        <v>0</v>
      </c>
      <c r="H19" s="62">
        <f>калькулятор!I23</f>
        <v>0</v>
      </c>
      <c r="I19" s="63">
        <f>S19*SUMPRODUCT(($B$2=Таблица2[Филиал])*($B$3=Таблица2[ФЕР/ТЕР])*(F19=Таблица2[Наименование работ])*(G19=Таблица2[ТПиР/НСиР])*Таблица2[ПИР2010])</f>
        <v>0</v>
      </c>
      <c r="J19" s="63">
        <f>T19*SUMPRODUCT(($B$2=Таблица2[Филиал])*($B$3=Таблица2[ФЕР/ТЕР])*(F19=Таблица2[Наименование работ])*(G19=Таблица2[ТПиР/НСиР])*Таблица2[СМР2010])</f>
        <v>0</v>
      </c>
      <c r="K19" s="63">
        <f>U19*SUMPRODUCT(($B$2=Таблица2[Филиал])*($B$3=Таблица2[ФЕР/ТЕР])*(F19=Таблица2[Наименование работ])*(G19=Таблица2[ТПиР/НСиР])*Таблица2[ПНР2010])</f>
        <v>0</v>
      </c>
      <c r="L19" s="63">
        <f>V19*SUMPRODUCT(($B$2=Таблица2[Филиал])*($B$3=Таблица2[ФЕР/ТЕР])*(F19=Таблица2[Наименование работ])*(G19=Таблица2[ТПиР/НСиР])*Таблица2[Оборудование2010])</f>
        <v>0</v>
      </c>
      <c r="M19" s="63">
        <f>W19*SUMPRODUCT(($B$2=Таблица2[Филиал])*($B$3=Таблица2[ФЕР/ТЕР])*(F19=Таблица2[Наименование работ])*(G19=Таблица2[ТПиР/НСиР])*Таблица2[Прочие2010])</f>
        <v>0</v>
      </c>
      <c r="N19" s="63">
        <f>S19*SUMPRODUCT(($B$2=Таблица2[Филиал])*($B$3=Таблица2[ФЕР/ТЕР])*(F19=Таблица2[Наименование работ])*(G19=Таблица2[ТПиР/НСиР])*Таблица2[ПИР2013-10])</f>
        <v>0</v>
      </c>
      <c r="O19" s="63">
        <f>T19*SUMPRODUCT(($B$2=Таблица2[Филиал])*($B$3=Таблица2[ФЕР/ТЕР])*(F19=Таблица2[Наименование работ])*(G19=Таблица2[ТПиР/НСиР])*Таблица2[СМР2013-10])</f>
        <v>0</v>
      </c>
      <c r="P19" s="63">
        <f>U19*SUMPRODUCT(($B$2=Таблица2[Филиал])*($B$3=Таблица2[ФЕР/ТЕР])*(F19=Таблица2[Наименование работ])*(G19=Таблица2[ТПиР/НСиР])*Таблица2[ПНР2013-10])</f>
        <v>0</v>
      </c>
      <c r="Q19" s="63">
        <f>V19*SUMPRODUCT(($B$2=Таблица2[Филиал])*($B$3=Таблица2[ФЕР/ТЕР])*(F19=Таблица2[Наименование работ])*(G19=Таблица2[ТПиР/НСиР])*Таблица2[Оборудование2013-10])</f>
        <v>0</v>
      </c>
      <c r="R19" s="63">
        <f>W19*SUMPRODUCT(($B$2=Таблица2[Филиал])*($B$3=Таблица2[ФЕР/ТЕР])*(F19=Таблица2[Наименование работ])*(G19=Таблица2[ТПиР/НСиР])*Таблица2[Прочие2013-10])</f>
        <v>0</v>
      </c>
      <c r="S19" s="63">
        <f>IF($B$4="в базовых ценах",калькулятор!J23,X19*SUMPRODUCT(($B$2=Таблица2[Филиал])*($B$3=Таблица2[ФЕР/ТЕР])*(F19=Таблица2[Наименование работ])*(G19=Таблица2[ТПиР/НСиР])/Таблица2[ПИР2013]))</f>
        <v>0</v>
      </c>
      <c r="T19" s="63">
        <f>IF($B$4="в базовых ценах",калькулятор!K23,Y19*SUMPRODUCT(($B$2=Таблица2[Филиал])*($B$3=Таблица2[ФЕР/ТЕР])*(F19=Таблица2[Наименование работ])*(G19=Таблица2[ТПиР/НСиР])/Таблица2[СМР2013]))</f>
        <v>0</v>
      </c>
      <c r="U19" s="63">
        <f>IF($B$4="в базовых ценах",калькулятор!L23,Z19*SUMPRODUCT(($B$2=Таблица2[Филиал])*($B$3=Таблица2[ФЕР/ТЕР])*(F19=Таблица2[Наименование работ])*(G19=Таблица2[ТПиР/НСиР])/Таблица2[ПНР2013]))</f>
        <v>0</v>
      </c>
      <c r="V19" s="63">
        <f>IF($B$4="в базовых ценах",калькулятор!M23,AA19*SUMPRODUCT(($B$2=Таблица2[Филиал])*($B$3=Таблица2[ФЕР/ТЕР])*(F19=Таблица2[Наименование работ])*(G19=Таблица2[ТПиР/НСиР])/Таблица2[Оборудование2013]))</f>
        <v>0</v>
      </c>
      <c r="W19" s="63">
        <f>IF($B$4="в базовых ценах",калькулятор!N23,AB19*SUMPRODUCT(($B$2=Таблица2[Филиал])*($B$3=Таблица2[ФЕР/ТЕР])*(F19=Таблица2[Наименование работ])*(G19=Таблица2[ТПиР/НСиР])/Таблица2[Прочие3]))</f>
        <v>0</v>
      </c>
      <c r="X19" s="63">
        <f>IF($B$4="в текущих ценах",калькулятор!J23,S19*SUMPRODUCT(($B$2=Таблица2[Филиал])*($B$3=Таблица2[ФЕР/ТЕР])*(F19=Таблица2[Наименование работ])*(G19=Таблица2[ТПиР/НСиР])*Таблица2[ПИР2013]))</f>
        <v>0</v>
      </c>
      <c r="Y19" s="63">
        <f>IF($B$4="в текущих ценах",калькулятор!K23,T19*SUMPRODUCT(($B$2=Таблица2[Филиал])*($B$3=Таблица2[ФЕР/ТЕР])*(F19=Таблица2[Наименование работ])*(G19=Таблица2[ТПиР/НСиР])*Таблица2[СМР2013]))</f>
        <v>0</v>
      </c>
      <c r="Z19" s="63">
        <f>IF($B$4="в текущих ценах",калькулятор!L23,U19*SUMPRODUCT(($B$2=Таблица2[Филиал])*($B$3=Таблица2[ФЕР/ТЕР])*(F19=Таблица2[Наименование работ])*(G19=Таблица2[ТПиР/НСиР])*Таблица2[ПНР2013]))</f>
        <v>0</v>
      </c>
      <c r="AA19" s="63">
        <f>IF($B$4="в текущих ценах",калькулятор!M23,V19*SUMPRODUCT(($B$2=Таблица2[Филиал])*($B$3=Таблица2[ФЕР/ТЕР])*(F19=Таблица2[Наименование работ])*(G19=Таблица2[ТПиР/НСиР])*Таблица2[Оборудование2013]))</f>
        <v>0</v>
      </c>
      <c r="AB19" s="63">
        <f>IF($B$4="в текущих ценах",калькулятор!N23,W19*SUMPRODUCT(($B$2=Таблица2[Филиал])*($B$3=Таблица2[ФЕР/ТЕР])*(F19=Таблица2[Наименование работ])*(G19=Таблица2[ТПиР/НСиР])*Таблица2[Прочие3]))</f>
        <v>0</v>
      </c>
      <c r="AC19" s="63">
        <f>SUM(данные!$I19:$M19)</f>
        <v>0</v>
      </c>
      <c r="AD19" s="63">
        <f>IF(SUM(данные!$N19:$R19)&gt;данные!$AF19,данные!$AF19*0.9*1.058,SUM(данные!$N19:$R19))</f>
        <v>0</v>
      </c>
      <c r="AE19" s="63">
        <f>SUM(данные!$S19:$W19)</f>
        <v>0</v>
      </c>
      <c r="AF19" s="63">
        <f>SUM(данные!$X19:$AB19)</f>
        <v>0</v>
      </c>
      <c r="AG19" s="63">
        <f>IF($B$4="в текущих ценах",S19*SUMPRODUCT(($B$2=Таблица2[Филиал])*($B$3=Таблица2[ФЕР/ТЕР])*(F19=Таблица2[Наименование работ])*(G19=Таблица2[ТПиР/НСиР])*Таблица2[ПИР2012]),S19*SUMPRODUCT(($B$2=Таблица2[Филиал])*($B$3=Таблица2[ФЕР/ТЕР])*(F19=Таблица2[Наименование работ])*(G19=Таблица2[ТПиР/НСиР])*Таблица2[ПИР2012]))</f>
        <v>0</v>
      </c>
      <c r="AH19" s="63">
        <f>IF($B$4="в текущих ценах",T19*SUMPRODUCT(($B$2=Таблица2[Филиал])*($B$3=Таблица2[ФЕР/ТЕР])*(F19=Таблица2[Наименование работ])*(G19=Таблица2[ТПиР/НСиР])*Таблица2[СМР2012]),T19*SUMPRODUCT(($B$2=Таблица2[Филиал])*($B$3=Таблица2[ФЕР/ТЕР])*(F19=Таблица2[Наименование работ])*(G19=Таблица2[ТПиР/НСиР])*Таблица2[СМР2012]))</f>
        <v>0</v>
      </c>
      <c r="AI19" s="63">
        <f>IF($B$4="в текущих ценах",U19*SUMPRODUCT(($B$2=Таблица2[Филиал])*($B$3=Таблица2[ФЕР/ТЕР])*(F19=Таблица2[Наименование работ])*(G19=Таблица2[ТПиР/НСиР])*Таблица2[ПНР2012]),U19*SUMPRODUCT(($B$2=Таблица2[Филиал])*($B$3=Таблица2[ФЕР/ТЕР])*(F19=Таблица2[Наименование работ])*(G19=Таблица2[ТПиР/НСиР])*Таблица2[ПНР2012]))</f>
        <v>0</v>
      </c>
      <c r="AJ19" s="63">
        <f>IF($B$4="в текущих ценах",V19*SUMPRODUCT(($B$2=Таблица2[Филиал])*($B$3=Таблица2[ФЕР/ТЕР])*(F19=Таблица2[Наименование работ])*(G19=Таблица2[ТПиР/НСиР])*Таблица2[Оборудование2012]),V19*SUMPRODUCT(($B$2=Таблица2[Филиал])*($B$3=Таблица2[ФЕР/ТЕР])*(F19=Таблица2[Наименование работ])*(G19=Таблица2[ТПиР/НСиР])*Таблица2[Оборудование2012]))</f>
        <v>0</v>
      </c>
      <c r="AK19" s="63">
        <f>IF($B$4="в текущих ценах",W19*SUMPRODUCT(($B$2=Таблица2[Филиал])*($B$3=Таблица2[ФЕР/ТЕР])*(F19=Таблица2[Наименование работ])*(G19=Таблица2[ТПиР/НСиР])*Таблица2[Прочее2012]),W19*SUMPRODUCT(($B$2=Таблица2[Филиал])*($B$3=Таблица2[ФЕР/ТЕР])*(F19=Таблица2[Наименование работ])*(G19=Таблица2[ТПиР/НСиР])*Таблица2[Прочее2012]))</f>
        <v>0</v>
      </c>
      <c r="AL19" s="63">
        <f>данные!$X19+данные!$Y19+данные!$Z19+данные!$AA19+данные!$AB19</f>
        <v>0</v>
      </c>
      <c r="AM19" s="63">
        <v>1.03639035</v>
      </c>
      <c r="AN19" s="63">
        <v>1.0114049394</v>
      </c>
      <c r="AO19" s="63">
        <v>0.98210394336149998</v>
      </c>
      <c r="AP19" s="63">
        <v>0.93762413895893393</v>
      </c>
      <c r="AQ19" s="63"/>
      <c r="AR19" s="63"/>
      <c r="AS19" s="64"/>
      <c r="AU19" s="66">
        <f t="shared" si="5"/>
        <v>0</v>
      </c>
      <c r="AX19" s="66">
        <f t="shared" si="0"/>
        <v>0</v>
      </c>
      <c r="AY19" s="66">
        <f t="shared" si="1"/>
        <v>0</v>
      </c>
      <c r="AZ19" s="66">
        <f t="shared" si="2"/>
        <v>0</v>
      </c>
      <c r="BA19" s="66">
        <f t="shared" si="3"/>
        <v>0</v>
      </c>
      <c r="BB19" s="66">
        <f t="shared" si="4"/>
        <v>0</v>
      </c>
    </row>
    <row r="20" spans="4:54" x14ac:dyDescent="0.25">
      <c r="D20" s="62">
        <f>калькулятор!C24</f>
        <v>0</v>
      </c>
      <c r="E20" s="62">
        <f>калькулятор!F24</f>
        <v>0</v>
      </c>
      <c r="F20" s="62">
        <f>калькулятор!G24</f>
        <v>0</v>
      </c>
      <c r="G20" s="62">
        <f>калькулятор!H24</f>
        <v>0</v>
      </c>
      <c r="H20" s="62">
        <f>калькулятор!I24</f>
        <v>0</v>
      </c>
      <c r="I20" s="63">
        <f>S20*SUMPRODUCT(($B$2=Таблица2[Филиал])*($B$3=Таблица2[ФЕР/ТЕР])*(F20=Таблица2[Наименование работ])*(G20=Таблица2[ТПиР/НСиР])*Таблица2[ПИР2010])</f>
        <v>0</v>
      </c>
      <c r="J20" s="63">
        <f>T20*SUMPRODUCT(($B$2=Таблица2[Филиал])*($B$3=Таблица2[ФЕР/ТЕР])*(F20=Таблица2[Наименование работ])*(G20=Таблица2[ТПиР/НСиР])*Таблица2[СМР2010])</f>
        <v>0</v>
      </c>
      <c r="K20" s="63">
        <f>U20*SUMPRODUCT(($B$2=Таблица2[Филиал])*($B$3=Таблица2[ФЕР/ТЕР])*(F20=Таблица2[Наименование работ])*(G20=Таблица2[ТПиР/НСиР])*Таблица2[ПНР2010])</f>
        <v>0</v>
      </c>
      <c r="L20" s="63">
        <f>V20*SUMPRODUCT(($B$2=Таблица2[Филиал])*($B$3=Таблица2[ФЕР/ТЕР])*(F20=Таблица2[Наименование работ])*(G20=Таблица2[ТПиР/НСиР])*Таблица2[Оборудование2010])</f>
        <v>0</v>
      </c>
      <c r="M20" s="63">
        <f>W20*SUMPRODUCT(($B$2=Таблица2[Филиал])*($B$3=Таблица2[ФЕР/ТЕР])*(F20=Таблица2[Наименование работ])*(G20=Таблица2[ТПиР/НСиР])*Таблица2[Прочие2010])</f>
        <v>0</v>
      </c>
      <c r="N20" s="63">
        <f>S20*SUMPRODUCT(($B$2=Таблица2[Филиал])*($B$3=Таблица2[ФЕР/ТЕР])*(F20=Таблица2[Наименование работ])*(G20=Таблица2[ТПиР/НСиР])*Таблица2[ПИР2013-10])</f>
        <v>0</v>
      </c>
      <c r="O20" s="63">
        <f>T20*SUMPRODUCT(($B$2=Таблица2[Филиал])*($B$3=Таблица2[ФЕР/ТЕР])*(F20=Таблица2[Наименование работ])*(G20=Таблица2[ТПиР/НСиР])*Таблица2[СМР2013-10])</f>
        <v>0</v>
      </c>
      <c r="P20" s="63">
        <f>U20*SUMPRODUCT(($B$2=Таблица2[Филиал])*($B$3=Таблица2[ФЕР/ТЕР])*(F20=Таблица2[Наименование работ])*(G20=Таблица2[ТПиР/НСиР])*Таблица2[ПНР2013-10])</f>
        <v>0</v>
      </c>
      <c r="Q20" s="63">
        <f>V20*SUMPRODUCT(($B$2=Таблица2[Филиал])*($B$3=Таблица2[ФЕР/ТЕР])*(F20=Таблица2[Наименование работ])*(G20=Таблица2[ТПиР/НСиР])*Таблица2[Оборудование2013-10])</f>
        <v>0</v>
      </c>
      <c r="R20" s="63">
        <f>W20*SUMPRODUCT(($B$2=Таблица2[Филиал])*($B$3=Таблица2[ФЕР/ТЕР])*(F20=Таблица2[Наименование работ])*(G20=Таблица2[ТПиР/НСиР])*Таблица2[Прочие2013-10])</f>
        <v>0</v>
      </c>
      <c r="S20" s="63">
        <f>IF($B$4="в базовых ценах",калькулятор!J24,X20*SUMPRODUCT(($B$2=Таблица2[Филиал])*($B$3=Таблица2[ФЕР/ТЕР])*(F20=Таблица2[Наименование работ])*(G20=Таблица2[ТПиР/НСиР])/Таблица2[ПИР2013]))</f>
        <v>0</v>
      </c>
      <c r="T20" s="63">
        <f>IF($B$4="в базовых ценах",калькулятор!K24,Y20*SUMPRODUCT(($B$2=Таблица2[Филиал])*($B$3=Таблица2[ФЕР/ТЕР])*(F20=Таблица2[Наименование работ])*(G20=Таблица2[ТПиР/НСиР])/Таблица2[СМР2013]))</f>
        <v>0</v>
      </c>
      <c r="U20" s="63">
        <f>IF($B$4="в базовых ценах",калькулятор!L24,Z20*SUMPRODUCT(($B$2=Таблица2[Филиал])*($B$3=Таблица2[ФЕР/ТЕР])*(F20=Таблица2[Наименование работ])*(G20=Таблица2[ТПиР/НСиР])/Таблица2[ПНР2013]))</f>
        <v>0</v>
      </c>
      <c r="V20" s="63">
        <f>IF($B$4="в базовых ценах",калькулятор!M24,AA20*SUMPRODUCT(($B$2=Таблица2[Филиал])*($B$3=Таблица2[ФЕР/ТЕР])*(F20=Таблица2[Наименование работ])*(G20=Таблица2[ТПиР/НСиР])/Таблица2[Оборудование2013]))</f>
        <v>0</v>
      </c>
      <c r="W20" s="63">
        <f>IF($B$4="в базовых ценах",калькулятор!N24,AB20*SUMPRODUCT(($B$2=Таблица2[Филиал])*($B$3=Таблица2[ФЕР/ТЕР])*(F20=Таблица2[Наименование работ])*(G20=Таблица2[ТПиР/НСиР])/Таблица2[Прочие3]))</f>
        <v>0</v>
      </c>
      <c r="X20" s="63">
        <f>IF($B$4="в текущих ценах",калькулятор!J24,S20*SUMPRODUCT(($B$2=Таблица2[Филиал])*($B$3=Таблица2[ФЕР/ТЕР])*(F20=Таблица2[Наименование работ])*(G20=Таблица2[ТПиР/НСиР])*Таблица2[ПИР2013]))</f>
        <v>0</v>
      </c>
      <c r="Y20" s="63">
        <f>IF($B$4="в текущих ценах",калькулятор!K24,T20*SUMPRODUCT(($B$2=Таблица2[Филиал])*($B$3=Таблица2[ФЕР/ТЕР])*(F20=Таблица2[Наименование работ])*(G20=Таблица2[ТПиР/НСиР])*Таблица2[СМР2013]))</f>
        <v>0</v>
      </c>
      <c r="Z20" s="63">
        <f>IF($B$4="в текущих ценах",калькулятор!L24,U20*SUMPRODUCT(($B$2=Таблица2[Филиал])*($B$3=Таблица2[ФЕР/ТЕР])*(F20=Таблица2[Наименование работ])*(G20=Таблица2[ТПиР/НСиР])*Таблица2[ПНР2013]))</f>
        <v>0</v>
      </c>
      <c r="AA20" s="63">
        <f>IF($B$4="в текущих ценах",калькулятор!M24,V20*SUMPRODUCT(($B$2=Таблица2[Филиал])*($B$3=Таблица2[ФЕР/ТЕР])*(F20=Таблица2[Наименование работ])*(G20=Таблица2[ТПиР/НСиР])*Таблица2[Оборудование2013]))</f>
        <v>0</v>
      </c>
      <c r="AB20" s="63">
        <f>IF($B$4="в текущих ценах",калькулятор!N24,W20*SUMPRODUCT(($B$2=Таблица2[Филиал])*($B$3=Таблица2[ФЕР/ТЕР])*(F20=Таблица2[Наименование работ])*(G20=Таблица2[ТПиР/НСиР])*Таблица2[Прочие3]))</f>
        <v>0</v>
      </c>
      <c r="AC20" s="63">
        <f>SUM(данные!$I20:$M20)</f>
        <v>0</v>
      </c>
      <c r="AD20" s="63">
        <f>IF(SUM(данные!$N20:$R20)&gt;данные!$AF20,данные!$AF20*0.9*1.058,SUM(данные!$N20:$R20))</f>
        <v>0</v>
      </c>
      <c r="AE20" s="63">
        <f>SUM(данные!$S20:$W20)</f>
        <v>0</v>
      </c>
      <c r="AF20" s="63">
        <f>SUM(данные!$X20:$AB20)</f>
        <v>0</v>
      </c>
      <c r="AG20" s="63">
        <f>IF($B$4="в текущих ценах",S20*SUMPRODUCT(($B$2=Таблица2[Филиал])*($B$3=Таблица2[ФЕР/ТЕР])*(F20=Таблица2[Наименование работ])*(G20=Таблица2[ТПиР/НСиР])*Таблица2[ПИР2012]),S20*SUMPRODUCT(($B$2=Таблица2[Филиал])*($B$3=Таблица2[ФЕР/ТЕР])*(F20=Таблица2[Наименование работ])*(G20=Таблица2[ТПиР/НСиР])*Таблица2[ПИР2012]))</f>
        <v>0</v>
      </c>
      <c r="AH20" s="63">
        <f>IF($B$4="в текущих ценах",T20*SUMPRODUCT(($B$2=Таблица2[Филиал])*($B$3=Таблица2[ФЕР/ТЕР])*(F20=Таблица2[Наименование работ])*(G20=Таблица2[ТПиР/НСиР])*Таблица2[СМР2012]),T20*SUMPRODUCT(($B$2=Таблица2[Филиал])*($B$3=Таблица2[ФЕР/ТЕР])*(F20=Таблица2[Наименование работ])*(G20=Таблица2[ТПиР/НСиР])*Таблица2[СМР2012]))</f>
        <v>0</v>
      </c>
      <c r="AI20" s="63">
        <f>IF($B$4="в текущих ценах",U20*SUMPRODUCT(($B$2=Таблица2[Филиал])*($B$3=Таблица2[ФЕР/ТЕР])*(F20=Таблица2[Наименование работ])*(G20=Таблица2[ТПиР/НСиР])*Таблица2[ПНР2012]),U20*SUMPRODUCT(($B$2=Таблица2[Филиал])*($B$3=Таблица2[ФЕР/ТЕР])*(F20=Таблица2[Наименование работ])*(G20=Таблица2[ТПиР/НСиР])*Таблица2[ПНР2012]))</f>
        <v>0</v>
      </c>
      <c r="AJ20" s="63">
        <f>IF($B$4="в текущих ценах",V20*SUMPRODUCT(($B$2=Таблица2[Филиал])*($B$3=Таблица2[ФЕР/ТЕР])*(F20=Таблица2[Наименование работ])*(G20=Таблица2[ТПиР/НСиР])*Таблица2[Оборудование2012]),V20*SUMPRODUCT(($B$2=Таблица2[Филиал])*($B$3=Таблица2[ФЕР/ТЕР])*(F20=Таблица2[Наименование работ])*(G20=Таблица2[ТПиР/НСиР])*Таблица2[Оборудование2012]))</f>
        <v>0</v>
      </c>
      <c r="AK20" s="63">
        <f>IF($B$4="в текущих ценах",W20*SUMPRODUCT(($B$2=Таблица2[Филиал])*($B$3=Таблица2[ФЕР/ТЕР])*(F20=Таблица2[Наименование работ])*(G20=Таблица2[ТПиР/НСиР])*Таблица2[Прочее2012]),W20*SUMPRODUCT(($B$2=Таблица2[Филиал])*($B$3=Таблица2[ФЕР/ТЕР])*(F20=Таблица2[Наименование работ])*(G20=Таблица2[ТПиР/НСиР])*Таблица2[Прочее2012]))</f>
        <v>0</v>
      </c>
      <c r="AL20" s="63">
        <f>данные!$X20+данные!$Y20+данные!$Z20+данные!$AA20+данные!$AB20</f>
        <v>0</v>
      </c>
      <c r="AM20" s="63">
        <v>1.03639035</v>
      </c>
      <c r="AN20" s="63">
        <v>1.0114049394</v>
      </c>
      <c r="AO20" s="63">
        <v>0.98210394336149998</v>
      </c>
      <c r="AP20" s="63">
        <v>0.93762413895893393</v>
      </c>
      <c r="AQ20" s="63"/>
      <c r="AR20" s="63"/>
      <c r="AS20" s="64"/>
      <c r="AU20" s="66">
        <f t="shared" si="5"/>
        <v>0</v>
      </c>
      <c r="AX20" s="66">
        <f t="shared" si="0"/>
        <v>0</v>
      </c>
      <c r="AY20" s="66">
        <f t="shared" si="1"/>
        <v>0</v>
      </c>
      <c r="AZ20" s="66">
        <f t="shared" si="2"/>
        <v>0</v>
      </c>
      <c r="BA20" s="66">
        <f t="shared" si="3"/>
        <v>0</v>
      </c>
      <c r="BB20" s="66">
        <f t="shared" si="4"/>
        <v>0</v>
      </c>
    </row>
    <row r="21" spans="4:54" x14ac:dyDescent="0.25">
      <c r="D21" s="62">
        <f>калькулятор!C25</f>
        <v>0</v>
      </c>
      <c r="E21" s="62">
        <f>калькулятор!F25</f>
        <v>0</v>
      </c>
      <c r="F21" s="62">
        <f>калькулятор!G25</f>
        <v>0</v>
      </c>
      <c r="G21" s="62">
        <f>калькулятор!H25</f>
        <v>0</v>
      </c>
      <c r="H21" s="62">
        <f>калькулятор!I25</f>
        <v>0</v>
      </c>
      <c r="I21" s="63">
        <f>S21*SUMPRODUCT(($B$2=Таблица2[Филиал])*($B$3=Таблица2[ФЕР/ТЕР])*(F21=Таблица2[Наименование работ])*(G21=Таблица2[ТПиР/НСиР])*Таблица2[ПИР2010])</f>
        <v>0</v>
      </c>
      <c r="J21" s="63">
        <f>T21*SUMPRODUCT(($B$2=Таблица2[Филиал])*($B$3=Таблица2[ФЕР/ТЕР])*(F21=Таблица2[Наименование работ])*(G21=Таблица2[ТПиР/НСиР])*Таблица2[СМР2010])</f>
        <v>0</v>
      </c>
      <c r="K21" s="63">
        <f>U21*SUMPRODUCT(($B$2=Таблица2[Филиал])*($B$3=Таблица2[ФЕР/ТЕР])*(F21=Таблица2[Наименование работ])*(G21=Таблица2[ТПиР/НСиР])*Таблица2[ПНР2010])</f>
        <v>0</v>
      </c>
      <c r="L21" s="63">
        <f>V21*SUMPRODUCT(($B$2=Таблица2[Филиал])*($B$3=Таблица2[ФЕР/ТЕР])*(F21=Таблица2[Наименование работ])*(G21=Таблица2[ТПиР/НСиР])*Таблица2[Оборудование2010])</f>
        <v>0</v>
      </c>
      <c r="M21" s="63">
        <f>W21*SUMPRODUCT(($B$2=Таблица2[Филиал])*($B$3=Таблица2[ФЕР/ТЕР])*(F21=Таблица2[Наименование работ])*(G21=Таблица2[ТПиР/НСиР])*Таблица2[Прочие2010])</f>
        <v>0</v>
      </c>
      <c r="N21" s="63">
        <f>S21*SUMPRODUCT(($B$2=Таблица2[Филиал])*($B$3=Таблица2[ФЕР/ТЕР])*(F21=Таблица2[Наименование работ])*(G21=Таблица2[ТПиР/НСиР])*Таблица2[ПИР2013-10])</f>
        <v>0</v>
      </c>
      <c r="O21" s="63">
        <f>T21*SUMPRODUCT(($B$2=Таблица2[Филиал])*($B$3=Таблица2[ФЕР/ТЕР])*(F21=Таблица2[Наименование работ])*(G21=Таблица2[ТПиР/НСиР])*Таблица2[СМР2013-10])</f>
        <v>0</v>
      </c>
      <c r="P21" s="63">
        <f>U21*SUMPRODUCT(($B$2=Таблица2[Филиал])*($B$3=Таблица2[ФЕР/ТЕР])*(F21=Таблица2[Наименование работ])*(G21=Таблица2[ТПиР/НСиР])*Таблица2[ПНР2013-10])</f>
        <v>0</v>
      </c>
      <c r="Q21" s="63">
        <f>V21*SUMPRODUCT(($B$2=Таблица2[Филиал])*($B$3=Таблица2[ФЕР/ТЕР])*(F21=Таблица2[Наименование работ])*(G21=Таблица2[ТПиР/НСиР])*Таблица2[Оборудование2013-10])</f>
        <v>0</v>
      </c>
      <c r="R21" s="63">
        <f>W21*SUMPRODUCT(($B$2=Таблица2[Филиал])*($B$3=Таблица2[ФЕР/ТЕР])*(F21=Таблица2[Наименование работ])*(G21=Таблица2[ТПиР/НСиР])*Таблица2[Прочие2013-10])</f>
        <v>0</v>
      </c>
      <c r="S21" s="63">
        <f>IF($B$4="в базовых ценах",калькулятор!J25,X21*SUMPRODUCT(($B$2=Таблица2[Филиал])*($B$3=Таблица2[ФЕР/ТЕР])*(F21=Таблица2[Наименование работ])*(G21=Таблица2[ТПиР/НСиР])/Таблица2[ПИР2013]))</f>
        <v>0</v>
      </c>
      <c r="T21" s="63">
        <f>IF($B$4="в базовых ценах",калькулятор!K25,Y21*SUMPRODUCT(($B$2=Таблица2[Филиал])*($B$3=Таблица2[ФЕР/ТЕР])*(F21=Таблица2[Наименование работ])*(G21=Таблица2[ТПиР/НСиР])/Таблица2[СМР2013]))</f>
        <v>0</v>
      </c>
      <c r="U21" s="63">
        <f>IF($B$4="в базовых ценах",калькулятор!L25,Z21*SUMPRODUCT(($B$2=Таблица2[Филиал])*($B$3=Таблица2[ФЕР/ТЕР])*(F21=Таблица2[Наименование работ])*(G21=Таблица2[ТПиР/НСиР])/Таблица2[ПНР2013]))</f>
        <v>0</v>
      </c>
      <c r="V21" s="63">
        <f>IF($B$4="в базовых ценах",калькулятор!M25,AA21*SUMPRODUCT(($B$2=Таблица2[Филиал])*($B$3=Таблица2[ФЕР/ТЕР])*(F21=Таблица2[Наименование работ])*(G21=Таблица2[ТПиР/НСиР])/Таблица2[Оборудование2013]))</f>
        <v>0</v>
      </c>
      <c r="W21" s="63">
        <f>IF($B$4="в базовых ценах",калькулятор!N25,AB21*SUMPRODUCT(($B$2=Таблица2[Филиал])*($B$3=Таблица2[ФЕР/ТЕР])*(F21=Таблица2[Наименование работ])*(G21=Таблица2[ТПиР/НСиР])/Таблица2[Прочие3]))</f>
        <v>0</v>
      </c>
      <c r="X21" s="63">
        <f>IF($B$4="в текущих ценах",калькулятор!J25,S21*SUMPRODUCT(($B$2=Таблица2[Филиал])*($B$3=Таблица2[ФЕР/ТЕР])*(F21=Таблица2[Наименование работ])*(G21=Таблица2[ТПиР/НСиР])*Таблица2[ПИР2013]))</f>
        <v>0</v>
      </c>
      <c r="Y21" s="63">
        <f>IF($B$4="в текущих ценах",калькулятор!K25,T21*SUMPRODUCT(($B$2=Таблица2[Филиал])*($B$3=Таблица2[ФЕР/ТЕР])*(F21=Таблица2[Наименование работ])*(G21=Таблица2[ТПиР/НСиР])*Таблица2[СМР2013]))</f>
        <v>0</v>
      </c>
      <c r="Z21" s="63">
        <f>IF($B$4="в текущих ценах",калькулятор!L25,U21*SUMPRODUCT(($B$2=Таблица2[Филиал])*($B$3=Таблица2[ФЕР/ТЕР])*(F21=Таблица2[Наименование работ])*(G21=Таблица2[ТПиР/НСиР])*Таблица2[ПНР2013]))</f>
        <v>0</v>
      </c>
      <c r="AA21" s="63">
        <f>IF($B$4="в текущих ценах",калькулятор!M25,V21*SUMPRODUCT(($B$2=Таблица2[Филиал])*($B$3=Таблица2[ФЕР/ТЕР])*(F21=Таблица2[Наименование работ])*(G21=Таблица2[ТПиР/НСиР])*Таблица2[Оборудование2013]))</f>
        <v>0</v>
      </c>
      <c r="AB21" s="63">
        <f>IF($B$4="в текущих ценах",калькулятор!N25,W21*SUMPRODUCT(($B$2=Таблица2[Филиал])*($B$3=Таблица2[ФЕР/ТЕР])*(F21=Таблица2[Наименование работ])*(G21=Таблица2[ТПиР/НСиР])*Таблица2[Прочие3]))</f>
        <v>0</v>
      </c>
      <c r="AC21" s="63">
        <f>SUM(данные!$I21:$M21)</f>
        <v>0</v>
      </c>
      <c r="AD21" s="63">
        <f>IF(SUM(данные!$N21:$R21)&gt;данные!$AF21,данные!$AF21*0.9*1.058,SUM(данные!$N21:$R21))</f>
        <v>0</v>
      </c>
      <c r="AE21" s="63">
        <f>SUM(данные!$S21:$W21)</f>
        <v>0</v>
      </c>
      <c r="AF21" s="63">
        <f>SUM(данные!$X21:$AB21)</f>
        <v>0</v>
      </c>
      <c r="AG21" s="63">
        <f>IF($B$4="в текущих ценах",S21*SUMPRODUCT(($B$2=Таблица2[Филиал])*($B$3=Таблица2[ФЕР/ТЕР])*(F21=Таблица2[Наименование работ])*(G21=Таблица2[ТПиР/НСиР])*Таблица2[ПИР2012]),S21*SUMPRODUCT(($B$2=Таблица2[Филиал])*($B$3=Таблица2[ФЕР/ТЕР])*(F21=Таблица2[Наименование работ])*(G21=Таблица2[ТПиР/НСиР])*Таблица2[ПИР2012]))</f>
        <v>0</v>
      </c>
      <c r="AH21" s="63">
        <f>IF($B$4="в текущих ценах",T21*SUMPRODUCT(($B$2=Таблица2[Филиал])*($B$3=Таблица2[ФЕР/ТЕР])*(F21=Таблица2[Наименование работ])*(G21=Таблица2[ТПиР/НСиР])*Таблица2[СМР2012]),T21*SUMPRODUCT(($B$2=Таблица2[Филиал])*($B$3=Таблица2[ФЕР/ТЕР])*(F21=Таблица2[Наименование работ])*(G21=Таблица2[ТПиР/НСиР])*Таблица2[СМР2012]))</f>
        <v>0</v>
      </c>
      <c r="AI21" s="63">
        <f>IF($B$4="в текущих ценах",U21*SUMPRODUCT(($B$2=Таблица2[Филиал])*($B$3=Таблица2[ФЕР/ТЕР])*(F21=Таблица2[Наименование работ])*(G21=Таблица2[ТПиР/НСиР])*Таблица2[ПНР2012]),U21*SUMPRODUCT(($B$2=Таблица2[Филиал])*($B$3=Таблица2[ФЕР/ТЕР])*(F21=Таблица2[Наименование работ])*(G21=Таблица2[ТПиР/НСиР])*Таблица2[ПНР2012]))</f>
        <v>0</v>
      </c>
      <c r="AJ21" s="63">
        <f>IF($B$4="в текущих ценах",V21*SUMPRODUCT(($B$2=Таблица2[Филиал])*($B$3=Таблица2[ФЕР/ТЕР])*(F21=Таблица2[Наименование работ])*(G21=Таблица2[ТПиР/НСиР])*Таблица2[Оборудование2012]),V21*SUMPRODUCT(($B$2=Таблица2[Филиал])*($B$3=Таблица2[ФЕР/ТЕР])*(F21=Таблица2[Наименование работ])*(G21=Таблица2[ТПиР/НСиР])*Таблица2[Оборудование2012]))</f>
        <v>0</v>
      </c>
      <c r="AK21" s="63">
        <f>IF($B$4="в текущих ценах",W21*SUMPRODUCT(($B$2=Таблица2[Филиал])*($B$3=Таблица2[ФЕР/ТЕР])*(F21=Таблица2[Наименование работ])*(G21=Таблица2[ТПиР/НСиР])*Таблица2[Прочее2012]),W21*SUMPRODUCT(($B$2=Таблица2[Филиал])*($B$3=Таблица2[ФЕР/ТЕР])*(F21=Таблица2[Наименование работ])*(G21=Таблица2[ТПиР/НСиР])*Таблица2[Прочее2012]))</f>
        <v>0</v>
      </c>
      <c r="AL21" s="63">
        <f>данные!$X21+данные!$Y21+данные!$Z21+данные!$AA21+данные!$AB21</f>
        <v>0</v>
      </c>
      <c r="AM21" s="63">
        <v>1.03639035</v>
      </c>
      <c r="AN21" s="63">
        <v>1.0114049394</v>
      </c>
      <c r="AO21" s="63">
        <v>0.98210394336149998</v>
      </c>
      <c r="AP21" s="63">
        <v>0.93762413895893393</v>
      </c>
      <c r="AQ21" s="63"/>
      <c r="AR21" s="63"/>
      <c r="AS21" s="64"/>
      <c r="AU21" s="66">
        <f t="shared" si="5"/>
        <v>0</v>
      </c>
      <c r="AX21" s="66">
        <f t="shared" si="0"/>
        <v>0</v>
      </c>
      <c r="AY21" s="66">
        <f t="shared" si="1"/>
        <v>0</v>
      </c>
      <c r="AZ21" s="66">
        <f t="shared" si="2"/>
        <v>0</v>
      </c>
      <c r="BA21" s="66">
        <f t="shared" si="3"/>
        <v>0</v>
      </c>
      <c r="BB21" s="66">
        <f t="shared" si="4"/>
        <v>0</v>
      </c>
    </row>
    <row r="22" spans="4:54" x14ac:dyDescent="0.25">
      <c r="D22" s="62">
        <f>калькулятор!C26</f>
        <v>0</v>
      </c>
      <c r="E22" s="62">
        <f>калькулятор!F26</f>
        <v>0</v>
      </c>
      <c r="F22" s="62">
        <f>калькулятор!G26</f>
        <v>0</v>
      </c>
      <c r="G22" s="62">
        <f>калькулятор!H26</f>
        <v>0</v>
      </c>
      <c r="H22" s="62">
        <f>калькулятор!I26</f>
        <v>0</v>
      </c>
      <c r="I22" s="63">
        <f>S22*SUMPRODUCT(($B$2=Таблица2[Филиал])*($B$3=Таблица2[ФЕР/ТЕР])*(F22=Таблица2[Наименование работ])*(G22=Таблица2[ТПиР/НСиР])*Таблица2[ПИР2010])</f>
        <v>0</v>
      </c>
      <c r="J22" s="63">
        <f>T22*SUMPRODUCT(($B$2=Таблица2[Филиал])*($B$3=Таблица2[ФЕР/ТЕР])*(F22=Таблица2[Наименование работ])*(G22=Таблица2[ТПиР/НСиР])*Таблица2[СМР2010])</f>
        <v>0</v>
      </c>
      <c r="K22" s="63">
        <f>U22*SUMPRODUCT(($B$2=Таблица2[Филиал])*($B$3=Таблица2[ФЕР/ТЕР])*(F22=Таблица2[Наименование работ])*(G22=Таблица2[ТПиР/НСиР])*Таблица2[ПНР2010])</f>
        <v>0</v>
      </c>
      <c r="L22" s="63">
        <f>V22*SUMPRODUCT(($B$2=Таблица2[Филиал])*($B$3=Таблица2[ФЕР/ТЕР])*(F22=Таблица2[Наименование работ])*(G22=Таблица2[ТПиР/НСиР])*Таблица2[Оборудование2010])</f>
        <v>0</v>
      </c>
      <c r="M22" s="63">
        <f>W22*SUMPRODUCT(($B$2=Таблица2[Филиал])*($B$3=Таблица2[ФЕР/ТЕР])*(F22=Таблица2[Наименование работ])*(G22=Таблица2[ТПиР/НСиР])*Таблица2[Прочие2010])</f>
        <v>0</v>
      </c>
      <c r="N22" s="63">
        <f>S22*SUMPRODUCT(($B$2=Таблица2[Филиал])*($B$3=Таблица2[ФЕР/ТЕР])*(F22=Таблица2[Наименование работ])*(G22=Таблица2[ТПиР/НСиР])*Таблица2[ПИР2013-10])</f>
        <v>0</v>
      </c>
      <c r="O22" s="63">
        <f>T22*SUMPRODUCT(($B$2=Таблица2[Филиал])*($B$3=Таблица2[ФЕР/ТЕР])*(F22=Таблица2[Наименование работ])*(G22=Таблица2[ТПиР/НСиР])*Таблица2[СМР2013-10])</f>
        <v>0</v>
      </c>
      <c r="P22" s="63">
        <f>U22*SUMPRODUCT(($B$2=Таблица2[Филиал])*($B$3=Таблица2[ФЕР/ТЕР])*(F22=Таблица2[Наименование работ])*(G22=Таблица2[ТПиР/НСиР])*Таблица2[ПНР2013-10])</f>
        <v>0</v>
      </c>
      <c r="Q22" s="63">
        <f>V22*SUMPRODUCT(($B$2=Таблица2[Филиал])*($B$3=Таблица2[ФЕР/ТЕР])*(F22=Таблица2[Наименование работ])*(G22=Таблица2[ТПиР/НСиР])*Таблица2[Оборудование2013-10])</f>
        <v>0</v>
      </c>
      <c r="R22" s="63">
        <f>W22*SUMPRODUCT(($B$2=Таблица2[Филиал])*($B$3=Таблица2[ФЕР/ТЕР])*(F22=Таблица2[Наименование работ])*(G22=Таблица2[ТПиР/НСиР])*Таблица2[Прочие2013-10])</f>
        <v>0</v>
      </c>
      <c r="S22" s="63">
        <f>IF($B$4="в базовых ценах",калькулятор!J26,X22*SUMPRODUCT(($B$2=Таблица2[Филиал])*($B$3=Таблица2[ФЕР/ТЕР])*(F22=Таблица2[Наименование работ])*(G22=Таблица2[ТПиР/НСиР])/Таблица2[ПИР2013]))</f>
        <v>0</v>
      </c>
      <c r="T22" s="63">
        <f>IF($B$4="в базовых ценах",калькулятор!K26,Y22*SUMPRODUCT(($B$2=Таблица2[Филиал])*($B$3=Таблица2[ФЕР/ТЕР])*(F22=Таблица2[Наименование работ])*(G22=Таблица2[ТПиР/НСиР])/Таблица2[СМР2013]))</f>
        <v>0</v>
      </c>
      <c r="U22" s="63">
        <f>IF($B$4="в базовых ценах",калькулятор!L26,Z22*SUMPRODUCT(($B$2=Таблица2[Филиал])*($B$3=Таблица2[ФЕР/ТЕР])*(F22=Таблица2[Наименование работ])*(G22=Таблица2[ТПиР/НСиР])/Таблица2[ПНР2013]))</f>
        <v>0</v>
      </c>
      <c r="V22" s="63">
        <f>IF($B$4="в базовых ценах",калькулятор!M26,AA22*SUMPRODUCT(($B$2=Таблица2[Филиал])*($B$3=Таблица2[ФЕР/ТЕР])*(F22=Таблица2[Наименование работ])*(G22=Таблица2[ТПиР/НСиР])/Таблица2[Оборудование2013]))</f>
        <v>0</v>
      </c>
      <c r="W22" s="63">
        <f>IF($B$4="в базовых ценах",калькулятор!N26,AB22*SUMPRODUCT(($B$2=Таблица2[Филиал])*($B$3=Таблица2[ФЕР/ТЕР])*(F22=Таблица2[Наименование работ])*(G22=Таблица2[ТПиР/НСиР])/Таблица2[Прочие3]))</f>
        <v>0</v>
      </c>
      <c r="X22" s="63">
        <f>IF($B$4="в текущих ценах",калькулятор!J26,S22*SUMPRODUCT(($B$2=Таблица2[Филиал])*($B$3=Таблица2[ФЕР/ТЕР])*(F22=Таблица2[Наименование работ])*(G22=Таблица2[ТПиР/НСиР])*Таблица2[ПИР2013]))</f>
        <v>0</v>
      </c>
      <c r="Y22" s="63">
        <f>IF($B$4="в текущих ценах",калькулятор!K26,T22*SUMPRODUCT(($B$2=Таблица2[Филиал])*($B$3=Таблица2[ФЕР/ТЕР])*(F22=Таблица2[Наименование работ])*(G22=Таблица2[ТПиР/НСиР])*Таблица2[СМР2013]))</f>
        <v>0</v>
      </c>
      <c r="Z22" s="63">
        <f>IF($B$4="в текущих ценах",калькулятор!L26,U22*SUMPRODUCT(($B$2=Таблица2[Филиал])*($B$3=Таблица2[ФЕР/ТЕР])*(F22=Таблица2[Наименование работ])*(G22=Таблица2[ТПиР/НСиР])*Таблица2[ПНР2013]))</f>
        <v>0</v>
      </c>
      <c r="AA22" s="63">
        <f>IF($B$4="в текущих ценах",калькулятор!M26,V22*SUMPRODUCT(($B$2=Таблица2[Филиал])*($B$3=Таблица2[ФЕР/ТЕР])*(F22=Таблица2[Наименование работ])*(G22=Таблица2[ТПиР/НСиР])*Таблица2[Оборудование2013]))</f>
        <v>0</v>
      </c>
      <c r="AB22" s="63">
        <f>IF($B$4="в текущих ценах",калькулятор!N26,W22*SUMPRODUCT(($B$2=Таблица2[Филиал])*($B$3=Таблица2[ФЕР/ТЕР])*(F22=Таблица2[Наименование работ])*(G22=Таблица2[ТПиР/НСиР])*Таблица2[Прочие3]))</f>
        <v>0</v>
      </c>
      <c r="AC22" s="63">
        <f>SUM(данные!$I22:$M22)</f>
        <v>0</v>
      </c>
      <c r="AD22" s="63">
        <f>IF(SUM(данные!$N22:$R22)&gt;данные!$AF22,данные!$AF22*0.9*1.058,SUM(данные!$N22:$R22))</f>
        <v>0</v>
      </c>
      <c r="AE22" s="63">
        <f>SUM(данные!$S22:$W22)</f>
        <v>0</v>
      </c>
      <c r="AF22" s="63">
        <f>SUM(данные!$X22:$AB22)</f>
        <v>0</v>
      </c>
      <c r="AG22" s="63">
        <f>IF($B$4="в текущих ценах",S22*SUMPRODUCT(($B$2=Таблица2[Филиал])*($B$3=Таблица2[ФЕР/ТЕР])*(F22=Таблица2[Наименование работ])*(G22=Таблица2[ТПиР/НСиР])*Таблица2[ПИР2012]),S22*SUMPRODUCT(($B$2=Таблица2[Филиал])*($B$3=Таблица2[ФЕР/ТЕР])*(F22=Таблица2[Наименование работ])*(G22=Таблица2[ТПиР/НСиР])*Таблица2[ПИР2012]))</f>
        <v>0</v>
      </c>
      <c r="AH22" s="63">
        <f>IF($B$4="в текущих ценах",T22*SUMPRODUCT(($B$2=Таблица2[Филиал])*($B$3=Таблица2[ФЕР/ТЕР])*(F22=Таблица2[Наименование работ])*(G22=Таблица2[ТПиР/НСиР])*Таблица2[СМР2012]),T22*SUMPRODUCT(($B$2=Таблица2[Филиал])*($B$3=Таблица2[ФЕР/ТЕР])*(F22=Таблица2[Наименование работ])*(G22=Таблица2[ТПиР/НСиР])*Таблица2[СМР2012]))</f>
        <v>0</v>
      </c>
      <c r="AI22" s="63">
        <f>IF($B$4="в текущих ценах",U22*SUMPRODUCT(($B$2=Таблица2[Филиал])*($B$3=Таблица2[ФЕР/ТЕР])*(F22=Таблица2[Наименование работ])*(G22=Таблица2[ТПиР/НСиР])*Таблица2[ПНР2012]),U22*SUMPRODUCT(($B$2=Таблица2[Филиал])*($B$3=Таблица2[ФЕР/ТЕР])*(F22=Таблица2[Наименование работ])*(G22=Таблица2[ТПиР/НСиР])*Таблица2[ПНР2012]))</f>
        <v>0</v>
      </c>
      <c r="AJ22" s="63">
        <f>IF($B$4="в текущих ценах",V22*SUMPRODUCT(($B$2=Таблица2[Филиал])*($B$3=Таблица2[ФЕР/ТЕР])*(F22=Таблица2[Наименование работ])*(G22=Таблица2[ТПиР/НСиР])*Таблица2[Оборудование2012]),V22*SUMPRODUCT(($B$2=Таблица2[Филиал])*($B$3=Таблица2[ФЕР/ТЕР])*(F22=Таблица2[Наименование работ])*(G22=Таблица2[ТПиР/НСиР])*Таблица2[Оборудование2012]))</f>
        <v>0</v>
      </c>
      <c r="AK22" s="63">
        <f>IF($B$4="в текущих ценах",W22*SUMPRODUCT(($B$2=Таблица2[Филиал])*($B$3=Таблица2[ФЕР/ТЕР])*(F22=Таблица2[Наименование работ])*(G22=Таблица2[ТПиР/НСиР])*Таблица2[Прочее2012]),W22*SUMPRODUCT(($B$2=Таблица2[Филиал])*($B$3=Таблица2[ФЕР/ТЕР])*(F22=Таблица2[Наименование работ])*(G22=Таблица2[ТПиР/НСиР])*Таблица2[Прочее2012]))</f>
        <v>0</v>
      </c>
      <c r="AL22" s="63">
        <f>данные!$X22+данные!$Y22+данные!$Z22+данные!$AA22+данные!$AB22</f>
        <v>0</v>
      </c>
      <c r="AM22" s="63">
        <v>1.03639035</v>
      </c>
      <c r="AN22" s="63">
        <v>1.0114049394</v>
      </c>
      <c r="AO22" s="63">
        <v>0.98210394336149998</v>
      </c>
      <c r="AP22" s="63">
        <v>0.93762413895893393</v>
      </c>
      <c r="AQ22" s="63"/>
      <c r="AR22" s="63"/>
      <c r="AS22" s="64"/>
      <c r="AU22" s="66">
        <f t="shared" si="5"/>
        <v>0</v>
      </c>
      <c r="AX22" s="66">
        <f t="shared" si="0"/>
        <v>0</v>
      </c>
      <c r="AY22" s="66">
        <f t="shared" si="1"/>
        <v>0</v>
      </c>
      <c r="AZ22" s="66">
        <f t="shared" si="2"/>
        <v>0</v>
      </c>
      <c r="BA22" s="66">
        <f t="shared" si="3"/>
        <v>0</v>
      </c>
      <c r="BB22" s="66">
        <f t="shared" si="4"/>
        <v>0</v>
      </c>
    </row>
    <row r="23" spans="4:54" x14ac:dyDescent="0.25">
      <c r="D23" s="62">
        <f>калькулятор!C27</f>
        <v>0</v>
      </c>
      <c r="E23" s="62">
        <f>калькулятор!F27</f>
        <v>0</v>
      </c>
      <c r="F23" s="62">
        <f>калькулятор!G27</f>
        <v>0</v>
      </c>
      <c r="G23" s="62">
        <f>калькулятор!H27</f>
        <v>0</v>
      </c>
      <c r="H23" s="62">
        <f>калькулятор!I27</f>
        <v>0</v>
      </c>
      <c r="I23" s="63">
        <f>S23*SUMPRODUCT(($B$2=Таблица2[Филиал])*($B$3=Таблица2[ФЕР/ТЕР])*(F23=Таблица2[Наименование работ])*(G23=Таблица2[ТПиР/НСиР])*Таблица2[ПИР2010])</f>
        <v>0</v>
      </c>
      <c r="J23" s="63">
        <f>T23*SUMPRODUCT(($B$2=Таблица2[Филиал])*($B$3=Таблица2[ФЕР/ТЕР])*(F23=Таблица2[Наименование работ])*(G23=Таблица2[ТПиР/НСиР])*Таблица2[СМР2010])</f>
        <v>0</v>
      </c>
      <c r="K23" s="63">
        <f>U23*SUMPRODUCT(($B$2=Таблица2[Филиал])*($B$3=Таблица2[ФЕР/ТЕР])*(F23=Таблица2[Наименование работ])*(G23=Таблица2[ТПиР/НСиР])*Таблица2[ПНР2010])</f>
        <v>0</v>
      </c>
      <c r="L23" s="63">
        <f>V23*SUMPRODUCT(($B$2=Таблица2[Филиал])*($B$3=Таблица2[ФЕР/ТЕР])*(F23=Таблица2[Наименование работ])*(G23=Таблица2[ТПиР/НСиР])*Таблица2[Оборудование2010])</f>
        <v>0</v>
      </c>
      <c r="M23" s="63">
        <f>W23*SUMPRODUCT(($B$2=Таблица2[Филиал])*($B$3=Таблица2[ФЕР/ТЕР])*(F23=Таблица2[Наименование работ])*(G23=Таблица2[ТПиР/НСиР])*Таблица2[Прочие2010])</f>
        <v>0</v>
      </c>
      <c r="N23" s="63">
        <f>S23*SUMPRODUCT(($B$2=Таблица2[Филиал])*($B$3=Таблица2[ФЕР/ТЕР])*(F23=Таблица2[Наименование работ])*(G23=Таблица2[ТПиР/НСиР])*Таблица2[ПИР2013-10])</f>
        <v>0</v>
      </c>
      <c r="O23" s="63">
        <f>T23*SUMPRODUCT(($B$2=Таблица2[Филиал])*($B$3=Таблица2[ФЕР/ТЕР])*(F23=Таблица2[Наименование работ])*(G23=Таблица2[ТПиР/НСиР])*Таблица2[СМР2013-10])</f>
        <v>0</v>
      </c>
      <c r="P23" s="63">
        <f>U23*SUMPRODUCT(($B$2=Таблица2[Филиал])*($B$3=Таблица2[ФЕР/ТЕР])*(F23=Таблица2[Наименование работ])*(G23=Таблица2[ТПиР/НСиР])*Таблица2[ПНР2013-10])</f>
        <v>0</v>
      </c>
      <c r="Q23" s="63">
        <f>V23*SUMPRODUCT(($B$2=Таблица2[Филиал])*($B$3=Таблица2[ФЕР/ТЕР])*(F23=Таблица2[Наименование работ])*(G23=Таблица2[ТПиР/НСиР])*Таблица2[Оборудование2013-10])</f>
        <v>0</v>
      </c>
      <c r="R23" s="63">
        <f>W23*SUMPRODUCT(($B$2=Таблица2[Филиал])*($B$3=Таблица2[ФЕР/ТЕР])*(F23=Таблица2[Наименование работ])*(G23=Таблица2[ТПиР/НСиР])*Таблица2[Прочие2013-10])</f>
        <v>0</v>
      </c>
      <c r="S23" s="63">
        <f>IF($B$4="в базовых ценах",калькулятор!J27,X23*SUMPRODUCT(($B$2=Таблица2[Филиал])*($B$3=Таблица2[ФЕР/ТЕР])*(F23=Таблица2[Наименование работ])*(G23=Таблица2[ТПиР/НСиР])/Таблица2[ПИР2013]))</f>
        <v>0</v>
      </c>
      <c r="T23" s="63">
        <f>IF($B$4="в базовых ценах",калькулятор!K27,Y23*SUMPRODUCT(($B$2=Таблица2[Филиал])*($B$3=Таблица2[ФЕР/ТЕР])*(F23=Таблица2[Наименование работ])*(G23=Таблица2[ТПиР/НСиР])/Таблица2[СМР2013]))</f>
        <v>0</v>
      </c>
      <c r="U23" s="63">
        <f>IF($B$4="в базовых ценах",калькулятор!L27,Z23*SUMPRODUCT(($B$2=Таблица2[Филиал])*($B$3=Таблица2[ФЕР/ТЕР])*(F23=Таблица2[Наименование работ])*(G23=Таблица2[ТПиР/НСиР])/Таблица2[ПНР2013]))</f>
        <v>0</v>
      </c>
      <c r="V23" s="63">
        <f>IF($B$4="в базовых ценах",калькулятор!M27,AA23*SUMPRODUCT(($B$2=Таблица2[Филиал])*($B$3=Таблица2[ФЕР/ТЕР])*(F23=Таблица2[Наименование работ])*(G23=Таблица2[ТПиР/НСиР])/Таблица2[Оборудование2013]))</f>
        <v>0</v>
      </c>
      <c r="W23" s="63">
        <f>IF($B$4="в базовых ценах",калькулятор!N27,AB23*SUMPRODUCT(($B$2=Таблица2[Филиал])*($B$3=Таблица2[ФЕР/ТЕР])*(F23=Таблица2[Наименование работ])*(G23=Таблица2[ТПиР/НСиР])/Таблица2[Прочие3]))</f>
        <v>0</v>
      </c>
      <c r="X23" s="63">
        <f>IF($B$4="в текущих ценах",калькулятор!J27,S23*SUMPRODUCT(($B$2=Таблица2[Филиал])*($B$3=Таблица2[ФЕР/ТЕР])*(F23=Таблица2[Наименование работ])*(G23=Таблица2[ТПиР/НСиР])*Таблица2[ПИР2013]))</f>
        <v>0</v>
      </c>
      <c r="Y23" s="63">
        <f>IF($B$4="в текущих ценах",калькулятор!K27,T23*SUMPRODUCT(($B$2=Таблица2[Филиал])*($B$3=Таблица2[ФЕР/ТЕР])*(F23=Таблица2[Наименование работ])*(G23=Таблица2[ТПиР/НСиР])*Таблица2[СМР2013]))</f>
        <v>0</v>
      </c>
      <c r="Z23" s="63">
        <f>IF($B$4="в текущих ценах",калькулятор!L27,U23*SUMPRODUCT(($B$2=Таблица2[Филиал])*($B$3=Таблица2[ФЕР/ТЕР])*(F23=Таблица2[Наименование работ])*(G23=Таблица2[ТПиР/НСиР])*Таблица2[ПНР2013]))</f>
        <v>0</v>
      </c>
      <c r="AA23" s="63">
        <f>IF($B$4="в текущих ценах",калькулятор!M27,V23*SUMPRODUCT(($B$2=Таблица2[Филиал])*($B$3=Таблица2[ФЕР/ТЕР])*(F23=Таблица2[Наименование работ])*(G23=Таблица2[ТПиР/НСиР])*Таблица2[Оборудование2013]))</f>
        <v>0</v>
      </c>
      <c r="AB23" s="63">
        <f>IF($B$4="в текущих ценах",калькулятор!N27,W23*SUMPRODUCT(($B$2=Таблица2[Филиал])*($B$3=Таблица2[ФЕР/ТЕР])*(F23=Таблица2[Наименование работ])*(G23=Таблица2[ТПиР/НСиР])*Таблица2[Прочие3]))</f>
        <v>0</v>
      </c>
      <c r="AC23" s="63">
        <f>SUM(данные!$I23:$M23)</f>
        <v>0</v>
      </c>
      <c r="AD23" s="63">
        <f>IF(SUM(данные!$N23:$R23)&gt;данные!$AF23,данные!$AF23*0.9*1.058,SUM(данные!$N23:$R23))</f>
        <v>0</v>
      </c>
      <c r="AE23" s="63">
        <f>SUM(данные!$S23:$W23)</f>
        <v>0</v>
      </c>
      <c r="AF23" s="63">
        <f>SUM(данные!$X23:$AB23)</f>
        <v>0</v>
      </c>
      <c r="AG23" s="63">
        <f>IF($B$4="в текущих ценах",S23*SUMPRODUCT(($B$2=Таблица2[Филиал])*($B$3=Таблица2[ФЕР/ТЕР])*(F23=Таблица2[Наименование работ])*(G23=Таблица2[ТПиР/НСиР])*Таблица2[ПИР2012]),S23*SUMPRODUCT(($B$2=Таблица2[Филиал])*($B$3=Таблица2[ФЕР/ТЕР])*(F23=Таблица2[Наименование работ])*(G23=Таблица2[ТПиР/НСиР])*Таблица2[ПИР2012]))</f>
        <v>0</v>
      </c>
      <c r="AH23" s="63">
        <f>IF($B$4="в текущих ценах",T23*SUMPRODUCT(($B$2=Таблица2[Филиал])*($B$3=Таблица2[ФЕР/ТЕР])*(F23=Таблица2[Наименование работ])*(G23=Таблица2[ТПиР/НСиР])*Таблица2[СМР2012]),T23*SUMPRODUCT(($B$2=Таблица2[Филиал])*($B$3=Таблица2[ФЕР/ТЕР])*(F23=Таблица2[Наименование работ])*(G23=Таблица2[ТПиР/НСиР])*Таблица2[СМР2012]))</f>
        <v>0</v>
      </c>
      <c r="AI23" s="63">
        <f>IF($B$4="в текущих ценах",U23*SUMPRODUCT(($B$2=Таблица2[Филиал])*($B$3=Таблица2[ФЕР/ТЕР])*(F23=Таблица2[Наименование работ])*(G23=Таблица2[ТПиР/НСиР])*Таблица2[ПНР2012]),U23*SUMPRODUCT(($B$2=Таблица2[Филиал])*($B$3=Таблица2[ФЕР/ТЕР])*(F23=Таблица2[Наименование работ])*(G23=Таблица2[ТПиР/НСиР])*Таблица2[ПНР2012]))</f>
        <v>0</v>
      </c>
      <c r="AJ23" s="63">
        <f>IF($B$4="в текущих ценах",V23*SUMPRODUCT(($B$2=Таблица2[Филиал])*($B$3=Таблица2[ФЕР/ТЕР])*(F23=Таблица2[Наименование работ])*(G23=Таблица2[ТПиР/НСиР])*Таблица2[Оборудование2012]),V23*SUMPRODUCT(($B$2=Таблица2[Филиал])*($B$3=Таблица2[ФЕР/ТЕР])*(F23=Таблица2[Наименование работ])*(G23=Таблица2[ТПиР/НСиР])*Таблица2[Оборудование2012]))</f>
        <v>0</v>
      </c>
      <c r="AK23" s="63">
        <f>IF($B$4="в текущих ценах",W23*SUMPRODUCT(($B$2=Таблица2[Филиал])*($B$3=Таблица2[ФЕР/ТЕР])*(F23=Таблица2[Наименование работ])*(G23=Таблица2[ТПиР/НСиР])*Таблица2[Прочее2012]),W23*SUMPRODUCT(($B$2=Таблица2[Филиал])*($B$3=Таблица2[ФЕР/ТЕР])*(F23=Таблица2[Наименование работ])*(G23=Таблица2[ТПиР/НСиР])*Таблица2[Прочее2012]))</f>
        <v>0</v>
      </c>
      <c r="AL23" s="63">
        <f>данные!$X23+данные!$Y23+данные!$Z23+данные!$AA23+данные!$AB23</f>
        <v>0</v>
      </c>
      <c r="AM23" s="63">
        <v>1.03639035</v>
      </c>
      <c r="AN23" s="63">
        <v>1.0114049394</v>
      </c>
      <c r="AO23" s="63">
        <v>0.98210394336149998</v>
      </c>
      <c r="AP23" s="63">
        <v>0.93762413895893393</v>
      </c>
      <c r="AQ23" s="63"/>
      <c r="AR23" s="63"/>
      <c r="AS23" s="64"/>
      <c r="AU23" s="66">
        <f t="shared" si="5"/>
        <v>0</v>
      </c>
      <c r="AX23" s="66">
        <f t="shared" si="0"/>
        <v>0</v>
      </c>
      <c r="AY23" s="66">
        <f t="shared" si="1"/>
        <v>0</v>
      </c>
      <c r="AZ23" s="66">
        <f t="shared" si="2"/>
        <v>0</v>
      </c>
      <c r="BA23" s="66">
        <f t="shared" si="3"/>
        <v>0</v>
      </c>
      <c r="BB23" s="66">
        <f t="shared" si="4"/>
        <v>0</v>
      </c>
    </row>
    <row r="24" spans="4:54" x14ac:dyDescent="0.25">
      <c r="D24" s="62">
        <f>калькулятор!C28</f>
        <v>0</v>
      </c>
      <c r="E24" s="62">
        <f>калькулятор!F28</f>
        <v>0</v>
      </c>
      <c r="F24" s="62">
        <f>калькулятор!G28</f>
        <v>0</v>
      </c>
      <c r="G24" s="62">
        <f>калькулятор!H28</f>
        <v>0</v>
      </c>
      <c r="H24" s="62">
        <f>калькулятор!I28</f>
        <v>0</v>
      </c>
      <c r="I24" s="63">
        <f>S24*SUMPRODUCT(($B$2=Таблица2[Филиал])*($B$3=Таблица2[ФЕР/ТЕР])*(F24=Таблица2[Наименование работ])*(G24=Таблица2[ТПиР/НСиР])*Таблица2[ПИР2010])</f>
        <v>0</v>
      </c>
      <c r="J24" s="63">
        <f>T24*SUMPRODUCT(($B$2=Таблица2[Филиал])*($B$3=Таблица2[ФЕР/ТЕР])*(F24=Таблица2[Наименование работ])*(G24=Таблица2[ТПиР/НСиР])*Таблица2[СМР2010])</f>
        <v>0</v>
      </c>
      <c r="K24" s="63">
        <f>U24*SUMPRODUCT(($B$2=Таблица2[Филиал])*($B$3=Таблица2[ФЕР/ТЕР])*(F24=Таблица2[Наименование работ])*(G24=Таблица2[ТПиР/НСиР])*Таблица2[ПНР2010])</f>
        <v>0</v>
      </c>
      <c r="L24" s="63">
        <f>V24*SUMPRODUCT(($B$2=Таблица2[Филиал])*($B$3=Таблица2[ФЕР/ТЕР])*(F24=Таблица2[Наименование работ])*(G24=Таблица2[ТПиР/НСиР])*Таблица2[Оборудование2010])</f>
        <v>0</v>
      </c>
      <c r="M24" s="63">
        <f>W24*SUMPRODUCT(($B$2=Таблица2[Филиал])*($B$3=Таблица2[ФЕР/ТЕР])*(F24=Таблица2[Наименование работ])*(G24=Таблица2[ТПиР/НСиР])*Таблица2[Прочие2010])</f>
        <v>0</v>
      </c>
      <c r="N24" s="63">
        <f>S24*SUMPRODUCT(($B$2=Таблица2[Филиал])*($B$3=Таблица2[ФЕР/ТЕР])*(F24=Таблица2[Наименование работ])*(G24=Таблица2[ТПиР/НСиР])*Таблица2[ПИР2013-10])</f>
        <v>0</v>
      </c>
      <c r="O24" s="63">
        <f>T24*SUMPRODUCT(($B$2=Таблица2[Филиал])*($B$3=Таблица2[ФЕР/ТЕР])*(F24=Таблица2[Наименование работ])*(G24=Таблица2[ТПиР/НСиР])*Таблица2[СМР2013-10])</f>
        <v>0</v>
      </c>
      <c r="P24" s="63">
        <f>U24*SUMPRODUCT(($B$2=Таблица2[Филиал])*($B$3=Таблица2[ФЕР/ТЕР])*(F24=Таблица2[Наименование работ])*(G24=Таблица2[ТПиР/НСиР])*Таблица2[ПНР2013-10])</f>
        <v>0</v>
      </c>
      <c r="Q24" s="63">
        <f>V24*SUMPRODUCT(($B$2=Таблица2[Филиал])*($B$3=Таблица2[ФЕР/ТЕР])*(F24=Таблица2[Наименование работ])*(G24=Таблица2[ТПиР/НСиР])*Таблица2[Оборудование2013-10])</f>
        <v>0</v>
      </c>
      <c r="R24" s="63">
        <f>W24*SUMPRODUCT(($B$2=Таблица2[Филиал])*($B$3=Таблица2[ФЕР/ТЕР])*(F24=Таблица2[Наименование работ])*(G24=Таблица2[ТПиР/НСиР])*Таблица2[Прочие2013-10])</f>
        <v>0</v>
      </c>
      <c r="S24" s="63">
        <f>IF($B$4="в базовых ценах",калькулятор!J28,X24*SUMPRODUCT(($B$2=Таблица2[Филиал])*($B$3=Таблица2[ФЕР/ТЕР])*(F24=Таблица2[Наименование работ])*(G24=Таблица2[ТПиР/НСиР])/Таблица2[ПИР2013]))</f>
        <v>0</v>
      </c>
      <c r="T24" s="63">
        <f>IF($B$4="в базовых ценах",калькулятор!K28,Y24*SUMPRODUCT(($B$2=Таблица2[Филиал])*($B$3=Таблица2[ФЕР/ТЕР])*(F24=Таблица2[Наименование работ])*(G24=Таблица2[ТПиР/НСиР])/Таблица2[СМР2013]))</f>
        <v>0</v>
      </c>
      <c r="U24" s="63">
        <f>IF($B$4="в базовых ценах",калькулятор!L28,Z24*SUMPRODUCT(($B$2=Таблица2[Филиал])*($B$3=Таблица2[ФЕР/ТЕР])*(F24=Таблица2[Наименование работ])*(G24=Таблица2[ТПиР/НСиР])/Таблица2[ПНР2013]))</f>
        <v>0</v>
      </c>
      <c r="V24" s="63">
        <f>IF($B$4="в базовых ценах",калькулятор!M28,AA24*SUMPRODUCT(($B$2=Таблица2[Филиал])*($B$3=Таблица2[ФЕР/ТЕР])*(F24=Таблица2[Наименование работ])*(G24=Таблица2[ТПиР/НСиР])/Таблица2[Оборудование2013]))</f>
        <v>0</v>
      </c>
      <c r="W24" s="63">
        <f>IF($B$4="в базовых ценах",калькулятор!N28,AB24*SUMPRODUCT(($B$2=Таблица2[Филиал])*($B$3=Таблица2[ФЕР/ТЕР])*(F24=Таблица2[Наименование работ])*(G24=Таблица2[ТПиР/НСиР])/Таблица2[Прочие3]))</f>
        <v>0</v>
      </c>
      <c r="X24" s="63">
        <f>IF($B$4="в текущих ценах",калькулятор!J28,S24*SUMPRODUCT(($B$2=Таблица2[Филиал])*($B$3=Таблица2[ФЕР/ТЕР])*(F24=Таблица2[Наименование работ])*(G24=Таблица2[ТПиР/НСиР])*Таблица2[ПИР2013]))</f>
        <v>0</v>
      </c>
      <c r="Y24" s="63">
        <f>IF($B$4="в текущих ценах",калькулятор!K28,T24*SUMPRODUCT(($B$2=Таблица2[Филиал])*($B$3=Таблица2[ФЕР/ТЕР])*(F24=Таблица2[Наименование работ])*(G24=Таблица2[ТПиР/НСиР])*Таблица2[СМР2013]))</f>
        <v>0</v>
      </c>
      <c r="Z24" s="63">
        <f>IF($B$4="в текущих ценах",калькулятор!L28,U24*SUMPRODUCT(($B$2=Таблица2[Филиал])*($B$3=Таблица2[ФЕР/ТЕР])*(F24=Таблица2[Наименование работ])*(G24=Таблица2[ТПиР/НСиР])*Таблица2[ПНР2013]))</f>
        <v>0</v>
      </c>
      <c r="AA24" s="63">
        <f>IF($B$4="в текущих ценах",калькулятор!M28,V24*SUMPRODUCT(($B$2=Таблица2[Филиал])*($B$3=Таблица2[ФЕР/ТЕР])*(F24=Таблица2[Наименование работ])*(G24=Таблица2[ТПиР/НСиР])*Таблица2[Оборудование2013]))</f>
        <v>0</v>
      </c>
      <c r="AB24" s="63">
        <f>IF($B$4="в текущих ценах",калькулятор!N28,W24*SUMPRODUCT(($B$2=Таблица2[Филиал])*($B$3=Таблица2[ФЕР/ТЕР])*(F24=Таблица2[Наименование работ])*(G24=Таблица2[ТПиР/НСиР])*Таблица2[Прочие3]))</f>
        <v>0</v>
      </c>
      <c r="AC24" s="63">
        <f>SUM(данные!$I24:$M24)</f>
        <v>0</v>
      </c>
      <c r="AD24" s="63">
        <f>IF(SUM(данные!$N24:$R24)&gt;данные!$AF24,данные!$AF24*0.9*1.058,SUM(данные!$N24:$R24))</f>
        <v>0</v>
      </c>
      <c r="AE24" s="63">
        <f>SUM(данные!$S24:$W24)</f>
        <v>0</v>
      </c>
      <c r="AF24" s="63">
        <f>SUM(данные!$X24:$AB24)</f>
        <v>0</v>
      </c>
      <c r="AG24" s="63">
        <f>IF($B$4="в текущих ценах",S24*SUMPRODUCT(($B$2=Таблица2[Филиал])*($B$3=Таблица2[ФЕР/ТЕР])*(F24=Таблица2[Наименование работ])*(G24=Таблица2[ТПиР/НСиР])*Таблица2[ПИР2012]),S24*SUMPRODUCT(($B$2=Таблица2[Филиал])*($B$3=Таблица2[ФЕР/ТЕР])*(F24=Таблица2[Наименование работ])*(G24=Таблица2[ТПиР/НСиР])*Таблица2[ПИР2012]))</f>
        <v>0</v>
      </c>
      <c r="AH24" s="63">
        <f>IF($B$4="в текущих ценах",T24*SUMPRODUCT(($B$2=Таблица2[Филиал])*($B$3=Таблица2[ФЕР/ТЕР])*(F24=Таблица2[Наименование работ])*(G24=Таблица2[ТПиР/НСиР])*Таблица2[СМР2012]),T24*SUMPRODUCT(($B$2=Таблица2[Филиал])*($B$3=Таблица2[ФЕР/ТЕР])*(F24=Таблица2[Наименование работ])*(G24=Таблица2[ТПиР/НСиР])*Таблица2[СМР2012]))</f>
        <v>0</v>
      </c>
      <c r="AI24" s="63">
        <f>IF($B$4="в текущих ценах",U24*SUMPRODUCT(($B$2=Таблица2[Филиал])*($B$3=Таблица2[ФЕР/ТЕР])*(F24=Таблица2[Наименование работ])*(G24=Таблица2[ТПиР/НСиР])*Таблица2[ПНР2012]),U24*SUMPRODUCT(($B$2=Таблица2[Филиал])*($B$3=Таблица2[ФЕР/ТЕР])*(F24=Таблица2[Наименование работ])*(G24=Таблица2[ТПиР/НСиР])*Таблица2[ПНР2012]))</f>
        <v>0</v>
      </c>
      <c r="AJ24" s="63">
        <f>IF($B$4="в текущих ценах",V24*SUMPRODUCT(($B$2=Таблица2[Филиал])*($B$3=Таблица2[ФЕР/ТЕР])*(F24=Таблица2[Наименование работ])*(G24=Таблица2[ТПиР/НСиР])*Таблица2[Оборудование2012]),V24*SUMPRODUCT(($B$2=Таблица2[Филиал])*($B$3=Таблица2[ФЕР/ТЕР])*(F24=Таблица2[Наименование работ])*(G24=Таблица2[ТПиР/НСиР])*Таблица2[Оборудование2012]))</f>
        <v>0</v>
      </c>
      <c r="AK24" s="63">
        <f>IF($B$4="в текущих ценах",W24*SUMPRODUCT(($B$2=Таблица2[Филиал])*($B$3=Таблица2[ФЕР/ТЕР])*(F24=Таблица2[Наименование работ])*(G24=Таблица2[ТПиР/НСиР])*Таблица2[Прочее2012]),W24*SUMPRODUCT(($B$2=Таблица2[Филиал])*($B$3=Таблица2[ФЕР/ТЕР])*(F24=Таблица2[Наименование работ])*(G24=Таблица2[ТПиР/НСиР])*Таблица2[Прочее2012]))</f>
        <v>0</v>
      </c>
      <c r="AL24" s="63">
        <f>данные!$X24+данные!$Y24+данные!$Z24+данные!$AA24+данные!$AB24</f>
        <v>0</v>
      </c>
      <c r="AM24" s="63">
        <v>1.03639035</v>
      </c>
      <c r="AN24" s="63">
        <v>1.0114049394</v>
      </c>
      <c r="AO24" s="63">
        <v>0.98210394336149998</v>
      </c>
      <c r="AP24" s="63">
        <v>0.93762413895893393</v>
      </c>
      <c r="AQ24" s="63"/>
      <c r="AR24" s="63"/>
      <c r="AS24" s="64"/>
      <c r="AU24" s="66">
        <f t="shared" si="5"/>
        <v>0</v>
      </c>
      <c r="AX24" s="66">
        <f t="shared" si="0"/>
        <v>0</v>
      </c>
      <c r="AY24" s="66">
        <f t="shared" si="1"/>
        <v>0</v>
      </c>
      <c r="AZ24" s="66">
        <f t="shared" si="2"/>
        <v>0</v>
      </c>
      <c r="BA24" s="66">
        <f t="shared" si="3"/>
        <v>0</v>
      </c>
      <c r="BB24" s="66">
        <f t="shared" si="4"/>
        <v>0</v>
      </c>
    </row>
    <row r="25" spans="4:54" x14ac:dyDescent="0.25">
      <c r="D25" s="62">
        <f>калькулятор!C29</f>
        <v>0</v>
      </c>
      <c r="E25" s="62">
        <f>калькулятор!F29</f>
        <v>0</v>
      </c>
      <c r="F25" s="62">
        <f>калькулятор!G29</f>
        <v>0</v>
      </c>
      <c r="G25" s="62">
        <f>калькулятор!H29</f>
        <v>0</v>
      </c>
      <c r="H25" s="62">
        <f>калькулятор!I29</f>
        <v>0</v>
      </c>
      <c r="I25" s="63">
        <f>S25*SUMPRODUCT(($B$2=Таблица2[Филиал])*($B$3=Таблица2[ФЕР/ТЕР])*(F25=Таблица2[Наименование работ])*(G25=Таблица2[ТПиР/НСиР])*Таблица2[ПИР2010])</f>
        <v>0</v>
      </c>
      <c r="J25" s="63">
        <f>T25*SUMPRODUCT(($B$2=Таблица2[Филиал])*($B$3=Таблица2[ФЕР/ТЕР])*(F25=Таблица2[Наименование работ])*(G25=Таблица2[ТПиР/НСиР])*Таблица2[СМР2010])</f>
        <v>0</v>
      </c>
      <c r="K25" s="63">
        <f>U25*SUMPRODUCT(($B$2=Таблица2[Филиал])*($B$3=Таблица2[ФЕР/ТЕР])*(F25=Таблица2[Наименование работ])*(G25=Таблица2[ТПиР/НСиР])*Таблица2[ПНР2010])</f>
        <v>0</v>
      </c>
      <c r="L25" s="63">
        <f>V25*SUMPRODUCT(($B$2=Таблица2[Филиал])*($B$3=Таблица2[ФЕР/ТЕР])*(F25=Таблица2[Наименование работ])*(G25=Таблица2[ТПиР/НСиР])*Таблица2[Оборудование2010])</f>
        <v>0</v>
      </c>
      <c r="M25" s="63">
        <f>W25*SUMPRODUCT(($B$2=Таблица2[Филиал])*($B$3=Таблица2[ФЕР/ТЕР])*(F25=Таблица2[Наименование работ])*(G25=Таблица2[ТПиР/НСиР])*Таблица2[Прочие2010])</f>
        <v>0</v>
      </c>
      <c r="N25" s="63">
        <f>S25*SUMPRODUCT(($B$2=Таблица2[Филиал])*($B$3=Таблица2[ФЕР/ТЕР])*(F25=Таблица2[Наименование работ])*(G25=Таблица2[ТПиР/НСиР])*Таблица2[ПИР2013-10])</f>
        <v>0</v>
      </c>
      <c r="O25" s="63">
        <f>T25*SUMPRODUCT(($B$2=Таблица2[Филиал])*($B$3=Таблица2[ФЕР/ТЕР])*(F25=Таблица2[Наименование работ])*(G25=Таблица2[ТПиР/НСиР])*Таблица2[СМР2013-10])</f>
        <v>0</v>
      </c>
      <c r="P25" s="63">
        <f>U25*SUMPRODUCT(($B$2=Таблица2[Филиал])*($B$3=Таблица2[ФЕР/ТЕР])*(F25=Таблица2[Наименование работ])*(G25=Таблица2[ТПиР/НСиР])*Таблица2[ПНР2013-10])</f>
        <v>0</v>
      </c>
      <c r="Q25" s="63">
        <f>V25*SUMPRODUCT(($B$2=Таблица2[Филиал])*($B$3=Таблица2[ФЕР/ТЕР])*(F25=Таблица2[Наименование работ])*(G25=Таблица2[ТПиР/НСиР])*Таблица2[Оборудование2013-10])</f>
        <v>0</v>
      </c>
      <c r="R25" s="63">
        <f>W25*SUMPRODUCT(($B$2=Таблица2[Филиал])*($B$3=Таблица2[ФЕР/ТЕР])*(F25=Таблица2[Наименование работ])*(G25=Таблица2[ТПиР/НСиР])*Таблица2[Прочие2013-10])</f>
        <v>0</v>
      </c>
      <c r="S25" s="63">
        <f>IF($B$4="в базовых ценах",калькулятор!J29,X25*SUMPRODUCT(($B$2=Таблица2[Филиал])*($B$3=Таблица2[ФЕР/ТЕР])*(F25=Таблица2[Наименование работ])*(G25=Таблица2[ТПиР/НСиР])/Таблица2[ПИР2013]))</f>
        <v>0</v>
      </c>
      <c r="T25" s="63">
        <f>IF($B$4="в базовых ценах",калькулятор!K29,Y25*SUMPRODUCT(($B$2=Таблица2[Филиал])*($B$3=Таблица2[ФЕР/ТЕР])*(F25=Таблица2[Наименование работ])*(G25=Таблица2[ТПиР/НСиР])/Таблица2[СМР2013]))</f>
        <v>0</v>
      </c>
      <c r="U25" s="63">
        <f>IF($B$4="в базовых ценах",калькулятор!L29,Z25*SUMPRODUCT(($B$2=Таблица2[Филиал])*($B$3=Таблица2[ФЕР/ТЕР])*(F25=Таблица2[Наименование работ])*(G25=Таблица2[ТПиР/НСиР])/Таблица2[ПНР2013]))</f>
        <v>0</v>
      </c>
      <c r="V25" s="63">
        <f>IF($B$4="в базовых ценах",калькулятор!M29,AA25*SUMPRODUCT(($B$2=Таблица2[Филиал])*($B$3=Таблица2[ФЕР/ТЕР])*(F25=Таблица2[Наименование работ])*(G25=Таблица2[ТПиР/НСиР])/Таблица2[Оборудование2013]))</f>
        <v>0</v>
      </c>
      <c r="W25" s="63">
        <f>IF($B$4="в базовых ценах",калькулятор!N29,AB25*SUMPRODUCT(($B$2=Таблица2[Филиал])*($B$3=Таблица2[ФЕР/ТЕР])*(F25=Таблица2[Наименование работ])*(G25=Таблица2[ТПиР/НСиР])/Таблица2[Прочие3]))</f>
        <v>0</v>
      </c>
      <c r="X25" s="63">
        <f>IF($B$4="в текущих ценах",калькулятор!J29,S25*SUMPRODUCT(($B$2=Таблица2[Филиал])*($B$3=Таблица2[ФЕР/ТЕР])*(F25=Таблица2[Наименование работ])*(G25=Таблица2[ТПиР/НСиР])*Таблица2[ПИР2013]))</f>
        <v>0</v>
      </c>
      <c r="Y25" s="63">
        <f>IF($B$4="в текущих ценах",калькулятор!K29,T25*SUMPRODUCT(($B$2=Таблица2[Филиал])*($B$3=Таблица2[ФЕР/ТЕР])*(F25=Таблица2[Наименование работ])*(G25=Таблица2[ТПиР/НСиР])*Таблица2[СМР2013]))</f>
        <v>0</v>
      </c>
      <c r="Z25" s="63">
        <f>IF($B$4="в текущих ценах",калькулятор!L29,U25*SUMPRODUCT(($B$2=Таблица2[Филиал])*($B$3=Таблица2[ФЕР/ТЕР])*(F25=Таблица2[Наименование работ])*(G25=Таблица2[ТПиР/НСиР])*Таблица2[ПНР2013]))</f>
        <v>0</v>
      </c>
      <c r="AA25" s="63">
        <f>IF($B$4="в текущих ценах",калькулятор!M29,V25*SUMPRODUCT(($B$2=Таблица2[Филиал])*($B$3=Таблица2[ФЕР/ТЕР])*(F25=Таблица2[Наименование работ])*(G25=Таблица2[ТПиР/НСиР])*Таблица2[Оборудование2013]))</f>
        <v>0</v>
      </c>
      <c r="AB25" s="63">
        <f>IF($B$4="в текущих ценах",калькулятор!N29,W25*SUMPRODUCT(($B$2=Таблица2[Филиал])*($B$3=Таблица2[ФЕР/ТЕР])*(F25=Таблица2[Наименование работ])*(G25=Таблица2[ТПиР/НСиР])*Таблица2[Прочие3]))</f>
        <v>0</v>
      </c>
      <c r="AC25" s="63">
        <f>SUM(данные!$I25:$M25)</f>
        <v>0</v>
      </c>
      <c r="AD25" s="63">
        <f>IF(SUM(данные!$N25:$R25)&gt;данные!$AF25,данные!$AF25*0.9*1.058,SUM(данные!$N25:$R25))</f>
        <v>0</v>
      </c>
      <c r="AE25" s="63">
        <f>SUM(данные!$S25:$W25)</f>
        <v>0</v>
      </c>
      <c r="AF25" s="63">
        <f>SUM(данные!$X25:$AB25)</f>
        <v>0</v>
      </c>
      <c r="AG25" s="63">
        <f>IF($B$4="в текущих ценах",S25*SUMPRODUCT(($B$2=Таблица2[Филиал])*($B$3=Таблица2[ФЕР/ТЕР])*(F25=Таблица2[Наименование работ])*(G25=Таблица2[ТПиР/НСиР])*Таблица2[ПИР2012]),S25*SUMPRODUCT(($B$2=Таблица2[Филиал])*($B$3=Таблица2[ФЕР/ТЕР])*(F25=Таблица2[Наименование работ])*(G25=Таблица2[ТПиР/НСиР])*Таблица2[ПИР2012]))</f>
        <v>0</v>
      </c>
      <c r="AH25" s="63">
        <f>IF($B$4="в текущих ценах",T25*SUMPRODUCT(($B$2=Таблица2[Филиал])*($B$3=Таблица2[ФЕР/ТЕР])*(F25=Таблица2[Наименование работ])*(G25=Таблица2[ТПиР/НСиР])*Таблица2[СМР2012]),T25*SUMPRODUCT(($B$2=Таблица2[Филиал])*($B$3=Таблица2[ФЕР/ТЕР])*(F25=Таблица2[Наименование работ])*(G25=Таблица2[ТПиР/НСиР])*Таблица2[СМР2012]))</f>
        <v>0</v>
      </c>
      <c r="AI25" s="63">
        <f>IF($B$4="в текущих ценах",U25*SUMPRODUCT(($B$2=Таблица2[Филиал])*($B$3=Таблица2[ФЕР/ТЕР])*(F25=Таблица2[Наименование работ])*(G25=Таблица2[ТПиР/НСиР])*Таблица2[ПНР2012]),U25*SUMPRODUCT(($B$2=Таблица2[Филиал])*($B$3=Таблица2[ФЕР/ТЕР])*(F25=Таблица2[Наименование работ])*(G25=Таблица2[ТПиР/НСиР])*Таблица2[ПНР2012]))</f>
        <v>0</v>
      </c>
      <c r="AJ25" s="63">
        <f>IF($B$4="в текущих ценах",V25*SUMPRODUCT(($B$2=Таблица2[Филиал])*($B$3=Таблица2[ФЕР/ТЕР])*(F25=Таблица2[Наименование работ])*(G25=Таблица2[ТПиР/НСиР])*Таблица2[Оборудование2012]),V25*SUMPRODUCT(($B$2=Таблица2[Филиал])*($B$3=Таблица2[ФЕР/ТЕР])*(F25=Таблица2[Наименование работ])*(G25=Таблица2[ТПиР/НСиР])*Таблица2[Оборудование2012]))</f>
        <v>0</v>
      </c>
      <c r="AK25" s="63">
        <f>IF($B$4="в текущих ценах",W25*SUMPRODUCT(($B$2=Таблица2[Филиал])*($B$3=Таблица2[ФЕР/ТЕР])*(F25=Таблица2[Наименование работ])*(G25=Таблица2[ТПиР/НСиР])*Таблица2[Прочее2012]),W25*SUMPRODUCT(($B$2=Таблица2[Филиал])*($B$3=Таблица2[ФЕР/ТЕР])*(F25=Таблица2[Наименование работ])*(G25=Таблица2[ТПиР/НСиР])*Таблица2[Прочее2012]))</f>
        <v>0</v>
      </c>
      <c r="AL25" s="63">
        <f>данные!$X25+данные!$Y25+данные!$Z25+данные!$AA25+данные!$AB25</f>
        <v>0</v>
      </c>
      <c r="AM25" s="63">
        <v>1.03639035</v>
      </c>
      <c r="AN25" s="63">
        <v>1.0114049394</v>
      </c>
      <c r="AO25" s="63">
        <v>0.98210394336149998</v>
      </c>
      <c r="AP25" s="63">
        <v>0.93762413895893393</v>
      </c>
      <c r="AQ25" s="63"/>
      <c r="AR25" s="63"/>
      <c r="AS25" s="64"/>
      <c r="AU25" s="66">
        <f t="shared" si="5"/>
        <v>0</v>
      </c>
      <c r="AX25" s="66">
        <f t="shared" si="0"/>
        <v>0</v>
      </c>
      <c r="AY25" s="66">
        <f t="shared" si="1"/>
        <v>0</v>
      </c>
      <c r="AZ25" s="66">
        <f t="shared" si="2"/>
        <v>0</v>
      </c>
      <c r="BA25" s="66">
        <f t="shared" si="3"/>
        <v>0</v>
      </c>
      <c r="BB25" s="66">
        <f t="shared" si="4"/>
        <v>0</v>
      </c>
    </row>
    <row r="26" spans="4:54" x14ac:dyDescent="0.25">
      <c r="D26" s="62">
        <f>калькулятор!C30</f>
        <v>0</v>
      </c>
      <c r="E26" s="62">
        <f>калькулятор!F30</f>
        <v>0</v>
      </c>
      <c r="F26" s="62">
        <f>калькулятор!G30</f>
        <v>0</v>
      </c>
      <c r="G26" s="62">
        <f>калькулятор!H30</f>
        <v>0</v>
      </c>
      <c r="H26" s="62">
        <f>калькулятор!I30</f>
        <v>0</v>
      </c>
      <c r="I26" s="63">
        <f>S26*SUMPRODUCT(($B$2=Таблица2[Филиал])*($B$3=Таблица2[ФЕР/ТЕР])*(F26=Таблица2[Наименование работ])*(G26=Таблица2[ТПиР/НСиР])*Таблица2[ПИР2010])</f>
        <v>0</v>
      </c>
      <c r="J26" s="63">
        <f>T26*SUMPRODUCT(($B$2=Таблица2[Филиал])*($B$3=Таблица2[ФЕР/ТЕР])*(F26=Таблица2[Наименование работ])*(G26=Таблица2[ТПиР/НСиР])*Таблица2[СМР2010])</f>
        <v>0</v>
      </c>
      <c r="K26" s="63">
        <f>U26*SUMPRODUCT(($B$2=Таблица2[Филиал])*($B$3=Таблица2[ФЕР/ТЕР])*(F26=Таблица2[Наименование работ])*(G26=Таблица2[ТПиР/НСиР])*Таблица2[ПНР2010])</f>
        <v>0</v>
      </c>
      <c r="L26" s="63">
        <f>V26*SUMPRODUCT(($B$2=Таблица2[Филиал])*($B$3=Таблица2[ФЕР/ТЕР])*(F26=Таблица2[Наименование работ])*(G26=Таблица2[ТПиР/НСиР])*Таблица2[Оборудование2010])</f>
        <v>0</v>
      </c>
      <c r="M26" s="63">
        <f>W26*SUMPRODUCT(($B$2=Таблица2[Филиал])*($B$3=Таблица2[ФЕР/ТЕР])*(F26=Таблица2[Наименование работ])*(G26=Таблица2[ТПиР/НСиР])*Таблица2[Прочие2010])</f>
        <v>0</v>
      </c>
      <c r="N26" s="63">
        <f>S26*SUMPRODUCT(($B$2=Таблица2[Филиал])*($B$3=Таблица2[ФЕР/ТЕР])*(F26=Таблица2[Наименование работ])*(G26=Таблица2[ТПиР/НСиР])*Таблица2[ПИР2013-10])</f>
        <v>0</v>
      </c>
      <c r="O26" s="63">
        <f>T26*SUMPRODUCT(($B$2=Таблица2[Филиал])*($B$3=Таблица2[ФЕР/ТЕР])*(F26=Таблица2[Наименование работ])*(G26=Таблица2[ТПиР/НСиР])*Таблица2[СМР2013-10])</f>
        <v>0</v>
      </c>
      <c r="P26" s="63">
        <f>U26*SUMPRODUCT(($B$2=Таблица2[Филиал])*($B$3=Таблица2[ФЕР/ТЕР])*(F26=Таблица2[Наименование работ])*(G26=Таблица2[ТПиР/НСиР])*Таблица2[ПНР2013-10])</f>
        <v>0</v>
      </c>
      <c r="Q26" s="63">
        <f>V26*SUMPRODUCT(($B$2=Таблица2[Филиал])*($B$3=Таблица2[ФЕР/ТЕР])*(F26=Таблица2[Наименование работ])*(G26=Таблица2[ТПиР/НСиР])*Таблица2[Оборудование2013-10])</f>
        <v>0</v>
      </c>
      <c r="R26" s="63">
        <f>W26*SUMPRODUCT(($B$2=Таблица2[Филиал])*($B$3=Таблица2[ФЕР/ТЕР])*(F26=Таблица2[Наименование работ])*(G26=Таблица2[ТПиР/НСиР])*Таблица2[Прочие2013-10])</f>
        <v>0</v>
      </c>
      <c r="S26" s="63">
        <f>IF($B$4="в базовых ценах",калькулятор!J30,X26*SUMPRODUCT(($B$2=Таблица2[Филиал])*($B$3=Таблица2[ФЕР/ТЕР])*(F26=Таблица2[Наименование работ])*(G26=Таблица2[ТПиР/НСиР])/Таблица2[ПИР2013]))</f>
        <v>0</v>
      </c>
      <c r="T26" s="63">
        <f>IF($B$4="в базовых ценах",калькулятор!K30,Y26*SUMPRODUCT(($B$2=Таблица2[Филиал])*($B$3=Таблица2[ФЕР/ТЕР])*(F26=Таблица2[Наименование работ])*(G26=Таблица2[ТПиР/НСиР])/Таблица2[СМР2013]))</f>
        <v>0</v>
      </c>
      <c r="U26" s="63">
        <f>IF($B$4="в базовых ценах",калькулятор!L30,Z26*SUMPRODUCT(($B$2=Таблица2[Филиал])*($B$3=Таблица2[ФЕР/ТЕР])*(F26=Таблица2[Наименование работ])*(G26=Таблица2[ТПиР/НСиР])/Таблица2[ПНР2013]))</f>
        <v>0</v>
      </c>
      <c r="V26" s="63">
        <f>IF($B$4="в базовых ценах",калькулятор!M30,AA26*SUMPRODUCT(($B$2=Таблица2[Филиал])*($B$3=Таблица2[ФЕР/ТЕР])*(F26=Таблица2[Наименование работ])*(G26=Таблица2[ТПиР/НСиР])/Таблица2[Оборудование2013]))</f>
        <v>0</v>
      </c>
      <c r="W26" s="63">
        <f>IF($B$4="в базовых ценах",калькулятор!N30,AB26*SUMPRODUCT(($B$2=Таблица2[Филиал])*($B$3=Таблица2[ФЕР/ТЕР])*(F26=Таблица2[Наименование работ])*(G26=Таблица2[ТПиР/НСиР])/Таблица2[Прочие3]))</f>
        <v>0</v>
      </c>
      <c r="X26" s="63">
        <f>IF($B$4="в текущих ценах",калькулятор!J30,S26*SUMPRODUCT(($B$2=Таблица2[Филиал])*($B$3=Таблица2[ФЕР/ТЕР])*(F26=Таблица2[Наименование работ])*(G26=Таблица2[ТПиР/НСиР])*Таблица2[ПИР2013]))</f>
        <v>0</v>
      </c>
      <c r="Y26" s="63">
        <f>IF($B$4="в текущих ценах",калькулятор!K30,T26*SUMPRODUCT(($B$2=Таблица2[Филиал])*($B$3=Таблица2[ФЕР/ТЕР])*(F26=Таблица2[Наименование работ])*(G26=Таблица2[ТПиР/НСиР])*Таблица2[СМР2013]))</f>
        <v>0</v>
      </c>
      <c r="Z26" s="63">
        <f>IF($B$4="в текущих ценах",калькулятор!L30,U26*SUMPRODUCT(($B$2=Таблица2[Филиал])*($B$3=Таблица2[ФЕР/ТЕР])*(F26=Таблица2[Наименование работ])*(G26=Таблица2[ТПиР/НСиР])*Таблица2[ПНР2013]))</f>
        <v>0</v>
      </c>
      <c r="AA26" s="63">
        <f>IF($B$4="в текущих ценах",калькулятор!M30,V26*SUMPRODUCT(($B$2=Таблица2[Филиал])*($B$3=Таблица2[ФЕР/ТЕР])*(F26=Таблица2[Наименование работ])*(G26=Таблица2[ТПиР/НСиР])*Таблица2[Оборудование2013]))</f>
        <v>0</v>
      </c>
      <c r="AB26" s="63">
        <f>IF($B$4="в текущих ценах",калькулятор!N30,W26*SUMPRODUCT(($B$2=Таблица2[Филиал])*($B$3=Таблица2[ФЕР/ТЕР])*(F26=Таблица2[Наименование работ])*(G26=Таблица2[ТПиР/НСиР])*Таблица2[Прочие3]))</f>
        <v>0</v>
      </c>
      <c r="AC26" s="63">
        <f>SUM(данные!$I26:$M26)</f>
        <v>0</v>
      </c>
      <c r="AD26" s="63">
        <f>IF(SUM(данные!$N26:$R26)&gt;данные!$AF26,данные!$AF26*0.9*1.058,SUM(данные!$N26:$R26))</f>
        <v>0</v>
      </c>
      <c r="AE26" s="63">
        <f>SUM(данные!$S26:$W26)</f>
        <v>0</v>
      </c>
      <c r="AF26" s="63">
        <f>SUM(данные!$X26:$AB26)</f>
        <v>0</v>
      </c>
      <c r="AG26" s="63">
        <f>IF($B$4="в текущих ценах",S26*SUMPRODUCT(($B$2=Таблица2[Филиал])*($B$3=Таблица2[ФЕР/ТЕР])*(F26=Таблица2[Наименование работ])*(G26=Таблица2[ТПиР/НСиР])*Таблица2[ПИР2012]),S26*SUMPRODUCT(($B$2=Таблица2[Филиал])*($B$3=Таблица2[ФЕР/ТЕР])*(F26=Таблица2[Наименование работ])*(G26=Таблица2[ТПиР/НСиР])*Таблица2[ПИР2012]))</f>
        <v>0</v>
      </c>
      <c r="AH26" s="63">
        <f>IF($B$4="в текущих ценах",T26*SUMPRODUCT(($B$2=Таблица2[Филиал])*($B$3=Таблица2[ФЕР/ТЕР])*(F26=Таблица2[Наименование работ])*(G26=Таблица2[ТПиР/НСиР])*Таблица2[СМР2012]),T26*SUMPRODUCT(($B$2=Таблица2[Филиал])*($B$3=Таблица2[ФЕР/ТЕР])*(F26=Таблица2[Наименование работ])*(G26=Таблица2[ТПиР/НСиР])*Таблица2[СМР2012]))</f>
        <v>0</v>
      </c>
      <c r="AI26" s="63">
        <f>IF($B$4="в текущих ценах",U26*SUMPRODUCT(($B$2=Таблица2[Филиал])*($B$3=Таблица2[ФЕР/ТЕР])*(F26=Таблица2[Наименование работ])*(G26=Таблица2[ТПиР/НСиР])*Таблица2[ПНР2012]),U26*SUMPRODUCT(($B$2=Таблица2[Филиал])*($B$3=Таблица2[ФЕР/ТЕР])*(F26=Таблица2[Наименование работ])*(G26=Таблица2[ТПиР/НСиР])*Таблица2[ПНР2012]))</f>
        <v>0</v>
      </c>
      <c r="AJ26" s="63">
        <f>IF($B$4="в текущих ценах",V26*SUMPRODUCT(($B$2=Таблица2[Филиал])*($B$3=Таблица2[ФЕР/ТЕР])*(F26=Таблица2[Наименование работ])*(G26=Таблица2[ТПиР/НСиР])*Таблица2[Оборудование2012]),V26*SUMPRODUCT(($B$2=Таблица2[Филиал])*($B$3=Таблица2[ФЕР/ТЕР])*(F26=Таблица2[Наименование работ])*(G26=Таблица2[ТПиР/НСиР])*Таблица2[Оборудование2012]))</f>
        <v>0</v>
      </c>
      <c r="AK26" s="63">
        <f>IF($B$4="в текущих ценах",W26*SUMPRODUCT(($B$2=Таблица2[Филиал])*($B$3=Таблица2[ФЕР/ТЕР])*(F26=Таблица2[Наименование работ])*(G26=Таблица2[ТПиР/НСиР])*Таблица2[Прочее2012]),W26*SUMPRODUCT(($B$2=Таблица2[Филиал])*($B$3=Таблица2[ФЕР/ТЕР])*(F26=Таблица2[Наименование работ])*(G26=Таблица2[ТПиР/НСиР])*Таблица2[Прочее2012]))</f>
        <v>0</v>
      </c>
      <c r="AL26" s="63">
        <f>данные!$X26+данные!$Y26+данные!$Z26+данные!$AA26+данные!$AB26</f>
        <v>0</v>
      </c>
      <c r="AM26" s="63">
        <v>1.03639035</v>
      </c>
      <c r="AN26" s="63">
        <v>1.0114049394</v>
      </c>
      <c r="AO26" s="63">
        <v>0.98210394336149998</v>
      </c>
      <c r="AP26" s="63">
        <v>0.93762413895893393</v>
      </c>
      <c r="AQ26" s="63"/>
      <c r="AR26" s="63"/>
      <c r="AS26" s="64"/>
      <c r="AU26" s="66">
        <f t="shared" si="5"/>
        <v>0</v>
      </c>
      <c r="AX26" s="66">
        <f t="shared" si="0"/>
        <v>0</v>
      </c>
      <c r="AY26" s="66">
        <f t="shared" si="1"/>
        <v>0</v>
      </c>
      <c r="AZ26" s="66">
        <f t="shared" si="2"/>
        <v>0</v>
      </c>
      <c r="BA26" s="66">
        <f t="shared" si="3"/>
        <v>0</v>
      </c>
      <c r="BB26" s="66">
        <f t="shared" si="4"/>
        <v>0</v>
      </c>
    </row>
    <row r="27" spans="4:54" x14ac:dyDescent="0.25">
      <c r="D27" s="62">
        <f>калькулятор!C31</f>
        <v>0</v>
      </c>
      <c r="E27" s="62">
        <f>калькулятор!F31</f>
        <v>0</v>
      </c>
      <c r="F27" s="62">
        <f>калькулятор!G31</f>
        <v>0</v>
      </c>
      <c r="G27" s="62">
        <f>калькулятор!H31</f>
        <v>0</v>
      </c>
      <c r="H27" s="62">
        <f>калькулятор!I31</f>
        <v>0</v>
      </c>
      <c r="I27" s="63">
        <f>S27*SUMPRODUCT(($B$2=Таблица2[Филиал])*($B$3=Таблица2[ФЕР/ТЕР])*(F27=Таблица2[Наименование работ])*(G27=Таблица2[ТПиР/НСиР])*Таблица2[ПИР2010])</f>
        <v>0</v>
      </c>
      <c r="J27" s="63">
        <f>T27*SUMPRODUCT(($B$2=Таблица2[Филиал])*($B$3=Таблица2[ФЕР/ТЕР])*(F27=Таблица2[Наименование работ])*(G27=Таблица2[ТПиР/НСиР])*Таблица2[СМР2010])</f>
        <v>0</v>
      </c>
      <c r="K27" s="63">
        <f>U27*SUMPRODUCT(($B$2=Таблица2[Филиал])*($B$3=Таблица2[ФЕР/ТЕР])*(F27=Таблица2[Наименование работ])*(G27=Таблица2[ТПиР/НСиР])*Таблица2[ПНР2010])</f>
        <v>0</v>
      </c>
      <c r="L27" s="63">
        <f>V27*SUMPRODUCT(($B$2=Таблица2[Филиал])*($B$3=Таблица2[ФЕР/ТЕР])*(F27=Таблица2[Наименование работ])*(G27=Таблица2[ТПиР/НСиР])*Таблица2[Оборудование2010])</f>
        <v>0</v>
      </c>
      <c r="M27" s="63">
        <f>W27*SUMPRODUCT(($B$2=Таблица2[Филиал])*($B$3=Таблица2[ФЕР/ТЕР])*(F27=Таблица2[Наименование работ])*(G27=Таблица2[ТПиР/НСиР])*Таблица2[Прочие2010])</f>
        <v>0</v>
      </c>
      <c r="N27" s="63">
        <f>S27*SUMPRODUCT(($B$2=Таблица2[Филиал])*($B$3=Таблица2[ФЕР/ТЕР])*(F27=Таблица2[Наименование работ])*(G27=Таблица2[ТПиР/НСиР])*Таблица2[ПИР2013-10])</f>
        <v>0</v>
      </c>
      <c r="O27" s="63">
        <f>T27*SUMPRODUCT(($B$2=Таблица2[Филиал])*($B$3=Таблица2[ФЕР/ТЕР])*(F27=Таблица2[Наименование работ])*(G27=Таблица2[ТПиР/НСиР])*Таблица2[СМР2013-10])</f>
        <v>0</v>
      </c>
      <c r="P27" s="63">
        <f>U27*SUMPRODUCT(($B$2=Таблица2[Филиал])*($B$3=Таблица2[ФЕР/ТЕР])*(F27=Таблица2[Наименование работ])*(G27=Таблица2[ТПиР/НСиР])*Таблица2[ПНР2013-10])</f>
        <v>0</v>
      </c>
      <c r="Q27" s="63">
        <f>V27*SUMPRODUCT(($B$2=Таблица2[Филиал])*($B$3=Таблица2[ФЕР/ТЕР])*(F27=Таблица2[Наименование работ])*(G27=Таблица2[ТПиР/НСиР])*Таблица2[Оборудование2013-10])</f>
        <v>0</v>
      </c>
      <c r="R27" s="63">
        <f>W27*SUMPRODUCT(($B$2=Таблица2[Филиал])*($B$3=Таблица2[ФЕР/ТЕР])*(F27=Таблица2[Наименование работ])*(G27=Таблица2[ТПиР/НСиР])*Таблица2[Прочие2013-10])</f>
        <v>0</v>
      </c>
      <c r="S27" s="63">
        <f>IF($B$4="в базовых ценах",калькулятор!J31,X27*SUMPRODUCT(($B$2=Таблица2[Филиал])*($B$3=Таблица2[ФЕР/ТЕР])*(F27=Таблица2[Наименование работ])*(G27=Таблица2[ТПиР/НСиР])/Таблица2[ПИР2013]))</f>
        <v>0</v>
      </c>
      <c r="T27" s="63">
        <f>IF($B$4="в базовых ценах",калькулятор!K31,Y27*SUMPRODUCT(($B$2=Таблица2[Филиал])*($B$3=Таблица2[ФЕР/ТЕР])*(F27=Таблица2[Наименование работ])*(G27=Таблица2[ТПиР/НСиР])/Таблица2[СМР2013]))</f>
        <v>0</v>
      </c>
      <c r="U27" s="63">
        <f>IF($B$4="в базовых ценах",калькулятор!L31,Z27*SUMPRODUCT(($B$2=Таблица2[Филиал])*($B$3=Таблица2[ФЕР/ТЕР])*(F27=Таблица2[Наименование работ])*(G27=Таблица2[ТПиР/НСиР])/Таблица2[ПНР2013]))</f>
        <v>0</v>
      </c>
      <c r="V27" s="63">
        <f>IF($B$4="в базовых ценах",калькулятор!M31,AA27*SUMPRODUCT(($B$2=Таблица2[Филиал])*($B$3=Таблица2[ФЕР/ТЕР])*(F27=Таблица2[Наименование работ])*(G27=Таблица2[ТПиР/НСиР])/Таблица2[Оборудование2013]))</f>
        <v>0</v>
      </c>
      <c r="W27" s="63">
        <f>IF($B$4="в базовых ценах",калькулятор!N31,AB27*SUMPRODUCT(($B$2=Таблица2[Филиал])*($B$3=Таблица2[ФЕР/ТЕР])*(F27=Таблица2[Наименование работ])*(G27=Таблица2[ТПиР/НСиР])/Таблица2[Прочие3]))</f>
        <v>0</v>
      </c>
      <c r="X27" s="63">
        <f>IF($B$4="в текущих ценах",калькулятор!J31,S27*SUMPRODUCT(($B$2=Таблица2[Филиал])*($B$3=Таблица2[ФЕР/ТЕР])*(F27=Таблица2[Наименование работ])*(G27=Таблица2[ТПиР/НСиР])*Таблица2[ПИР2013]))</f>
        <v>0</v>
      </c>
      <c r="Y27" s="63">
        <f>IF($B$4="в текущих ценах",калькулятор!K31,T27*SUMPRODUCT(($B$2=Таблица2[Филиал])*($B$3=Таблица2[ФЕР/ТЕР])*(F27=Таблица2[Наименование работ])*(G27=Таблица2[ТПиР/НСиР])*Таблица2[СМР2013]))</f>
        <v>0</v>
      </c>
      <c r="Z27" s="63">
        <f>IF($B$4="в текущих ценах",калькулятор!L31,U27*SUMPRODUCT(($B$2=Таблица2[Филиал])*($B$3=Таблица2[ФЕР/ТЕР])*(F27=Таблица2[Наименование работ])*(G27=Таблица2[ТПиР/НСиР])*Таблица2[ПНР2013]))</f>
        <v>0</v>
      </c>
      <c r="AA27" s="63">
        <f>IF($B$4="в текущих ценах",калькулятор!M31,V27*SUMPRODUCT(($B$2=Таблица2[Филиал])*($B$3=Таблица2[ФЕР/ТЕР])*(F27=Таблица2[Наименование работ])*(G27=Таблица2[ТПиР/НСиР])*Таблица2[Оборудование2013]))</f>
        <v>0</v>
      </c>
      <c r="AB27" s="63">
        <f>IF($B$4="в текущих ценах",калькулятор!N31,W27*SUMPRODUCT(($B$2=Таблица2[Филиал])*($B$3=Таблица2[ФЕР/ТЕР])*(F27=Таблица2[Наименование работ])*(G27=Таблица2[ТПиР/НСиР])*Таблица2[Прочие3]))</f>
        <v>0</v>
      </c>
      <c r="AC27" s="63">
        <f>SUM(данные!$I27:$M27)</f>
        <v>0</v>
      </c>
      <c r="AD27" s="63">
        <f>IF(SUM(данные!$N27:$R27)&gt;данные!$AF27,данные!$AF27*0.9*1.058,SUM(данные!$N27:$R27))</f>
        <v>0</v>
      </c>
      <c r="AE27" s="63">
        <f>SUM(данные!$S27:$W27)</f>
        <v>0</v>
      </c>
      <c r="AF27" s="63">
        <f>SUM(данные!$X27:$AB27)</f>
        <v>0</v>
      </c>
      <c r="AG27" s="63">
        <f>IF($B$4="в текущих ценах",S27*SUMPRODUCT(($B$2=Таблица2[Филиал])*($B$3=Таблица2[ФЕР/ТЕР])*(F27=Таблица2[Наименование работ])*(G27=Таблица2[ТПиР/НСиР])*Таблица2[ПИР2012]),S27*SUMPRODUCT(($B$2=Таблица2[Филиал])*($B$3=Таблица2[ФЕР/ТЕР])*(F27=Таблица2[Наименование работ])*(G27=Таблица2[ТПиР/НСиР])*Таблица2[ПИР2012]))</f>
        <v>0</v>
      </c>
      <c r="AH27" s="63">
        <f>IF($B$4="в текущих ценах",T27*SUMPRODUCT(($B$2=Таблица2[Филиал])*($B$3=Таблица2[ФЕР/ТЕР])*(F27=Таблица2[Наименование работ])*(G27=Таблица2[ТПиР/НСиР])*Таблица2[СМР2012]),T27*SUMPRODUCT(($B$2=Таблица2[Филиал])*($B$3=Таблица2[ФЕР/ТЕР])*(F27=Таблица2[Наименование работ])*(G27=Таблица2[ТПиР/НСиР])*Таблица2[СМР2012]))</f>
        <v>0</v>
      </c>
      <c r="AI27" s="63">
        <f>IF($B$4="в текущих ценах",U27*SUMPRODUCT(($B$2=Таблица2[Филиал])*($B$3=Таблица2[ФЕР/ТЕР])*(F27=Таблица2[Наименование работ])*(G27=Таблица2[ТПиР/НСиР])*Таблица2[ПНР2012]),U27*SUMPRODUCT(($B$2=Таблица2[Филиал])*($B$3=Таблица2[ФЕР/ТЕР])*(F27=Таблица2[Наименование работ])*(G27=Таблица2[ТПиР/НСиР])*Таблица2[ПНР2012]))</f>
        <v>0</v>
      </c>
      <c r="AJ27" s="63">
        <f>IF($B$4="в текущих ценах",V27*SUMPRODUCT(($B$2=Таблица2[Филиал])*($B$3=Таблица2[ФЕР/ТЕР])*(F27=Таблица2[Наименование работ])*(G27=Таблица2[ТПиР/НСиР])*Таблица2[Оборудование2012]),V27*SUMPRODUCT(($B$2=Таблица2[Филиал])*($B$3=Таблица2[ФЕР/ТЕР])*(F27=Таблица2[Наименование работ])*(G27=Таблица2[ТПиР/НСиР])*Таблица2[Оборудование2012]))</f>
        <v>0</v>
      </c>
      <c r="AK27" s="63">
        <f>IF($B$4="в текущих ценах",W27*SUMPRODUCT(($B$2=Таблица2[Филиал])*($B$3=Таблица2[ФЕР/ТЕР])*(F27=Таблица2[Наименование работ])*(G27=Таблица2[ТПиР/НСиР])*Таблица2[Прочее2012]),W27*SUMPRODUCT(($B$2=Таблица2[Филиал])*($B$3=Таблица2[ФЕР/ТЕР])*(F27=Таблица2[Наименование работ])*(G27=Таблица2[ТПиР/НСиР])*Таблица2[Прочее2012]))</f>
        <v>0</v>
      </c>
      <c r="AL27" s="63">
        <f>данные!$X27+данные!$Y27+данные!$Z27+данные!$AA27+данные!$AB27</f>
        <v>0</v>
      </c>
      <c r="AM27" s="63">
        <v>1.03639035</v>
      </c>
      <c r="AN27" s="63">
        <v>1.0114049394</v>
      </c>
      <c r="AO27" s="63">
        <v>0.98210394336149998</v>
      </c>
      <c r="AP27" s="63">
        <v>0.93762413895893393</v>
      </c>
      <c r="AQ27" s="63"/>
      <c r="AR27" s="63"/>
      <c r="AS27" s="64"/>
      <c r="AU27" s="66">
        <f t="shared" si="5"/>
        <v>0</v>
      </c>
      <c r="AX27" s="66">
        <f t="shared" si="0"/>
        <v>0</v>
      </c>
      <c r="AY27" s="66">
        <f t="shared" si="1"/>
        <v>0</v>
      </c>
      <c r="AZ27" s="66">
        <f t="shared" si="2"/>
        <v>0</v>
      </c>
      <c r="BA27" s="66">
        <f t="shared" si="3"/>
        <v>0</v>
      </c>
      <c r="BB27" s="66">
        <f t="shared" si="4"/>
        <v>0</v>
      </c>
    </row>
    <row r="28" spans="4:54" x14ac:dyDescent="0.25">
      <c r="D28" s="62">
        <f>калькулятор!C32</f>
        <v>0</v>
      </c>
      <c r="E28" s="62">
        <f>калькулятор!F32</f>
        <v>0</v>
      </c>
      <c r="F28" s="62">
        <f>калькулятор!G32</f>
        <v>0</v>
      </c>
      <c r="G28" s="62">
        <f>калькулятор!H32</f>
        <v>0</v>
      </c>
      <c r="H28" s="62">
        <f>калькулятор!I32</f>
        <v>0</v>
      </c>
      <c r="I28" s="63">
        <f>S28*SUMPRODUCT(($B$2=Таблица2[Филиал])*($B$3=Таблица2[ФЕР/ТЕР])*(F28=Таблица2[Наименование работ])*(G28=Таблица2[ТПиР/НСиР])*Таблица2[ПИР2010])</f>
        <v>0</v>
      </c>
      <c r="J28" s="63">
        <f>T28*SUMPRODUCT(($B$2=Таблица2[Филиал])*($B$3=Таблица2[ФЕР/ТЕР])*(F28=Таблица2[Наименование работ])*(G28=Таблица2[ТПиР/НСиР])*Таблица2[СМР2010])</f>
        <v>0</v>
      </c>
      <c r="K28" s="63">
        <f>U28*SUMPRODUCT(($B$2=Таблица2[Филиал])*($B$3=Таблица2[ФЕР/ТЕР])*(F28=Таблица2[Наименование работ])*(G28=Таблица2[ТПиР/НСиР])*Таблица2[ПНР2010])</f>
        <v>0</v>
      </c>
      <c r="L28" s="63">
        <f>V28*SUMPRODUCT(($B$2=Таблица2[Филиал])*($B$3=Таблица2[ФЕР/ТЕР])*(F28=Таблица2[Наименование работ])*(G28=Таблица2[ТПиР/НСиР])*Таблица2[Оборудование2010])</f>
        <v>0</v>
      </c>
      <c r="M28" s="63">
        <f>W28*SUMPRODUCT(($B$2=Таблица2[Филиал])*($B$3=Таблица2[ФЕР/ТЕР])*(F28=Таблица2[Наименование работ])*(G28=Таблица2[ТПиР/НСиР])*Таблица2[Прочие2010])</f>
        <v>0</v>
      </c>
      <c r="N28" s="63">
        <f>S28*SUMPRODUCT(($B$2=Таблица2[Филиал])*($B$3=Таблица2[ФЕР/ТЕР])*(F28=Таблица2[Наименование работ])*(G28=Таблица2[ТПиР/НСиР])*Таблица2[ПИР2013-10])</f>
        <v>0</v>
      </c>
      <c r="O28" s="63">
        <f>T28*SUMPRODUCT(($B$2=Таблица2[Филиал])*($B$3=Таблица2[ФЕР/ТЕР])*(F28=Таблица2[Наименование работ])*(G28=Таблица2[ТПиР/НСиР])*Таблица2[СМР2013-10])</f>
        <v>0</v>
      </c>
      <c r="P28" s="63">
        <f>U28*SUMPRODUCT(($B$2=Таблица2[Филиал])*($B$3=Таблица2[ФЕР/ТЕР])*(F28=Таблица2[Наименование работ])*(G28=Таблица2[ТПиР/НСиР])*Таблица2[ПНР2013-10])</f>
        <v>0</v>
      </c>
      <c r="Q28" s="63">
        <f>V28*SUMPRODUCT(($B$2=Таблица2[Филиал])*($B$3=Таблица2[ФЕР/ТЕР])*(F28=Таблица2[Наименование работ])*(G28=Таблица2[ТПиР/НСиР])*Таблица2[Оборудование2013-10])</f>
        <v>0</v>
      </c>
      <c r="R28" s="63">
        <f>W28*SUMPRODUCT(($B$2=Таблица2[Филиал])*($B$3=Таблица2[ФЕР/ТЕР])*(F28=Таблица2[Наименование работ])*(G28=Таблица2[ТПиР/НСиР])*Таблица2[Прочие2013-10])</f>
        <v>0</v>
      </c>
      <c r="S28" s="63">
        <f>IF($B$4="в базовых ценах",калькулятор!J32,X28*SUMPRODUCT(($B$2=Таблица2[Филиал])*($B$3=Таблица2[ФЕР/ТЕР])*(F28=Таблица2[Наименование работ])*(G28=Таблица2[ТПиР/НСиР])/Таблица2[ПИР2013]))</f>
        <v>0</v>
      </c>
      <c r="T28" s="63">
        <f>IF($B$4="в базовых ценах",калькулятор!K32,Y28*SUMPRODUCT(($B$2=Таблица2[Филиал])*($B$3=Таблица2[ФЕР/ТЕР])*(F28=Таблица2[Наименование работ])*(G28=Таблица2[ТПиР/НСиР])/Таблица2[СМР2013]))</f>
        <v>0</v>
      </c>
      <c r="U28" s="63">
        <f>IF($B$4="в базовых ценах",калькулятор!L32,Z28*SUMPRODUCT(($B$2=Таблица2[Филиал])*($B$3=Таблица2[ФЕР/ТЕР])*(F28=Таблица2[Наименование работ])*(G28=Таблица2[ТПиР/НСиР])/Таблица2[ПНР2013]))</f>
        <v>0</v>
      </c>
      <c r="V28" s="63">
        <f>IF($B$4="в базовых ценах",калькулятор!M32,AA28*SUMPRODUCT(($B$2=Таблица2[Филиал])*($B$3=Таблица2[ФЕР/ТЕР])*(F28=Таблица2[Наименование работ])*(G28=Таблица2[ТПиР/НСиР])/Таблица2[Оборудование2013]))</f>
        <v>0</v>
      </c>
      <c r="W28" s="63">
        <f>IF($B$4="в базовых ценах",калькулятор!N32,AB28*SUMPRODUCT(($B$2=Таблица2[Филиал])*($B$3=Таблица2[ФЕР/ТЕР])*(F28=Таблица2[Наименование работ])*(G28=Таблица2[ТПиР/НСиР])/Таблица2[Прочие3]))</f>
        <v>0</v>
      </c>
      <c r="X28" s="63">
        <f>IF($B$4="в текущих ценах",калькулятор!J32,S28*SUMPRODUCT(($B$2=Таблица2[Филиал])*($B$3=Таблица2[ФЕР/ТЕР])*(F28=Таблица2[Наименование работ])*(G28=Таблица2[ТПиР/НСиР])*Таблица2[ПИР2013]))</f>
        <v>0</v>
      </c>
      <c r="Y28" s="63">
        <f>IF($B$4="в текущих ценах",калькулятор!K32,T28*SUMPRODUCT(($B$2=Таблица2[Филиал])*($B$3=Таблица2[ФЕР/ТЕР])*(F28=Таблица2[Наименование работ])*(G28=Таблица2[ТПиР/НСиР])*Таблица2[СМР2013]))</f>
        <v>0</v>
      </c>
      <c r="Z28" s="63">
        <f>IF($B$4="в текущих ценах",калькулятор!L32,U28*SUMPRODUCT(($B$2=Таблица2[Филиал])*($B$3=Таблица2[ФЕР/ТЕР])*(F28=Таблица2[Наименование работ])*(G28=Таблица2[ТПиР/НСиР])*Таблица2[ПНР2013]))</f>
        <v>0</v>
      </c>
      <c r="AA28" s="63">
        <f>IF($B$4="в текущих ценах",калькулятор!M32,V28*SUMPRODUCT(($B$2=Таблица2[Филиал])*($B$3=Таблица2[ФЕР/ТЕР])*(F28=Таблица2[Наименование работ])*(G28=Таблица2[ТПиР/НСиР])*Таблица2[Оборудование2013]))</f>
        <v>0</v>
      </c>
      <c r="AB28" s="63">
        <f>IF($B$4="в текущих ценах",калькулятор!N32,W28*SUMPRODUCT(($B$2=Таблица2[Филиал])*($B$3=Таблица2[ФЕР/ТЕР])*(F28=Таблица2[Наименование работ])*(G28=Таблица2[ТПиР/НСиР])*Таблица2[Прочие3]))</f>
        <v>0</v>
      </c>
      <c r="AC28" s="63">
        <f>SUM(данные!$I28:$M28)</f>
        <v>0</v>
      </c>
      <c r="AD28" s="63">
        <f>IF(SUM(данные!$N28:$R28)&gt;данные!$AF28,данные!$AF28*0.9*1.058,SUM(данные!$N28:$R28))</f>
        <v>0</v>
      </c>
      <c r="AE28" s="63">
        <f>SUM(данные!$S28:$W28)</f>
        <v>0</v>
      </c>
      <c r="AF28" s="63">
        <f>SUM(данные!$X28:$AB28)</f>
        <v>0</v>
      </c>
      <c r="AG28" s="63">
        <f>IF($B$4="в текущих ценах",S28*SUMPRODUCT(($B$2=Таблица2[Филиал])*($B$3=Таблица2[ФЕР/ТЕР])*(F28=Таблица2[Наименование работ])*(G28=Таблица2[ТПиР/НСиР])*Таблица2[ПИР2012]),S28*SUMPRODUCT(($B$2=Таблица2[Филиал])*($B$3=Таблица2[ФЕР/ТЕР])*(F28=Таблица2[Наименование работ])*(G28=Таблица2[ТПиР/НСиР])*Таблица2[ПИР2012]))</f>
        <v>0</v>
      </c>
      <c r="AH28" s="63">
        <f>IF($B$4="в текущих ценах",T28*SUMPRODUCT(($B$2=Таблица2[Филиал])*($B$3=Таблица2[ФЕР/ТЕР])*(F28=Таблица2[Наименование работ])*(G28=Таблица2[ТПиР/НСиР])*Таблица2[СМР2012]),T28*SUMPRODUCT(($B$2=Таблица2[Филиал])*($B$3=Таблица2[ФЕР/ТЕР])*(F28=Таблица2[Наименование работ])*(G28=Таблица2[ТПиР/НСиР])*Таблица2[СМР2012]))</f>
        <v>0</v>
      </c>
      <c r="AI28" s="63">
        <f>IF($B$4="в текущих ценах",U28*SUMPRODUCT(($B$2=Таблица2[Филиал])*($B$3=Таблица2[ФЕР/ТЕР])*(F28=Таблица2[Наименование работ])*(G28=Таблица2[ТПиР/НСиР])*Таблица2[ПНР2012]),U28*SUMPRODUCT(($B$2=Таблица2[Филиал])*($B$3=Таблица2[ФЕР/ТЕР])*(F28=Таблица2[Наименование работ])*(G28=Таблица2[ТПиР/НСиР])*Таблица2[ПНР2012]))</f>
        <v>0</v>
      </c>
      <c r="AJ28" s="63">
        <f>IF($B$4="в текущих ценах",V28*SUMPRODUCT(($B$2=Таблица2[Филиал])*($B$3=Таблица2[ФЕР/ТЕР])*(F28=Таблица2[Наименование работ])*(G28=Таблица2[ТПиР/НСиР])*Таблица2[Оборудование2012]),V28*SUMPRODUCT(($B$2=Таблица2[Филиал])*($B$3=Таблица2[ФЕР/ТЕР])*(F28=Таблица2[Наименование работ])*(G28=Таблица2[ТПиР/НСиР])*Таблица2[Оборудование2012]))</f>
        <v>0</v>
      </c>
      <c r="AK28" s="63">
        <f>IF($B$4="в текущих ценах",W28*SUMPRODUCT(($B$2=Таблица2[Филиал])*($B$3=Таблица2[ФЕР/ТЕР])*(F28=Таблица2[Наименование работ])*(G28=Таблица2[ТПиР/НСиР])*Таблица2[Прочее2012]),W28*SUMPRODUCT(($B$2=Таблица2[Филиал])*($B$3=Таблица2[ФЕР/ТЕР])*(F28=Таблица2[Наименование работ])*(G28=Таблица2[ТПиР/НСиР])*Таблица2[Прочее2012]))</f>
        <v>0</v>
      </c>
      <c r="AL28" s="63">
        <f>данные!$X28+данные!$Y28+данные!$Z28+данные!$AA28+данные!$AB28</f>
        <v>0</v>
      </c>
      <c r="AM28" s="63">
        <v>1.03639035</v>
      </c>
      <c r="AN28" s="63">
        <v>1.0114049394</v>
      </c>
      <c r="AO28" s="63">
        <v>0.98210394336149998</v>
      </c>
      <c r="AP28" s="63">
        <v>0.93762413895893393</v>
      </c>
      <c r="AQ28" s="63"/>
      <c r="AR28" s="63"/>
      <c r="AS28" s="64"/>
      <c r="AU28" s="66">
        <f t="shared" si="5"/>
        <v>0</v>
      </c>
      <c r="AX28" s="66">
        <f t="shared" si="0"/>
        <v>0</v>
      </c>
      <c r="AY28" s="66">
        <f t="shared" si="1"/>
        <v>0</v>
      </c>
      <c r="AZ28" s="66">
        <f t="shared" si="2"/>
        <v>0</v>
      </c>
      <c r="BA28" s="66">
        <f t="shared" si="3"/>
        <v>0</v>
      </c>
      <c r="BB28" s="66">
        <f t="shared" si="4"/>
        <v>0</v>
      </c>
    </row>
    <row r="29" spans="4:54" x14ac:dyDescent="0.25">
      <c r="D29" s="62">
        <f>калькулятор!C33</f>
        <v>0</v>
      </c>
      <c r="E29" s="62">
        <f>калькулятор!F33</f>
        <v>0</v>
      </c>
      <c r="F29" s="62">
        <f>калькулятор!G33</f>
        <v>0</v>
      </c>
      <c r="G29" s="62">
        <f>калькулятор!H33</f>
        <v>0</v>
      </c>
      <c r="H29" s="62">
        <f>калькулятор!I33</f>
        <v>0</v>
      </c>
      <c r="I29" s="63">
        <f>S29*SUMPRODUCT(($B$2=Таблица2[Филиал])*($B$3=Таблица2[ФЕР/ТЕР])*(F29=Таблица2[Наименование работ])*(G29=Таблица2[ТПиР/НСиР])*Таблица2[ПИР2010])</f>
        <v>0</v>
      </c>
      <c r="J29" s="63">
        <f>T29*SUMPRODUCT(($B$2=Таблица2[Филиал])*($B$3=Таблица2[ФЕР/ТЕР])*(F29=Таблица2[Наименование работ])*(G29=Таблица2[ТПиР/НСиР])*Таблица2[СМР2010])</f>
        <v>0</v>
      </c>
      <c r="K29" s="63">
        <f>U29*SUMPRODUCT(($B$2=Таблица2[Филиал])*($B$3=Таблица2[ФЕР/ТЕР])*(F29=Таблица2[Наименование работ])*(G29=Таблица2[ТПиР/НСиР])*Таблица2[ПНР2010])</f>
        <v>0</v>
      </c>
      <c r="L29" s="63">
        <f>V29*SUMPRODUCT(($B$2=Таблица2[Филиал])*($B$3=Таблица2[ФЕР/ТЕР])*(F29=Таблица2[Наименование работ])*(G29=Таблица2[ТПиР/НСиР])*Таблица2[Оборудование2010])</f>
        <v>0</v>
      </c>
      <c r="M29" s="63">
        <f>W29*SUMPRODUCT(($B$2=Таблица2[Филиал])*($B$3=Таблица2[ФЕР/ТЕР])*(F29=Таблица2[Наименование работ])*(G29=Таблица2[ТПиР/НСиР])*Таблица2[Прочие2010])</f>
        <v>0</v>
      </c>
      <c r="N29" s="63">
        <f>S29*SUMPRODUCT(($B$2=Таблица2[Филиал])*($B$3=Таблица2[ФЕР/ТЕР])*(F29=Таблица2[Наименование работ])*(G29=Таблица2[ТПиР/НСиР])*Таблица2[ПИР2013-10])</f>
        <v>0</v>
      </c>
      <c r="O29" s="63">
        <f>T29*SUMPRODUCT(($B$2=Таблица2[Филиал])*($B$3=Таблица2[ФЕР/ТЕР])*(F29=Таблица2[Наименование работ])*(G29=Таблица2[ТПиР/НСиР])*Таблица2[СМР2013-10])</f>
        <v>0</v>
      </c>
      <c r="P29" s="63">
        <f>U29*SUMPRODUCT(($B$2=Таблица2[Филиал])*($B$3=Таблица2[ФЕР/ТЕР])*(F29=Таблица2[Наименование работ])*(G29=Таблица2[ТПиР/НСиР])*Таблица2[ПНР2013-10])</f>
        <v>0</v>
      </c>
      <c r="Q29" s="63">
        <f>V29*SUMPRODUCT(($B$2=Таблица2[Филиал])*($B$3=Таблица2[ФЕР/ТЕР])*(F29=Таблица2[Наименование работ])*(G29=Таблица2[ТПиР/НСиР])*Таблица2[Оборудование2013-10])</f>
        <v>0</v>
      </c>
      <c r="R29" s="63">
        <f>W29*SUMPRODUCT(($B$2=Таблица2[Филиал])*($B$3=Таблица2[ФЕР/ТЕР])*(F29=Таблица2[Наименование работ])*(G29=Таблица2[ТПиР/НСиР])*Таблица2[Прочие2013-10])</f>
        <v>0</v>
      </c>
      <c r="S29" s="63">
        <f>IF($B$4="в базовых ценах",калькулятор!J33,X29*SUMPRODUCT(($B$2=Таблица2[Филиал])*($B$3=Таблица2[ФЕР/ТЕР])*(F29=Таблица2[Наименование работ])*(G29=Таблица2[ТПиР/НСиР])/Таблица2[ПИР2013]))</f>
        <v>0</v>
      </c>
      <c r="T29" s="63">
        <f>IF($B$4="в базовых ценах",калькулятор!K33,Y29*SUMPRODUCT(($B$2=Таблица2[Филиал])*($B$3=Таблица2[ФЕР/ТЕР])*(F29=Таблица2[Наименование работ])*(G29=Таблица2[ТПиР/НСиР])/Таблица2[СМР2013]))</f>
        <v>0</v>
      </c>
      <c r="U29" s="63">
        <f>IF($B$4="в базовых ценах",калькулятор!L33,Z29*SUMPRODUCT(($B$2=Таблица2[Филиал])*($B$3=Таблица2[ФЕР/ТЕР])*(F29=Таблица2[Наименование работ])*(G29=Таблица2[ТПиР/НСиР])/Таблица2[ПНР2013]))</f>
        <v>0</v>
      </c>
      <c r="V29" s="63">
        <f>IF($B$4="в базовых ценах",калькулятор!M33,AA29*SUMPRODUCT(($B$2=Таблица2[Филиал])*($B$3=Таблица2[ФЕР/ТЕР])*(F29=Таблица2[Наименование работ])*(G29=Таблица2[ТПиР/НСиР])/Таблица2[Оборудование2013]))</f>
        <v>0</v>
      </c>
      <c r="W29" s="63">
        <f>IF($B$4="в базовых ценах",калькулятор!N33,AB29*SUMPRODUCT(($B$2=Таблица2[Филиал])*($B$3=Таблица2[ФЕР/ТЕР])*(F29=Таблица2[Наименование работ])*(G29=Таблица2[ТПиР/НСиР])/Таблица2[Прочие3]))</f>
        <v>0</v>
      </c>
      <c r="X29" s="63">
        <f>IF($B$4="в текущих ценах",калькулятор!J33,S29*SUMPRODUCT(($B$2=Таблица2[Филиал])*($B$3=Таблица2[ФЕР/ТЕР])*(F29=Таблица2[Наименование работ])*(G29=Таблица2[ТПиР/НСиР])*Таблица2[ПИР2013]))</f>
        <v>0</v>
      </c>
      <c r="Y29" s="63">
        <f>IF($B$4="в текущих ценах",калькулятор!K33,T29*SUMPRODUCT(($B$2=Таблица2[Филиал])*($B$3=Таблица2[ФЕР/ТЕР])*(F29=Таблица2[Наименование работ])*(G29=Таблица2[ТПиР/НСиР])*Таблица2[СМР2013]))</f>
        <v>0</v>
      </c>
      <c r="Z29" s="63">
        <f>IF($B$4="в текущих ценах",калькулятор!L33,U29*SUMPRODUCT(($B$2=Таблица2[Филиал])*($B$3=Таблица2[ФЕР/ТЕР])*(F29=Таблица2[Наименование работ])*(G29=Таблица2[ТПиР/НСиР])*Таблица2[ПНР2013]))</f>
        <v>0</v>
      </c>
      <c r="AA29" s="63">
        <f>IF($B$4="в текущих ценах",калькулятор!M33,V29*SUMPRODUCT(($B$2=Таблица2[Филиал])*($B$3=Таблица2[ФЕР/ТЕР])*(F29=Таблица2[Наименование работ])*(G29=Таблица2[ТПиР/НСиР])*Таблица2[Оборудование2013]))</f>
        <v>0</v>
      </c>
      <c r="AB29" s="63">
        <f>IF($B$4="в текущих ценах",калькулятор!N33,W29*SUMPRODUCT(($B$2=Таблица2[Филиал])*($B$3=Таблица2[ФЕР/ТЕР])*(F29=Таблица2[Наименование работ])*(G29=Таблица2[ТПиР/НСиР])*Таблица2[Прочие3]))</f>
        <v>0</v>
      </c>
      <c r="AC29" s="63">
        <f>SUM(данные!$I29:$M29)</f>
        <v>0</v>
      </c>
      <c r="AD29" s="63">
        <f>IF(SUM(данные!$N29:$R29)&gt;данные!$AF29,данные!$AF29*0.9*1.058,SUM(данные!$N29:$R29))</f>
        <v>0</v>
      </c>
      <c r="AE29" s="63">
        <f>SUM(данные!$S29:$W29)</f>
        <v>0</v>
      </c>
      <c r="AF29" s="63">
        <f>SUM(данные!$X29:$AB29)</f>
        <v>0</v>
      </c>
      <c r="AG29" s="63">
        <f>IF($B$4="в текущих ценах",S29*SUMPRODUCT(($B$2=Таблица2[Филиал])*($B$3=Таблица2[ФЕР/ТЕР])*(F29=Таблица2[Наименование работ])*(G29=Таблица2[ТПиР/НСиР])*Таблица2[ПИР2012]),S29*SUMPRODUCT(($B$2=Таблица2[Филиал])*($B$3=Таблица2[ФЕР/ТЕР])*(F29=Таблица2[Наименование работ])*(G29=Таблица2[ТПиР/НСиР])*Таблица2[ПИР2012]))</f>
        <v>0</v>
      </c>
      <c r="AH29" s="63">
        <f>IF($B$4="в текущих ценах",T29*SUMPRODUCT(($B$2=Таблица2[Филиал])*($B$3=Таблица2[ФЕР/ТЕР])*(F29=Таблица2[Наименование работ])*(G29=Таблица2[ТПиР/НСиР])*Таблица2[СМР2012]),T29*SUMPRODUCT(($B$2=Таблица2[Филиал])*($B$3=Таблица2[ФЕР/ТЕР])*(F29=Таблица2[Наименование работ])*(G29=Таблица2[ТПиР/НСиР])*Таблица2[СМР2012]))</f>
        <v>0</v>
      </c>
      <c r="AI29" s="63">
        <f>IF($B$4="в текущих ценах",U29*SUMPRODUCT(($B$2=Таблица2[Филиал])*($B$3=Таблица2[ФЕР/ТЕР])*(F29=Таблица2[Наименование работ])*(G29=Таблица2[ТПиР/НСиР])*Таблица2[ПНР2012]),U29*SUMPRODUCT(($B$2=Таблица2[Филиал])*($B$3=Таблица2[ФЕР/ТЕР])*(F29=Таблица2[Наименование работ])*(G29=Таблица2[ТПиР/НСиР])*Таблица2[ПНР2012]))</f>
        <v>0</v>
      </c>
      <c r="AJ29" s="63">
        <f>IF($B$4="в текущих ценах",V29*SUMPRODUCT(($B$2=Таблица2[Филиал])*($B$3=Таблица2[ФЕР/ТЕР])*(F29=Таблица2[Наименование работ])*(G29=Таблица2[ТПиР/НСиР])*Таблица2[Оборудование2012]),V29*SUMPRODUCT(($B$2=Таблица2[Филиал])*($B$3=Таблица2[ФЕР/ТЕР])*(F29=Таблица2[Наименование работ])*(G29=Таблица2[ТПиР/НСиР])*Таблица2[Оборудование2012]))</f>
        <v>0</v>
      </c>
      <c r="AK29" s="63">
        <f>IF($B$4="в текущих ценах",W29*SUMPRODUCT(($B$2=Таблица2[Филиал])*($B$3=Таблица2[ФЕР/ТЕР])*(F29=Таблица2[Наименование работ])*(G29=Таблица2[ТПиР/НСиР])*Таблица2[Прочее2012]),W29*SUMPRODUCT(($B$2=Таблица2[Филиал])*($B$3=Таблица2[ФЕР/ТЕР])*(F29=Таблица2[Наименование работ])*(G29=Таблица2[ТПиР/НСиР])*Таблица2[Прочее2012]))</f>
        <v>0</v>
      </c>
      <c r="AL29" s="63">
        <f>данные!$X29+данные!$Y29+данные!$Z29+данные!$AA29+данные!$AB29</f>
        <v>0</v>
      </c>
      <c r="AM29" s="63">
        <v>1.03639035</v>
      </c>
      <c r="AN29" s="63">
        <v>1.0114049394</v>
      </c>
      <c r="AO29" s="63">
        <v>0.98210394336149998</v>
      </c>
      <c r="AP29" s="63">
        <v>0.93762413895893393</v>
      </c>
      <c r="AQ29" s="63"/>
      <c r="AR29" s="63"/>
      <c r="AS29" s="64"/>
      <c r="AU29" s="66">
        <f t="shared" si="5"/>
        <v>0</v>
      </c>
      <c r="AX29" s="66">
        <f t="shared" si="0"/>
        <v>0</v>
      </c>
      <c r="AY29" s="66">
        <f t="shared" si="1"/>
        <v>0</v>
      </c>
      <c r="AZ29" s="66">
        <f t="shared" si="2"/>
        <v>0</v>
      </c>
      <c r="BA29" s="66">
        <f t="shared" si="3"/>
        <v>0</v>
      </c>
      <c r="BB29" s="66">
        <f t="shared" si="4"/>
        <v>0</v>
      </c>
    </row>
    <row r="30" spans="4:54" x14ac:dyDescent="0.25">
      <c r="D30" s="62">
        <f>калькулятор!C34</f>
        <v>0</v>
      </c>
      <c r="E30" s="62">
        <f>калькулятор!F34</f>
        <v>0</v>
      </c>
      <c r="F30" s="62">
        <f>калькулятор!G34</f>
        <v>0</v>
      </c>
      <c r="G30" s="62">
        <f>калькулятор!H34</f>
        <v>0</v>
      </c>
      <c r="H30" s="62">
        <f>калькулятор!I34</f>
        <v>0</v>
      </c>
      <c r="I30" s="63">
        <f>S30*SUMPRODUCT(($B$2=Таблица2[Филиал])*($B$3=Таблица2[ФЕР/ТЕР])*(F30=Таблица2[Наименование работ])*(G30=Таблица2[ТПиР/НСиР])*Таблица2[ПИР2010])</f>
        <v>0</v>
      </c>
      <c r="J30" s="63">
        <f>T30*SUMPRODUCT(($B$2=Таблица2[Филиал])*($B$3=Таблица2[ФЕР/ТЕР])*(F30=Таблица2[Наименование работ])*(G30=Таблица2[ТПиР/НСиР])*Таблица2[СМР2010])</f>
        <v>0</v>
      </c>
      <c r="K30" s="63">
        <f>U30*SUMPRODUCT(($B$2=Таблица2[Филиал])*($B$3=Таблица2[ФЕР/ТЕР])*(F30=Таблица2[Наименование работ])*(G30=Таблица2[ТПиР/НСиР])*Таблица2[ПНР2010])</f>
        <v>0</v>
      </c>
      <c r="L30" s="63">
        <f>V30*SUMPRODUCT(($B$2=Таблица2[Филиал])*($B$3=Таблица2[ФЕР/ТЕР])*(F30=Таблица2[Наименование работ])*(G30=Таблица2[ТПиР/НСиР])*Таблица2[Оборудование2010])</f>
        <v>0</v>
      </c>
      <c r="M30" s="63">
        <f>W30*SUMPRODUCT(($B$2=Таблица2[Филиал])*($B$3=Таблица2[ФЕР/ТЕР])*(F30=Таблица2[Наименование работ])*(G30=Таблица2[ТПиР/НСиР])*Таблица2[Прочие2010])</f>
        <v>0</v>
      </c>
      <c r="N30" s="63">
        <f>S30*SUMPRODUCT(($B$2=Таблица2[Филиал])*($B$3=Таблица2[ФЕР/ТЕР])*(F30=Таблица2[Наименование работ])*(G30=Таблица2[ТПиР/НСиР])*Таблица2[ПИР2013-10])</f>
        <v>0</v>
      </c>
      <c r="O30" s="63">
        <f>T30*SUMPRODUCT(($B$2=Таблица2[Филиал])*($B$3=Таблица2[ФЕР/ТЕР])*(F30=Таблица2[Наименование работ])*(G30=Таблица2[ТПиР/НСиР])*Таблица2[СМР2013-10])</f>
        <v>0</v>
      </c>
      <c r="P30" s="63">
        <f>U30*SUMPRODUCT(($B$2=Таблица2[Филиал])*($B$3=Таблица2[ФЕР/ТЕР])*(F30=Таблица2[Наименование работ])*(G30=Таблица2[ТПиР/НСиР])*Таблица2[ПНР2013-10])</f>
        <v>0</v>
      </c>
      <c r="Q30" s="63">
        <f>V30*SUMPRODUCT(($B$2=Таблица2[Филиал])*($B$3=Таблица2[ФЕР/ТЕР])*(F30=Таблица2[Наименование работ])*(G30=Таблица2[ТПиР/НСиР])*Таблица2[Оборудование2013-10])</f>
        <v>0</v>
      </c>
      <c r="R30" s="63">
        <f>W30*SUMPRODUCT(($B$2=Таблица2[Филиал])*($B$3=Таблица2[ФЕР/ТЕР])*(F30=Таблица2[Наименование работ])*(G30=Таблица2[ТПиР/НСиР])*Таблица2[Прочие2013-10])</f>
        <v>0</v>
      </c>
      <c r="S30" s="63">
        <f>IF($B$4="в базовых ценах",калькулятор!J34,X30*SUMPRODUCT(($B$2=Таблица2[Филиал])*($B$3=Таблица2[ФЕР/ТЕР])*(F30=Таблица2[Наименование работ])*(G30=Таблица2[ТПиР/НСиР])/Таблица2[ПИР2013]))</f>
        <v>0</v>
      </c>
      <c r="T30" s="63">
        <f>IF($B$4="в базовых ценах",калькулятор!K34,Y30*SUMPRODUCT(($B$2=Таблица2[Филиал])*($B$3=Таблица2[ФЕР/ТЕР])*(F30=Таблица2[Наименование работ])*(G30=Таблица2[ТПиР/НСиР])/Таблица2[СМР2013]))</f>
        <v>0</v>
      </c>
      <c r="U30" s="63">
        <f>IF($B$4="в базовых ценах",калькулятор!L34,Z30*SUMPRODUCT(($B$2=Таблица2[Филиал])*($B$3=Таблица2[ФЕР/ТЕР])*(F30=Таблица2[Наименование работ])*(G30=Таблица2[ТПиР/НСиР])/Таблица2[ПНР2013]))</f>
        <v>0</v>
      </c>
      <c r="V30" s="63">
        <f>IF($B$4="в базовых ценах",калькулятор!M34,AA30*SUMPRODUCT(($B$2=Таблица2[Филиал])*($B$3=Таблица2[ФЕР/ТЕР])*(F30=Таблица2[Наименование работ])*(G30=Таблица2[ТПиР/НСиР])/Таблица2[Оборудование2013]))</f>
        <v>0</v>
      </c>
      <c r="W30" s="63">
        <f>IF($B$4="в базовых ценах",калькулятор!N34,AB30*SUMPRODUCT(($B$2=Таблица2[Филиал])*($B$3=Таблица2[ФЕР/ТЕР])*(F30=Таблица2[Наименование работ])*(G30=Таблица2[ТПиР/НСиР])/Таблица2[Прочие3]))</f>
        <v>0</v>
      </c>
      <c r="X30" s="63">
        <f>IF($B$4="в текущих ценах",калькулятор!J34,S30*SUMPRODUCT(($B$2=Таблица2[Филиал])*($B$3=Таблица2[ФЕР/ТЕР])*(F30=Таблица2[Наименование работ])*(G30=Таблица2[ТПиР/НСиР])*Таблица2[ПИР2013]))</f>
        <v>0</v>
      </c>
      <c r="Y30" s="63">
        <f>IF($B$4="в текущих ценах",калькулятор!K34,T30*SUMPRODUCT(($B$2=Таблица2[Филиал])*($B$3=Таблица2[ФЕР/ТЕР])*(F30=Таблица2[Наименование работ])*(G30=Таблица2[ТПиР/НСиР])*Таблица2[СМР2013]))</f>
        <v>0</v>
      </c>
      <c r="Z30" s="63">
        <f>IF($B$4="в текущих ценах",калькулятор!L34,U30*SUMPRODUCT(($B$2=Таблица2[Филиал])*($B$3=Таблица2[ФЕР/ТЕР])*(F30=Таблица2[Наименование работ])*(G30=Таблица2[ТПиР/НСиР])*Таблица2[ПНР2013]))</f>
        <v>0</v>
      </c>
      <c r="AA30" s="63">
        <f>IF($B$4="в текущих ценах",калькулятор!M34,V30*SUMPRODUCT(($B$2=Таблица2[Филиал])*($B$3=Таблица2[ФЕР/ТЕР])*(F30=Таблица2[Наименование работ])*(G30=Таблица2[ТПиР/НСиР])*Таблица2[Оборудование2013]))</f>
        <v>0</v>
      </c>
      <c r="AB30" s="63">
        <f>IF($B$4="в текущих ценах",калькулятор!N34,W30*SUMPRODUCT(($B$2=Таблица2[Филиал])*($B$3=Таблица2[ФЕР/ТЕР])*(F30=Таблица2[Наименование работ])*(G30=Таблица2[ТПиР/НСиР])*Таблица2[Прочие3]))</f>
        <v>0</v>
      </c>
      <c r="AC30" s="63">
        <f>SUM(данные!$I30:$M30)</f>
        <v>0</v>
      </c>
      <c r="AD30" s="63">
        <f>IF(SUM(данные!$N30:$R30)&gt;данные!$AF30,данные!$AF30*0.9*1.058,SUM(данные!$N30:$R30))</f>
        <v>0</v>
      </c>
      <c r="AE30" s="63">
        <f>SUM(данные!$S30:$W30)</f>
        <v>0</v>
      </c>
      <c r="AF30" s="63">
        <f>SUM(данные!$X30:$AB30)</f>
        <v>0</v>
      </c>
      <c r="AG30" s="63">
        <f>IF($B$4="в текущих ценах",S30*SUMPRODUCT(($B$2=Таблица2[Филиал])*($B$3=Таблица2[ФЕР/ТЕР])*(F30=Таблица2[Наименование работ])*(G30=Таблица2[ТПиР/НСиР])*Таблица2[ПИР2012]),S30*SUMPRODUCT(($B$2=Таблица2[Филиал])*($B$3=Таблица2[ФЕР/ТЕР])*(F30=Таблица2[Наименование работ])*(G30=Таблица2[ТПиР/НСиР])*Таблица2[ПИР2012]))</f>
        <v>0</v>
      </c>
      <c r="AH30" s="63">
        <f>IF($B$4="в текущих ценах",T30*SUMPRODUCT(($B$2=Таблица2[Филиал])*($B$3=Таблица2[ФЕР/ТЕР])*(F30=Таблица2[Наименование работ])*(G30=Таблица2[ТПиР/НСиР])*Таблица2[СМР2012]),T30*SUMPRODUCT(($B$2=Таблица2[Филиал])*($B$3=Таблица2[ФЕР/ТЕР])*(F30=Таблица2[Наименование работ])*(G30=Таблица2[ТПиР/НСиР])*Таблица2[СМР2012]))</f>
        <v>0</v>
      </c>
      <c r="AI30" s="63">
        <f>IF($B$4="в текущих ценах",U30*SUMPRODUCT(($B$2=Таблица2[Филиал])*($B$3=Таблица2[ФЕР/ТЕР])*(F30=Таблица2[Наименование работ])*(G30=Таблица2[ТПиР/НСиР])*Таблица2[ПНР2012]),U30*SUMPRODUCT(($B$2=Таблица2[Филиал])*($B$3=Таблица2[ФЕР/ТЕР])*(F30=Таблица2[Наименование работ])*(G30=Таблица2[ТПиР/НСиР])*Таблица2[ПНР2012]))</f>
        <v>0</v>
      </c>
      <c r="AJ30" s="63">
        <f>IF($B$4="в текущих ценах",V30*SUMPRODUCT(($B$2=Таблица2[Филиал])*($B$3=Таблица2[ФЕР/ТЕР])*(F30=Таблица2[Наименование работ])*(G30=Таблица2[ТПиР/НСиР])*Таблица2[Оборудование2012]),V30*SUMPRODUCT(($B$2=Таблица2[Филиал])*($B$3=Таблица2[ФЕР/ТЕР])*(F30=Таблица2[Наименование работ])*(G30=Таблица2[ТПиР/НСиР])*Таблица2[Оборудование2012]))</f>
        <v>0</v>
      </c>
      <c r="AK30" s="63">
        <f>IF($B$4="в текущих ценах",W30*SUMPRODUCT(($B$2=Таблица2[Филиал])*($B$3=Таблица2[ФЕР/ТЕР])*(F30=Таблица2[Наименование работ])*(G30=Таблица2[ТПиР/НСиР])*Таблица2[Прочее2012]),W30*SUMPRODUCT(($B$2=Таблица2[Филиал])*($B$3=Таблица2[ФЕР/ТЕР])*(F30=Таблица2[Наименование работ])*(G30=Таблица2[ТПиР/НСиР])*Таблица2[Прочее2012]))</f>
        <v>0</v>
      </c>
      <c r="AL30" s="63">
        <f>данные!$X30+данные!$Y30+данные!$Z30+данные!$AA30+данные!$AB30</f>
        <v>0</v>
      </c>
      <c r="AM30" s="63">
        <v>1.03639035</v>
      </c>
      <c r="AN30" s="63">
        <v>1.0114049394</v>
      </c>
      <c r="AO30" s="63">
        <v>0.98210394336149998</v>
      </c>
      <c r="AP30" s="63">
        <v>0.93762413895893393</v>
      </c>
      <c r="AQ30" s="63"/>
      <c r="AR30" s="63"/>
      <c r="AS30" s="64"/>
      <c r="AU30" s="66">
        <f t="shared" si="5"/>
        <v>0</v>
      </c>
      <c r="AX30" s="66">
        <f t="shared" si="0"/>
        <v>0</v>
      </c>
      <c r="AY30" s="66">
        <f t="shared" si="1"/>
        <v>0</v>
      </c>
      <c r="AZ30" s="66">
        <f t="shared" si="2"/>
        <v>0</v>
      </c>
      <c r="BA30" s="66">
        <f t="shared" si="3"/>
        <v>0</v>
      </c>
      <c r="BB30" s="66">
        <f t="shared" si="4"/>
        <v>0</v>
      </c>
    </row>
    <row r="31" spans="4:54" x14ac:dyDescent="0.25">
      <c r="D31" s="62">
        <f>калькулятор!C35</f>
        <v>0</v>
      </c>
      <c r="E31" s="62">
        <f>калькулятор!F35</f>
        <v>0</v>
      </c>
      <c r="F31" s="62">
        <f>калькулятор!G35</f>
        <v>0</v>
      </c>
      <c r="G31" s="62">
        <f>калькулятор!H35</f>
        <v>0</v>
      </c>
      <c r="H31" s="62">
        <f>калькулятор!I35</f>
        <v>0</v>
      </c>
      <c r="I31" s="63">
        <f>S31*SUMPRODUCT(($B$2=Таблица2[Филиал])*($B$3=Таблица2[ФЕР/ТЕР])*(F31=Таблица2[Наименование работ])*(G31=Таблица2[ТПиР/НСиР])*Таблица2[ПИР2010])</f>
        <v>0</v>
      </c>
      <c r="J31" s="63">
        <f>T31*SUMPRODUCT(($B$2=Таблица2[Филиал])*($B$3=Таблица2[ФЕР/ТЕР])*(F31=Таблица2[Наименование работ])*(G31=Таблица2[ТПиР/НСиР])*Таблица2[СМР2010])</f>
        <v>0</v>
      </c>
      <c r="K31" s="63">
        <f>U31*SUMPRODUCT(($B$2=Таблица2[Филиал])*($B$3=Таблица2[ФЕР/ТЕР])*(F31=Таблица2[Наименование работ])*(G31=Таблица2[ТПиР/НСиР])*Таблица2[ПНР2010])</f>
        <v>0</v>
      </c>
      <c r="L31" s="63">
        <f>V31*SUMPRODUCT(($B$2=Таблица2[Филиал])*($B$3=Таблица2[ФЕР/ТЕР])*(F31=Таблица2[Наименование работ])*(G31=Таблица2[ТПиР/НСиР])*Таблица2[Оборудование2010])</f>
        <v>0</v>
      </c>
      <c r="M31" s="63">
        <f>W31*SUMPRODUCT(($B$2=Таблица2[Филиал])*($B$3=Таблица2[ФЕР/ТЕР])*(F31=Таблица2[Наименование работ])*(G31=Таблица2[ТПиР/НСиР])*Таблица2[Прочие2010])</f>
        <v>0</v>
      </c>
      <c r="N31" s="63">
        <f>S31*SUMPRODUCT(($B$2=Таблица2[Филиал])*($B$3=Таблица2[ФЕР/ТЕР])*(F31=Таблица2[Наименование работ])*(G31=Таблица2[ТПиР/НСиР])*Таблица2[ПИР2013-10])</f>
        <v>0</v>
      </c>
      <c r="O31" s="63">
        <f>T31*SUMPRODUCT(($B$2=Таблица2[Филиал])*($B$3=Таблица2[ФЕР/ТЕР])*(F31=Таблица2[Наименование работ])*(G31=Таблица2[ТПиР/НСиР])*Таблица2[СМР2013-10])</f>
        <v>0</v>
      </c>
      <c r="P31" s="63">
        <f>U31*SUMPRODUCT(($B$2=Таблица2[Филиал])*($B$3=Таблица2[ФЕР/ТЕР])*(F31=Таблица2[Наименование работ])*(G31=Таблица2[ТПиР/НСиР])*Таблица2[ПНР2013-10])</f>
        <v>0</v>
      </c>
      <c r="Q31" s="63">
        <f>V31*SUMPRODUCT(($B$2=Таблица2[Филиал])*($B$3=Таблица2[ФЕР/ТЕР])*(F31=Таблица2[Наименование работ])*(G31=Таблица2[ТПиР/НСиР])*Таблица2[Оборудование2013-10])</f>
        <v>0</v>
      </c>
      <c r="R31" s="63">
        <f>W31*SUMPRODUCT(($B$2=Таблица2[Филиал])*($B$3=Таблица2[ФЕР/ТЕР])*(F31=Таблица2[Наименование работ])*(G31=Таблица2[ТПиР/НСиР])*Таблица2[Прочие2013-10])</f>
        <v>0</v>
      </c>
      <c r="S31" s="63">
        <f>IF($B$4="в базовых ценах",калькулятор!J35,X31*SUMPRODUCT(($B$2=Таблица2[Филиал])*($B$3=Таблица2[ФЕР/ТЕР])*(F31=Таблица2[Наименование работ])*(G31=Таблица2[ТПиР/НСиР])/Таблица2[ПИР2013]))</f>
        <v>0</v>
      </c>
      <c r="T31" s="63">
        <f>IF($B$4="в базовых ценах",калькулятор!K35,Y31*SUMPRODUCT(($B$2=Таблица2[Филиал])*($B$3=Таблица2[ФЕР/ТЕР])*(F31=Таблица2[Наименование работ])*(G31=Таблица2[ТПиР/НСиР])/Таблица2[СМР2013]))</f>
        <v>0</v>
      </c>
      <c r="U31" s="63">
        <f>IF($B$4="в базовых ценах",калькулятор!L35,Z31*SUMPRODUCT(($B$2=Таблица2[Филиал])*($B$3=Таблица2[ФЕР/ТЕР])*(F31=Таблица2[Наименование работ])*(G31=Таблица2[ТПиР/НСиР])/Таблица2[ПНР2013]))</f>
        <v>0</v>
      </c>
      <c r="V31" s="63">
        <f>IF($B$4="в базовых ценах",калькулятор!M35,AA31*SUMPRODUCT(($B$2=Таблица2[Филиал])*($B$3=Таблица2[ФЕР/ТЕР])*(F31=Таблица2[Наименование работ])*(G31=Таблица2[ТПиР/НСиР])/Таблица2[Оборудование2013]))</f>
        <v>0</v>
      </c>
      <c r="W31" s="63">
        <f>IF($B$4="в базовых ценах",калькулятор!N35,AB31*SUMPRODUCT(($B$2=Таблица2[Филиал])*($B$3=Таблица2[ФЕР/ТЕР])*(F31=Таблица2[Наименование работ])*(G31=Таблица2[ТПиР/НСиР])/Таблица2[Прочие3]))</f>
        <v>0</v>
      </c>
      <c r="X31" s="63">
        <f>IF($B$4="в текущих ценах",калькулятор!J35,S31*SUMPRODUCT(($B$2=Таблица2[Филиал])*($B$3=Таблица2[ФЕР/ТЕР])*(F31=Таблица2[Наименование работ])*(G31=Таблица2[ТПиР/НСиР])*Таблица2[ПИР2013]))</f>
        <v>0</v>
      </c>
      <c r="Y31" s="63">
        <f>IF($B$4="в текущих ценах",калькулятор!K35,T31*SUMPRODUCT(($B$2=Таблица2[Филиал])*($B$3=Таблица2[ФЕР/ТЕР])*(F31=Таблица2[Наименование работ])*(G31=Таблица2[ТПиР/НСиР])*Таблица2[СМР2013]))</f>
        <v>0</v>
      </c>
      <c r="Z31" s="63">
        <f>IF($B$4="в текущих ценах",калькулятор!L35,U31*SUMPRODUCT(($B$2=Таблица2[Филиал])*($B$3=Таблица2[ФЕР/ТЕР])*(F31=Таблица2[Наименование работ])*(G31=Таблица2[ТПиР/НСиР])*Таблица2[ПНР2013]))</f>
        <v>0</v>
      </c>
      <c r="AA31" s="63">
        <f>IF($B$4="в текущих ценах",калькулятор!M35,V31*SUMPRODUCT(($B$2=Таблица2[Филиал])*($B$3=Таблица2[ФЕР/ТЕР])*(F31=Таблица2[Наименование работ])*(G31=Таблица2[ТПиР/НСиР])*Таблица2[Оборудование2013]))</f>
        <v>0</v>
      </c>
      <c r="AB31" s="63">
        <f>IF($B$4="в текущих ценах",калькулятор!N35,W31*SUMPRODUCT(($B$2=Таблица2[Филиал])*($B$3=Таблица2[ФЕР/ТЕР])*(F31=Таблица2[Наименование работ])*(G31=Таблица2[ТПиР/НСиР])*Таблица2[Прочие3]))</f>
        <v>0</v>
      </c>
      <c r="AC31" s="63">
        <f>SUM(данные!$I31:$M31)</f>
        <v>0</v>
      </c>
      <c r="AD31" s="63">
        <f>IF(SUM(данные!$N31:$R31)&gt;данные!$AF31,данные!$AF31*0.9*1.058,SUM(данные!$N31:$R31))</f>
        <v>0</v>
      </c>
      <c r="AE31" s="63">
        <f>SUM(данные!$S31:$W31)</f>
        <v>0</v>
      </c>
      <c r="AF31" s="63">
        <f>SUM(данные!$X31:$AB31)</f>
        <v>0</v>
      </c>
      <c r="AG31" s="63">
        <f>IF($B$4="в текущих ценах",S31*SUMPRODUCT(($B$2=Таблица2[Филиал])*($B$3=Таблица2[ФЕР/ТЕР])*(F31=Таблица2[Наименование работ])*(G31=Таблица2[ТПиР/НСиР])*Таблица2[ПИР2012]),S31*SUMPRODUCT(($B$2=Таблица2[Филиал])*($B$3=Таблица2[ФЕР/ТЕР])*(F31=Таблица2[Наименование работ])*(G31=Таблица2[ТПиР/НСиР])*Таблица2[ПИР2012]))</f>
        <v>0</v>
      </c>
      <c r="AH31" s="63">
        <f>IF($B$4="в текущих ценах",T31*SUMPRODUCT(($B$2=Таблица2[Филиал])*($B$3=Таблица2[ФЕР/ТЕР])*(F31=Таблица2[Наименование работ])*(G31=Таблица2[ТПиР/НСиР])*Таблица2[СМР2012]),T31*SUMPRODUCT(($B$2=Таблица2[Филиал])*($B$3=Таблица2[ФЕР/ТЕР])*(F31=Таблица2[Наименование работ])*(G31=Таблица2[ТПиР/НСиР])*Таблица2[СМР2012]))</f>
        <v>0</v>
      </c>
      <c r="AI31" s="63">
        <f>IF($B$4="в текущих ценах",U31*SUMPRODUCT(($B$2=Таблица2[Филиал])*($B$3=Таблица2[ФЕР/ТЕР])*(F31=Таблица2[Наименование работ])*(G31=Таблица2[ТПиР/НСиР])*Таблица2[ПНР2012]),U31*SUMPRODUCT(($B$2=Таблица2[Филиал])*($B$3=Таблица2[ФЕР/ТЕР])*(F31=Таблица2[Наименование работ])*(G31=Таблица2[ТПиР/НСиР])*Таблица2[ПНР2012]))</f>
        <v>0</v>
      </c>
      <c r="AJ31" s="63">
        <f>IF($B$4="в текущих ценах",V31*SUMPRODUCT(($B$2=Таблица2[Филиал])*($B$3=Таблица2[ФЕР/ТЕР])*(F31=Таблица2[Наименование работ])*(G31=Таблица2[ТПиР/НСиР])*Таблица2[Оборудование2012]),V31*SUMPRODUCT(($B$2=Таблица2[Филиал])*($B$3=Таблица2[ФЕР/ТЕР])*(F31=Таблица2[Наименование работ])*(G31=Таблица2[ТПиР/НСиР])*Таблица2[Оборудование2012]))</f>
        <v>0</v>
      </c>
      <c r="AK31" s="63">
        <f>IF($B$4="в текущих ценах",W31*SUMPRODUCT(($B$2=Таблица2[Филиал])*($B$3=Таблица2[ФЕР/ТЕР])*(F31=Таблица2[Наименование работ])*(G31=Таблица2[ТПиР/НСиР])*Таблица2[Прочее2012]),W31*SUMPRODUCT(($B$2=Таблица2[Филиал])*($B$3=Таблица2[ФЕР/ТЕР])*(F31=Таблица2[Наименование работ])*(G31=Таблица2[ТПиР/НСиР])*Таблица2[Прочее2012]))</f>
        <v>0</v>
      </c>
      <c r="AL31" s="63">
        <f>данные!$X31+данные!$Y31+данные!$Z31+данные!$AA31+данные!$AB31</f>
        <v>0</v>
      </c>
      <c r="AM31" s="63">
        <v>1.03639035</v>
      </c>
      <c r="AN31" s="63">
        <v>1.0114049394</v>
      </c>
      <c r="AO31" s="63">
        <v>0.98210394336149998</v>
      </c>
      <c r="AP31" s="63">
        <v>0.93762413895893393</v>
      </c>
      <c r="AQ31" s="63"/>
      <c r="AR31" s="63"/>
      <c r="AS31" s="64"/>
      <c r="AU31" s="66">
        <f t="shared" si="5"/>
        <v>0</v>
      </c>
      <c r="AX31" s="66">
        <f t="shared" si="0"/>
        <v>0</v>
      </c>
      <c r="AY31" s="66">
        <f t="shared" si="1"/>
        <v>0</v>
      </c>
      <c r="AZ31" s="66">
        <f t="shared" si="2"/>
        <v>0</v>
      </c>
      <c r="BA31" s="66">
        <f t="shared" si="3"/>
        <v>0</v>
      </c>
      <c r="BB31" s="66">
        <f t="shared" si="4"/>
        <v>0</v>
      </c>
    </row>
    <row r="32" spans="4:54" x14ac:dyDescent="0.25">
      <c r="D32" s="62">
        <f>калькулятор!C36</f>
        <v>0</v>
      </c>
      <c r="E32" s="62">
        <f>калькулятор!F36</f>
        <v>0</v>
      </c>
      <c r="F32" s="62">
        <f>калькулятор!G36</f>
        <v>0</v>
      </c>
      <c r="G32" s="62">
        <f>калькулятор!H36</f>
        <v>0</v>
      </c>
      <c r="H32" s="62">
        <f>калькулятор!I36</f>
        <v>0</v>
      </c>
      <c r="I32" s="63">
        <f>S32*SUMPRODUCT(($B$2=Таблица2[Филиал])*($B$3=Таблица2[ФЕР/ТЕР])*(F32=Таблица2[Наименование работ])*(G32=Таблица2[ТПиР/НСиР])*Таблица2[ПИР2010])</f>
        <v>0</v>
      </c>
      <c r="J32" s="63">
        <f>T32*SUMPRODUCT(($B$2=Таблица2[Филиал])*($B$3=Таблица2[ФЕР/ТЕР])*(F32=Таблица2[Наименование работ])*(G32=Таблица2[ТПиР/НСиР])*Таблица2[СМР2010])</f>
        <v>0</v>
      </c>
      <c r="K32" s="63">
        <f>U32*SUMPRODUCT(($B$2=Таблица2[Филиал])*($B$3=Таблица2[ФЕР/ТЕР])*(F32=Таблица2[Наименование работ])*(G32=Таблица2[ТПиР/НСиР])*Таблица2[ПНР2010])</f>
        <v>0</v>
      </c>
      <c r="L32" s="63">
        <f>V32*SUMPRODUCT(($B$2=Таблица2[Филиал])*($B$3=Таблица2[ФЕР/ТЕР])*(F32=Таблица2[Наименование работ])*(G32=Таблица2[ТПиР/НСиР])*Таблица2[Оборудование2010])</f>
        <v>0</v>
      </c>
      <c r="M32" s="63">
        <f>W32*SUMPRODUCT(($B$2=Таблица2[Филиал])*($B$3=Таблица2[ФЕР/ТЕР])*(F32=Таблица2[Наименование работ])*(G32=Таблица2[ТПиР/НСиР])*Таблица2[Прочие2010])</f>
        <v>0</v>
      </c>
      <c r="N32" s="63">
        <f>S32*SUMPRODUCT(($B$2=Таблица2[Филиал])*($B$3=Таблица2[ФЕР/ТЕР])*(F32=Таблица2[Наименование работ])*(G32=Таблица2[ТПиР/НСиР])*Таблица2[ПИР2013-10])</f>
        <v>0</v>
      </c>
      <c r="O32" s="63">
        <f>T32*SUMPRODUCT(($B$2=Таблица2[Филиал])*($B$3=Таблица2[ФЕР/ТЕР])*(F32=Таблица2[Наименование работ])*(G32=Таблица2[ТПиР/НСиР])*Таблица2[СМР2013-10])</f>
        <v>0</v>
      </c>
      <c r="P32" s="63">
        <f>U32*SUMPRODUCT(($B$2=Таблица2[Филиал])*($B$3=Таблица2[ФЕР/ТЕР])*(F32=Таблица2[Наименование работ])*(G32=Таблица2[ТПиР/НСиР])*Таблица2[ПНР2013-10])</f>
        <v>0</v>
      </c>
      <c r="Q32" s="63">
        <f>V32*SUMPRODUCT(($B$2=Таблица2[Филиал])*($B$3=Таблица2[ФЕР/ТЕР])*(F32=Таблица2[Наименование работ])*(G32=Таблица2[ТПиР/НСиР])*Таблица2[Оборудование2013-10])</f>
        <v>0</v>
      </c>
      <c r="R32" s="63">
        <f>W32*SUMPRODUCT(($B$2=Таблица2[Филиал])*($B$3=Таблица2[ФЕР/ТЕР])*(F32=Таблица2[Наименование работ])*(G32=Таблица2[ТПиР/НСиР])*Таблица2[Прочие2013-10])</f>
        <v>0</v>
      </c>
      <c r="S32" s="63">
        <f>IF($B$4="в базовых ценах",калькулятор!J36,X32*SUMPRODUCT(($B$2=Таблица2[Филиал])*($B$3=Таблица2[ФЕР/ТЕР])*(F32=Таблица2[Наименование работ])*(G32=Таблица2[ТПиР/НСиР])/Таблица2[ПИР2013]))</f>
        <v>0</v>
      </c>
      <c r="T32" s="63">
        <f>IF($B$4="в базовых ценах",калькулятор!K36,Y32*SUMPRODUCT(($B$2=Таблица2[Филиал])*($B$3=Таблица2[ФЕР/ТЕР])*(F32=Таблица2[Наименование работ])*(G32=Таблица2[ТПиР/НСиР])/Таблица2[СМР2013]))</f>
        <v>0</v>
      </c>
      <c r="U32" s="63">
        <f>IF($B$4="в базовых ценах",калькулятор!L36,Z32*SUMPRODUCT(($B$2=Таблица2[Филиал])*($B$3=Таблица2[ФЕР/ТЕР])*(F32=Таблица2[Наименование работ])*(G32=Таблица2[ТПиР/НСиР])/Таблица2[ПНР2013]))</f>
        <v>0</v>
      </c>
      <c r="V32" s="63">
        <f>IF($B$4="в базовых ценах",калькулятор!M36,AA32*SUMPRODUCT(($B$2=Таблица2[Филиал])*($B$3=Таблица2[ФЕР/ТЕР])*(F32=Таблица2[Наименование работ])*(G32=Таблица2[ТПиР/НСиР])/Таблица2[Оборудование2013]))</f>
        <v>0</v>
      </c>
      <c r="W32" s="63">
        <f>IF($B$4="в базовых ценах",калькулятор!N36,AB32*SUMPRODUCT(($B$2=Таблица2[Филиал])*($B$3=Таблица2[ФЕР/ТЕР])*(F32=Таблица2[Наименование работ])*(G32=Таблица2[ТПиР/НСиР])/Таблица2[Прочие3]))</f>
        <v>0</v>
      </c>
      <c r="X32" s="63">
        <f>IF($B$4="в текущих ценах",калькулятор!J36,S32*SUMPRODUCT(($B$2=Таблица2[Филиал])*($B$3=Таблица2[ФЕР/ТЕР])*(F32=Таблица2[Наименование работ])*(G32=Таблица2[ТПиР/НСиР])*Таблица2[ПИР2013]))</f>
        <v>0</v>
      </c>
      <c r="Y32" s="63">
        <f>IF($B$4="в текущих ценах",калькулятор!K36,T32*SUMPRODUCT(($B$2=Таблица2[Филиал])*($B$3=Таблица2[ФЕР/ТЕР])*(F32=Таблица2[Наименование работ])*(G32=Таблица2[ТПиР/НСиР])*Таблица2[СМР2013]))</f>
        <v>0</v>
      </c>
      <c r="Z32" s="63">
        <f>IF($B$4="в текущих ценах",калькулятор!L36,U32*SUMPRODUCT(($B$2=Таблица2[Филиал])*($B$3=Таблица2[ФЕР/ТЕР])*(F32=Таблица2[Наименование работ])*(G32=Таблица2[ТПиР/НСиР])*Таблица2[ПНР2013]))</f>
        <v>0</v>
      </c>
      <c r="AA32" s="63">
        <f>IF($B$4="в текущих ценах",калькулятор!M36,V32*SUMPRODUCT(($B$2=Таблица2[Филиал])*($B$3=Таблица2[ФЕР/ТЕР])*(F32=Таблица2[Наименование работ])*(G32=Таблица2[ТПиР/НСиР])*Таблица2[Оборудование2013]))</f>
        <v>0</v>
      </c>
      <c r="AB32" s="63">
        <f>IF($B$4="в текущих ценах",калькулятор!N36,W32*SUMPRODUCT(($B$2=Таблица2[Филиал])*($B$3=Таблица2[ФЕР/ТЕР])*(F32=Таблица2[Наименование работ])*(G32=Таблица2[ТПиР/НСиР])*Таблица2[Прочие3]))</f>
        <v>0</v>
      </c>
      <c r="AC32" s="63">
        <f>SUM(данные!$I32:$M32)</f>
        <v>0</v>
      </c>
      <c r="AD32" s="63">
        <f>IF(SUM(данные!$N32:$R32)&gt;данные!$AF32,данные!$AF32*0.9*1.058,SUM(данные!$N32:$R32))</f>
        <v>0</v>
      </c>
      <c r="AE32" s="63">
        <f>SUM(данные!$S32:$W32)</f>
        <v>0</v>
      </c>
      <c r="AF32" s="63">
        <f>SUM(данные!$X32:$AB32)</f>
        <v>0</v>
      </c>
      <c r="AG32" s="63">
        <f>IF($B$4="в текущих ценах",S32*SUMPRODUCT(($B$2=Таблица2[Филиал])*($B$3=Таблица2[ФЕР/ТЕР])*(F32=Таблица2[Наименование работ])*(G32=Таблица2[ТПиР/НСиР])*Таблица2[ПИР2012]),S32*SUMPRODUCT(($B$2=Таблица2[Филиал])*($B$3=Таблица2[ФЕР/ТЕР])*(F32=Таблица2[Наименование работ])*(G32=Таблица2[ТПиР/НСиР])*Таблица2[ПИР2012]))</f>
        <v>0</v>
      </c>
      <c r="AH32" s="63">
        <f>IF($B$4="в текущих ценах",T32*SUMPRODUCT(($B$2=Таблица2[Филиал])*($B$3=Таблица2[ФЕР/ТЕР])*(F32=Таблица2[Наименование работ])*(G32=Таблица2[ТПиР/НСиР])*Таблица2[СМР2012]),T32*SUMPRODUCT(($B$2=Таблица2[Филиал])*($B$3=Таблица2[ФЕР/ТЕР])*(F32=Таблица2[Наименование работ])*(G32=Таблица2[ТПиР/НСиР])*Таблица2[СМР2012]))</f>
        <v>0</v>
      </c>
      <c r="AI32" s="63">
        <f>IF($B$4="в текущих ценах",U32*SUMPRODUCT(($B$2=Таблица2[Филиал])*($B$3=Таблица2[ФЕР/ТЕР])*(F32=Таблица2[Наименование работ])*(G32=Таблица2[ТПиР/НСиР])*Таблица2[ПНР2012]),U32*SUMPRODUCT(($B$2=Таблица2[Филиал])*($B$3=Таблица2[ФЕР/ТЕР])*(F32=Таблица2[Наименование работ])*(G32=Таблица2[ТПиР/НСиР])*Таблица2[ПНР2012]))</f>
        <v>0</v>
      </c>
      <c r="AJ32" s="63">
        <f>IF($B$4="в текущих ценах",V32*SUMPRODUCT(($B$2=Таблица2[Филиал])*($B$3=Таблица2[ФЕР/ТЕР])*(F32=Таблица2[Наименование работ])*(G32=Таблица2[ТПиР/НСиР])*Таблица2[Оборудование2012]),V32*SUMPRODUCT(($B$2=Таблица2[Филиал])*($B$3=Таблица2[ФЕР/ТЕР])*(F32=Таблица2[Наименование работ])*(G32=Таблица2[ТПиР/НСиР])*Таблица2[Оборудование2012]))</f>
        <v>0</v>
      </c>
      <c r="AK32" s="63">
        <f>IF($B$4="в текущих ценах",W32*SUMPRODUCT(($B$2=Таблица2[Филиал])*($B$3=Таблица2[ФЕР/ТЕР])*(F32=Таблица2[Наименование работ])*(G32=Таблица2[ТПиР/НСиР])*Таблица2[Прочее2012]),W32*SUMPRODUCT(($B$2=Таблица2[Филиал])*($B$3=Таблица2[ФЕР/ТЕР])*(F32=Таблица2[Наименование работ])*(G32=Таблица2[ТПиР/НСиР])*Таблица2[Прочее2012]))</f>
        <v>0</v>
      </c>
      <c r="AL32" s="63">
        <f>данные!$X32+данные!$Y32+данные!$Z32+данные!$AA32+данные!$AB32</f>
        <v>0</v>
      </c>
      <c r="AM32" s="63">
        <v>1.03639035</v>
      </c>
      <c r="AN32" s="63">
        <v>1.0114049394</v>
      </c>
      <c r="AO32" s="63">
        <v>0.98210394336149998</v>
      </c>
      <c r="AP32" s="63">
        <v>0.93762413895893393</v>
      </c>
      <c r="AQ32" s="63"/>
      <c r="AR32" s="63"/>
      <c r="AS32" s="64"/>
      <c r="AU32" s="66">
        <f t="shared" si="5"/>
        <v>0</v>
      </c>
      <c r="AX32" s="66">
        <f t="shared" si="0"/>
        <v>0</v>
      </c>
      <c r="AY32" s="66">
        <f t="shared" si="1"/>
        <v>0</v>
      </c>
      <c r="AZ32" s="66">
        <f t="shared" si="2"/>
        <v>0</v>
      </c>
      <c r="BA32" s="66">
        <f t="shared" si="3"/>
        <v>0</v>
      </c>
      <c r="BB32" s="66">
        <f t="shared" si="4"/>
        <v>0</v>
      </c>
    </row>
    <row r="33" spans="4:54" x14ac:dyDescent="0.25">
      <c r="D33" s="62">
        <f>калькулятор!C37</f>
        <v>0</v>
      </c>
      <c r="E33" s="62">
        <f>калькулятор!F37</f>
        <v>0</v>
      </c>
      <c r="F33" s="62">
        <f>калькулятор!G37</f>
        <v>0</v>
      </c>
      <c r="G33" s="62">
        <f>калькулятор!H37</f>
        <v>0</v>
      </c>
      <c r="H33" s="62">
        <f>калькулятор!I37</f>
        <v>0</v>
      </c>
      <c r="I33" s="63">
        <f>S33*SUMPRODUCT(($B$2=Таблица2[Филиал])*($B$3=Таблица2[ФЕР/ТЕР])*(F33=Таблица2[Наименование работ])*(G33=Таблица2[ТПиР/НСиР])*Таблица2[ПИР2010])</f>
        <v>0</v>
      </c>
      <c r="J33" s="63">
        <f>T33*SUMPRODUCT(($B$2=Таблица2[Филиал])*($B$3=Таблица2[ФЕР/ТЕР])*(F33=Таблица2[Наименование работ])*(G33=Таблица2[ТПиР/НСиР])*Таблица2[СМР2010])</f>
        <v>0</v>
      </c>
      <c r="K33" s="63">
        <f>U33*SUMPRODUCT(($B$2=Таблица2[Филиал])*($B$3=Таблица2[ФЕР/ТЕР])*(F33=Таблица2[Наименование работ])*(G33=Таблица2[ТПиР/НСиР])*Таблица2[ПНР2010])</f>
        <v>0</v>
      </c>
      <c r="L33" s="63">
        <f>V33*SUMPRODUCT(($B$2=Таблица2[Филиал])*($B$3=Таблица2[ФЕР/ТЕР])*(F33=Таблица2[Наименование работ])*(G33=Таблица2[ТПиР/НСиР])*Таблица2[Оборудование2010])</f>
        <v>0</v>
      </c>
      <c r="M33" s="63">
        <f>W33*SUMPRODUCT(($B$2=Таблица2[Филиал])*($B$3=Таблица2[ФЕР/ТЕР])*(F33=Таблица2[Наименование работ])*(G33=Таблица2[ТПиР/НСиР])*Таблица2[Прочие2010])</f>
        <v>0</v>
      </c>
      <c r="N33" s="63">
        <f>S33*SUMPRODUCT(($B$2=Таблица2[Филиал])*($B$3=Таблица2[ФЕР/ТЕР])*(F33=Таблица2[Наименование работ])*(G33=Таблица2[ТПиР/НСиР])*Таблица2[ПИР2013-10])</f>
        <v>0</v>
      </c>
      <c r="O33" s="63">
        <f>T33*SUMPRODUCT(($B$2=Таблица2[Филиал])*($B$3=Таблица2[ФЕР/ТЕР])*(F33=Таблица2[Наименование работ])*(G33=Таблица2[ТПиР/НСиР])*Таблица2[СМР2013-10])</f>
        <v>0</v>
      </c>
      <c r="P33" s="63">
        <f>U33*SUMPRODUCT(($B$2=Таблица2[Филиал])*($B$3=Таблица2[ФЕР/ТЕР])*(F33=Таблица2[Наименование работ])*(G33=Таблица2[ТПиР/НСиР])*Таблица2[ПНР2013-10])</f>
        <v>0</v>
      </c>
      <c r="Q33" s="63">
        <f>V33*SUMPRODUCT(($B$2=Таблица2[Филиал])*($B$3=Таблица2[ФЕР/ТЕР])*(F33=Таблица2[Наименование работ])*(G33=Таблица2[ТПиР/НСиР])*Таблица2[Оборудование2013-10])</f>
        <v>0</v>
      </c>
      <c r="R33" s="63">
        <f>W33*SUMPRODUCT(($B$2=Таблица2[Филиал])*($B$3=Таблица2[ФЕР/ТЕР])*(F33=Таблица2[Наименование работ])*(G33=Таблица2[ТПиР/НСиР])*Таблица2[Прочие2013-10])</f>
        <v>0</v>
      </c>
      <c r="S33" s="63">
        <f>IF($B$4="в базовых ценах",калькулятор!J37,X33*SUMPRODUCT(($B$2=Таблица2[Филиал])*($B$3=Таблица2[ФЕР/ТЕР])*(F33=Таблица2[Наименование работ])*(G33=Таблица2[ТПиР/НСиР])/Таблица2[ПИР2013]))</f>
        <v>0</v>
      </c>
      <c r="T33" s="63">
        <f>IF($B$4="в базовых ценах",калькулятор!K37,Y33*SUMPRODUCT(($B$2=Таблица2[Филиал])*($B$3=Таблица2[ФЕР/ТЕР])*(F33=Таблица2[Наименование работ])*(G33=Таблица2[ТПиР/НСиР])/Таблица2[СМР2013]))</f>
        <v>0</v>
      </c>
      <c r="U33" s="63">
        <f>IF($B$4="в базовых ценах",калькулятор!L37,Z33*SUMPRODUCT(($B$2=Таблица2[Филиал])*($B$3=Таблица2[ФЕР/ТЕР])*(F33=Таблица2[Наименование работ])*(G33=Таблица2[ТПиР/НСиР])/Таблица2[ПНР2013]))</f>
        <v>0</v>
      </c>
      <c r="V33" s="63">
        <f>IF($B$4="в базовых ценах",калькулятор!M37,AA33*SUMPRODUCT(($B$2=Таблица2[Филиал])*($B$3=Таблица2[ФЕР/ТЕР])*(F33=Таблица2[Наименование работ])*(G33=Таблица2[ТПиР/НСиР])/Таблица2[Оборудование2013]))</f>
        <v>0</v>
      </c>
      <c r="W33" s="63">
        <f>IF($B$4="в базовых ценах",калькулятор!N37,AB33*SUMPRODUCT(($B$2=Таблица2[Филиал])*($B$3=Таблица2[ФЕР/ТЕР])*(F33=Таблица2[Наименование работ])*(G33=Таблица2[ТПиР/НСиР])/Таблица2[Прочие3]))</f>
        <v>0</v>
      </c>
      <c r="X33" s="63">
        <f>IF($B$4="в текущих ценах",калькулятор!J37,S33*SUMPRODUCT(($B$2=Таблица2[Филиал])*($B$3=Таблица2[ФЕР/ТЕР])*(F33=Таблица2[Наименование работ])*(G33=Таблица2[ТПиР/НСиР])*Таблица2[ПИР2013]))</f>
        <v>0</v>
      </c>
      <c r="Y33" s="63">
        <f>IF($B$4="в текущих ценах",калькулятор!K37,T33*SUMPRODUCT(($B$2=Таблица2[Филиал])*($B$3=Таблица2[ФЕР/ТЕР])*(F33=Таблица2[Наименование работ])*(G33=Таблица2[ТПиР/НСиР])*Таблица2[СМР2013]))</f>
        <v>0</v>
      </c>
      <c r="Z33" s="63">
        <f>IF($B$4="в текущих ценах",калькулятор!L37,U33*SUMPRODUCT(($B$2=Таблица2[Филиал])*($B$3=Таблица2[ФЕР/ТЕР])*(F33=Таблица2[Наименование работ])*(G33=Таблица2[ТПиР/НСиР])*Таблица2[ПНР2013]))</f>
        <v>0</v>
      </c>
      <c r="AA33" s="63">
        <f>IF($B$4="в текущих ценах",калькулятор!M37,V33*SUMPRODUCT(($B$2=Таблица2[Филиал])*($B$3=Таблица2[ФЕР/ТЕР])*(F33=Таблица2[Наименование работ])*(G33=Таблица2[ТПиР/НСиР])*Таблица2[Оборудование2013]))</f>
        <v>0</v>
      </c>
      <c r="AB33" s="63">
        <f>IF($B$4="в текущих ценах",калькулятор!N37,W33*SUMPRODUCT(($B$2=Таблица2[Филиал])*($B$3=Таблица2[ФЕР/ТЕР])*(F33=Таблица2[Наименование работ])*(G33=Таблица2[ТПиР/НСиР])*Таблица2[Прочие3]))</f>
        <v>0</v>
      </c>
      <c r="AC33" s="63">
        <f>SUM(данные!$I33:$M33)</f>
        <v>0</v>
      </c>
      <c r="AD33" s="63">
        <f>IF(SUM(данные!$N33:$R33)&gt;данные!$AF33,данные!$AF33*0.9*1.058,SUM(данные!$N33:$R33))</f>
        <v>0</v>
      </c>
      <c r="AE33" s="63">
        <f>SUM(данные!$S33:$W33)</f>
        <v>0</v>
      </c>
      <c r="AF33" s="63">
        <f>SUM(данные!$X33:$AB33)</f>
        <v>0</v>
      </c>
      <c r="AG33" s="63">
        <f>IF($B$4="в текущих ценах",S33*SUMPRODUCT(($B$2=Таблица2[Филиал])*($B$3=Таблица2[ФЕР/ТЕР])*(F33=Таблица2[Наименование работ])*(G33=Таблица2[ТПиР/НСиР])*Таблица2[ПИР2012]),S33*SUMPRODUCT(($B$2=Таблица2[Филиал])*($B$3=Таблица2[ФЕР/ТЕР])*(F33=Таблица2[Наименование работ])*(G33=Таблица2[ТПиР/НСиР])*Таблица2[ПИР2012]))</f>
        <v>0</v>
      </c>
      <c r="AH33" s="63">
        <f>IF($B$4="в текущих ценах",T33*SUMPRODUCT(($B$2=Таблица2[Филиал])*($B$3=Таблица2[ФЕР/ТЕР])*(F33=Таблица2[Наименование работ])*(G33=Таблица2[ТПиР/НСиР])*Таблица2[СМР2012]),T33*SUMPRODUCT(($B$2=Таблица2[Филиал])*($B$3=Таблица2[ФЕР/ТЕР])*(F33=Таблица2[Наименование работ])*(G33=Таблица2[ТПиР/НСиР])*Таблица2[СМР2012]))</f>
        <v>0</v>
      </c>
      <c r="AI33" s="63">
        <f>IF($B$4="в текущих ценах",U33*SUMPRODUCT(($B$2=Таблица2[Филиал])*($B$3=Таблица2[ФЕР/ТЕР])*(F33=Таблица2[Наименование работ])*(G33=Таблица2[ТПиР/НСиР])*Таблица2[ПНР2012]),U33*SUMPRODUCT(($B$2=Таблица2[Филиал])*($B$3=Таблица2[ФЕР/ТЕР])*(F33=Таблица2[Наименование работ])*(G33=Таблица2[ТПиР/НСиР])*Таблица2[ПНР2012]))</f>
        <v>0</v>
      </c>
      <c r="AJ33" s="63">
        <f>IF($B$4="в текущих ценах",V33*SUMPRODUCT(($B$2=Таблица2[Филиал])*($B$3=Таблица2[ФЕР/ТЕР])*(F33=Таблица2[Наименование работ])*(G33=Таблица2[ТПиР/НСиР])*Таблица2[Оборудование2012]),V33*SUMPRODUCT(($B$2=Таблица2[Филиал])*($B$3=Таблица2[ФЕР/ТЕР])*(F33=Таблица2[Наименование работ])*(G33=Таблица2[ТПиР/НСиР])*Таблица2[Оборудование2012]))</f>
        <v>0</v>
      </c>
      <c r="AK33" s="63">
        <f>IF($B$4="в текущих ценах",W33*SUMPRODUCT(($B$2=Таблица2[Филиал])*($B$3=Таблица2[ФЕР/ТЕР])*(F33=Таблица2[Наименование работ])*(G33=Таблица2[ТПиР/НСиР])*Таблица2[Прочее2012]),W33*SUMPRODUCT(($B$2=Таблица2[Филиал])*($B$3=Таблица2[ФЕР/ТЕР])*(F33=Таблица2[Наименование работ])*(G33=Таблица2[ТПиР/НСиР])*Таблица2[Прочее2012]))</f>
        <v>0</v>
      </c>
      <c r="AL33" s="63">
        <f>данные!$X33+данные!$Y33+данные!$Z33+данные!$AA33+данные!$AB33</f>
        <v>0</v>
      </c>
      <c r="AM33" s="63">
        <v>1.03639035</v>
      </c>
      <c r="AN33" s="63">
        <v>1.0114049394</v>
      </c>
      <c r="AO33" s="63">
        <v>0.98210394336149998</v>
      </c>
      <c r="AP33" s="63">
        <v>0.93762413895893393</v>
      </c>
      <c r="AQ33" s="63"/>
      <c r="AR33" s="63"/>
      <c r="AS33" s="64"/>
      <c r="AU33" s="66">
        <f t="shared" si="5"/>
        <v>0</v>
      </c>
      <c r="AX33" s="66">
        <f t="shared" si="0"/>
        <v>0</v>
      </c>
      <c r="AY33" s="66">
        <f t="shared" si="1"/>
        <v>0</v>
      </c>
      <c r="AZ33" s="66">
        <f t="shared" si="2"/>
        <v>0</v>
      </c>
      <c r="BA33" s="66">
        <f t="shared" si="3"/>
        <v>0</v>
      </c>
      <c r="BB33" s="66">
        <f t="shared" si="4"/>
        <v>0</v>
      </c>
    </row>
    <row r="34" spans="4:54" x14ac:dyDescent="0.25">
      <c r="D34" s="62">
        <f>калькулятор!C38</f>
        <v>0</v>
      </c>
      <c r="E34" s="62">
        <f>калькулятор!F38</f>
        <v>0</v>
      </c>
      <c r="F34" s="62">
        <f>калькулятор!G38</f>
        <v>0</v>
      </c>
      <c r="G34" s="62">
        <f>калькулятор!H38</f>
        <v>0</v>
      </c>
      <c r="H34" s="62">
        <f>калькулятор!I38</f>
        <v>0</v>
      </c>
      <c r="I34" s="63">
        <f>S34*SUMPRODUCT(($B$2=Таблица2[Филиал])*($B$3=Таблица2[ФЕР/ТЕР])*(F34=Таблица2[Наименование работ])*(G34=Таблица2[ТПиР/НСиР])*Таблица2[ПИР2010])</f>
        <v>0</v>
      </c>
      <c r="J34" s="63">
        <f>T34*SUMPRODUCT(($B$2=Таблица2[Филиал])*($B$3=Таблица2[ФЕР/ТЕР])*(F34=Таблица2[Наименование работ])*(G34=Таблица2[ТПиР/НСиР])*Таблица2[СМР2010])</f>
        <v>0</v>
      </c>
      <c r="K34" s="63">
        <f>U34*SUMPRODUCT(($B$2=Таблица2[Филиал])*($B$3=Таблица2[ФЕР/ТЕР])*(F34=Таблица2[Наименование работ])*(G34=Таблица2[ТПиР/НСиР])*Таблица2[ПНР2010])</f>
        <v>0</v>
      </c>
      <c r="L34" s="63">
        <f>V34*SUMPRODUCT(($B$2=Таблица2[Филиал])*($B$3=Таблица2[ФЕР/ТЕР])*(F34=Таблица2[Наименование работ])*(G34=Таблица2[ТПиР/НСиР])*Таблица2[Оборудование2010])</f>
        <v>0</v>
      </c>
      <c r="M34" s="63">
        <f>W34*SUMPRODUCT(($B$2=Таблица2[Филиал])*($B$3=Таблица2[ФЕР/ТЕР])*(F34=Таблица2[Наименование работ])*(G34=Таблица2[ТПиР/НСиР])*Таблица2[Прочие2010])</f>
        <v>0</v>
      </c>
      <c r="N34" s="63">
        <f>S34*SUMPRODUCT(($B$2=Таблица2[Филиал])*($B$3=Таблица2[ФЕР/ТЕР])*(F34=Таблица2[Наименование работ])*(G34=Таблица2[ТПиР/НСиР])*Таблица2[ПИР2013-10])</f>
        <v>0</v>
      </c>
      <c r="O34" s="63">
        <f>T34*SUMPRODUCT(($B$2=Таблица2[Филиал])*($B$3=Таблица2[ФЕР/ТЕР])*(F34=Таблица2[Наименование работ])*(G34=Таблица2[ТПиР/НСиР])*Таблица2[СМР2013-10])</f>
        <v>0</v>
      </c>
      <c r="P34" s="63">
        <f>U34*SUMPRODUCT(($B$2=Таблица2[Филиал])*($B$3=Таблица2[ФЕР/ТЕР])*(F34=Таблица2[Наименование работ])*(G34=Таблица2[ТПиР/НСиР])*Таблица2[ПНР2013-10])</f>
        <v>0</v>
      </c>
      <c r="Q34" s="63">
        <f>V34*SUMPRODUCT(($B$2=Таблица2[Филиал])*($B$3=Таблица2[ФЕР/ТЕР])*(F34=Таблица2[Наименование работ])*(G34=Таблица2[ТПиР/НСиР])*Таблица2[Оборудование2013-10])</f>
        <v>0</v>
      </c>
      <c r="R34" s="63">
        <f>W34*SUMPRODUCT(($B$2=Таблица2[Филиал])*($B$3=Таблица2[ФЕР/ТЕР])*(F34=Таблица2[Наименование работ])*(G34=Таблица2[ТПиР/НСиР])*Таблица2[Прочие2013-10])</f>
        <v>0</v>
      </c>
      <c r="S34" s="63">
        <f>IF($B$4="в базовых ценах",калькулятор!J38,X34*SUMPRODUCT(($B$2=Таблица2[Филиал])*($B$3=Таблица2[ФЕР/ТЕР])*(F34=Таблица2[Наименование работ])*(G34=Таблица2[ТПиР/НСиР])/Таблица2[ПИР2013]))</f>
        <v>0</v>
      </c>
      <c r="T34" s="63">
        <f>IF($B$4="в базовых ценах",калькулятор!K38,Y34*SUMPRODUCT(($B$2=Таблица2[Филиал])*($B$3=Таблица2[ФЕР/ТЕР])*(F34=Таблица2[Наименование работ])*(G34=Таблица2[ТПиР/НСиР])/Таблица2[СМР2013]))</f>
        <v>0</v>
      </c>
      <c r="U34" s="63">
        <f>IF($B$4="в базовых ценах",калькулятор!L38,Z34*SUMPRODUCT(($B$2=Таблица2[Филиал])*($B$3=Таблица2[ФЕР/ТЕР])*(F34=Таблица2[Наименование работ])*(G34=Таблица2[ТПиР/НСиР])/Таблица2[ПНР2013]))</f>
        <v>0</v>
      </c>
      <c r="V34" s="63">
        <f>IF($B$4="в базовых ценах",калькулятор!M38,AA34*SUMPRODUCT(($B$2=Таблица2[Филиал])*($B$3=Таблица2[ФЕР/ТЕР])*(F34=Таблица2[Наименование работ])*(G34=Таблица2[ТПиР/НСиР])/Таблица2[Оборудование2013]))</f>
        <v>0</v>
      </c>
      <c r="W34" s="63">
        <f>IF($B$4="в базовых ценах",калькулятор!N38,AB34*SUMPRODUCT(($B$2=Таблица2[Филиал])*($B$3=Таблица2[ФЕР/ТЕР])*(F34=Таблица2[Наименование работ])*(G34=Таблица2[ТПиР/НСиР])/Таблица2[Прочие3]))</f>
        <v>0</v>
      </c>
      <c r="X34" s="63">
        <f>IF($B$4="в текущих ценах",калькулятор!J38,S34*SUMPRODUCT(($B$2=Таблица2[Филиал])*($B$3=Таблица2[ФЕР/ТЕР])*(F34=Таблица2[Наименование работ])*(G34=Таблица2[ТПиР/НСиР])*Таблица2[ПИР2013]))</f>
        <v>0</v>
      </c>
      <c r="Y34" s="63">
        <f>IF($B$4="в текущих ценах",калькулятор!K38,T34*SUMPRODUCT(($B$2=Таблица2[Филиал])*($B$3=Таблица2[ФЕР/ТЕР])*(F34=Таблица2[Наименование работ])*(G34=Таблица2[ТПиР/НСиР])*Таблица2[СМР2013]))</f>
        <v>0</v>
      </c>
      <c r="Z34" s="63">
        <f>IF($B$4="в текущих ценах",калькулятор!L38,U34*SUMPRODUCT(($B$2=Таблица2[Филиал])*($B$3=Таблица2[ФЕР/ТЕР])*(F34=Таблица2[Наименование работ])*(G34=Таблица2[ТПиР/НСиР])*Таблица2[ПНР2013]))</f>
        <v>0</v>
      </c>
      <c r="AA34" s="63">
        <f>IF($B$4="в текущих ценах",калькулятор!M38,V34*SUMPRODUCT(($B$2=Таблица2[Филиал])*($B$3=Таблица2[ФЕР/ТЕР])*(F34=Таблица2[Наименование работ])*(G34=Таблица2[ТПиР/НСиР])*Таблица2[Оборудование2013]))</f>
        <v>0</v>
      </c>
      <c r="AB34" s="63">
        <f>IF($B$4="в текущих ценах",калькулятор!N38,W34*SUMPRODUCT(($B$2=Таблица2[Филиал])*($B$3=Таблица2[ФЕР/ТЕР])*(F34=Таблица2[Наименование работ])*(G34=Таблица2[ТПиР/НСиР])*Таблица2[Прочие3]))</f>
        <v>0</v>
      </c>
      <c r="AC34" s="63">
        <f>SUM(данные!$I34:$M34)</f>
        <v>0</v>
      </c>
      <c r="AD34" s="63">
        <f>IF(SUM(данные!$N34:$R34)&gt;данные!$AF34,данные!$AF34*0.9*1.058,SUM(данные!$N34:$R34))</f>
        <v>0</v>
      </c>
      <c r="AE34" s="63">
        <f>SUM(данные!$S34:$W34)</f>
        <v>0</v>
      </c>
      <c r="AF34" s="63">
        <f>SUM(данные!$X34:$AB34)</f>
        <v>0</v>
      </c>
      <c r="AG34" s="63">
        <f>IF($B$4="в текущих ценах",S34*SUMPRODUCT(($B$2=Таблица2[Филиал])*($B$3=Таблица2[ФЕР/ТЕР])*(F34=Таблица2[Наименование работ])*(G34=Таблица2[ТПиР/НСиР])*Таблица2[ПИР2012]),S34*SUMPRODUCT(($B$2=Таблица2[Филиал])*($B$3=Таблица2[ФЕР/ТЕР])*(F34=Таблица2[Наименование работ])*(G34=Таблица2[ТПиР/НСиР])*Таблица2[ПИР2012]))</f>
        <v>0</v>
      </c>
      <c r="AH34" s="63">
        <f>IF($B$4="в текущих ценах",T34*SUMPRODUCT(($B$2=Таблица2[Филиал])*($B$3=Таблица2[ФЕР/ТЕР])*(F34=Таблица2[Наименование работ])*(G34=Таблица2[ТПиР/НСиР])*Таблица2[СМР2012]),T34*SUMPRODUCT(($B$2=Таблица2[Филиал])*($B$3=Таблица2[ФЕР/ТЕР])*(F34=Таблица2[Наименование работ])*(G34=Таблица2[ТПиР/НСиР])*Таблица2[СМР2012]))</f>
        <v>0</v>
      </c>
      <c r="AI34" s="63">
        <f>IF($B$4="в текущих ценах",U34*SUMPRODUCT(($B$2=Таблица2[Филиал])*($B$3=Таблица2[ФЕР/ТЕР])*(F34=Таблица2[Наименование работ])*(G34=Таблица2[ТПиР/НСиР])*Таблица2[ПНР2012]),U34*SUMPRODUCT(($B$2=Таблица2[Филиал])*($B$3=Таблица2[ФЕР/ТЕР])*(F34=Таблица2[Наименование работ])*(G34=Таблица2[ТПиР/НСиР])*Таблица2[ПНР2012]))</f>
        <v>0</v>
      </c>
      <c r="AJ34" s="63">
        <f>IF($B$4="в текущих ценах",V34*SUMPRODUCT(($B$2=Таблица2[Филиал])*($B$3=Таблица2[ФЕР/ТЕР])*(F34=Таблица2[Наименование работ])*(G34=Таблица2[ТПиР/НСиР])*Таблица2[Оборудование2012]),V34*SUMPRODUCT(($B$2=Таблица2[Филиал])*($B$3=Таблица2[ФЕР/ТЕР])*(F34=Таблица2[Наименование работ])*(G34=Таблица2[ТПиР/НСиР])*Таблица2[Оборудование2012]))</f>
        <v>0</v>
      </c>
      <c r="AK34" s="63">
        <f>IF($B$4="в текущих ценах",W34*SUMPRODUCT(($B$2=Таблица2[Филиал])*($B$3=Таблица2[ФЕР/ТЕР])*(F34=Таблица2[Наименование работ])*(G34=Таблица2[ТПиР/НСиР])*Таблица2[Прочее2012]),W34*SUMPRODUCT(($B$2=Таблица2[Филиал])*($B$3=Таблица2[ФЕР/ТЕР])*(F34=Таблица2[Наименование работ])*(G34=Таблица2[ТПиР/НСиР])*Таблица2[Прочее2012]))</f>
        <v>0</v>
      </c>
      <c r="AL34" s="63">
        <f>данные!$X34+данные!$Y34+данные!$Z34+данные!$AA34+данные!$AB34</f>
        <v>0</v>
      </c>
      <c r="AM34" s="63">
        <v>1.03639035</v>
      </c>
      <c r="AN34" s="63">
        <v>1.0114049394</v>
      </c>
      <c r="AO34" s="63">
        <v>0.98210394336149998</v>
      </c>
      <c r="AP34" s="63">
        <v>0.93762413895893393</v>
      </c>
      <c r="AQ34" s="63"/>
      <c r="AR34" s="63"/>
      <c r="AS34" s="64"/>
      <c r="AU34" s="66">
        <f t="shared" si="5"/>
        <v>0</v>
      </c>
      <c r="AX34" s="66">
        <f t="shared" si="0"/>
        <v>0</v>
      </c>
      <c r="AY34" s="66">
        <f t="shared" si="1"/>
        <v>0</v>
      </c>
      <c r="AZ34" s="66">
        <f t="shared" si="2"/>
        <v>0</v>
      </c>
      <c r="BA34" s="66">
        <f t="shared" si="3"/>
        <v>0</v>
      </c>
      <c r="BB34" s="66">
        <f t="shared" si="4"/>
        <v>0</v>
      </c>
    </row>
    <row r="35" spans="4:54" x14ac:dyDescent="0.25">
      <c r="D35" s="62">
        <f>калькулятор!C39</f>
        <v>0</v>
      </c>
      <c r="E35" s="62">
        <f>калькулятор!F39</f>
        <v>0</v>
      </c>
      <c r="F35" s="62">
        <f>калькулятор!G39</f>
        <v>0</v>
      </c>
      <c r="G35" s="62">
        <f>калькулятор!H39</f>
        <v>0</v>
      </c>
      <c r="H35" s="62">
        <f>калькулятор!I39</f>
        <v>0</v>
      </c>
      <c r="I35" s="63">
        <f>S35*SUMPRODUCT(($B$2=Таблица2[Филиал])*($B$3=Таблица2[ФЕР/ТЕР])*(F35=Таблица2[Наименование работ])*(G35=Таблица2[ТПиР/НСиР])*Таблица2[ПИР2010])</f>
        <v>0</v>
      </c>
      <c r="J35" s="63">
        <f>T35*SUMPRODUCT(($B$2=Таблица2[Филиал])*($B$3=Таблица2[ФЕР/ТЕР])*(F35=Таблица2[Наименование работ])*(G35=Таблица2[ТПиР/НСиР])*Таблица2[СМР2010])</f>
        <v>0</v>
      </c>
      <c r="K35" s="63">
        <f>U35*SUMPRODUCT(($B$2=Таблица2[Филиал])*($B$3=Таблица2[ФЕР/ТЕР])*(F35=Таблица2[Наименование работ])*(G35=Таблица2[ТПиР/НСиР])*Таблица2[ПНР2010])</f>
        <v>0</v>
      </c>
      <c r="L35" s="63">
        <f>V35*SUMPRODUCT(($B$2=Таблица2[Филиал])*($B$3=Таблица2[ФЕР/ТЕР])*(F35=Таблица2[Наименование работ])*(G35=Таблица2[ТПиР/НСиР])*Таблица2[Оборудование2010])</f>
        <v>0</v>
      </c>
      <c r="M35" s="63">
        <f>W35*SUMPRODUCT(($B$2=Таблица2[Филиал])*($B$3=Таблица2[ФЕР/ТЕР])*(F35=Таблица2[Наименование работ])*(G35=Таблица2[ТПиР/НСиР])*Таблица2[Прочие2010])</f>
        <v>0</v>
      </c>
      <c r="N35" s="63">
        <f>S35*SUMPRODUCT(($B$2=Таблица2[Филиал])*($B$3=Таблица2[ФЕР/ТЕР])*(F35=Таблица2[Наименование работ])*(G35=Таблица2[ТПиР/НСиР])*Таблица2[ПИР2013-10])</f>
        <v>0</v>
      </c>
      <c r="O35" s="63">
        <f>T35*SUMPRODUCT(($B$2=Таблица2[Филиал])*($B$3=Таблица2[ФЕР/ТЕР])*(F35=Таблица2[Наименование работ])*(G35=Таблица2[ТПиР/НСиР])*Таблица2[СМР2013-10])</f>
        <v>0</v>
      </c>
      <c r="P35" s="63">
        <f>U35*SUMPRODUCT(($B$2=Таблица2[Филиал])*($B$3=Таблица2[ФЕР/ТЕР])*(F35=Таблица2[Наименование работ])*(G35=Таблица2[ТПиР/НСиР])*Таблица2[ПНР2013-10])</f>
        <v>0</v>
      </c>
      <c r="Q35" s="63">
        <f>V35*SUMPRODUCT(($B$2=Таблица2[Филиал])*($B$3=Таблица2[ФЕР/ТЕР])*(F35=Таблица2[Наименование работ])*(G35=Таблица2[ТПиР/НСиР])*Таблица2[Оборудование2013-10])</f>
        <v>0</v>
      </c>
      <c r="R35" s="63">
        <f>W35*SUMPRODUCT(($B$2=Таблица2[Филиал])*($B$3=Таблица2[ФЕР/ТЕР])*(F35=Таблица2[Наименование работ])*(G35=Таблица2[ТПиР/НСиР])*Таблица2[Прочие2013-10])</f>
        <v>0</v>
      </c>
      <c r="S35" s="63">
        <f>IF($B$4="в базовых ценах",калькулятор!J39,X35*SUMPRODUCT(($B$2=Таблица2[Филиал])*($B$3=Таблица2[ФЕР/ТЕР])*(F35=Таблица2[Наименование работ])*(G35=Таблица2[ТПиР/НСиР])/Таблица2[ПИР2013]))</f>
        <v>0</v>
      </c>
      <c r="T35" s="63">
        <f>IF($B$4="в базовых ценах",калькулятор!K39,Y35*SUMPRODUCT(($B$2=Таблица2[Филиал])*($B$3=Таблица2[ФЕР/ТЕР])*(F35=Таблица2[Наименование работ])*(G35=Таблица2[ТПиР/НСиР])/Таблица2[СМР2013]))</f>
        <v>0</v>
      </c>
      <c r="U35" s="63">
        <f>IF($B$4="в базовых ценах",калькулятор!L39,Z35*SUMPRODUCT(($B$2=Таблица2[Филиал])*($B$3=Таблица2[ФЕР/ТЕР])*(F35=Таблица2[Наименование работ])*(G35=Таблица2[ТПиР/НСиР])/Таблица2[ПНР2013]))</f>
        <v>0</v>
      </c>
      <c r="V35" s="63">
        <f>IF($B$4="в базовых ценах",калькулятор!M39,AA35*SUMPRODUCT(($B$2=Таблица2[Филиал])*($B$3=Таблица2[ФЕР/ТЕР])*(F35=Таблица2[Наименование работ])*(G35=Таблица2[ТПиР/НСиР])/Таблица2[Оборудование2013]))</f>
        <v>0</v>
      </c>
      <c r="W35" s="63">
        <f>IF($B$4="в базовых ценах",калькулятор!N39,AB35*SUMPRODUCT(($B$2=Таблица2[Филиал])*($B$3=Таблица2[ФЕР/ТЕР])*(F35=Таблица2[Наименование работ])*(G35=Таблица2[ТПиР/НСиР])/Таблица2[Прочие3]))</f>
        <v>0</v>
      </c>
      <c r="X35" s="63">
        <f>IF($B$4="в текущих ценах",калькулятор!J39,S35*SUMPRODUCT(($B$2=Таблица2[Филиал])*($B$3=Таблица2[ФЕР/ТЕР])*(F35=Таблица2[Наименование работ])*(G35=Таблица2[ТПиР/НСиР])*Таблица2[ПИР2013]))</f>
        <v>0</v>
      </c>
      <c r="Y35" s="63">
        <f>IF($B$4="в текущих ценах",калькулятор!K39,T35*SUMPRODUCT(($B$2=Таблица2[Филиал])*($B$3=Таблица2[ФЕР/ТЕР])*(F35=Таблица2[Наименование работ])*(G35=Таблица2[ТПиР/НСиР])*Таблица2[СМР2013]))</f>
        <v>0</v>
      </c>
      <c r="Z35" s="63">
        <f>IF($B$4="в текущих ценах",калькулятор!L39,U35*SUMPRODUCT(($B$2=Таблица2[Филиал])*($B$3=Таблица2[ФЕР/ТЕР])*(F35=Таблица2[Наименование работ])*(G35=Таблица2[ТПиР/НСиР])*Таблица2[ПНР2013]))</f>
        <v>0</v>
      </c>
      <c r="AA35" s="63">
        <f>IF($B$4="в текущих ценах",калькулятор!M39,V35*SUMPRODUCT(($B$2=Таблица2[Филиал])*($B$3=Таблица2[ФЕР/ТЕР])*(F35=Таблица2[Наименование работ])*(G35=Таблица2[ТПиР/НСиР])*Таблица2[Оборудование2013]))</f>
        <v>0</v>
      </c>
      <c r="AB35" s="63">
        <f>IF($B$4="в текущих ценах",калькулятор!N39,W35*SUMPRODUCT(($B$2=Таблица2[Филиал])*($B$3=Таблица2[ФЕР/ТЕР])*(F35=Таблица2[Наименование работ])*(G35=Таблица2[ТПиР/НСиР])*Таблица2[Прочие3]))</f>
        <v>0</v>
      </c>
      <c r="AC35" s="63">
        <f>SUM(данные!$I35:$M35)</f>
        <v>0</v>
      </c>
      <c r="AD35" s="63">
        <f>IF(SUM(данные!$N35:$R35)&gt;данные!$AF35,данные!$AF35*0.9*1.058,SUM(данные!$N35:$R35))</f>
        <v>0</v>
      </c>
      <c r="AE35" s="63">
        <f>SUM(данные!$S35:$W35)</f>
        <v>0</v>
      </c>
      <c r="AF35" s="63">
        <f>SUM(данные!$X35:$AB35)</f>
        <v>0</v>
      </c>
      <c r="AG35" s="63">
        <f>IF($B$4="в текущих ценах",S35*SUMPRODUCT(($B$2=Таблица2[Филиал])*($B$3=Таблица2[ФЕР/ТЕР])*(F35=Таблица2[Наименование работ])*(G35=Таблица2[ТПиР/НСиР])*Таблица2[ПИР2012]),S35*SUMPRODUCT(($B$2=Таблица2[Филиал])*($B$3=Таблица2[ФЕР/ТЕР])*(F35=Таблица2[Наименование работ])*(G35=Таблица2[ТПиР/НСиР])*Таблица2[ПИР2012]))</f>
        <v>0</v>
      </c>
      <c r="AH35" s="63">
        <f>IF($B$4="в текущих ценах",T35*SUMPRODUCT(($B$2=Таблица2[Филиал])*($B$3=Таблица2[ФЕР/ТЕР])*(F35=Таблица2[Наименование работ])*(G35=Таблица2[ТПиР/НСиР])*Таблица2[СМР2012]),T35*SUMPRODUCT(($B$2=Таблица2[Филиал])*($B$3=Таблица2[ФЕР/ТЕР])*(F35=Таблица2[Наименование работ])*(G35=Таблица2[ТПиР/НСиР])*Таблица2[СМР2012]))</f>
        <v>0</v>
      </c>
      <c r="AI35" s="63">
        <f>IF($B$4="в текущих ценах",U35*SUMPRODUCT(($B$2=Таблица2[Филиал])*($B$3=Таблица2[ФЕР/ТЕР])*(F35=Таблица2[Наименование работ])*(G35=Таблица2[ТПиР/НСиР])*Таблица2[ПНР2012]),U35*SUMPRODUCT(($B$2=Таблица2[Филиал])*($B$3=Таблица2[ФЕР/ТЕР])*(F35=Таблица2[Наименование работ])*(G35=Таблица2[ТПиР/НСиР])*Таблица2[ПНР2012]))</f>
        <v>0</v>
      </c>
      <c r="AJ35" s="63">
        <f>IF($B$4="в текущих ценах",V35*SUMPRODUCT(($B$2=Таблица2[Филиал])*($B$3=Таблица2[ФЕР/ТЕР])*(F35=Таблица2[Наименование работ])*(G35=Таблица2[ТПиР/НСиР])*Таблица2[Оборудование2012]),V35*SUMPRODUCT(($B$2=Таблица2[Филиал])*($B$3=Таблица2[ФЕР/ТЕР])*(F35=Таблица2[Наименование работ])*(G35=Таблица2[ТПиР/НСиР])*Таблица2[Оборудование2012]))</f>
        <v>0</v>
      </c>
      <c r="AK35" s="63">
        <f>IF($B$4="в текущих ценах",W35*SUMPRODUCT(($B$2=Таблица2[Филиал])*($B$3=Таблица2[ФЕР/ТЕР])*(F35=Таблица2[Наименование работ])*(G35=Таблица2[ТПиР/НСиР])*Таблица2[Прочее2012]),W35*SUMPRODUCT(($B$2=Таблица2[Филиал])*($B$3=Таблица2[ФЕР/ТЕР])*(F35=Таблица2[Наименование работ])*(G35=Таблица2[ТПиР/НСиР])*Таблица2[Прочее2012]))</f>
        <v>0</v>
      </c>
      <c r="AL35" s="63">
        <f>данные!$X35+данные!$Y35+данные!$Z35+данные!$AA35+данные!$AB35</f>
        <v>0</v>
      </c>
      <c r="AM35" s="63">
        <v>1.03639035</v>
      </c>
      <c r="AN35" s="63">
        <v>1.0114049394</v>
      </c>
      <c r="AO35" s="63">
        <v>0.98210394336149998</v>
      </c>
      <c r="AP35" s="63">
        <v>0.93762413895893393</v>
      </c>
      <c r="AQ35" s="63"/>
      <c r="AR35" s="63"/>
      <c r="AS35" s="64"/>
      <c r="AU35" s="66">
        <f t="shared" si="5"/>
        <v>0</v>
      </c>
      <c r="AX35" s="66">
        <f t="shared" si="0"/>
        <v>0</v>
      </c>
      <c r="AY35" s="66">
        <f t="shared" si="1"/>
        <v>0</v>
      </c>
      <c r="AZ35" s="66">
        <f t="shared" si="2"/>
        <v>0</v>
      </c>
      <c r="BA35" s="66">
        <f t="shared" si="3"/>
        <v>0</v>
      </c>
      <c r="BB35" s="66">
        <f t="shared" si="4"/>
        <v>0</v>
      </c>
    </row>
    <row r="36" spans="4:54" x14ac:dyDescent="0.25">
      <c r="D36" s="62">
        <f>калькулятор!C40</f>
        <v>0</v>
      </c>
      <c r="E36" s="62">
        <f>калькулятор!F40</f>
        <v>0</v>
      </c>
      <c r="F36" s="62">
        <f>калькулятор!G40</f>
        <v>0</v>
      </c>
      <c r="G36" s="62">
        <f>калькулятор!H40</f>
        <v>0</v>
      </c>
      <c r="H36" s="62">
        <f>калькулятор!I40</f>
        <v>0</v>
      </c>
      <c r="I36" s="63">
        <f>S36*SUMPRODUCT(($B$2=Таблица2[Филиал])*($B$3=Таблица2[ФЕР/ТЕР])*(F36=Таблица2[Наименование работ])*(G36=Таблица2[ТПиР/НСиР])*Таблица2[ПИР2010])</f>
        <v>0</v>
      </c>
      <c r="J36" s="63">
        <f>T36*SUMPRODUCT(($B$2=Таблица2[Филиал])*($B$3=Таблица2[ФЕР/ТЕР])*(F36=Таблица2[Наименование работ])*(G36=Таблица2[ТПиР/НСиР])*Таблица2[СМР2010])</f>
        <v>0</v>
      </c>
      <c r="K36" s="63">
        <f>U36*SUMPRODUCT(($B$2=Таблица2[Филиал])*($B$3=Таблица2[ФЕР/ТЕР])*(F36=Таблица2[Наименование работ])*(G36=Таблица2[ТПиР/НСиР])*Таблица2[ПНР2010])</f>
        <v>0</v>
      </c>
      <c r="L36" s="63">
        <f>V36*SUMPRODUCT(($B$2=Таблица2[Филиал])*($B$3=Таблица2[ФЕР/ТЕР])*(F36=Таблица2[Наименование работ])*(G36=Таблица2[ТПиР/НСиР])*Таблица2[Оборудование2010])</f>
        <v>0</v>
      </c>
      <c r="M36" s="63">
        <f>W36*SUMPRODUCT(($B$2=Таблица2[Филиал])*($B$3=Таблица2[ФЕР/ТЕР])*(F36=Таблица2[Наименование работ])*(G36=Таблица2[ТПиР/НСиР])*Таблица2[Прочие2010])</f>
        <v>0</v>
      </c>
      <c r="N36" s="63">
        <f>S36*SUMPRODUCT(($B$2=Таблица2[Филиал])*($B$3=Таблица2[ФЕР/ТЕР])*(F36=Таблица2[Наименование работ])*(G36=Таблица2[ТПиР/НСиР])*Таблица2[ПИР2013-10])</f>
        <v>0</v>
      </c>
      <c r="O36" s="63">
        <f>T36*SUMPRODUCT(($B$2=Таблица2[Филиал])*($B$3=Таблица2[ФЕР/ТЕР])*(F36=Таблица2[Наименование работ])*(G36=Таблица2[ТПиР/НСиР])*Таблица2[СМР2013-10])</f>
        <v>0</v>
      </c>
      <c r="P36" s="63">
        <f>U36*SUMPRODUCT(($B$2=Таблица2[Филиал])*($B$3=Таблица2[ФЕР/ТЕР])*(F36=Таблица2[Наименование работ])*(G36=Таблица2[ТПиР/НСиР])*Таблица2[ПНР2013-10])</f>
        <v>0</v>
      </c>
      <c r="Q36" s="63">
        <f>V36*SUMPRODUCT(($B$2=Таблица2[Филиал])*($B$3=Таблица2[ФЕР/ТЕР])*(F36=Таблица2[Наименование работ])*(G36=Таблица2[ТПиР/НСиР])*Таблица2[Оборудование2013-10])</f>
        <v>0</v>
      </c>
      <c r="R36" s="63">
        <f>W36*SUMPRODUCT(($B$2=Таблица2[Филиал])*($B$3=Таблица2[ФЕР/ТЕР])*(F36=Таблица2[Наименование работ])*(G36=Таблица2[ТПиР/НСиР])*Таблица2[Прочие2013-10])</f>
        <v>0</v>
      </c>
      <c r="S36" s="63">
        <f>IF($B$4="в базовых ценах",калькулятор!J40,X36*SUMPRODUCT(($B$2=Таблица2[Филиал])*($B$3=Таблица2[ФЕР/ТЕР])*(F36=Таблица2[Наименование работ])*(G36=Таблица2[ТПиР/НСиР])/Таблица2[ПИР2013]))</f>
        <v>0</v>
      </c>
      <c r="T36" s="63">
        <f>IF($B$4="в базовых ценах",калькулятор!K40,Y36*SUMPRODUCT(($B$2=Таблица2[Филиал])*($B$3=Таблица2[ФЕР/ТЕР])*(F36=Таблица2[Наименование работ])*(G36=Таблица2[ТПиР/НСиР])/Таблица2[СМР2013]))</f>
        <v>0</v>
      </c>
      <c r="U36" s="63">
        <f>IF($B$4="в базовых ценах",калькулятор!L40,Z36*SUMPRODUCT(($B$2=Таблица2[Филиал])*($B$3=Таблица2[ФЕР/ТЕР])*(F36=Таблица2[Наименование работ])*(G36=Таблица2[ТПиР/НСиР])/Таблица2[ПНР2013]))</f>
        <v>0</v>
      </c>
      <c r="V36" s="63">
        <f>IF($B$4="в базовых ценах",калькулятор!M40,AA36*SUMPRODUCT(($B$2=Таблица2[Филиал])*($B$3=Таблица2[ФЕР/ТЕР])*(F36=Таблица2[Наименование работ])*(G36=Таблица2[ТПиР/НСиР])/Таблица2[Оборудование2013]))</f>
        <v>0</v>
      </c>
      <c r="W36" s="63">
        <f>IF($B$4="в базовых ценах",калькулятор!N40,AB36*SUMPRODUCT(($B$2=Таблица2[Филиал])*($B$3=Таблица2[ФЕР/ТЕР])*(F36=Таблица2[Наименование работ])*(G36=Таблица2[ТПиР/НСиР])/Таблица2[Прочие3]))</f>
        <v>0</v>
      </c>
      <c r="X36" s="63">
        <f>IF($B$4="в текущих ценах",калькулятор!J40,S36*SUMPRODUCT(($B$2=Таблица2[Филиал])*($B$3=Таблица2[ФЕР/ТЕР])*(F36=Таблица2[Наименование работ])*(G36=Таблица2[ТПиР/НСиР])*Таблица2[ПИР2013]))</f>
        <v>0</v>
      </c>
      <c r="Y36" s="63">
        <f>IF($B$4="в текущих ценах",калькулятор!K40,T36*SUMPRODUCT(($B$2=Таблица2[Филиал])*($B$3=Таблица2[ФЕР/ТЕР])*(F36=Таблица2[Наименование работ])*(G36=Таблица2[ТПиР/НСиР])*Таблица2[СМР2013]))</f>
        <v>0</v>
      </c>
      <c r="Z36" s="63">
        <f>IF($B$4="в текущих ценах",калькулятор!L40,U36*SUMPRODUCT(($B$2=Таблица2[Филиал])*($B$3=Таблица2[ФЕР/ТЕР])*(F36=Таблица2[Наименование работ])*(G36=Таблица2[ТПиР/НСиР])*Таблица2[ПНР2013]))</f>
        <v>0</v>
      </c>
      <c r="AA36" s="63">
        <f>IF($B$4="в текущих ценах",калькулятор!M40,V36*SUMPRODUCT(($B$2=Таблица2[Филиал])*($B$3=Таблица2[ФЕР/ТЕР])*(F36=Таблица2[Наименование работ])*(G36=Таблица2[ТПиР/НСиР])*Таблица2[Оборудование2013]))</f>
        <v>0</v>
      </c>
      <c r="AB36" s="63">
        <f>IF($B$4="в текущих ценах",калькулятор!N40,W36*SUMPRODUCT(($B$2=Таблица2[Филиал])*($B$3=Таблица2[ФЕР/ТЕР])*(F36=Таблица2[Наименование работ])*(G36=Таблица2[ТПиР/НСиР])*Таблица2[Прочие3]))</f>
        <v>0</v>
      </c>
      <c r="AC36" s="63">
        <f>SUM(данные!$I36:$M36)</f>
        <v>0</v>
      </c>
      <c r="AD36" s="63">
        <f>IF(SUM(данные!$N36:$R36)&gt;данные!$AF36,данные!$AF36*0.9*1.058,SUM(данные!$N36:$R36))</f>
        <v>0</v>
      </c>
      <c r="AE36" s="63">
        <f>SUM(данные!$S36:$W36)</f>
        <v>0</v>
      </c>
      <c r="AF36" s="63">
        <f>SUM(данные!$X36:$AB36)</f>
        <v>0</v>
      </c>
      <c r="AG36" s="63">
        <f>IF($B$4="в текущих ценах",S36*SUMPRODUCT(($B$2=Таблица2[Филиал])*($B$3=Таблица2[ФЕР/ТЕР])*(F36=Таблица2[Наименование работ])*(G36=Таблица2[ТПиР/НСиР])*Таблица2[ПИР2012]),S36*SUMPRODUCT(($B$2=Таблица2[Филиал])*($B$3=Таблица2[ФЕР/ТЕР])*(F36=Таблица2[Наименование работ])*(G36=Таблица2[ТПиР/НСиР])*Таблица2[ПИР2012]))</f>
        <v>0</v>
      </c>
      <c r="AH36" s="63">
        <f>IF($B$4="в текущих ценах",T36*SUMPRODUCT(($B$2=Таблица2[Филиал])*($B$3=Таблица2[ФЕР/ТЕР])*(F36=Таблица2[Наименование работ])*(G36=Таблица2[ТПиР/НСиР])*Таблица2[СМР2012]),T36*SUMPRODUCT(($B$2=Таблица2[Филиал])*($B$3=Таблица2[ФЕР/ТЕР])*(F36=Таблица2[Наименование работ])*(G36=Таблица2[ТПиР/НСиР])*Таблица2[СМР2012]))</f>
        <v>0</v>
      </c>
      <c r="AI36" s="63">
        <f>IF($B$4="в текущих ценах",U36*SUMPRODUCT(($B$2=Таблица2[Филиал])*($B$3=Таблица2[ФЕР/ТЕР])*(F36=Таблица2[Наименование работ])*(G36=Таблица2[ТПиР/НСиР])*Таблица2[ПНР2012]),U36*SUMPRODUCT(($B$2=Таблица2[Филиал])*($B$3=Таблица2[ФЕР/ТЕР])*(F36=Таблица2[Наименование работ])*(G36=Таблица2[ТПиР/НСиР])*Таблица2[ПНР2012]))</f>
        <v>0</v>
      </c>
      <c r="AJ36" s="63">
        <f>IF($B$4="в текущих ценах",V36*SUMPRODUCT(($B$2=Таблица2[Филиал])*($B$3=Таблица2[ФЕР/ТЕР])*(F36=Таблица2[Наименование работ])*(G36=Таблица2[ТПиР/НСиР])*Таблица2[Оборудование2012]),V36*SUMPRODUCT(($B$2=Таблица2[Филиал])*($B$3=Таблица2[ФЕР/ТЕР])*(F36=Таблица2[Наименование работ])*(G36=Таблица2[ТПиР/НСиР])*Таблица2[Оборудование2012]))</f>
        <v>0</v>
      </c>
      <c r="AK36" s="63">
        <f>IF($B$4="в текущих ценах",W36*SUMPRODUCT(($B$2=Таблица2[Филиал])*($B$3=Таблица2[ФЕР/ТЕР])*(F36=Таблица2[Наименование работ])*(G36=Таблица2[ТПиР/НСиР])*Таблица2[Прочее2012]),W36*SUMPRODUCT(($B$2=Таблица2[Филиал])*($B$3=Таблица2[ФЕР/ТЕР])*(F36=Таблица2[Наименование работ])*(G36=Таблица2[ТПиР/НСиР])*Таблица2[Прочее2012]))</f>
        <v>0</v>
      </c>
      <c r="AL36" s="63">
        <f>данные!$X36+данные!$Y36+данные!$Z36+данные!$AA36+данные!$AB36</f>
        <v>0</v>
      </c>
      <c r="AM36" s="63">
        <v>1.03639035</v>
      </c>
      <c r="AN36" s="63">
        <v>1.0114049394</v>
      </c>
      <c r="AO36" s="63">
        <v>0.98210394336149998</v>
      </c>
      <c r="AP36" s="63">
        <v>0.93762413895893393</v>
      </c>
      <c r="AQ36" s="63"/>
      <c r="AR36" s="63"/>
      <c r="AS36" s="64"/>
      <c r="AU36" s="66">
        <f t="shared" si="5"/>
        <v>0</v>
      </c>
      <c r="AX36" s="66">
        <f t="shared" si="0"/>
        <v>0</v>
      </c>
      <c r="AY36" s="66">
        <f t="shared" si="1"/>
        <v>0</v>
      </c>
      <c r="AZ36" s="66">
        <f t="shared" si="2"/>
        <v>0</v>
      </c>
      <c r="BA36" s="66">
        <f t="shared" si="3"/>
        <v>0</v>
      </c>
      <c r="BB36" s="66">
        <f t="shared" si="4"/>
        <v>0</v>
      </c>
    </row>
    <row r="37" spans="4:54" x14ac:dyDescent="0.25">
      <c r="D37" s="62">
        <f>калькулятор!C41</f>
        <v>0</v>
      </c>
      <c r="E37" s="62">
        <f>калькулятор!F41</f>
        <v>0</v>
      </c>
      <c r="F37" s="62">
        <f>калькулятор!G41</f>
        <v>0</v>
      </c>
      <c r="G37" s="62">
        <f>калькулятор!H41</f>
        <v>0</v>
      </c>
      <c r="H37" s="62">
        <f>калькулятор!I41</f>
        <v>0</v>
      </c>
      <c r="I37" s="63">
        <f>S37*SUMPRODUCT(($B$2=Таблица2[Филиал])*($B$3=Таблица2[ФЕР/ТЕР])*(F37=Таблица2[Наименование работ])*(G37=Таблица2[ТПиР/НСиР])*Таблица2[ПИР2010])</f>
        <v>0</v>
      </c>
      <c r="J37" s="63">
        <f>T37*SUMPRODUCT(($B$2=Таблица2[Филиал])*($B$3=Таблица2[ФЕР/ТЕР])*(F37=Таблица2[Наименование работ])*(G37=Таблица2[ТПиР/НСиР])*Таблица2[СМР2010])</f>
        <v>0</v>
      </c>
      <c r="K37" s="63">
        <f>U37*SUMPRODUCT(($B$2=Таблица2[Филиал])*($B$3=Таблица2[ФЕР/ТЕР])*(F37=Таблица2[Наименование работ])*(G37=Таблица2[ТПиР/НСиР])*Таблица2[ПНР2010])</f>
        <v>0</v>
      </c>
      <c r="L37" s="63">
        <f>V37*SUMPRODUCT(($B$2=Таблица2[Филиал])*($B$3=Таблица2[ФЕР/ТЕР])*(F37=Таблица2[Наименование работ])*(G37=Таблица2[ТПиР/НСиР])*Таблица2[Оборудование2010])</f>
        <v>0</v>
      </c>
      <c r="M37" s="63">
        <f>W37*SUMPRODUCT(($B$2=Таблица2[Филиал])*($B$3=Таблица2[ФЕР/ТЕР])*(F37=Таблица2[Наименование работ])*(G37=Таблица2[ТПиР/НСиР])*Таблица2[Прочие2010])</f>
        <v>0</v>
      </c>
      <c r="N37" s="63">
        <f>S37*SUMPRODUCT(($B$2=Таблица2[Филиал])*($B$3=Таблица2[ФЕР/ТЕР])*(F37=Таблица2[Наименование работ])*(G37=Таблица2[ТПиР/НСиР])*Таблица2[ПИР2013-10])</f>
        <v>0</v>
      </c>
      <c r="O37" s="63">
        <f>T37*SUMPRODUCT(($B$2=Таблица2[Филиал])*($B$3=Таблица2[ФЕР/ТЕР])*(F37=Таблица2[Наименование работ])*(G37=Таблица2[ТПиР/НСиР])*Таблица2[СМР2013-10])</f>
        <v>0</v>
      </c>
      <c r="P37" s="63">
        <f>U37*SUMPRODUCT(($B$2=Таблица2[Филиал])*($B$3=Таблица2[ФЕР/ТЕР])*(F37=Таблица2[Наименование работ])*(G37=Таблица2[ТПиР/НСиР])*Таблица2[ПНР2013-10])</f>
        <v>0</v>
      </c>
      <c r="Q37" s="63">
        <f>V37*SUMPRODUCT(($B$2=Таблица2[Филиал])*($B$3=Таблица2[ФЕР/ТЕР])*(F37=Таблица2[Наименование работ])*(G37=Таблица2[ТПиР/НСиР])*Таблица2[Оборудование2013-10])</f>
        <v>0</v>
      </c>
      <c r="R37" s="63">
        <f>W37*SUMPRODUCT(($B$2=Таблица2[Филиал])*($B$3=Таблица2[ФЕР/ТЕР])*(F37=Таблица2[Наименование работ])*(G37=Таблица2[ТПиР/НСиР])*Таблица2[Прочие2013-10])</f>
        <v>0</v>
      </c>
      <c r="S37" s="63">
        <f>IF($B$4="в базовых ценах",калькулятор!J41,X37*SUMPRODUCT(($B$2=Таблица2[Филиал])*($B$3=Таблица2[ФЕР/ТЕР])*(F37=Таблица2[Наименование работ])*(G37=Таблица2[ТПиР/НСиР])/Таблица2[ПИР2013]))</f>
        <v>0</v>
      </c>
      <c r="T37" s="63">
        <f>IF($B$4="в базовых ценах",калькулятор!K41,Y37*SUMPRODUCT(($B$2=Таблица2[Филиал])*($B$3=Таблица2[ФЕР/ТЕР])*(F37=Таблица2[Наименование работ])*(G37=Таблица2[ТПиР/НСиР])/Таблица2[СМР2013]))</f>
        <v>0</v>
      </c>
      <c r="U37" s="63">
        <f>IF($B$4="в базовых ценах",калькулятор!L41,Z37*SUMPRODUCT(($B$2=Таблица2[Филиал])*($B$3=Таблица2[ФЕР/ТЕР])*(F37=Таблица2[Наименование работ])*(G37=Таблица2[ТПиР/НСиР])/Таблица2[ПНР2013]))</f>
        <v>0</v>
      </c>
      <c r="V37" s="63">
        <f>IF($B$4="в базовых ценах",калькулятор!M41,AA37*SUMPRODUCT(($B$2=Таблица2[Филиал])*($B$3=Таблица2[ФЕР/ТЕР])*(F37=Таблица2[Наименование работ])*(G37=Таблица2[ТПиР/НСиР])/Таблица2[Оборудование2013]))</f>
        <v>0</v>
      </c>
      <c r="W37" s="63">
        <f>IF($B$4="в базовых ценах",калькулятор!N41,AB37*SUMPRODUCT(($B$2=Таблица2[Филиал])*($B$3=Таблица2[ФЕР/ТЕР])*(F37=Таблица2[Наименование работ])*(G37=Таблица2[ТПиР/НСиР])/Таблица2[Прочие3]))</f>
        <v>0</v>
      </c>
      <c r="X37" s="63">
        <f>IF($B$4="в текущих ценах",калькулятор!J41,S37*SUMPRODUCT(($B$2=Таблица2[Филиал])*($B$3=Таблица2[ФЕР/ТЕР])*(F37=Таблица2[Наименование работ])*(G37=Таблица2[ТПиР/НСиР])*Таблица2[ПИР2013]))</f>
        <v>0</v>
      </c>
      <c r="Y37" s="63">
        <f>IF($B$4="в текущих ценах",калькулятор!K41,T37*SUMPRODUCT(($B$2=Таблица2[Филиал])*($B$3=Таблица2[ФЕР/ТЕР])*(F37=Таблица2[Наименование работ])*(G37=Таблица2[ТПиР/НСиР])*Таблица2[СМР2013]))</f>
        <v>0</v>
      </c>
      <c r="Z37" s="63">
        <f>IF($B$4="в текущих ценах",калькулятор!L41,U37*SUMPRODUCT(($B$2=Таблица2[Филиал])*($B$3=Таблица2[ФЕР/ТЕР])*(F37=Таблица2[Наименование работ])*(G37=Таблица2[ТПиР/НСиР])*Таблица2[ПНР2013]))</f>
        <v>0</v>
      </c>
      <c r="AA37" s="63">
        <f>IF($B$4="в текущих ценах",калькулятор!M41,V37*SUMPRODUCT(($B$2=Таблица2[Филиал])*($B$3=Таблица2[ФЕР/ТЕР])*(F37=Таблица2[Наименование работ])*(G37=Таблица2[ТПиР/НСиР])*Таблица2[Оборудование2013]))</f>
        <v>0</v>
      </c>
      <c r="AB37" s="63">
        <f>IF($B$4="в текущих ценах",калькулятор!N41,W37*SUMPRODUCT(($B$2=Таблица2[Филиал])*($B$3=Таблица2[ФЕР/ТЕР])*(F37=Таблица2[Наименование работ])*(G37=Таблица2[ТПиР/НСиР])*Таблица2[Прочие3]))</f>
        <v>0</v>
      </c>
      <c r="AC37" s="63">
        <f>SUM(данные!$I37:$M37)</f>
        <v>0</v>
      </c>
      <c r="AD37" s="63">
        <f>IF(SUM(данные!$N37:$R37)&gt;данные!$AF37,данные!$AF37*0.9*1.058,SUM(данные!$N37:$R37))</f>
        <v>0</v>
      </c>
      <c r="AE37" s="63">
        <f>SUM(данные!$S37:$W37)</f>
        <v>0</v>
      </c>
      <c r="AF37" s="63">
        <f>SUM(данные!$X37:$AB37)</f>
        <v>0</v>
      </c>
      <c r="AG37" s="63">
        <f>IF($B$4="в текущих ценах",S37*SUMPRODUCT(($B$2=Таблица2[Филиал])*($B$3=Таблица2[ФЕР/ТЕР])*(F37=Таблица2[Наименование работ])*(G37=Таблица2[ТПиР/НСиР])*Таблица2[ПИР2012]),S37*SUMPRODUCT(($B$2=Таблица2[Филиал])*($B$3=Таблица2[ФЕР/ТЕР])*(F37=Таблица2[Наименование работ])*(G37=Таблица2[ТПиР/НСиР])*Таблица2[ПИР2012]))</f>
        <v>0</v>
      </c>
      <c r="AH37" s="63">
        <f>IF($B$4="в текущих ценах",T37*SUMPRODUCT(($B$2=Таблица2[Филиал])*($B$3=Таблица2[ФЕР/ТЕР])*(F37=Таблица2[Наименование работ])*(G37=Таблица2[ТПиР/НСиР])*Таблица2[СМР2012]),T37*SUMPRODUCT(($B$2=Таблица2[Филиал])*($B$3=Таблица2[ФЕР/ТЕР])*(F37=Таблица2[Наименование работ])*(G37=Таблица2[ТПиР/НСиР])*Таблица2[СМР2012]))</f>
        <v>0</v>
      </c>
      <c r="AI37" s="63">
        <f>IF($B$4="в текущих ценах",U37*SUMPRODUCT(($B$2=Таблица2[Филиал])*($B$3=Таблица2[ФЕР/ТЕР])*(F37=Таблица2[Наименование работ])*(G37=Таблица2[ТПиР/НСиР])*Таблица2[ПНР2012]),U37*SUMPRODUCT(($B$2=Таблица2[Филиал])*($B$3=Таблица2[ФЕР/ТЕР])*(F37=Таблица2[Наименование работ])*(G37=Таблица2[ТПиР/НСиР])*Таблица2[ПНР2012]))</f>
        <v>0</v>
      </c>
      <c r="AJ37" s="63">
        <f>IF($B$4="в текущих ценах",V37*SUMPRODUCT(($B$2=Таблица2[Филиал])*($B$3=Таблица2[ФЕР/ТЕР])*(F37=Таблица2[Наименование работ])*(G37=Таблица2[ТПиР/НСиР])*Таблица2[Оборудование2012]),V37*SUMPRODUCT(($B$2=Таблица2[Филиал])*($B$3=Таблица2[ФЕР/ТЕР])*(F37=Таблица2[Наименование работ])*(G37=Таблица2[ТПиР/НСиР])*Таблица2[Оборудование2012]))</f>
        <v>0</v>
      </c>
      <c r="AK37" s="63">
        <f>IF($B$4="в текущих ценах",W37*SUMPRODUCT(($B$2=Таблица2[Филиал])*($B$3=Таблица2[ФЕР/ТЕР])*(F37=Таблица2[Наименование работ])*(G37=Таблица2[ТПиР/НСиР])*Таблица2[Прочее2012]),W37*SUMPRODUCT(($B$2=Таблица2[Филиал])*($B$3=Таблица2[ФЕР/ТЕР])*(F37=Таблица2[Наименование работ])*(G37=Таблица2[ТПиР/НСиР])*Таблица2[Прочее2012]))</f>
        <v>0</v>
      </c>
      <c r="AL37" s="63">
        <f>данные!$X37+данные!$Y37+данные!$Z37+данные!$AA37+данные!$AB37</f>
        <v>0</v>
      </c>
      <c r="AM37" s="63">
        <v>1.03639035</v>
      </c>
      <c r="AN37" s="63">
        <v>1.0114049394</v>
      </c>
      <c r="AO37" s="63">
        <v>0.98210394336149998</v>
      </c>
      <c r="AP37" s="63">
        <v>0.93762413895893393</v>
      </c>
      <c r="AQ37" s="63"/>
      <c r="AR37" s="63"/>
      <c r="AS37" s="64"/>
      <c r="AU37" s="66">
        <f t="shared" si="5"/>
        <v>0</v>
      </c>
      <c r="AX37" s="66">
        <f t="shared" si="0"/>
        <v>0</v>
      </c>
      <c r="AY37" s="66">
        <f t="shared" si="1"/>
        <v>0</v>
      </c>
      <c r="AZ37" s="66">
        <f t="shared" si="2"/>
        <v>0</v>
      </c>
      <c r="BA37" s="66">
        <f t="shared" si="3"/>
        <v>0</v>
      </c>
      <c r="BB37" s="66">
        <f t="shared" si="4"/>
        <v>0</v>
      </c>
    </row>
    <row r="38" spans="4:54" x14ac:dyDescent="0.25">
      <c r="D38" s="62">
        <f>калькулятор!C42</f>
        <v>0</v>
      </c>
      <c r="E38" s="62">
        <f>калькулятор!F42</f>
        <v>0</v>
      </c>
      <c r="F38" s="62">
        <f>калькулятор!G42</f>
        <v>0</v>
      </c>
      <c r="G38" s="62">
        <f>калькулятор!H42</f>
        <v>0</v>
      </c>
      <c r="H38" s="62">
        <f>калькулятор!I42</f>
        <v>0</v>
      </c>
      <c r="I38" s="63">
        <f>S38*SUMPRODUCT(($B$2=Таблица2[Филиал])*($B$3=Таблица2[ФЕР/ТЕР])*(F38=Таблица2[Наименование работ])*(G38=Таблица2[ТПиР/НСиР])*Таблица2[ПИР2010])</f>
        <v>0</v>
      </c>
      <c r="J38" s="63">
        <f>T38*SUMPRODUCT(($B$2=Таблица2[Филиал])*($B$3=Таблица2[ФЕР/ТЕР])*(F38=Таблица2[Наименование работ])*(G38=Таблица2[ТПиР/НСиР])*Таблица2[СМР2010])</f>
        <v>0</v>
      </c>
      <c r="K38" s="63">
        <f>U38*SUMPRODUCT(($B$2=Таблица2[Филиал])*($B$3=Таблица2[ФЕР/ТЕР])*(F38=Таблица2[Наименование работ])*(G38=Таблица2[ТПиР/НСиР])*Таблица2[ПНР2010])</f>
        <v>0</v>
      </c>
      <c r="L38" s="63">
        <f>V38*SUMPRODUCT(($B$2=Таблица2[Филиал])*($B$3=Таблица2[ФЕР/ТЕР])*(F38=Таблица2[Наименование работ])*(G38=Таблица2[ТПиР/НСиР])*Таблица2[Оборудование2010])</f>
        <v>0</v>
      </c>
      <c r="M38" s="63">
        <f>W38*SUMPRODUCT(($B$2=Таблица2[Филиал])*($B$3=Таблица2[ФЕР/ТЕР])*(F38=Таблица2[Наименование работ])*(G38=Таблица2[ТПиР/НСиР])*Таблица2[Прочие2010])</f>
        <v>0</v>
      </c>
      <c r="N38" s="63">
        <f>S38*SUMPRODUCT(($B$2=Таблица2[Филиал])*($B$3=Таблица2[ФЕР/ТЕР])*(F38=Таблица2[Наименование работ])*(G38=Таблица2[ТПиР/НСиР])*Таблица2[ПИР2013-10])</f>
        <v>0</v>
      </c>
      <c r="O38" s="63">
        <f>T38*SUMPRODUCT(($B$2=Таблица2[Филиал])*($B$3=Таблица2[ФЕР/ТЕР])*(F38=Таблица2[Наименование работ])*(G38=Таблица2[ТПиР/НСиР])*Таблица2[СМР2013-10])</f>
        <v>0</v>
      </c>
      <c r="P38" s="63">
        <f>U38*SUMPRODUCT(($B$2=Таблица2[Филиал])*($B$3=Таблица2[ФЕР/ТЕР])*(F38=Таблица2[Наименование работ])*(G38=Таблица2[ТПиР/НСиР])*Таблица2[ПНР2013-10])</f>
        <v>0</v>
      </c>
      <c r="Q38" s="63">
        <f>V38*SUMPRODUCT(($B$2=Таблица2[Филиал])*($B$3=Таблица2[ФЕР/ТЕР])*(F38=Таблица2[Наименование работ])*(G38=Таблица2[ТПиР/НСиР])*Таблица2[Оборудование2013-10])</f>
        <v>0</v>
      </c>
      <c r="R38" s="63">
        <f>W38*SUMPRODUCT(($B$2=Таблица2[Филиал])*($B$3=Таблица2[ФЕР/ТЕР])*(F38=Таблица2[Наименование работ])*(G38=Таблица2[ТПиР/НСиР])*Таблица2[Прочие2013-10])</f>
        <v>0</v>
      </c>
      <c r="S38" s="63">
        <f>IF($B$4="в базовых ценах",калькулятор!J42,X38*SUMPRODUCT(($B$2=Таблица2[Филиал])*($B$3=Таблица2[ФЕР/ТЕР])*(F38=Таблица2[Наименование работ])*(G38=Таблица2[ТПиР/НСиР])/Таблица2[ПИР2013]))</f>
        <v>0</v>
      </c>
      <c r="T38" s="63">
        <f>IF($B$4="в базовых ценах",калькулятор!K42,Y38*SUMPRODUCT(($B$2=Таблица2[Филиал])*($B$3=Таблица2[ФЕР/ТЕР])*(F38=Таблица2[Наименование работ])*(G38=Таблица2[ТПиР/НСиР])/Таблица2[СМР2013]))</f>
        <v>0</v>
      </c>
      <c r="U38" s="63">
        <f>IF($B$4="в базовых ценах",калькулятор!L42,Z38*SUMPRODUCT(($B$2=Таблица2[Филиал])*($B$3=Таблица2[ФЕР/ТЕР])*(F38=Таблица2[Наименование работ])*(G38=Таблица2[ТПиР/НСиР])/Таблица2[ПНР2013]))</f>
        <v>0</v>
      </c>
      <c r="V38" s="63">
        <f>IF($B$4="в базовых ценах",калькулятор!M42,AA38*SUMPRODUCT(($B$2=Таблица2[Филиал])*($B$3=Таблица2[ФЕР/ТЕР])*(F38=Таблица2[Наименование работ])*(G38=Таблица2[ТПиР/НСиР])/Таблица2[Оборудование2013]))</f>
        <v>0</v>
      </c>
      <c r="W38" s="63">
        <f>IF($B$4="в базовых ценах",калькулятор!N42,AB38*SUMPRODUCT(($B$2=Таблица2[Филиал])*($B$3=Таблица2[ФЕР/ТЕР])*(F38=Таблица2[Наименование работ])*(G38=Таблица2[ТПиР/НСиР])/Таблица2[Прочие3]))</f>
        <v>0</v>
      </c>
      <c r="X38" s="63">
        <f>IF($B$4="в текущих ценах",калькулятор!J42,S38*SUMPRODUCT(($B$2=Таблица2[Филиал])*($B$3=Таблица2[ФЕР/ТЕР])*(F38=Таблица2[Наименование работ])*(G38=Таблица2[ТПиР/НСиР])*Таблица2[ПИР2013]))</f>
        <v>0</v>
      </c>
      <c r="Y38" s="63">
        <f>IF($B$4="в текущих ценах",калькулятор!K42,T38*SUMPRODUCT(($B$2=Таблица2[Филиал])*($B$3=Таблица2[ФЕР/ТЕР])*(F38=Таблица2[Наименование работ])*(G38=Таблица2[ТПиР/НСиР])*Таблица2[СМР2013]))</f>
        <v>0</v>
      </c>
      <c r="Z38" s="63">
        <f>IF($B$4="в текущих ценах",калькулятор!L42,U38*SUMPRODUCT(($B$2=Таблица2[Филиал])*($B$3=Таблица2[ФЕР/ТЕР])*(F38=Таблица2[Наименование работ])*(G38=Таблица2[ТПиР/НСиР])*Таблица2[ПНР2013]))</f>
        <v>0</v>
      </c>
      <c r="AA38" s="63">
        <f>IF($B$4="в текущих ценах",калькулятор!M42,V38*SUMPRODUCT(($B$2=Таблица2[Филиал])*($B$3=Таблица2[ФЕР/ТЕР])*(F38=Таблица2[Наименование работ])*(G38=Таблица2[ТПиР/НСиР])*Таблица2[Оборудование2013]))</f>
        <v>0</v>
      </c>
      <c r="AB38" s="63">
        <f>IF($B$4="в текущих ценах",калькулятор!N42,W38*SUMPRODUCT(($B$2=Таблица2[Филиал])*($B$3=Таблица2[ФЕР/ТЕР])*(F38=Таблица2[Наименование работ])*(G38=Таблица2[ТПиР/НСиР])*Таблица2[Прочие3]))</f>
        <v>0</v>
      </c>
      <c r="AC38" s="63">
        <f>SUM(данные!$I38:$M38)</f>
        <v>0</v>
      </c>
      <c r="AD38" s="63">
        <f>IF(SUM(данные!$N38:$R38)&gt;данные!$AF38,данные!$AF38*0.9*1.058,SUM(данные!$N38:$R38))</f>
        <v>0</v>
      </c>
      <c r="AE38" s="63">
        <f>SUM(данные!$S38:$W38)</f>
        <v>0</v>
      </c>
      <c r="AF38" s="63">
        <f>SUM(данные!$X38:$AB38)</f>
        <v>0</v>
      </c>
      <c r="AG38" s="63">
        <f>IF($B$4="в текущих ценах",S38*SUMPRODUCT(($B$2=Таблица2[Филиал])*($B$3=Таблица2[ФЕР/ТЕР])*(F38=Таблица2[Наименование работ])*(G38=Таблица2[ТПиР/НСиР])*Таблица2[ПИР2012]),S38*SUMPRODUCT(($B$2=Таблица2[Филиал])*($B$3=Таблица2[ФЕР/ТЕР])*(F38=Таблица2[Наименование работ])*(G38=Таблица2[ТПиР/НСиР])*Таблица2[ПИР2012]))</f>
        <v>0</v>
      </c>
      <c r="AH38" s="63">
        <f>IF($B$4="в текущих ценах",T38*SUMPRODUCT(($B$2=Таблица2[Филиал])*($B$3=Таблица2[ФЕР/ТЕР])*(F38=Таблица2[Наименование работ])*(G38=Таблица2[ТПиР/НСиР])*Таблица2[СМР2012]),T38*SUMPRODUCT(($B$2=Таблица2[Филиал])*($B$3=Таблица2[ФЕР/ТЕР])*(F38=Таблица2[Наименование работ])*(G38=Таблица2[ТПиР/НСиР])*Таблица2[СМР2012]))</f>
        <v>0</v>
      </c>
      <c r="AI38" s="63">
        <f>IF($B$4="в текущих ценах",U38*SUMPRODUCT(($B$2=Таблица2[Филиал])*($B$3=Таблица2[ФЕР/ТЕР])*(F38=Таблица2[Наименование работ])*(G38=Таблица2[ТПиР/НСиР])*Таблица2[ПНР2012]),U38*SUMPRODUCT(($B$2=Таблица2[Филиал])*($B$3=Таблица2[ФЕР/ТЕР])*(F38=Таблица2[Наименование работ])*(G38=Таблица2[ТПиР/НСиР])*Таблица2[ПНР2012]))</f>
        <v>0</v>
      </c>
      <c r="AJ38" s="63">
        <f>IF($B$4="в текущих ценах",V38*SUMPRODUCT(($B$2=Таблица2[Филиал])*($B$3=Таблица2[ФЕР/ТЕР])*(F38=Таблица2[Наименование работ])*(G38=Таблица2[ТПиР/НСиР])*Таблица2[Оборудование2012]),V38*SUMPRODUCT(($B$2=Таблица2[Филиал])*($B$3=Таблица2[ФЕР/ТЕР])*(F38=Таблица2[Наименование работ])*(G38=Таблица2[ТПиР/НСиР])*Таблица2[Оборудование2012]))</f>
        <v>0</v>
      </c>
      <c r="AK38" s="63">
        <f>IF($B$4="в текущих ценах",W38*SUMPRODUCT(($B$2=Таблица2[Филиал])*($B$3=Таблица2[ФЕР/ТЕР])*(F38=Таблица2[Наименование работ])*(G38=Таблица2[ТПиР/НСиР])*Таблица2[Прочее2012]),W38*SUMPRODUCT(($B$2=Таблица2[Филиал])*($B$3=Таблица2[ФЕР/ТЕР])*(F38=Таблица2[Наименование работ])*(G38=Таблица2[ТПиР/НСиР])*Таблица2[Прочее2012]))</f>
        <v>0</v>
      </c>
      <c r="AL38" s="63">
        <f>данные!$X38+данные!$Y38+данные!$Z38+данные!$AA38+данные!$AB38</f>
        <v>0</v>
      </c>
      <c r="AM38" s="63">
        <v>1.03639035</v>
      </c>
      <c r="AN38" s="63">
        <v>1.0114049394</v>
      </c>
      <c r="AO38" s="63">
        <v>0.98210394336149998</v>
      </c>
      <c r="AP38" s="63">
        <v>0.93762413895893393</v>
      </c>
      <c r="AQ38" s="63"/>
      <c r="AR38" s="63"/>
      <c r="AS38" s="64"/>
      <c r="AU38" s="66">
        <f t="shared" si="5"/>
        <v>0</v>
      </c>
      <c r="AX38" s="66">
        <f t="shared" si="0"/>
        <v>0</v>
      </c>
      <c r="AY38" s="66">
        <f t="shared" si="1"/>
        <v>0</v>
      </c>
      <c r="AZ38" s="66">
        <f t="shared" si="2"/>
        <v>0</v>
      </c>
      <c r="BA38" s="66">
        <f t="shared" si="3"/>
        <v>0</v>
      </c>
      <c r="BB38" s="66">
        <f t="shared" si="4"/>
        <v>0</v>
      </c>
    </row>
    <row r="39" spans="4:54" x14ac:dyDescent="0.25">
      <c r="D39" s="62">
        <f>калькулятор!C43</f>
        <v>0</v>
      </c>
      <c r="E39" s="62">
        <f>калькулятор!F43</f>
        <v>0</v>
      </c>
      <c r="F39" s="62">
        <f>калькулятор!G43</f>
        <v>0</v>
      </c>
      <c r="G39" s="62">
        <f>калькулятор!H43</f>
        <v>0</v>
      </c>
      <c r="H39" s="62">
        <f>калькулятор!I43</f>
        <v>0</v>
      </c>
      <c r="I39" s="63">
        <f>S39*SUMPRODUCT(($B$2=Таблица2[Филиал])*($B$3=Таблица2[ФЕР/ТЕР])*(F39=Таблица2[Наименование работ])*(G39=Таблица2[ТПиР/НСиР])*Таблица2[ПИР2010])</f>
        <v>0</v>
      </c>
      <c r="J39" s="63">
        <f>T39*SUMPRODUCT(($B$2=Таблица2[Филиал])*($B$3=Таблица2[ФЕР/ТЕР])*(F39=Таблица2[Наименование работ])*(G39=Таблица2[ТПиР/НСиР])*Таблица2[СМР2010])</f>
        <v>0</v>
      </c>
      <c r="K39" s="63">
        <f>U39*SUMPRODUCT(($B$2=Таблица2[Филиал])*($B$3=Таблица2[ФЕР/ТЕР])*(F39=Таблица2[Наименование работ])*(G39=Таблица2[ТПиР/НСиР])*Таблица2[ПНР2010])</f>
        <v>0</v>
      </c>
      <c r="L39" s="63">
        <f>V39*SUMPRODUCT(($B$2=Таблица2[Филиал])*($B$3=Таблица2[ФЕР/ТЕР])*(F39=Таблица2[Наименование работ])*(G39=Таблица2[ТПиР/НСиР])*Таблица2[Оборудование2010])</f>
        <v>0</v>
      </c>
      <c r="M39" s="63">
        <f>W39*SUMPRODUCT(($B$2=Таблица2[Филиал])*($B$3=Таблица2[ФЕР/ТЕР])*(F39=Таблица2[Наименование работ])*(G39=Таблица2[ТПиР/НСиР])*Таблица2[Прочие2010])</f>
        <v>0</v>
      </c>
      <c r="N39" s="63">
        <f>S39*SUMPRODUCT(($B$2=Таблица2[Филиал])*($B$3=Таблица2[ФЕР/ТЕР])*(F39=Таблица2[Наименование работ])*(G39=Таблица2[ТПиР/НСиР])*Таблица2[ПИР2013-10])</f>
        <v>0</v>
      </c>
      <c r="O39" s="63">
        <f>T39*SUMPRODUCT(($B$2=Таблица2[Филиал])*($B$3=Таблица2[ФЕР/ТЕР])*(F39=Таблица2[Наименование работ])*(G39=Таблица2[ТПиР/НСиР])*Таблица2[СМР2013-10])</f>
        <v>0</v>
      </c>
      <c r="P39" s="63">
        <f>U39*SUMPRODUCT(($B$2=Таблица2[Филиал])*($B$3=Таблица2[ФЕР/ТЕР])*(F39=Таблица2[Наименование работ])*(G39=Таблица2[ТПиР/НСиР])*Таблица2[ПНР2013-10])</f>
        <v>0</v>
      </c>
      <c r="Q39" s="63">
        <f>V39*SUMPRODUCT(($B$2=Таблица2[Филиал])*($B$3=Таблица2[ФЕР/ТЕР])*(F39=Таблица2[Наименование работ])*(G39=Таблица2[ТПиР/НСиР])*Таблица2[Оборудование2013-10])</f>
        <v>0</v>
      </c>
      <c r="R39" s="63">
        <f>W39*SUMPRODUCT(($B$2=Таблица2[Филиал])*($B$3=Таблица2[ФЕР/ТЕР])*(F39=Таблица2[Наименование работ])*(G39=Таблица2[ТПиР/НСиР])*Таблица2[Прочие2013-10])</f>
        <v>0</v>
      </c>
      <c r="S39" s="63">
        <f>IF($B$4="в базовых ценах",калькулятор!J43,X39*SUMPRODUCT(($B$2=Таблица2[Филиал])*($B$3=Таблица2[ФЕР/ТЕР])*(F39=Таблица2[Наименование работ])*(G39=Таблица2[ТПиР/НСиР])/Таблица2[ПИР2013]))</f>
        <v>0</v>
      </c>
      <c r="T39" s="63">
        <f>IF($B$4="в базовых ценах",калькулятор!K43,Y39*SUMPRODUCT(($B$2=Таблица2[Филиал])*($B$3=Таблица2[ФЕР/ТЕР])*(F39=Таблица2[Наименование работ])*(G39=Таблица2[ТПиР/НСиР])/Таблица2[СМР2013]))</f>
        <v>0</v>
      </c>
      <c r="U39" s="63">
        <f>IF($B$4="в базовых ценах",калькулятор!L43,Z39*SUMPRODUCT(($B$2=Таблица2[Филиал])*($B$3=Таблица2[ФЕР/ТЕР])*(F39=Таблица2[Наименование работ])*(G39=Таблица2[ТПиР/НСиР])/Таблица2[ПНР2013]))</f>
        <v>0</v>
      </c>
      <c r="V39" s="63">
        <f>IF($B$4="в базовых ценах",калькулятор!M43,AA39*SUMPRODUCT(($B$2=Таблица2[Филиал])*($B$3=Таблица2[ФЕР/ТЕР])*(F39=Таблица2[Наименование работ])*(G39=Таблица2[ТПиР/НСиР])/Таблица2[Оборудование2013]))</f>
        <v>0</v>
      </c>
      <c r="W39" s="63">
        <f>IF($B$4="в базовых ценах",калькулятор!N43,AB39*SUMPRODUCT(($B$2=Таблица2[Филиал])*($B$3=Таблица2[ФЕР/ТЕР])*(F39=Таблица2[Наименование работ])*(G39=Таблица2[ТПиР/НСиР])/Таблица2[Прочие3]))</f>
        <v>0</v>
      </c>
      <c r="X39" s="63">
        <f>IF($B$4="в текущих ценах",калькулятор!J43,S39*SUMPRODUCT(($B$2=Таблица2[Филиал])*($B$3=Таблица2[ФЕР/ТЕР])*(F39=Таблица2[Наименование работ])*(G39=Таблица2[ТПиР/НСиР])*Таблица2[ПИР2013]))</f>
        <v>0</v>
      </c>
      <c r="Y39" s="63">
        <f>IF($B$4="в текущих ценах",калькулятор!K43,T39*SUMPRODUCT(($B$2=Таблица2[Филиал])*($B$3=Таблица2[ФЕР/ТЕР])*(F39=Таблица2[Наименование работ])*(G39=Таблица2[ТПиР/НСиР])*Таблица2[СМР2013]))</f>
        <v>0</v>
      </c>
      <c r="Z39" s="63">
        <f>IF($B$4="в текущих ценах",калькулятор!L43,U39*SUMPRODUCT(($B$2=Таблица2[Филиал])*($B$3=Таблица2[ФЕР/ТЕР])*(F39=Таблица2[Наименование работ])*(G39=Таблица2[ТПиР/НСиР])*Таблица2[ПНР2013]))</f>
        <v>0</v>
      </c>
      <c r="AA39" s="63">
        <f>IF($B$4="в текущих ценах",калькулятор!M43,V39*SUMPRODUCT(($B$2=Таблица2[Филиал])*($B$3=Таблица2[ФЕР/ТЕР])*(F39=Таблица2[Наименование работ])*(G39=Таблица2[ТПиР/НСиР])*Таблица2[Оборудование2013]))</f>
        <v>0</v>
      </c>
      <c r="AB39" s="63">
        <f>IF($B$4="в текущих ценах",калькулятор!N43,W39*SUMPRODUCT(($B$2=Таблица2[Филиал])*($B$3=Таблица2[ФЕР/ТЕР])*(F39=Таблица2[Наименование работ])*(G39=Таблица2[ТПиР/НСиР])*Таблица2[Прочие3]))</f>
        <v>0</v>
      </c>
      <c r="AC39" s="63">
        <f>SUM(данные!$I39:$M39)</f>
        <v>0</v>
      </c>
      <c r="AD39" s="63">
        <f>IF(SUM(данные!$N39:$R39)&gt;данные!$AF39,данные!$AF39*0.9*1.058,SUM(данные!$N39:$R39))</f>
        <v>0</v>
      </c>
      <c r="AE39" s="63">
        <f>SUM(данные!$S39:$W39)</f>
        <v>0</v>
      </c>
      <c r="AF39" s="63">
        <f>SUM(данные!$X39:$AB39)</f>
        <v>0</v>
      </c>
      <c r="AG39" s="63">
        <f>IF($B$4="в текущих ценах",S39*SUMPRODUCT(($B$2=Таблица2[Филиал])*($B$3=Таблица2[ФЕР/ТЕР])*(F39=Таблица2[Наименование работ])*(G39=Таблица2[ТПиР/НСиР])*Таблица2[ПИР2012]),S39*SUMPRODUCT(($B$2=Таблица2[Филиал])*($B$3=Таблица2[ФЕР/ТЕР])*(F39=Таблица2[Наименование работ])*(G39=Таблица2[ТПиР/НСиР])*Таблица2[ПИР2012]))</f>
        <v>0</v>
      </c>
      <c r="AH39" s="63">
        <f>IF($B$4="в текущих ценах",T39*SUMPRODUCT(($B$2=Таблица2[Филиал])*($B$3=Таблица2[ФЕР/ТЕР])*(F39=Таблица2[Наименование работ])*(G39=Таблица2[ТПиР/НСиР])*Таблица2[СМР2012]),T39*SUMPRODUCT(($B$2=Таблица2[Филиал])*($B$3=Таблица2[ФЕР/ТЕР])*(F39=Таблица2[Наименование работ])*(G39=Таблица2[ТПиР/НСиР])*Таблица2[СМР2012]))</f>
        <v>0</v>
      </c>
      <c r="AI39" s="63">
        <f>IF($B$4="в текущих ценах",U39*SUMPRODUCT(($B$2=Таблица2[Филиал])*($B$3=Таблица2[ФЕР/ТЕР])*(F39=Таблица2[Наименование работ])*(G39=Таблица2[ТПиР/НСиР])*Таблица2[ПНР2012]),U39*SUMPRODUCT(($B$2=Таблица2[Филиал])*($B$3=Таблица2[ФЕР/ТЕР])*(F39=Таблица2[Наименование работ])*(G39=Таблица2[ТПиР/НСиР])*Таблица2[ПНР2012]))</f>
        <v>0</v>
      </c>
      <c r="AJ39" s="63">
        <f>IF($B$4="в текущих ценах",V39*SUMPRODUCT(($B$2=Таблица2[Филиал])*($B$3=Таблица2[ФЕР/ТЕР])*(F39=Таблица2[Наименование работ])*(G39=Таблица2[ТПиР/НСиР])*Таблица2[Оборудование2012]),V39*SUMPRODUCT(($B$2=Таблица2[Филиал])*($B$3=Таблица2[ФЕР/ТЕР])*(F39=Таблица2[Наименование работ])*(G39=Таблица2[ТПиР/НСиР])*Таблица2[Оборудование2012]))</f>
        <v>0</v>
      </c>
      <c r="AK39" s="63">
        <f>IF($B$4="в текущих ценах",W39*SUMPRODUCT(($B$2=Таблица2[Филиал])*($B$3=Таблица2[ФЕР/ТЕР])*(F39=Таблица2[Наименование работ])*(G39=Таблица2[ТПиР/НСиР])*Таблица2[Прочее2012]),W39*SUMPRODUCT(($B$2=Таблица2[Филиал])*($B$3=Таблица2[ФЕР/ТЕР])*(F39=Таблица2[Наименование работ])*(G39=Таблица2[ТПиР/НСиР])*Таблица2[Прочее2012]))</f>
        <v>0</v>
      </c>
      <c r="AL39" s="63">
        <f>данные!$X39+данные!$Y39+данные!$Z39+данные!$AA39+данные!$AB39</f>
        <v>0</v>
      </c>
      <c r="AM39" s="63">
        <v>1.03639035</v>
      </c>
      <c r="AN39" s="63">
        <v>1.0114049394</v>
      </c>
      <c r="AO39" s="63">
        <v>0.98210394336149998</v>
      </c>
      <c r="AP39" s="63">
        <v>0.93762413895893393</v>
      </c>
      <c r="AQ39" s="63"/>
      <c r="AR39" s="63"/>
      <c r="AS39" s="64"/>
      <c r="AU39" s="66">
        <f t="shared" si="5"/>
        <v>0</v>
      </c>
      <c r="AX39" s="66">
        <f t="shared" si="0"/>
        <v>0</v>
      </c>
      <c r="AY39" s="66">
        <f t="shared" si="1"/>
        <v>0</v>
      </c>
      <c r="AZ39" s="66">
        <f t="shared" si="2"/>
        <v>0</v>
      </c>
      <c r="BA39" s="66">
        <f t="shared" si="3"/>
        <v>0</v>
      </c>
      <c r="BB39" s="66">
        <f t="shared" si="4"/>
        <v>0</v>
      </c>
    </row>
    <row r="40" spans="4:54" x14ac:dyDescent="0.25">
      <c r="D40" s="62">
        <f>калькулятор!C44</f>
        <v>0</v>
      </c>
      <c r="E40" s="62">
        <f>калькулятор!F44</f>
        <v>0</v>
      </c>
      <c r="F40" s="62">
        <f>калькулятор!G44</f>
        <v>0</v>
      </c>
      <c r="G40" s="62">
        <f>калькулятор!H44</f>
        <v>0</v>
      </c>
      <c r="H40" s="62">
        <f>калькулятор!I44</f>
        <v>0</v>
      </c>
      <c r="I40" s="63">
        <f>S40*SUMPRODUCT(($B$2=Таблица2[Филиал])*($B$3=Таблица2[ФЕР/ТЕР])*(F40=Таблица2[Наименование работ])*(G40=Таблица2[ТПиР/НСиР])*Таблица2[ПИР2010])</f>
        <v>0</v>
      </c>
      <c r="J40" s="63">
        <f>T40*SUMPRODUCT(($B$2=Таблица2[Филиал])*($B$3=Таблица2[ФЕР/ТЕР])*(F40=Таблица2[Наименование работ])*(G40=Таблица2[ТПиР/НСиР])*Таблица2[СМР2010])</f>
        <v>0</v>
      </c>
      <c r="K40" s="63">
        <f>U40*SUMPRODUCT(($B$2=Таблица2[Филиал])*($B$3=Таблица2[ФЕР/ТЕР])*(F40=Таблица2[Наименование работ])*(G40=Таблица2[ТПиР/НСиР])*Таблица2[ПНР2010])</f>
        <v>0</v>
      </c>
      <c r="L40" s="63">
        <f>V40*SUMPRODUCT(($B$2=Таблица2[Филиал])*($B$3=Таблица2[ФЕР/ТЕР])*(F40=Таблица2[Наименование работ])*(G40=Таблица2[ТПиР/НСиР])*Таблица2[Оборудование2010])</f>
        <v>0</v>
      </c>
      <c r="M40" s="63">
        <f>W40*SUMPRODUCT(($B$2=Таблица2[Филиал])*($B$3=Таблица2[ФЕР/ТЕР])*(F40=Таблица2[Наименование работ])*(G40=Таблица2[ТПиР/НСиР])*Таблица2[Прочие2010])</f>
        <v>0</v>
      </c>
      <c r="N40" s="63">
        <f>S40*SUMPRODUCT(($B$2=Таблица2[Филиал])*($B$3=Таблица2[ФЕР/ТЕР])*(F40=Таблица2[Наименование работ])*(G40=Таблица2[ТПиР/НСиР])*Таблица2[ПИР2013-10])</f>
        <v>0</v>
      </c>
      <c r="O40" s="63">
        <f>T40*SUMPRODUCT(($B$2=Таблица2[Филиал])*($B$3=Таблица2[ФЕР/ТЕР])*(F40=Таблица2[Наименование работ])*(G40=Таблица2[ТПиР/НСиР])*Таблица2[СМР2013-10])</f>
        <v>0</v>
      </c>
      <c r="P40" s="63">
        <f>U40*SUMPRODUCT(($B$2=Таблица2[Филиал])*($B$3=Таблица2[ФЕР/ТЕР])*(F40=Таблица2[Наименование работ])*(G40=Таблица2[ТПиР/НСиР])*Таблица2[ПНР2013-10])</f>
        <v>0</v>
      </c>
      <c r="Q40" s="63">
        <f>V40*SUMPRODUCT(($B$2=Таблица2[Филиал])*($B$3=Таблица2[ФЕР/ТЕР])*(F40=Таблица2[Наименование работ])*(G40=Таблица2[ТПиР/НСиР])*Таблица2[Оборудование2013-10])</f>
        <v>0</v>
      </c>
      <c r="R40" s="63">
        <f>W40*SUMPRODUCT(($B$2=Таблица2[Филиал])*($B$3=Таблица2[ФЕР/ТЕР])*(F40=Таблица2[Наименование работ])*(G40=Таблица2[ТПиР/НСиР])*Таблица2[Прочие2013-10])</f>
        <v>0</v>
      </c>
      <c r="S40" s="63">
        <f>IF($B$4="в базовых ценах",калькулятор!J44,X40*SUMPRODUCT(($B$2=Таблица2[Филиал])*($B$3=Таблица2[ФЕР/ТЕР])*(F40=Таблица2[Наименование работ])*(G40=Таблица2[ТПиР/НСиР])/Таблица2[ПИР2013]))</f>
        <v>0</v>
      </c>
      <c r="T40" s="63">
        <f>IF($B$4="в базовых ценах",калькулятор!K44,Y40*SUMPRODUCT(($B$2=Таблица2[Филиал])*($B$3=Таблица2[ФЕР/ТЕР])*(F40=Таблица2[Наименование работ])*(G40=Таблица2[ТПиР/НСиР])/Таблица2[СМР2013]))</f>
        <v>0</v>
      </c>
      <c r="U40" s="63">
        <f>IF($B$4="в базовых ценах",калькулятор!L44,Z40*SUMPRODUCT(($B$2=Таблица2[Филиал])*($B$3=Таблица2[ФЕР/ТЕР])*(F40=Таблица2[Наименование работ])*(G40=Таблица2[ТПиР/НСиР])/Таблица2[ПНР2013]))</f>
        <v>0</v>
      </c>
      <c r="V40" s="63">
        <f>IF($B$4="в базовых ценах",калькулятор!M44,AA40*SUMPRODUCT(($B$2=Таблица2[Филиал])*($B$3=Таблица2[ФЕР/ТЕР])*(F40=Таблица2[Наименование работ])*(G40=Таблица2[ТПиР/НСиР])/Таблица2[Оборудование2013]))</f>
        <v>0</v>
      </c>
      <c r="W40" s="63">
        <f>IF($B$4="в базовых ценах",калькулятор!N44,AB40*SUMPRODUCT(($B$2=Таблица2[Филиал])*($B$3=Таблица2[ФЕР/ТЕР])*(F40=Таблица2[Наименование работ])*(G40=Таблица2[ТПиР/НСиР])/Таблица2[Прочие3]))</f>
        <v>0</v>
      </c>
      <c r="X40" s="63">
        <f>IF($B$4="в текущих ценах",калькулятор!J44,S40*SUMPRODUCT(($B$2=Таблица2[Филиал])*($B$3=Таблица2[ФЕР/ТЕР])*(F40=Таблица2[Наименование работ])*(G40=Таблица2[ТПиР/НСиР])*Таблица2[ПИР2013]))</f>
        <v>0</v>
      </c>
      <c r="Y40" s="63">
        <f>IF($B$4="в текущих ценах",калькулятор!K44,T40*SUMPRODUCT(($B$2=Таблица2[Филиал])*($B$3=Таблица2[ФЕР/ТЕР])*(F40=Таблица2[Наименование работ])*(G40=Таблица2[ТПиР/НСиР])*Таблица2[СМР2013]))</f>
        <v>0</v>
      </c>
      <c r="Z40" s="63">
        <f>IF($B$4="в текущих ценах",калькулятор!L44,U40*SUMPRODUCT(($B$2=Таблица2[Филиал])*($B$3=Таблица2[ФЕР/ТЕР])*(F40=Таблица2[Наименование работ])*(G40=Таблица2[ТПиР/НСиР])*Таблица2[ПНР2013]))</f>
        <v>0</v>
      </c>
      <c r="AA40" s="63">
        <f>IF($B$4="в текущих ценах",калькулятор!M44,V40*SUMPRODUCT(($B$2=Таблица2[Филиал])*($B$3=Таблица2[ФЕР/ТЕР])*(F40=Таблица2[Наименование работ])*(G40=Таблица2[ТПиР/НСиР])*Таблица2[Оборудование2013]))</f>
        <v>0</v>
      </c>
      <c r="AB40" s="63">
        <f>IF($B$4="в текущих ценах",калькулятор!N44,W40*SUMPRODUCT(($B$2=Таблица2[Филиал])*($B$3=Таблица2[ФЕР/ТЕР])*(F40=Таблица2[Наименование работ])*(G40=Таблица2[ТПиР/НСиР])*Таблица2[Прочие3]))</f>
        <v>0</v>
      </c>
      <c r="AC40" s="63">
        <f>SUM(данные!$I40:$M40)</f>
        <v>0</v>
      </c>
      <c r="AD40" s="63">
        <f>IF(SUM(данные!$N40:$R40)&gt;данные!$AF40,данные!$AF40*0.9*1.058,SUM(данные!$N40:$R40))</f>
        <v>0</v>
      </c>
      <c r="AE40" s="63">
        <f>SUM(данные!$S40:$W40)</f>
        <v>0</v>
      </c>
      <c r="AF40" s="63">
        <f>SUM(данные!$X40:$AB40)</f>
        <v>0</v>
      </c>
      <c r="AG40" s="63">
        <f>IF($B$4="в текущих ценах",S40*SUMPRODUCT(($B$2=Таблица2[Филиал])*($B$3=Таблица2[ФЕР/ТЕР])*(F40=Таблица2[Наименование работ])*(G40=Таблица2[ТПиР/НСиР])*Таблица2[ПИР2012]),S40*SUMPRODUCT(($B$2=Таблица2[Филиал])*($B$3=Таблица2[ФЕР/ТЕР])*(F40=Таблица2[Наименование работ])*(G40=Таблица2[ТПиР/НСиР])*Таблица2[ПИР2012]))</f>
        <v>0</v>
      </c>
      <c r="AH40" s="63">
        <f>IF($B$4="в текущих ценах",T40*SUMPRODUCT(($B$2=Таблица2[Филиал])*($B$3=Таблица2[ФЕР/ТЕР])*(F40=Таблица2[Наименование работ])*(G40=Таблица2[ТПиР/НСиР])*Таблица2[СМР2012]),T40*SUMPRODUCT(($B$2=Таблица2[Филиал])*($B$3=Таблица2[ФЕР/ТЕР])*(F40=Таблица2[Наименование работ])*(G40=Таблица2[ТПиР/НСиР])*Таблица2[СМР2012]))</f>
        <v>0</v>
      </c>
      <c r="AI40" s="63">
        <f>IF($B$4="в текущих ценах",U40*SUMPRODUCT(($B$2=Таблица2[Филиал])*($B$3=Таблица2[ФЕР/ТЕР])*(F40=Таблица2[Наименование работ])*(G40=Таблица2[ТПиР/НСиР])*Таблица2[ПНР2012]),U40*SUMPRODUCT(($B$2=Таблица2[Филиал])*($B$3=Таблица2[ФЕР/ТЕР])*(F40=Таблица2[Наименование работ])*(G40=Таблица2[ТПиР/НСиР])*Таблица2[ПНР2012]))</f>
        <v>0</v>
      </c>
      <c r="AJ40" s="63">
        <f>IF($B$4="в текущих ценах",V40*SUMPRODUCT(($B$2=Таблица2[Филиал])*($B$3=Таблица2[ФЕР/ТЕР])*(F40=Таблица2[Наименование работ])*(G40=Таблица2[ТПиР/НСиР])*Таблица2[Оборудование2012]),V40*SUMPRODUCT(($B$2=Таблица2[Филиал])*($B$3=Таблица2[ФЕР/ТЕР])*(F40=Таблица2[Наименование работ])*(G40=Таблица2[ТПиР/НСиР])*Таблица2[Оборудование2012]))</f>
        <v>0</v>
      </c>
      <c r="AK40" s="63">
        <f>IF($B$4="в текущих ценах",W40*SUMPRODUCT(($B$2=Таблица2[Филиал])*($B$3=Таблица2[ФЕР/ТЕР])*(F40=Таблица2[Наименование работ])*(G40=Таблица2[ТПиР/НСиР])*Таблица2[Прочее2012]),W40*SUMPRODUCT(($B$2=Таблица2[Филиал])*($B$3=Таблица2[ФЕР/ТЕР])*(F40=Таблица2[Наименование работ])*(G40=Таблица2[ТПиР/НСиР])*Таблица2[Прочее2012]))</f>
        <v>0</v>
      </c>
      <c r="AL40" s="63">
        <f>данные!$X40+данные!$Y40+данные!$Z40+данные!$AA40+данные!$AB40</f>
        <v>0</v>
      </c>
      <c r="AM40" s="63">
        <v>1.03639035</v>
      </c>
      <c r="AN40" s="63">
        <v>1.0114049394</v>
      </c>
      <c r="AO40" s="63">
        <v>0.98210394336149998</v>
      </c>
      <c r="AP40" s="63">
        <v>0.93762413895893393</v>
      </c>
      <c r="AQ40" s="63"/>
      <c r="AR40" s="63"/>
      <c r="AS40" s="64"/>
      <c r="AU40" s="66">
        <f t="shared" si="5"/>
        <v>0</v>
      </c>
      <c r="AX40" s="66">
        <f t="shared" si="0"/>
        <v>0</v>
      </c>
      <c r="AY40" s="66">
        <f t="shared" si="1"/>
        <v>0</v>
      </c>
      <c r="AZ40" s="66">
        <f t="shared" si="2"/>
        <v>0</v>
      </c>
      <c r="BA40" s="66">
        <f t="shared" si="3"/>
        <v>0</v>
      </c>
      <c r="BB40" s="66">
        <f t="shared" si="4"/>
        <v>0</v>
      </c>
    </row>
    <row r="41" spans="4:54" x14ac:dyDescent="0.25">
      <c r="D41" s="62">
        <f>калькулятор!C45</f>
        <v>0</v>
      </c>
      <c r="E41" s="62">
        <f>калькулятор!F45</f>
        <v>0</v>
      </c>
      <c r="F41" s="62">
        <f>калькулятор!G45</f>
        <v>0</v>
      </c>
      <c r="G41" s="62">
        <f>калькулятор!H45</f>
        <v>0</v>
      </c>
      <c r="H41" s="62">
        <f>калькулятор!I45</f>
        <v>0</v>
      </c>
      <c r="I41" s="63">
        <f>S41*SUMPRODUCT(($B$2=Таблица2[Филиал])*($B$3=Таблица2[ФЕР/ТЕР])*(F41=Таблица2[Наименование работ])*(G41=Таблица2[ТПиР/НСиР])*Таблица2[ПИР2010])</f>
        <v>0</v>
      </c>
      <c r="J41" s="63">
        <f>T41*SUMPRODUCT(($B$2=Таблица2[Филиал])*($B$3=Таблица2[ФЕР/ТЕР])*(F41=Таблица2[Наименование работ])*(G41=Таблица2[ТПиР/НСиР])*Таблица2[СМР2010])</f>
        <v>0</v>
      </c>
      <c r="K41" s="63">
        <f>U41*SUMPRODUCT(($B$2=Таблица2[Филиал])*($B$3=Таблица2[ФЕР/ТЕР])*(F41=Таблица2[Наименование работ])*(G41=Таблица2[ТПиР/НСиР])*Таблица2[ПНР2010])</f>
        <v>0</v>
      </c>
      <c r="L41" s="63">
        <f>V41*SUMPRODUCT(($B$2=Таблица2[Филиал])*($B$3=Таблица2[ФЕР/ТЕР])*(F41=Таблица2[Наименование работ])*(G41=Таблица2[ТПиР/НСиР])*Таблица2[Оборудование2010])</f>
        <v>0</v>
      </c>
      <c r="M41" s="63">
        <f>W41*SUMPRODUCT(($B$2=Таблица2[Филиал])*($B$3=Таблица2[ФЕР/ТЕР])*(F41=Таблица2[Наименование работ])*(G41=Таблица2[ТПиР/НСиР])*Таблица2[Прочие2010])</f>
        <v>0</v>
      </c>
      <c r="N41" s="63">
        <f>S41*SUMPRODUCT(($B$2=Таблица2[Филиал])*($B$3=Таблица2[ФЕР/ТЕР])*(F41=Таблица2[Наименование работ])*(G41=Таблица2[ТПиР/НСиР])*Таблица2[ПИР2013-10])</f>
        <v>0</v>
      </c>
      <c r="O41" s="63">
        <f>T41*SUMPRODUCT(($B$2=Таблица2[Филиал])*($B$3=Таблица2[ФЕР/ТЕР])*(F41=Таблица2[Наименование работ])*(G41=Таблица2[ТПиР/НСиР])*Таблица2[СМР2013-10])</f>
        <v>0</v>
      </c>
      <c r="P41" s="63">
        <f>U41*SUMPRODUCT(($B$2=Таблица2[Филиал])*($B$3=Таблица2[ФЕР/ТЕР])*(F41=Таблица2[Наименование работ])*(G41=Таблица2[ТПиР/НСиР])*Таблица2[ПНР2013-10])</f>
        <v>0</v>
      </c>
      <c r="Q41" s="63">
        <f>V41*SUMPRODUCT(($B$2=Таблица2[Филиал])*($B$3=Таблица2[ФЕР/ТЕР])*(F41=Таблица2[Наименование работ])*(G41=Таблица2[ТПиР/НСиР])*Таблица2[Оборудование2013-10])</f>
        <v>0</v>
      </c>
      <c r="R41" s="63">
        <f>W41*SUMPRODUCT(($B$2=Таблица2[Филиал])*($B$3=Таблица2[ФЕР/ТЕР])*(F41=Таблица2[Наименование работ])*(G41=Таблица2[ТПиР/НСиР])*Таблица2[Прочие2013-10])</f>
        <v>0</v>
      </c>
      <c r="S41" s="63">
        <f>IF($B$4="в базовых ценах",калькулятор!J45,X41*SUMPRODUCT(($B$2=Таблица2[Филиал])*($B$3=Таблица2[ФЕР/ТЕР])*(F41=Таблица2[Наименование работ])*(G41=Таблица2[ТПиР/НСиР])/Таблица2[ПИР2013]))</f>
        <v>0</v>
      </c>
      <c r="T41" s="63">
        <f>IF($B$4="в базовых ценах",калькулятор!K45,Y41*SUMPRODUCT(($B$2=Таблица2[Филиал])*($B$3=Таблица2[ФЕР/ТЕР])*(F41=Таблица2[Наименование работ])*(G41=Таблица2[ТПиР/НСиР])/Таблица2[СМР2013]))</f>
        <v>0</v>
      </c>
      <c r="U41" s="63">
        <f>IF($B$4="в базовых ценах",калькулятор!L45,Z41*SUMPRODUCT(($B$2=Таблица2[Филиал])*($B$3=Таблица2[ФЕР/ТЕР])*(F41=Таблица2[Наименование работ])*(G41=Таблица2[ТПиР/НСиР])/Таблица2[ПНР2013]))</f>
        <v>0</v>
      </c>
      <c r="V41" s="63">
        <f>IF($B$4="в базовых ценах",калькулятор!M45,AA41*SUMPRODUCT(($B$2=Таблица2[Филиал])*($B$3=Таблица2[ФЕР/ТЕР])*(F41=Таблица2[Наименование работ])*(G41=Таблица2[ТПиР/НСиР])/Таблица2[Оборудование2013]))</f>
        <v>0</v>
      </c>
      <c r="W41" s="63">
        <f>IF($B$4="в базовых ценах",калькулятор!N45,AB41*SUMPRODUCT(($B$2=Таблица2[Филиал])*($B$3=Таблица2[ФЕР/ТЕР])*(F41=Таблица2[Наименование работ])*(G41=Таблица2[ТПиР/НСиР])/Таблица2[Прочие3]))</f>
        <v>0</v>
      </c>
      <c r="X41" s="63">
        <f>IF($B$4="в текущих ценах",калькулятор!J45,S41*SUMPRODUCT(($B$2=Таблица2[Филиал])*($B$3=Таблица2[ФЕР/ТЕР])*(F41=Таблица2[Наименование работ])*(G41=Таблица2[ТПиР/НСиР])*Таблица2[ПИР2013]))</f>
        <v>0</v>
      </c>
      <c r="Y41" s="63">
        <f>IF($B$4="в текущих ценах",калькулятор!K45,T41*SUMPRODUCT(($B$2=Таблица2[Филиал])*($B$3=Таблица2[ФЕР/ТЕР])*(F41=Таблица2[Наименование работ])*(G41=Таблица2[ТПиР/НСиР])*Таблица2[СМР2013]))</f>
        <v>0</v>
      </c>
      <c r="Z41" s="63">
        <f>IF($B$4="в текущих ценах",калькулятор!L45,U41*SUMPRODUCT(($B$2=Таблица2[Филиал])*($B$3=Таблица2[ФЕР/ТЕР])*(F41=Таблица2[Наименование работ])*(G41=Таблица2[ТПиР/НСиР])*Таблица2[ПНР2013]))</f>
        <v>0</v>
      </c>
      <c r="AA41" s="63">
        <f>IF($B$4="в текущих ценах",калькулятор!M45,V41*SUMPRODUCT(($B$2=Таблица2[Филиал])*($B$3=Таблица2[ФЕР/ТЕР])*(F41=Таблица2[Наименование работ])*(G41=Таблица2[ТПиР/НСиР])*Таблица2[Оборудование2013]))</f>
        <v>0</v>
      </c>
      <c r="AB41" s="63">
        <f>IF($B$4="в текущих ценах",калькулятор!N45,W41*SUMPRODUCT(($B$2=Таблица2[Филиал])*($B$3=Таблица2[ФЕР/ТЕР])*(F41=Таблица2[Наименование работ])*(G41=Таблица2[ТПиР/НСиР])*Таблица2[Прочие3]))</f>
        <v>0</v>
      </c>
      <c r="AC41" s="63">
        <f>SUM(данные!$I41:$M41)</f>
        <v>0</v>
      </c>
      <c r="AD41" s="63">
        <f>IF(SUM(данные!$N41:$R41)&gt;данные!$AF41,данные!$AF41*0.9*1.058,SUM(данные!$N41:$R41))</f>
        <v>0</v>
      </c>
      <c r="AE41" s="63">
        <f>SUM(данные!$S41:$W41)</f>
        <v>0</v>
      </c>
      <c r="AF41" s="63">
        <f>SUM(данные!$X41:$AB41)</f>
        <v>0</v>
      </c>
      <c r="AG41" s="63">
        <f>IF($B$4="в текущих ценах",S41*SUMPRODUCT(($B$2=Таблица2[Филиал])*($B$3=Таблица2[ФЕР/ТЕР])*(F41=Таблица2[Наименование работ])*(G41=Таблица2[ТПиР/НСиР])*Таблица2[ПИР2012]),S41*SUMPRODUCT(($B$2=Таблица2[Филиал])*($B$3=Таблица2[ФЕР/ТЕР])*(F41=Таблица2[Наименование работ])*(G41=Таблица2[ТПиР/НСиР])*Таблица2[ПИР2012]))</f>
        <v>0</v>
      </c>
      <c r="AH41" s="63">
        <f>IF($B$4="в текущих ценах",T41*SUMPRODUCT(($B$2=Таблица2[Филиал])*($B$3=Таблица2[ФЕР/ТЕР])*(F41=Таблица2[Наименование работ])*(G41=Таблица2[ТПиР/НСиР])*Таблица2[СМР2012]),T41*SUMPRODUCT(($B$2=Таблица2[Филиал])*($B$3=Таблица2[ФЕР/ТЕР])*(F41=Таблица2[Наименование работ])*(G41=Таблица2[ТПиР/НСиР])*Таблица2[СМР2012]))</f>
        <v>0</v>
      </c>
      <c r="AI41" s="63">
        <f>IF($B$4="в текущих ценах",U41*SUMPRODUCT(($B$2=Таблица2[Филиал])*($B$3=Таблица2[ФЕР/ТЕР])*(F41=Таблица2[Наименование работ])*(G41=Таблица2[ТПиР/НСиР])*Таблица2[ПНР2012]),U41*SUMPRODUCT(($B$2=Таблица2[Филиал])*($B$3=Таблица2[ФЕР/ТЕР])*(F41=Таблица2[Наименование работ])*(G41=Таблица2[ТПиР/НСиР])*Таблица2[ПНР2012]))</f>
        <v>0</v>
      </c>
      <c r="AJ41" s="63">
        <f>IF($B$4="в текущих ценах",V41*SUMPRODUCT(($B$2=Таблица2[Филиал])*($B$3=Таблица2[ФЕР/ТЕР])*(F41=Таблица2[Наименование работ])*(G41=Таблица2[ТПиР/НСиР])*Таблица2[Оборудование2012]),V41*SUMPRODUCT(($B$2=Таблица2[Филиал])*($B$3=Таблица2[ФЕР/ТЕР])*(F41=Таблица2[Наименование работ])*(G41=Таблица2[ТПиР/НСиР])*Таблица2[Оборудование2012]))</f>
        <v>0</v>
      </c>
      <c r="AK41" s="63">
        <f>IF($B$4="в текущих ценах",W41*SUMPRODUCT(($B$2=Таблица2[Филиал])*($B$3=Таблица2[ФЕР/ТЕР])*(F41=Таблица2[Наименование работ])*(G41=Таблица2[ТПиР/НСиР])*Таблица2[Прочее2012]),W41*SUMPRODUCT(($B$2=Таблица2[Филиал])*($B$3=Таблица2[ФЕР/ТЕР])*(F41=Таблица2[Наименование работ])*(G41=Таблица2[ТПиР/НСиР])*Таблица2[Прочее2012]))</f>
        <v>0</v>
      </c>
      <c r="AL41" s="63">
        <f>данные!$X41+данные!$Y41+данные!$Z41+данные!$AA41+данные!$AB41</f>
        <v>0</v>
      </c>
      <c r="AM41" s="63">
        <v>1.03639035</v>
      </c>
      <c r="AN41" s="63">
        <v>1.0114049394</v>
      </c>
      <c r="AO41" s="63">
        <v>0.98210394336149998</v>
      </c>
      <c r="AP41" s="63">
        <v>0.93762413895893393</v>
      </c>
      <c r="AQ41" s="63"/>
      <c r="AR41" s="63"/>
      <c r="AS41" s="64"/>
      <c r="AU41" s="66">
        <f t="shared" si="5"/>
        <v>0</v>
      </c>
      <c r="AX41" s="66">
        <f t="shared" si="0"/>
        <v>0</v>
      </c>
      <c r="AY41" s="66">
        <f t="shared" si="1"/>
        <v>0</v>
      </c>
      <c r="AZ41" s="66">
        <f t="shared" si="2"/>
        <v>0</v>
      </c>
      <c r="BA41" s="66">
        <f t="shared" si="3"/>
        <v>0</v>
      </c>
      <c r="BB41" s="66">
        <f t="shared" si="4"/>
        <v>0</v>
      </c>
    </row>
    <row r="42" spans="4:54" x14ac:dyDescent="0.25">
      <c r="D42" s="62">
        <f>калькулятор!C46</f>
        <v>0</v>
      </c>
      <c r="E42" s="62">
        <f>калькулятор!F46</f>
        <v>0</v>
      </c>
      <c r="F42" s="62">
        <f>калькулятор!G46</f>
        <v>0</v>
      </c>
      <c r="G42" s="62">
        <f>калькулятор!H46</f>
        <v>0</v>
      </c>
      <c r="H42" s="62">
        <f>калькулятор!I46</f>
        <v>0</v>
      </c>
      <c r="I42" s="63">
        <f>S42*SUMPRODUCT(($B$2=Таблица2[Филиал])*($B$3=Таблица2[ФЕР/ТЕР])*(F42=Таблица2[Наименование работ])*(G42=Таблица2[ТПиР/НСиР])*Таблица2[ПИР2010])</f>
        <v>0</v>
      </c>
      <c r="J42" s="63">
        <f>T42*SUMPRODUCT(($B$2=Таблица2[Филиал])*($B$3=Таблица2[ФЕР/ТЕР])*(F42=Таблица2[Наименование работ])*(G42=Таблица2[ТПиР/НСиР])*Таблица2[СМР2010])</f>
        <v>0</v>
      </c>
      <c r="K42" s="63">
        <f>U42*SUMPRODUCT(($B$2=Таблица2[Филиал])*($B$3=Таблица2[ФЕР/ТЕР])*(F42=Таблица2[Наименование работ])*(G42=Таблица2[ТПиР/НСиР])*Таблица2[ПНР2010])</f>
        <v>0</v>
      </c>
      <c r="L42" s="63">
        <f>V42*SUMPRODUCT(($B$2=Таблица2[Филиал])*($B$3=Таблица2[ФЕР/ТЕР])*(F42=Таблица2[Наименование работ])*(G42=Таблица2[ТПиР/НСиР])*Таблица2[Оборудование2010])</f>
        <v>0</v>
      </c>
      <c r="M42" s="63">
        <f>W42*SUMPRODUCT(($B$2=Таблица2[Филиал])*($B$3=Таблица2[ФЕР/ТЕР])*(F42=Таблица2[Наименование работ])*(G42=Таблица2[ТПиР/НСиР])*Таблица2[Прочие2010])</f>
        <v>0</v>
      </c>
      <c r="N42" s="63">
        <f>S42*SUMPRODUCT(($B$2=Таблица2[Филиал])*($B$3=Таблица2[ФЕР/ТЕР])*(F42=Таблица2[Наименование работ])*(G42=Таблица2[ТПиР/НСиР])*Таблица2[ПИР2013-10])</f>
        <v>0</v>
      </c>
      <c r="O42" s="63">
        <f>T42*SUMPRODUCT(($B$2=Таблица2[Филиал])*($B$3=Таблица2[ФЕР/ТЕР])*(F42=Таблица2[Наименование работ])*(G42=Таблица2[ТПиР/НСиР])*Таблица2[СМР2013-10])</f>
        <v>0</v>
      </c>
      <c r="P42" s="63">
        <f>U42*SUMPRODUCT(($B$2=Таблица2[Филиал])*($B$3=Таблица2[ФЕР/ТЕР])*(F42=Таблица2[Наименование работ])*(G42=Таблица2[ТПиР/НСиР])*Таблица2[ПНР2013-10])</f>
        <v>0</v>
      </c>
      <c r="Q42" s="63">
        <f>V42*SUMPRODUCT(($B$2=Таблица2[Филиал])*($B$3=Таблица2[ФЕР/ТЕР])*(F42=Таблица2[Наименование работ])*(G42=Таблица2[ТПиР/НСиР])*Таблица2[Оборудование2013-10])</f>
        <v>0</v>
      </c>
      <c r="R42" s="63">
        <f>W42*SUMPRODUCT(($B$2=Таблица2[Филиал])*($B$3=Таблица2[ФЕР/ТЕР])*(F42=Таблица2[Наименование работ])*(G42=Таблица2[ТПиР/НСиР])*Таблица2[Прочие2013-10])</f>
        <v>0</v>
      </c>
      <c r="S42" s="63">
        <f>IF($B$4="в базовых ценах",калькулятор!J46,X42*SUMPRODUCT(($B$2=Таблица2[Филиал])*($B$3=Таблица2[ФЕР/ТЕР])*(F42=Таблица2[Наименование работ])*(G42=Таблица2[ТПиР/НСиР])/Таблица2[ПИР2013]))</f>
        <v>0</v>
      </c>
      <c r="T42" s="63">
        <f>IF($B$4="в базовых ценах",калькулятор!K46,Y42*SUMPRODUCT(($B$2=Таблица2[Филиал])*($B$3=Таблица2[ФЕР/ТЕР])*(F42=Таблица2[Наименование работ])*(G42=Таблица2[ТПиР/НСиР])/Таблица2[СМР2013]))</f>
        <v>0</v>
      </c>
      <c r="U42" s="63">
        <f>IF($B$4="в базовых ценах",калькулятор!L46,Z42*SUMPRODUCT(($B$2=Таблица2[Филиал])*($B$3=Таблица2[ФЕР/ТЕР])*(F42=Таблица2[Наименование работ])*(G42=Таблица2[ТПиР/НСиР])/Таблица2[ПНР2013]))</f>
        <v>0</v>
      </c>
      <c r="V42" s="63">
        <f>IF($B$4="в базовых ценах",калькулятор!M46,AA42*SUMPRODUCT(($B$2=Таблица2[Филиал])*($B$3=Таблица2[ФЕР/ТЕР])*(F42=Таблица2[Наименование работ])*(G42=Таблица2[ТПиР/НСиР])/Таблица2[Оборудование2013]))</f>
        <v>0</v>
      </c>
      <c r="W42" s="63">
        <f>IF($B$4="в базовых ценах",калькулятор!N46,AB42*SUMPRODUCT(($B$2=Таблица2[Филиал])*($B$3=Таблица2[ФЕР/ТЕР])*(F42=Таблица2[Наименование работ])*(G42=Таблица2[ТПиР/НСиР])/Таблица2[Прочие3]))</f>
        <v>0</v>
      </c>
      <c r="X42" s="63">
        <f>IF($B$4="в текущих ценах",калькулятор!J46,S42*SUMPRODUCT(($B$2=Таблица2[Филиал])*($B$3=Таблица2[ФЕР/ТЕР])*(F42=Таблица2[Наименование работ])*(G42=Таблица2[ТПиР/НСиР])*Таблица2[ПИР2013]))</f>
        <v>0</v>
      </c>
      <c r="Y42" s="63">
        <f>IF($B$4="в текущих ценах",калькулятор!K46,T42*SUMPRODUCT(($B$2=Таблица2[Филиал])*($B$3=Таблица2[ФЕР/ТЕР])*(F42=Таблица2[Наименование работ])*(G42=Таблица2[ТПиР/НСиР])*Таблица2[СМР2013]))</f>
        <v>0</v>
      </c>
      <c r="Z42" s="63">
        <f>IF($B$4="в текущих ценах",калькулятор!L46,U42*SUMPRODUCT(($B$2=Таблица2[Филиал])*($B$3=Таблица2[ФЕР/ТЕР])*(F42=Таблица2[Наименование работ])*(G42=Таблица2[ТПиР/НСиР])*Таблица2[ПНР2013]))</f>
        <v>0</v>
      </c>
      <c r="AA42" s="63">
        <f>IF($B$4="в текущих ценах",калькулятор!M46,V42*SUMPRODUCT(($B$2=Таблица2[Филиал])*($B$3=Таблица2[ФЕР/ТЕР])*(F42=Таблица2[Наименование работ])*(G42=Таблица2[ТПиР/НСиР])*Таблица2[Оборудование2013]))</f>
        <v>0</v>
      </c>
      <c r="AB42" s="63">
        <f>IF($B$4="в текущих ценах",калькулятор!N46,W42*SUMPRODUCT(($B$2=Таблица2[Филиал])*($B$3=Таблица2[ФЕР/ТЕР])*(F42=Таблица2[Наименование работ])*(G42=Таблица2[ТПиР/НСиР])*Таблица2[Прочие3]))</f>
        <v>0</v>
      </c>
      <c r="AC42" s="63">
        <f>SUM(данные!$I42:$M42)</f>
        <v>0</v>
      </c>
      <c r="AD42" s="63">
        <f>IF(SUM(данные!$N42:$R42)&gt;данные!$AF42,данные!$AF42*0.9*1.058,SUM(данные!$N42:$R42))</f>
        <v>0</v>
      </c>
      <c r="AE42" s="63">
        <f>SUM(данные!$S42:$W42)</f>
        <v>0</v>
      </c>
      <c r="AF42" s="63">
        <f>SUM(данные!$X42:$AB42)</f>
        <v>0</v>
      </c>
      <c r="AG42" s="63">
        <f>IF($B$4="в текущих ценах",S42*SUMPRODUCT(($B$2=Таблица2[Филиал])*($B$3=Таблица2[ФЕР/ТЕР])*(F42=Таблица2[Наименование работ])*(G42=Таблица2[ТПиР/НСиР])*Таблица2[ПИР2012]),S42*SUMPRODUCT(($B$2=Таблица2[Филиал])*($B$3=Таблица2[ФЕР/ТЕР])*(F42=Таблица2[Наименование работ])*(G42=Таблица2[ТПиР/НСиР])*Таблица2[ПИР2012]))</f>
        <v>0</v>
      </c>
      <c r="AH42" s="63">
        <f>IF($B$4="в текущих ценах",T42*SUMPRODUCT(($B$2=Таблица2[Филиал])*($B$3=Таблица2[ФЕР/ТЕР])*(F42=Таблица2[Наименование работ])*(G42=Таблица2[ТПиР/НСиР])*Таблица2[СМР2012]),T42*SUMPRODUCT(($B$2=Таблица2[Филиал])*($B$3=Таблица2[ФЕР/ТЕР])*(F42=Таблица2[Наименование работ])*(G42=Таблица2[ТПиР/НСиР])*Таблица2[СМР2012]))</f>
        <v>0</v>
      </c>
      <c r="AI42" s="63">
        <f>IF($B$4="в текущих ценах",U42*SUMPRODUCT(($B$2=Таблица2[Филиал])*($B$3=Таблица2[ФЕР/ТЕР])*(F42=Таблица2[Наименование работ])*(G42=Таблица2[ТПиР/НСиР])*Таблица2[ПНР2012]),U42*SUMPRODUCT(($B$2=Таблица2[Филиал])*($B$3=Таблица2[ФЕР/ТЕР])*(F42=Таблица2[Наименование работ])*(G42=Таблица2[ТПиР/НСиР])*Таблица2[ПНР2012]))</f>
        <v>0</v>
      </c>
      <c r="AJ42" s="63">
        <f>IF($B$4="в текущих ценах",V42*SUMPRODUCT(($B$2=Таблица2[Филиал])*($B$3=Таблица2[ФЕР/ТЕР])*(F42=Таблица2[Наименование работ])*(G42=Таблица2[ТПиР/НСиР])*Таблица2[Оборудование2012]),V42*SUMPRODUCT(($B$2=Таблица2[Филиал])*($B$3=Таблица2[ФЕР/ТЕР])*(F42=Таблица2[Наименование работ])*(G42=Таблица2[ТПиР/НСиР])*Таблица2[Оборудование2012]))</f>
        <v>0</v>
      </c>
      <c r="AK42" s="63">
        <f>IF($B$4="в текущих ценах",W42*SUMPRODUCT(($B$2=Таблица2[Филиал])*($B$3=Таблица2[ФЕР/ТЕР])*(F42=Таблица2[Наименование работ])*(G42=Таблица2[ТПиР/НСиР])*Таблица2[Прочее2012]),W42*SUMPRODUCT(($B$2=Таблица2[Филиал])*($B$3=Таблица2[ФЕР/ТЕР])*(F42=Таблица2[Наименование работ])*(G42=Таблица2[ТПиР/НСиР])*Таблица2[Прочее2012]))</f>
        <v>0</v>
      </c>
      <c r="AL42" s="63">
        <f>данные!$X42+данные!$Y42+данные!$Z42+данные!$AA42+данные!$AB42</f>
        <v>0</v>
      </c>
      <c r="AM42" s="63">
        <v>1.03639035</v>
      </c>
      <c r="AN42" s="63">
        <v>1.0114049394</v>
      </c>
      <c r="AO42" s="63">
        <v>0.98210394336149998</v>
      </c>
      <c r="AP42" s="63">
        <v>0.93762413895893393</v>
      </c>
      <c r="AQ42" s="63"/>
      <c r="AR42" s="63"/>
      <c r="AS42" s="64"/>
      <c r="AU42" s="66">
        <f t="shared" si="5"/>
        <v>0</v>
      </c>
      <c r="AX42" s="66">
        <f t="shared" si="0"/>
        <v>0</v>
      </c>
      <c r="AY42" s="66">
        <f t="shared" si="1"/>
        <v>0</v>
      </c>
      <c r="AZ42" s="66">
        <f t="shared" si="2"/>
        <v>0</v>
      </c>
      <c r="BA42" s="66">
        <f t="shared" si="3"/>
        <v>0</v>
      </c>
      <c r="BB42" s="66">
        <f t="shared" si="4"/>
        <v>0</v>
      </c>
    </row>
    <row r="43" spans="4:54" x14ac:dyDescent="0.25">
      <c r="D43" s="62">
        <f>калькулятор!C47</f>
        <v>0</v>
      </c>
      <c r="E43" s="62">
        <f>калькулятор!F47</f>
        <v>0</v>
      </c>
      <c r="F43" s="62">
        <f>калькулятор!G47</f>
        <v>0</v>
      </c>
      <c r="G43" s="62">
        <f>калькулятор!H47</f>
        <v>0</v>
      </c>
      <c r="H43" s="62">
        <f>калькулятор!I47</f>
        <v>0</v>
      </c>
      <c r="I43" s="63">
        <f>S43*SUMPRODUCT(($B$2=Таблица2[Филиал])*($B$3=Таблица2[ФЕР/ТЕР])*(F43=Таблица2[Наименование работ])*(G43=Таблица2[ТПиР/НСиР])*Таблица2[ПИР2010])</f>
        <v>0</v>
      </c>
      <c r="J43" s="63">
        <f>T43*SUMPRODUCT(($B$2=Таблица2[Филиал])*($B$3=Таблица2[ФЕР/ТЕР])*(F43=Таблица2[Наименование работ])*(G43=Таблица2[ТПиР/НСиР])*Таблица2[СМР2010])</f>
        <v>0</v>
      </c>
      <c r="K43" s="63">
        <f>U43*SUMPRODUCT(($B$2=Таблица2[Филиал])*($B$3=Таблица2[ФЕР/ТЕР])*(F43=Таблица2[Наименование работ])*(G43=Таблица2[ТПиР/НСиР])*Таблица2[ПНР2010])</f>
        <v>0</v>
      </c>
      <c r="L43" s="63">
        <f>V43*SUMPRODUCT(($B$2=Таблица2[Филиал])*($B$3=Таблица2[ФЕР/ТЕР])*(F43=Таблица2[Наименование работ])*(G43=Таблица2[ТПиР/НСиР])*Таблица2[Оборудование2010])</f>
        <v>0</v>
      </c>
      <c r="M43" s="63">
        <f>W43*SUMPRODUCT(($B$2=Таблица2[Филиал])*($B$3=Таблица2[ФЕР/ТЕР])*(F43=Таблица2[Наименование работ])*(G43=Таблица2[ТПиР/НСиР])*Таблица2[Прочие2010])</f>
        <v>0</v>
      </c>
      <c r="N43" s="63">
        <f>S43*SUMPRODUCT(($B$2=Таблица2[Филиал])*($B$3=Таблица2[ФЕР/ТЕР])*(F43=Таблица2[Наименование работ])*(G43=Таблица2[ТПиР/НСиР])*Таблица2[ПИР2013-10])</f>
        <v>0</v>
      </c>
      <c r="O43" s="63">
        <f>T43*SUMPRODUCT(($B$2=Таблица2[Филиал])*($B$3=Таблица2[ФЕР/ТЕР])*(F43=Таблица2[Наименование работ])*(G43=Таблица2[ТПиР/НСиР])*Таблица2[СМР2013-10])</f>
        <v>0</v>
      </c>
      <c r="P43" s="63">
        <f>U43*SUMPRODUCT(($B$2=Таблица2[Филиал])*($B$3=Таблица2[ФЕР/ТЕР])*(F43=Таблица2[Наименование работ])*(G43=Таблица2[ТПиР/НСиР])*Таблица2[ПНР2013-10])</f>
        <v>0</v>
      </c>
      <c r="Q43" s="63">
        <f>V43*SUMPRODUCT(($B$2=Таблица2[Филиал])*($B$3=Таблица2[ФЕР/ТЕР])*(F43=Таблица2[Наименование работ])*(G43=Таблица2[ТПиР/НСиР])*Таблица2[Оборудование2013-10])</f>
        <v>0</v>
      </c>
      <c r="R43" s="63">
        <f>W43*SUMPRODUCT(($B$2=Таблица2[Филиал])*($B$3=Таблица2[ФЕР/ТЕР])*(F43=Таблица2[Наименование работ])*(G43=Таблица2[ТПиР/НСиР])*Таблица2[Прочие2013-10])</f>
        <v>0</v>
      </c>
      <c r="S43" s="63">
        <f>IF($B$4="в базовых ценах",калькулятор!J47,X43*SUMPRODUCT(($B$2=Таблица2[Филиал])*($B$3=Таблица2[ФЕР/ТЕР])*(F43=Таблица2[Наименование работ])*(G43=Таблица2[ТПиР/НСиР])/Таблица2[ПИР2013]))</f>
        <v>0</v>
      </c>
      <c r="T43" s="63">
        <f>IF($B$4="в базовых ценах",калькулятор!K47,Y43*SUMPRODUCT(($B$2=Таблица2[Филиал])*($B$3=Таблица2[ФЕР/ТЕР])*(F43=Таблица2[Наименование работ])*(G43=Таблица2[ТПиР/НСиР])/Таблица2[СМР2013]))</f>
        <v>0</v>
      </c>
      <c r="U43" s="63">
        <f>IF($B$4="в базовых ценах",калькулятор!L47,Z43*SUMPRODUCT(($B$2=Таблица2[Филиал])*($B$3=Таблица2[ФЕР/ТЕР])*(F43=Таблица2[Наименование работ])*(G43=Таблица2[ТПиР/НСиР])/Таблица2[ПНР2013]))</f>
        <v>0</v>
      </c>
      <c r="V43" s="63">
        <f>IF($B$4="в базовых ценах",калькулятор!M47,AA43*SUMPRODUCT(($B$2=Таблица2[Филиал])*($B$3=Таблица2[ФЕР/ТЕР])*(F43=Таблица2[Наименование работ])*(G43=Таблица2[ТПиР/НСиР])/Таблица2[Оборудование2013]))</f>
        <v>0</v>
      </c>
      <c r="W43" s="63">
        <f>IF($B$4="в базовых ценах",калькулятор!N47,AB43*SUMPRODUCT(($B$2=Таблица2[Филиал])*($B$3=Таблица2[ФЕР/ТЕР])*(F43=Таблица2[Наименование работ])*(G43=Таблица2[ТПиР/НСиР])/Таблица2[Прочие3]))</f>
        <v>0</v>
      </c>
      <c r="X43" s="63">
        <f>IF($B$4="в текущих ценах",калькулятор!J47,S43*SUMPRODUCT(($B$2=Таблица2[Филиал])*($B$3=Таблица2[ФЕР/ТЕР])*(F43=Таблица2[Наименование работ])*(G43=Таблица2[ТПиР/НСиР])*Таблица2[ПИР2013]))</f>
        <v>0</v>
      </c>
      <c r="Y43" s="63">
        <f>IF($B$4="в текущих ценах",калькулятор!K47,T43*SUMPRODUCT(($B$2=Таблица2[Филиал])*($B$3=Таблица2[ФЕР/ТЕР])*(F43=Таблица2[Наименование работ])*(G43=Таблица2[ТПиР/НСиР])*Таблица2[СМР2013]))</f>
        <v>0</v>
      </c>
      <c r="Z43" s="63">
        <f>IF($B$4="в текущих ценах",калькулятор!L47,U43*SUMPRODUCT(($B$2=Таблица2[Филиал])*($B$3=Таблица2[ФЕР/ТЕР])*(F43=Таблица2[Наименование работ])*(G43=Таблица2[ТПиР/НСиР])*Таблица2[ПНР2013]))</f>
        <v>0</v>
      </c>
      <c r="AA43" s="63">
        <f>IF($B$4="в текущих ценах",калькулятор!M47,V43*SUMPRODUCT(($B$2=Таблица2[Филиал])*($B$3=Таблица2[ФЕР/ТЕР])*(F43=Таблица2[Наименование работ])*(G43=Таблица2[ТПиР/НСиР])*Таблица2[Оборудование2013]))</f>
        <v>0</v>
      </c>
      <c r="AB43" s="63">
        <f>IF($B$4="в текущих ценах",калькулятор!N47,W43*SUMPRODUCT(($B$2=Таблица2[Филиал])*($B$3=Таблица2[ФЕР/ТЕР])*(F43=Таблица2[Наименование работ])*(G43=Таблица2[ТПиР/НСиР])*Таблица2[Прочие3]))</f>
        <v>0</v>
      </c>
      <c r="AC43" s="63">
        <f>SUM(данные!$I43:$M43)</f>
        <v>0</v>
      </c>
      <c r="AD43" s="63">
        <f>IF(SUM(данные!$N43:$R43)&gt;данные!$AF43,данные!$AF43*0.9*1.058,SUM(данные!$N43:$R43))</f>
        <v>0</v>
      </c>
      <c r="AE43" s="63">
        <f>SUM(данные!$S43:$W43)</f>
        <v>0</v>
      </c>
      <c r="AF43" s="63">
        <f>SUM(данные!$X43:$AB43)</f>
        <v>0</v>
      </c>
      <c r="AG43" s="63">
        <f>IF($B$4="в текущих ценах",S43*SUMPRODUCT(($B$2=Таблица2[Филиал])*($B$3=Таблица2[ФЕР/ТЕР])*(F43=Таблица2[Наименование работ])*(G43=Таблица2[ТПиР/НСиР])*Таблица2[ПИР2012]),S43*SUMPRODUCT(($B$2=Таблица2[Филиал])*($B$3=Таблица2[ФЕР/ТЕР])*(F43=Таблица2[Наименование работ])*(G43=Таблица2[ТПиР/НСиР])*Таблица2[ПИР2012]))</f>
        <v>0</v>
      </c>
      <c r="AH43" s="63">
        <f>IF($B$4="в текущих ценах",T43*SUMPRODUCT(($B$2=Таблица2[Филиал])*($B$3=Таблица2[ФЕР/ТЕР])*(F43=Таблица2[Наименование работ])*(G43=Таблица2[ТПиР/НСиР])*Таблица2[СМР2012]),T43*SUMPRODUCT(($B$2=Таблица2[Филиал])*($B$3=Таблица2[ФЕР/ТЕР])*(F43=Таблица2[Наименование работ])*(G43=Таблица2[ТПиР/НСиР])*Таблица2[СМР2012]))</f>
        <v>0</v>
      </c>
      <c r="AI43" s="63">
        <f>IF($B$4="в текущих ценах",U43*SUMPRODUCT(($B$2=Таблица2[Филиал])*($B$3=Таблица2[ФЕР/ТЕР])*(F43=Таблица2[Наименование работ])*(G43=Таблица2[ТПиР/НСиР])*Таблица2[ПНР2012]),U43*SUMPRODUCT(($B$2=Таблица2[Филиал])*($B$3=Таблица2[ФЕР/ТЕР])*(F43=Таблица2[Наименование работ])*(G43=Таблица2[ТПиР/НСиР])*Таблица2[ПНР2012]))</f>
        <v>0</v>
      </c>
      <c r="AJ43" s="63">
        <f>IF($B$4="в текущих ценах",V43*SUMPRODUCT(($B$2=Таблица2[Филиал])*($B$3=Таблица2[ФЕР/ТЕР])*(F43=Таблица2[Наименование работ])*(G43=Таблица2[ТПиР/НСиР])*Таблица2[Оборудование2012]),V43*SUMPRODUCT(($B$2=Таблица2[Филиал])*($B$3=Таблица2[ФЕР/ТЕР])*(F43=Таблица2[Наименование работ])*(G43=Таблица2[ТПиР/НСиР])*Таблица2[Оборудование2012]))</f>
        <v>0</v>
      </c>
      <c r="AK43" s="63">
        <f>IF($B$4="в текущих ценах",W43*SUMPRODUCT(($B$2=Таблица2[Филиал])*($B$3=Таблица2[ФЕР/ТЕР])*(F43=Таблица2[Наименование работ])*(G43=Таблица2[ТПиР/НСиР])*Таблица2[Прочее2012]),W43*SUMPRODUCT(($B$2=Таблица2[Филиал])*($B$3=Таблица2[ФЕР/ТЕР])*(F43=Таблица2[Наименование работ])*(G43=Таблица2[ТПиР/НСиР])*Таблица2[Прочее2012]))</f>
        <v>0</v>
      </c>
      <c r="AL43" s="63">
        <f>данные!$X43+данные!$Y43+данные!$Z43+данные!$AA43+данные!$AB43</f>
        <v>0</v>
      </c>
      <c r="AM43" s="63">
        <v>1.03639035</v>
      </c>
      <c r="AN43" s="63">
        <v>1.0114049394</v>
      </c>
      <c r="AO43" s="63">
        <v>0.98210394336149998</v>
      </c>
      <c r="AP43" s="63">
        <v>0.93762413895893393</v>
      </c>
      <c r="AQ43" s="63"/>
      <c r="AR43" s="63"/>
      <c r="AS43" s="64"/>
      <c r="AU43" s="66">
        <f t="shared" si="5"/>
        <v>0</v>
      </c>
      <c r="AX43" s="66">
        <f t="shared" si="0"/>
        <v>0</v>
      </c>
      <c r="AY43" s="66">
        <f t="shared" si="1"/>
        <v>0</v>
      </c>
      <c r="AZ43" s="66">
        <f t="shared" si="2"/>
        <v>0</v>
      </c>
      <c r="BA43" s="66">
        <f t="shared" si="3"/>
        <v>0</v>
      </c>
      <c r="BB43" s="66">
        <f t="shared" si="4"/>
        <v>0</v>
      </c>
    </row>
    <row r="44" spans="4:54" x14ac:dyDescent="0.25">
      <c r="D44" s="62">
        <f>калькулятор!C48</f>
        <v>0</v>
      </c>
      <c r="E44" s="62">
        <f>калькулятор!F48</f>
        <v>0</v>
      </c>
      <c r="F44" s="62">
        <f>калькулятор!G48</f>
        <v>0</v>
      </c>
      <c r="G44" s="62">
        <f>калькулятор!H48</f>
        <v>0</v>
      </c>
      <c r="H44" s="62">
        <f>калькулятор!I48</f>
        <v>0</v>
      </c>
      <c r="I44" s="63">
        <f>S44*SUMPRODUCT(($B$2=Таблица2[Филиал])*($B$3=Таблица2[ФЕР/ТЕР])*(F44=Таблица2[Наименование работ])*(G44=Таблица2[ТПиР/НСиР])*Таблица2[ПИР2010])</f>
        <v>0</v>
      </c>
      <c r="J44" s="63">
        <f>T44*SUMPRODUCT(($B$2=Таблица2[Филиал])*($B$3=Таблица2[ФЕР/ТЕР])*(F44=Таблица2[Наименование работ])*(G44=Таблица2[ТПиР/НСиР])*Таблица2[СМР2010])</f>
        <v>0</v>
      </c>
      <c r="K44" s="63">
        <f>U44*SUMPRODUCT(($B$2=Таблица2[Филиал])*($B$3=Таблица2[ФЕР/ТЕР])*(F44=Таблица2[Наименование работ])*(G44=Таблица2[ТПиР/НСиР])*Таблица2[ПНР2010])</f>
        <v>0</v>
      </c>
      <c r="L44" s="63">
        <f>V44*SUMPRODUCT(($B$2=Таблица2[Филиал])*($B$3=Таблица2[ФЕР/ТЕР])*(F44=Таблица2[Наименование работ])*(G44=Таблица2[ТПиР/НСиР])*Таблица2[Оборудование2010])</f>
        <v>0</v>
      </c>
      <c r="M44" s="63">
        <f>W44*SUMPRODUCT(($B$2=Таблица2[Филиал])*($B$3=Таблица2[ФЕР/ТЕР])*(F44=Таблица2[Наименование работ])*(G44=Таблица2[ТПиР/НСиР])*Таблица2[Прочие2010])</f>
        <v>0</v>
      </c>
      <c r="N44" s="63">
        <f>S44*SUMPRODUCT(($B$2=Таблица2[Филиал])*($B$3=Таблица2[ФЕР/ТЕР])*(F44=Таблица2[Наименование работ])*(G44=Таблица2[ТПиР/НСиР])*Таблица2[ПИР2013-10])</f>
        <v>0</v>
      </c>
      <c r="O44" s="63">
        <f>T44*SUMPRODUCT(($B$2=Таблица2[Филиал])*($B$3=Таблица2[ФЕР/ТЕР])*(F44=Таблица2[Наименование работ])*(G44=Таблица2[ТПиР/НСиР])*Таблица2[СМР2013-10])</f>
        <v>0</v>
      </c>
      <c r="P44" s="63">
        <f>U44*SUMPRODUCT(($B$2=Таблица2[Филиал])*($B$3=Таблица2[ФЕР/ТЕР])*(F44=Таблица2[Наименование работ])*(G44=Таблица2[ТПиР/НСиР])*Таблица2[ПНР2013-10])</f>
        <v>0</v>
      </c>
      <c r="Q44" s="63">
        <f>V44*SUMPRODUCT(($B$2=Таблица2[Филиал])*($B$3=Таблица2[ФЕР/ТЕР])*(F44=Таблица2[Наименование работ])*(G44=Таблица2[ТПиР/НСиР])*Таблица2[Оборудование2013-10])</f>
        <v>0</v>
      </c>
      <c r="R44" s="63">
        <f>W44*SUMPRODUCT(($B$2=Таблица2[Филиал])*($B$3=Таблица2[ФЕР/ТЕР])*(F44=Таблица2[Наименование работ])*(G44=Таблица2[ТПиР/НСиР])*Таблица2[Прочие2013-10])</f>
        <v>0</v>
      </c>
      <c r="S44" s="63">
        <f>IF($B$4="в базовых ценах",калькулятор!J48,X44*SUMPRODUCT(($B$2=Таблица2[Филиал])*($B$3=Таблица2[ФЕР/ТЕР])*(F44=Таблица2[Наименование работ])*(G44=Таблица2[ТПиР/НСиР])/Таблица2[ПИР2013]))</f>
        <v>0</v>
      </c>
      <c r="T44" s="63">
        <f>IF($B$4="в базовых ценах",калькулятор!K48,Y44*SUMPRODUCT(($B$2=Таблица2[Филиал])*($B$3=Таблица2[ФЕР/ТЕР])*(F44=Таблица2[Наименование работ])*(G44=Таблица2[ТПиР/НСиР])/Таблица2[СМР2013]))</f>
        <v>0</v>
      </c>
      <c r="U44" s="63">
        <f>IF($B$4="в базовых ценах",калькулятор!L48,Z44*SUMPRODUCT(($B$2=Таблица2[Филиал])*($B$3=Таблица2[ФЕР/ТЕР])*(F44=Таблица2[Наименование работ])*(G44=Таблица2[ТПиР/НСиР])/Таблица2[ПНР2013]))</f>
        <v>0</v>
      </c>
      <c r="V44" s="63">
        <f>IF($B$4="в базовых ценах",калькулятор!M48,AA44*SUMPRODUCT(($B$2=Таблица2[Филиал])*($B$3=Таблица2[ФЕР/ТЕР])*(F44=Таблица2[Наименование работ])*(G44=Таблица2[ТПиР/НСиР])/Таблица2[Оборудование2013]))</f>
        <v>0</v>
      </c>
      <c r="W44" s="63">
        <f>IF($B$4="в базовых ценах",калькулятор!N48,AB44*SUMPRODUCT(($B$2=Таблица2[Филиал])*($B$3=Таблица2[ФЕР/ТЕР])*(F44=Таблица2[Наименование работ])*(G44=Таблица2[ТПиР/НСиР])/Таблица2[Прочие3]))</f>
        <v>0</v>
      </c>
      <c r="X44" s="63">
        <f>IF($B$4="в текущих ценах",калькулятор!J48,S44*SUMPRODUCT(($B$2=Таблица2[Филиал])*($B$3=Таблица2[ФЕР/ТЕР])*(F44=Таблица2[Наименование работ])*(G44=Таблица2[ТПиР/НСиР])*Таблица2[ПИР2013]))</f>
        <v>0</v>
      </c>
      <c r="Y44" s="63">
        <f>IF($B$4="в текущих ценах",калькулятор!K48,T44*SUMPRODUCT(($B$2=Таблица2[Филиал])*($B$3=Таблица2[ФЕР/ТЕР])*(F44=Таблица2[Наименование работ])*(G44=Таблица2[ТПиР/НСиР])*Таблица2[СМР2013]))</f>
        <v>0</v>
      </c>
      <c r="Z44" s="63">
        <f>IF($B$4="в текущих ценах",калькулятор!L48,U44*SUMPRODUCT(($B$2=Таблица2[Филиал])*($B$3=Таблица2[ФЕР/ТЕР])*(F44=Таблица2[Наименование работ])*(G44=Таблица2[ТПиР/НСиР])*Таблица2[ПНР2013]))</f>
        <v>0</v>
      </c>
      <c r="AA44" s="63">
        <f>IF($B$4="в текущих ценах",калькулятор!M48,V44*SUMPRODUCT(($B$2=Таблица2[Филиал])*($B$3=Таблица2[ФЕР/ТЕР])*(F44=Таблица2[Наименование работ])*(G44=Таблица2[ТПиР/НСиР])*Таблица2[Оборудование2013]))</f>
        <v>0</v>
      </c>
      <c r="AB44" s="63">
        <f>IF($B$4="в текущих ценах",калькулятор!N48,W44*SUMPRODUCT(($B$2=Таблица2[Филиал])*($B$3=Таблица2[ФЕР/ТЕР])*(F44=Таблица2[Наименование работ])*(G44=Таблица2[ТПиР/НСиР])*Таблица2[Прочие3]))</f>
        <v>0</v>
      </c>
      <c r="AC44" s="63">
        <f>SUM(данные!$I44:$M44)</f>
        <v>0</v>
      </c>
      <c r="AD44" s="63">
        <f>IF(SUM(данные!$N44:$R44)&gt;данные!$AF44,данные!$AF44*0.9*1.058,SUM(данные!$N44:$R44))</f>
        <v>0</v>
      </c>
      <c r="AE44" s="63">
        <f>SUM(данные!$S44:$W44)</f>
        <v>0</v>
      </c>
      <c r="AF44" s="63">
        <f>SUM(данные!$X44:$AB44)</f>
        <v>0</v>
      </c>
      <c r="AG44" s="63">
        <f>IF($B$4="в текущих ценах",S44*SUMPRODUCT(($B$2=Таблица2[Филиал])*($B$3=Таблица2[ФЕР/ТЕР])*(F44=Таблица2[Наименование работ])*(G44=Таблица2[ТПиР/НСиР])*Таблица2[ПИР2012]),S44*SUMPRODUCT(($B$2=Таблица2[Филиал])*($B$3=Таблица2[ФЕР/ТЕР])*(F44=Таблица2[Наименование работ])*(G44=Таблица2[ТПиР/НСиР])*Таблица2[ПИР2012]))</f>
        <v>0</v>
      </c>
      <c r="AH44" s="63">
        <f>IF($B$4="в текущих ценах",T44*SUMPRODUCT(($B$2=Таблица2[Филиал])*($B$3=Таблица2[ФЕР/ТЕР])*(F44=Таблица2[Наименование работ])*(G44=Таблица2[ТПиР/НСиР])*Таблица2[СМР2012]),T44*SUMPRODUCT(($B$2=Таблица2[Филиал])*($B$3=Таблица2[ФЕР/ТЕР])*(F44=Таблица2[Наименование работ])*(G44=Таблица2[ТПиР/НСиР])*Таблица2[СМР2012]))</f>
        <v>0</v>
      </c>
      <c r="AI44" s="63">
        <f>IF($B$4="в текущих ценах",U44*SUMPRODUCT(($B$2=Таблица2[Филиал])*($B$3=Таблица2[ФЕР/ТЕР])*(F44=Таблица2[Наименование работ])*(G44=Таблица2[ТПиР/НСиР])*Таблица2[ПНР2012]),U44*SUMPRODUCT(($B$2=Таблица2[Филиал])*($B$3=Таблица2[ФЕР/ТЕР])*(F44=Таблица2[Наименование работ])*(G44=Таблица2[ТПиР/НСиР])*Таблица2[ПНР2012]))</f>
        <v>0</v>
      </c>
      <c r="AJ44" s="63">
        <f>IF($B$4="в текущих ценах",V44*SUMPRODUCT(($B$2=Таблица2[Филиал])*($B$3=Таблица2[ФЕР/ТЕР])*(F44=Таблица2[Наименование работ])*(G44=Таблица2[ТПиР/НСиР])*Таблица2[Оборудование2012]),V44*SUMPRODUCT(($B$2=Таблица2[Филиал])*($B$3=Таблица2[ФЕР/ТЕР])*(F44=Таблица2[Наименование работ])*(G44=Таблица2[ТПиР/НСиР])*Таблица2[Оборудование2012]))</f>
        <v>0</v>
      </c>
      <c r="AK44" s="63">
        <f>IF($B$4="в текущих ценах",W44*SUMPRODUCT(($B$2=Таблица2[Филиал])*($B$3=Таблица2[ФЕР/ТЕР])*(F44=Таблица2[Наименование работ])*(G44=Таблица2[ТПиР/НСиР])*Таблица2[Прочее2012]),W44*SUMPRODUCT(($B$2=Таблица2[Филиал])*($B$3=Таблица2[ФЕР/ТЕР])*(F44=Таблица2[Наименование работ])*(G44=Таблица2[ТПиР/НСиР])*Таблица2[Прочее2012]))</f>
        <v>0</v>
      </c>
      <c r="AL44" s="63">
        <f>данные!$X44+данные!$Y44+данные!$Z44+данные!$AA44+данные!$AB44</f>
        <v>0</v>
      </c>
      <c r="AM44" s="63">
        <v>1.03639035</v>
      </c>
      <c r="AN44" s="63">
        <v>1.0114049394</v>
      </c>
      <c r="AO44" s="63">
        <v>0.98210394336149998</v>
      </c>
      <c r="AP44" s="63">
        <v>0.93762413895893393</v>
      </c>
      <c r="AQ44" s="63"/>
      <c r="AR44" s="63"/>
      <c r="AS44" s="64"/>
      <c r="AU44" s="66">
        <f t="shared" si="5"/>
        <v>0</v>
      </c>
      <c r="AX44" s="66">
        <f t="shared" si="0"/>
        <v>0</v>
      </c>
      <c r="AY44" s="66">
        <f t="shared" si="1"/>
        <v>0</v>
      </c>
      <c r="AZ44" s="66">
        <f t="shared" si="2"/>
        <v>0</v>
      </c>
      <c r="BA44" s="66">
        <f t="shared" si="3"/>
        <v>0</v>
      </c>
      <c r="BB44" s="66">
        <f t="shared" si="4"/>
        <v>0</v>
      </c>
    </row>
    <row r="45" spans="4:54" x14ac:dyDescent="0.25">
      <c r="D45" s="62">
        <f>калькулятор!C49</f>
        <v>0</v>
      </c>
      <c r="E45" s="62">
        <f>калькулятор!F49</f>
        <v>0</v>
      </c>
      <c r="F45" s="62">
        <f>калькулятор!G49</f>
        <v>0</v>
      </c>
      <c r="G45" s="62">
        <f>калькулятор!H49</f>
        <v>0</v>
      </c>
      <c r="H45" s="62">
        <f>калькулятор!I49</f>
        <v>0</v>
      </c>
      <c r="I45" s="63">
        <f>S45*SUMPRODUCT(($B$2=Таблица2[Филиал])*($B$3=Таблица2[ФЕР/ТЕР])*(F45=Таблица2[Наименование работ])*(G45=Таблица2[ТПиР/НСиР])*Таблица2[ПИР2010])</f>
        <v>0</v>
      </c>
      <c r="J45" s="63">
        <f>T45*SUMPRODUCT(($B$2=Таблица2[Филиал])*($B$3=Таблица2[ФЕР/ТЕР])*(F45=Таблица2[Наименование работ])*(G45=Таблица2[ТПиР/НСиР])*Таблица2[СМР2010])</f>
        <v>0</v>
      </c>
      <c r="K45" s="63">
        <f>U45*SUMPRODUCT(($B$2=Таблица2[Филиал])*($B$3=Таблица2[ФЕР/ТЕР])*(F45=Таблица2[Наименование работ])*(G45=Таблица2[ТПиР/НСиР])*Таблица2[ПНР2010])</f>
        <v>0</v>
      </c>
      <c r="L45" s="63">
        <f>V45*SUMPRODUCT(($B$2=Таблица2[Филиал])*($B$3=Таблица2[ФЕР/ТЕР])*(F45=Таблица2[Наименование работ])*(G45=Таблица2[ТПиР/НСиР])*Таблица2[Оборудование2010])</f>
        <v>0</v>
      </c>
      <c r="M45" s="63">
        <f>W45*SUMPRODUCT(($B$2=Таблица2[Филиал])*($B$3=Таблица2[ФЕР/ТЕР])*(F45=Таблица2[Наименование работ])*(G45=Таблица2[ТПиР/НСиР])*Таблица2[Прочие2010])</f>
        <v>0</v>
      </c>
      <c r="N45" s="63">
        <f>S45*SUMPRODUCT(($B$2=Таблица2[Филиал])*($B$3=Таблица2[ФЕР/ТЕР])*(F45=Таблица2[Наименование работ])*(G45=Таблица2[ТПиР/НСиР])*Таблица2[ПИР2013-10])</f>
        <v>0</v>
      </c>
      <c r="O45" s="63">
        <f>T45*SUMPRODUCT(($B$2=Таблица2[Филиал])*($B$3=Таблица2[ФЕР/ТЕР])*(F45=Таблица2[Наименование работ])*(G45=Таблица2[ТПиР/НСиР])*Таблица2[СМР2013-10])</f>
        <v>0</v>
      </c>
      <c r="P45" s="63">
        <f>U45*SUMPRODUCT(($B$2=Таблица2[Филиал])*($B$3=Таблица2[ФЕР/ТЕР])*(F45=Таблица2[Наименование работ])*(G45=Таблица2[ТПиР/НСиР])*Таблица2[ПНР2013-10])</f>
        <v>0</v>
      </c>
      <c r="Q45" s="63">
        <f>V45*SUMPRODUCT(($B$2=Таблица2[Филиал])*($B$3=Таблица2[ФЕР/ТЕР])*(F45=Таблица2[Наименование работ])*(G45=Таблица2[ТПиР/НСиР])*Таблица2[Оборудование2013-10])</f>
        <v>0</v>
      </c>
      <c r="R45" s="63">
        <f>W45*SUMPRODUCT(($B$2=Таблица2[Филиал])*($B$3=Таблица2[ФЕР/ТЕР])*(F45=Таблица2[Наименование работ])*(G45=Таблица2[ТПиР/НСиР])*Таблица2[Прочие2013-10])</f>
        <v>0</v>
      </c>
      <c r="S45" s="63">
        <f>IF($B$4="в базовых ценах",калькулятор!J49,X45*SUMPRODUCT(($B$2=Таблица2[Филиал])*($B$3=Таблица2[ФЕР/ТЕР])*(F45=Таблица2[Наименование работ])*(G45=Таблица2[ТПиР/НСиР])/Таблица2[ПИР2013]))</f>
        <v>0</v>
      </c>
      <c r="T45" s="63">
        <f>IF($B$4="в базовых ценах",калькулятор!K49,Y45*SUMPRODUCT(($B$2=Таблица2[Филиал])*($B$3=Таблица2[ФЕР/ТЕР])*(F45=Таблица2[Наименование работ])*(G45=Таблица2[ТПиР/НСиР])/Таблица2[СМР2013]))</f>
        <v>0</v>
      </c>
      <c r="U45" s="63">
        <f>IF($B$4="в базовых ценах",калькулятор!L49,Z45*SUMPRODUCT(($B$2=Таблица2[Филиал])*($B$3=Таблица2[ФЕР/ТЕР])*(F45=Таблица2[Наименование работ])*(G45=Таблица2[ТПиР/НСиР])/Таблица2[ПНР2013]))</f>
        <v>0</v>
      </c>
      <c r="V45" s="63">
        <f>IF($B$4="в базовых ценах",калькулятор!M49,AA45*SUMPRODUCT(($B$2=Таблица2[Филиал])*($B$3=Таблица2[ФЕР/ТЕР])*(F45=Таблица2[Наименование работ])*(G45=Таблица2[ТПиР/НСиР])/Таблица2[Оборудование2013]))</f>
        <v>0</v>
      </c>
      <c r="W45" s="63">
        <f>IF($B$4="в базовых ценах",калькулятор!N49,AB45*SUMPRODUCT(($B$2=Таблица2[Филиал])*($B$3=Таблица2[ФЕР/ТЕР])*(F45=Таблица2[Наименование работ])*(G45=Таблица2[ТПиР/НСиР])/Таблица2[Прочие3]))</f>
        <v>0</v>
      </c>
      <c r="X45" s="63">
        <f>IF($B$4="в текущих ценах",калькулятор!J49,S45*SUMPRODUCT(($B$2=Таблица2[Филиал])*($B$3=Таблица2[ФЕР/ТЕР])*(F45=Таблица2[Наименование работ])*(G45=Таблица2[ТПиР/НСиР])*Таблица2[ПИР2013]))</f>
        <v>0</v>
      </c>
      <c r="Y45" s="63">
        <f>IF($B$4="в текущих ценах",калькулятор!K49,T45*SUMPRODUCT(($B$2=Таблица2[Филиал])*($B$3=Таблица2[ФЕР/ТЕР])*(F45=Таблица2[Наименование работ])*(G45=Таблица2[ТПиР/НСиР])*Таблица2[СМР2013]))</f>
        <v>0</v>
      </c>
      <c r="Z45" s="63">
        <f>IF($B$4="в текущих ценах",калькулятор!L49,U45*SUMPRODUCT(($B$2=Таблица2[Филиал])*($B$3=Таблица2[ФЕР/ТЕР])*(F45=Таблица2[Наименование работ])*(G45=Таблица2[ТПиР/НСиР])*Таблица2[ПНР2013]))</f>
        <v>0</v>
      </c>
      <c r="AA45" s="63">
        <f>IF($B$4="в текущих ценах",калькулятор!M49,V45*SUMPRODUCT(($B$2=Таблица2[Филиал])*($B$3=Таблица2[ФЕР/ТЕР])*(F45=Таблица2[Наименование работ])*(G45=Таблица2[ТПиР/НСиР])*Таблица2[Оборудование2013]))</f>
        <v>0</v>
      </c>
      <c r="AB45" s="63">
        <f>IF($B$4="в текущих ценах",калькулятор!N49,W45*SUMPRODUCT(($B$2=Таблица2[Филиал])*($B$3=Таблица2[ФЕР/ТЕР])*(F45=Таблица2[Наименование работ])*(G45=Таблица2[ТПиР/НСиР])*Таблица2[Прочие3]))</f>
        <v>0</v>
      </c>
      <c r="AC45" s="63">
        <f>SUM(данные!$I45:$M45)</f>
        <v>0</v>
      </c>
      <c r="AD45" s="63">
        <f>IF(SUM(данные!$N45:$R45)&gt;данные!$AF45,данные!$AF45*0.9*1.058,SUM(данные!$N45:$R45))</f>
        <v>0</v>
      </c>
      <c r="AE45" s="63">
        <f>SUM(данные!$S45:$W45)</f>
        <v>0</v>
      </c>
      <c r="AF45" s="63">
        <f>SUM(данные!$X45:$AB45)</f>
        <v>0</v>
      </c>
      <c r="AG45" s="63">
        <f>IF($B$4="в текущих ценах",S45*SUMPRODUCT(($B$2=Таблица2[Филиал])*($B$3=Таблица2[ФЕР/ТЕР])*(F45=Таблица2[Наименование работ])*(G45=Таблица2[ТПиР/НСиР])*Таблица2[ПИР2012]),S45*SUMPRODUCT(($B$2=Таблица2[Филиал])*($B$3=Таблица2[ФЕР/ТЕР])*(F45=Таблица2[Наименование работ])*(G45=Таблица2[ТПиР/НСиР])*Таблица2[ПИР2012]))</f>
        <v>0</v>
      </c>
      <c r="AH45" s="63">
        <f>IF($B$4="в текущих ценах",T45*SUMPRODUCT(($B$2=Таблица2[Филиал])*($B$3=Таблица2[ФЕР/ТЕР])*(F45=Таблица2[Наименование работ])*(G45=Таблица2[ТПиР/НСиР])*Таблица2[СМР2012]),T45*SUMPRODUCT(($B$2=Таблица2[Филиал])*($B$3=Таблица2[ФЕР/ТЕР])*(F45=Таблица2[Наименование работ])*(G45=Таблица2[ТПиР/НСиР])*Таблица2[СМР2012]))</f>
        <v>0</v>
      </c>
      <c r="AI45" s="63">
        <f>IF($B$4="в текущих ценах",U45*SUMPRODUCT(($B$2=Таблица2[Филиал])*($B$3=Таблица2[ФЕР/ТЕР])*(F45=Таблица2[Наименование работ])*(G45=Таблица2[ТПиР/НСиР])*Таблица2[ПНР2012]),U45*SUMPRODUCT(($B$2=Таблица2[Филиал])*($B$3=Таблица2[ФЕР/ТЕР])*(F45=Таблица2[Наименование работ])*(G45=Таблица2[ТПиР/НСиР])*Таблица2[ПНР2012]))</f>
        <v>0</v>
      </c>
      <c r="AJ45" s="63">
        <f>IF($B$4="в текущих ценах",V45*SUMPRODUCT(($B$2=Таблица2[Филиал])*($B$3=Таблица2[ФЕР/ТЕР])*(F45=Таблица2[Наименование работ])*(G45=Таблица2[ТПиР/НСиР])*Таблица2[Оборудование2012]),V45*SUMPRODUCT(($B$2=Таблица2[Филиал])*($B$3=Таблица2[ФЕР/ТЕР])*(F45=Таблица2[Наименование работ])*(G45=Таблица2[ТПиР/НСиР])*Таблица2[Оборудование2012]))</f>
        <v>0</v>
      </c>
      <c r="AK45" s="63">
        <f>IF($B$4="в текущих ценах",W45*SUMPRODUCT(($B$2=Таблица2[Филиал])*($B$3=Таблица2[ФЕР/ТЕР])*(F45=Таблица2[Наименование работ])*(G45=Таблица2[ТПиР/НСиР])*Таблица2[Прочее2012]),W45*SUMPRODUCT(($B$2=Таблица2[Филиал])*($B$3=Таблица2[ФЕР/ТЕР])*(F45=Таблица2[Наименование работ])*(G45=Таблица2[ТПиР/НСиР])*Таблица2[Прочее2012]))</f>
        <v>0</v>
      </c>
      <c r="AL45" s="63">
        <f>данные!$X45+данные!$Y45+данные!$Z45+данные!$AA45+данные!$AB45</f>
        <v>0</v>
      </c>
      <c r="AM45" s="63">
        <v>1.03639035</v>
      </c>
      <c r="AN45" s="63">
        <v>1.0114049394</v>
      </c>
      <c r="AO45" s="63">
        <v>0.98210394336149998</v>
      </c>
      <c r="AP45" s="63">
        <v>0.93762413895893393</v>
      </c>
      <c r="AQ45" s="63"/>
      <c r="AR45" s="63"/>
      <c r="AS45" s="64"/>
      <c r="AU45" s="66">
        <f t="shared" si="5"/>
        <v>0</v>
      </c>
      <c r="AX45" s="66">
        <f t="shared" si="0"/>
        <v>0</v>
      </c>
      <c r="AY45" s="66">
        <f t="shared" si="1"/>
        <v>0</v>
      </c>
      <c r="AZ45" s="66">
        <f t="shared" si="2"/>
        <v>0</v>
      </c>
      <c r="BA45" s="66">
        <f t="shared" si="3"/>
        <v>0</v>
      </c>
      <c r="BB45" s="66">
        <f t="shared" si="4"/>
        <v>0</v>
      </c>
    </row>
    <row r="46" spans="4:54" x14ac:dyDescent="0.25">
      <c r="D46" s="62">
        <f>калькулятор!C50</f>
        <v>0</v>
      </c>
      <c r="E46" s="62">
        <f>калькулятор!F50</f>
        <v>0</v>
      </c>
      <c r="F46" s="62">
        <f>калькулятор!G50</f>
        <v>0</v>
      </c>
      <c r="G46" s="62">
        <f>калькулятор!H50</f>
        <v>0</v>
      </c>
      <c r="H46" s="62">
        <f>калькулятор!I50</f>
        <v>0</v>
      </c>
      <c r="I46" s="63">
        <f>S46*SUMPRODUCT(($B$2=Таблица2[Филиал])*($B$3=Таблица2[ФЕР/ТЕР])*(F46=Таблица2[Наименование работ])*(G46=Таблица2[ТПиР/НСиР])*Таблица2[ПИР2010])</f>
        <v>0</v>
      </c>
      <c r="J46" s="63">
        <f>T46*SUMPRODUCT(($B$2=Таблица2[Филиал])*($B$3=Таблица2[ФЕР/ТЕР])*(F46=Таблица2[Наименование работ])*(G46=Таблица2[ТПиР/НСиР])*Таблица2[СМР2010])</f>
        <v>0</v>
      </c>
      <c r="K46" s="63">
        <f>U46*SUMPRODUCT(($B$2=Таблица2[Филиал])*($B$3=Таблица2[ФЕР/ТЕР])*(F46=Таблица2[Наименование работ])*(G46=Таблица2[ТПиР/НСиР])*Таблица2[ПНР2010])</f>
        <v>0</v>
      </c>
      <c r="L46" s="63">
        <f>V46*SUMPRODUCT(($B$2=Таблица2[Филиал])*($B$3=Таблица2[ФЕР/ТЕР])*(F46=Таблица2[Наименование работ])*(G46=Таблица2[ТПиР/НСиР])*Таблица2[Оборудование2010])</f>
        <v>0</v>
      </c>
      <c r="M46" s="63">
        <f>W46*SUMPRODUCT(($B$2=Таблица2[Филиал])*($B$3=Таблица2[ФЕР/ТЕР])*(F46=Таблица2[Наименование работ])*(G46=Таблица2[ТПиР/НСиР])*Таблица2[Прочие2010])</f>
        <v>0</v>
      </c>
      <c r="N46" s="63">
        <f>S46*SUMPRODUCT(($B$2=Таблица2[Филиал])*($B$3=Таблица2[ФЕР/ТЕР])*(F46=Таблица2[Наименование работ])*(G46=Таблица2[ТПиР/НСиР])*Таблица2[ПИР2013-10])</f>
        <v>0</v>
      </c>
      <c r="O46" s="63">
        <f>T46*SUMPRODUCT(($B$2=Таблица2[Филиал])*($B$3=Таблица2[ФЕР/ТЕР])*(F46=Таблица2[Наименование работ])*(G46=Таблица2[ТПиР/НСиР])*Таблица2[СМР2013-10])</f>
        <v>0</v>
      </c>
      <c r="P46" s="63">
        <f>U46*SUMPRODUCT(($B$2=Таблица2[Филиал])*($B$3=Таблица2[ФЕР/ТЕР])*(F46=Таблица2[Наименование работ])*(G46=Таблица2[ТПиР/НСиР])*Таблица2[ПНР2013-10])</f>
        <v>0</v>
      </c>
      <c r="Q46" s="63">
        <f>V46*SUMPRODUCT(($B$2=Таблица2[Филиал])*($B$3=Таблица2[ФЕР/ТЕР])*(F46=Таблица2[Наименование работ])*(G46=Таблица2[ТПиР/НСиР])*Таблица2[Оборудование2013-10])</f>
        <v>0</v>
      </c>
      <c r="R46" s="63">
        <f>W46*SUMPRODUCT(($B$2=Таблица2[Филиал])*($B$3=Таблица2[ФЕР/ТЕР])*(F46=Таблица2[Наименование работ])*(G46=Таблица2[ТПиР/НСиР])*Таблица2[Прочие2013-10])</f>
        <v>0</v>
      </c>
      <c r="S46" s="63">
        <f>IF($B$4="в базовых ценах",калькулятор!J50,X46*SUMPRODUCT(($B$2=Таблица2[Филиал])*($B$3=Таблица2[ФЕР/ТЕР])*(F46=Таблица2[Наименование работ])*(G46=Таблица2[ТПиР/НСиР])/Таблица2[ПИР2013]))</f>
        <v>0</v>
      </c>
      <c r="T46" s="63">
        <f>IF($B$4="в базовых ценах",калькулятор!K50,Y46*SUMPRODUCT(($B$2=Таблица2[Филиал])*($B$3=Таблица2[ФЕР/ТЕР])*(F46=Таблица2[Наименование работ])*(G46=Таблица2[ТПиР/НСиР])/Таблица2[СМР2013]))</f>
        <v>0</v>
      </c>
      <c r="U46" s="63">
        <f>IF($B$4="в базовых ценах",калькулятор!L50,Z46*SUMPRODUCT(($B$2=Таблица2[Филиал])*($B$3=Таблица2[ФЕР/ТЕР])*(F46=Таблица2[Наименование работ])*(G46=Таблица2[ТПиР/НСиР])/Таблица2[ПНР2013]))</f>
        <v>0</v>
      </c>
      <c r="V46" s="63">
        <f>IF($B$4="в базовых ценах",калькулятор!M50,AA46*SUMPRODUCT(($B$2=Таблица2[Филиал])*($B$3=Таблица2[ФЕР/ТЕР])*(F46=Таблица2[Наименование работ])*(G46=Таблица2[ТПиР/НСиР])/Таблица2[Оборудование2013]))</f>
        <v>0</v>
      </c>
      <c r="W46" s="63">
        <f>IF($B$4="в базовых ценах",калькулятор!N50,AB46*SUMPRODUCT(($B$2=Таблица2[Филиал])*($B$3=Таблица2[ФЕР/ТЕР])*(F46=Таблица2[Наименование работ])*(G46=Таблица2[ТПиР/НСиР])/Таблица2[Прочие3]))</f>
        <v>0</v>
      </c>
      <c r="X46" s="63">
        <f>IF($B$4="в текущих ценах",калькулятор!J50,S46*SUMPRODUCT(($B$2=Таблица2[Филиал])*($B$3=Таблица2[ФЕР/ТЕР])*(F46=Таблица2[Наименование работ])*(G46=Таблица2[ТПиР/НСиР])*Таблица2[ПИР2013]))</f>
        <v>0</v>
      </c>
      <c r="Y46" s="63">
        <f>IF($B$4="в текущих ценах",калькулятор!K50,T46*SUMPRODUCT(($B$2=Таблица2[Филиал])*($B$3=Таблица2[ФЕР/ТЕР])*(F46=Таблица2[Наименование работ])*(G46=Таблица2[ТПиР/НСиР])*Таблица2[СМР2013]))</f>
        <v>0</v>
      </c>
      <c r="Z46" s="63">
        <f>IF($B$4="в текущих ценах",калькулятор!L50,U46*SUMPRODUCT(($B$2=Таблица2[Филиал])*($B$3=Таблица2[ФЕР/ТЕР])*(F46=Таблица2[Наименование работ])*(G46=Таблица2[ТПиР/НСиР])*Таблица2[ПНР2013]))</f>
        <v>0</v>
      </c>
      <c r="AA46" s="63">
        <f>IF($B$4="в текущих ценах",калькулятор!M50,V46*SUMPRODUCT(($B$2=Таблица2[Филиал])*($B$3=Таблица2[ФЕР/ТЕР])*(F46=Таблица2[Наименование работ])*(G46=Таблица2[ТПиР/НСиР])*Таблица2[Оборудование2013]))</f>
        <v>0</v>
      </c>
      <c r="AB46" s="63">
        <f>IF($B$4="в текущих ценах",калькулятор!N50,W46*SUMPRODUCT(($B$2=Таблица2[Филиал])*($B$3=Таблица2[ФЕР/ТЕР])*(F46=Таблица2[Наименование работ])*(G46=Таблица2[ТПиР/НСиР])*Таблица2[Прочие3]))</f>
        <v>0</v>
      </c>
      <c r="AC46" s="63">
        <f>SUM(данные!$I46:$M46)</f>
        <v>0</v>
      </c>
      <c r="AD46" s="63">
        <f>IF(SUM(данные!$N46:$R46)&gt;данные!$AF46,данные!$AF46*0.9*1.058,SUM(данные!$N46:$R46))</f>
        <v>0</v>
      </c>
      <c r="AE46" s="63">
        <f>SUM(данные!$S46:$W46)</f>
        <v>0</v>
      </c>
      <c r="AF46" s="63">
        <f>SUM(данные!$X46:$AB46)</f>
        <v>0</v>
      </c>
      <c r="AG46" s="63">
        <f>IF($B$4="в текущих ценах",S46*SUMPRODUCT(($B$2=Таблица2[Филиал])*($B$3=Таблица2[ФЕР/ТЕР])*(F46=Таблица2[Наименование работ])*(G46=Таблица2[ТПиР/НСиР])*Таблица2[ПИР2012]),S46*SUMPRODUCT(($B$2=Таблица2[Филиал])*($B$3=Таблица2[ФЕР/ТЕР])*(F46=Таблица2[Наименование работ])*(G46=Таблица2[ТПиР/НСиР])*Таблица2[ПИР2012]))</f>
        <v>0</v>
      </c>
      <c r="AH46" s="63">
        <f>IF($B$4="в текущих ценах",T46*SUMPRODUCT(($B$2=Таблица2[Филиал])*($B$3=Таблица2[ФЕР/ТЕР])*(F46=Таблица2[Наименование работ])*(G46=Таблица2[ТПиР/НСиР])*Таблица2[СМР2012]),T46*SUMPRODUCT(($B$2=Таблица2[Филиал])*($B$3=Таблица2[ФЕР/ТЕР])*(F46=Таблица2[Наименование работ])*(G46=Таблица2[ТПиР/НСиР])*Таблица2[СМР2012]))</f>
        <v>0</v>
      </c>
      <c r="AI46" s="63">
        <f>IF($B$4="в текущих ценах",U46*SUMPRODUCT(($B$2=Таблица2[Филиал])*($B$3=Таблица2[ФЕР/ТЕР])*(F46=Таблица2[Наименование работ])*(G46=Таблица2[ТПиР/НСиР])*Таблица2[ПНР2012]),U46*SUMPRODUCT(($B$2=Таблица2[Филиал])*($B$3=Таблица2[ФЕР/ТЕР])*(F46=Таблица2[Наименование работ])*(G46=Таблица2[ТПиР/НСиР])*Таблица2[ПНР2012]))</f>
        <v>0</v>
      </c>
      <c r="AJ46" s="63">
        <f>IF($B$4="в текущих ценах",V46*SUMPRODUCT(($B$2=Таблица2[Филиал])*($B$3=Таблица2[ФЕР/ТЕР])*(F46=Таблица2[Наименование работ])*(G46=Таблица2[ТПиР/НСиР])*Таблица2[Оборудование2012]),V46*SUMPRODUCT(($B$2=Таблица2[Филиал])*($B$3=Таблица2[ФЕР/ТЕР])*(F46=Таблица2[Наименование работ])*(G46=Таблица2[ТПиР/НСиР])*Таблица2[Оборудование2012]))</f>
        <v>0</v>
      </c>
      <c r="AK46" s="63">
        <f>IF($B$4="в текущих ценах",W46*SUMPRODUCT(($B$2=Таблица2[Филиал])*($B$3=Таблица2[ФЕР/ТЕР])*(F46=Таблица2[Наименование работ])*(G46=Таблица2[ТПиР/НСиР])*Таблица2[Прочее2012]),W46*SUMPRODUCT(($B$2=Таблица2[Филиал])*($B$3=Таблица2[ФЕР/ТЕР])*(F46=Таблица2[Наименование работ])*(G46=Таблица2[ТПиР/НСиР])*Таблица2[Прочее2012]))</f>
        <v>0</v>
      </c>
      <c r="AL46" s="63">
        <f>данные!$X46+данные!$Y46+данные!$Z46+данные!$AA46+данные!$AB46</f>
        <v>0</v>
      </c>
      <c r="AM46" s="63">
        <v>1.03639035</v>
      </c>
      <c r="AN46" s="63">
        <v>1.0114049394</v>
      </c>
      <c r="AO46" s="63">
        <v>0.98210394336149998</v>
      </c>
      <c r="AP46" s="63">
        <v>0.93762413895893393</v>
      </c>
      <c r="AQ46" s="63"/>
      <c r="AR46" s="63"/>
      <c r="AS46" s="64"/>
      <c r="AU46" s="66">
        <f t="shared" si="5"/>
        <v>0</v>
      </c>
      <c r="AX46" s="66">
        <f t="shared" si="0"/>
        <v>0</v>
      </c>
      <c r="AY46" s="66">
        <f t="shared" si="1"/>
        <v>0</v>
      </c>
      <c r="AZ46" s="66">
        <f t="shared" si="2"/>
        <v>0</v>
      </c>
      <c r="BA46" s="66">
        <f t="shared" si="3"/>
        <v>0</v>
      </c>
      <c r="BB46" s="66">
        <f t="shared" si="4"/>
        <v>0</v>
      </c>
    </row>
    <row r="47" spans="4:54" x14ac:dyDescent="0.25">
      <c r="D47" s="62">
        <f>калькулятор!C51</f>
        <v>0</v>
      </c>
      <c r="E47" s="62">
        <f>калькулятор!F51</f>
        <v>0</v>
      </c>
      <c r="F47" s="62">
        <f>калькулятор!G51</f>
        <v>0</v>
      </c>
      <c r="G47" s="62">
        <f>калькулятор!H51</f>
        <v>0</v>
      </c>
      <c r="H47" s="62">
        <f>калькулятор!I51</f>
        <v>0</v>
      </c>
      <c r="I47" s="63">
        <f>S47*SUMPRODUCT(($B$2=Таблица2[Филиал])*($B$3=Таблица2[ФЕР/ТЕР])*(F47=Таблица2[Наименование работ])*(G47=Таблица2[ТПиР/НСиР])*Таблица2[ПИР2010])</f>
        <v>0</v>
      </c>
      <c r="J47" s="63">
        <f>T47*SUMPRODUCT(($B$2=Таблица2[Филиал])*($B$3=Таблица2[ФЕР/ТЕР])*(F47=Таблица2[Наименование работ])*(G47=Таблица2[ТПиР/НСиР])*Таблица2[СМР2010])</f>
        <v>0</v>
      </c>
      <c r="K47" s="63">
        <f>U47*SUMPRODUCT(($B$2=Таблица2[Филиал])*($B$3=Таблица2[ФЕР/ТЕР])*(F47=Таблица2[Наименование работ])*(G47=Таблица2[ТПиР/НСиР])*Таблица2[ПНР2010])</f>
        <v>0</v>
      </c>
      <c r="L47" s="63">
        <f>V47*SUMPRODUCT(($B$2=Таблица2[Филиал])*($B$3=Таблица2[ФЕР/ТЕР])*(F47=Таблица2[Наименование работ])*(G47=Таблица2[ТПиР/НСиР])*Таблица2[Оборудование2010])</f>
        <v>0</v>
      </c>
      <c r="M47" s="63">
        <f>W47*SUMPRODUCT(($B$2=Таблица2[Филиал])*($B$3=Таблица2[ФЕР/ТЕР])*(F47=Таблица2[Наименование работ])*(G47=Таблица2[ТПиР/НСиР])*Таблица2[Прочие2010])</f>
        <v>0</v>
      </c>
      <c r="N47" s="63">
        <f>S47*SUMPRODUCT(($B$2=Таблица2[Филиал])*($B$3=Таблица2[ФЕР/ТЕР])*(F47=Таблица2[Наименование работ])*(G47=Таблица2[ТПиР/НСиР])*Таблица2[ПИР2013-10])</f>
        <v>0</v>
      </c>
      <c r="O47" s="63">
        <f>T47*SUMPRODUCT(($B$2=Таблица2[Филиал])*($B$3=Таблица2[ФЕР/ТЕР])*(F47=Таблица2[Наименование работ])*(G47=Таблица2[ТПиР/НСиР])*Таблица2[СМР2013-10])</f>
        <v>0</v>
      </c>
      <c r="P47" s="63">
        <f>U47*SUMPRODUCT(($B$2=Таблица2[Филиал])*($B$3=Таблица2[ФЕР/ТЕР])*(F47=Таблица2[Наименование работ])*(G47=Таблица2[ТПиР/НСиР])*Таблица2[ПНР2013-10])</f>
        <v>0</v>
      </c>
      <c r="Q47" s="63">
        <f>V47*SUMPRODUCT(($B$2=Таблица2[Филиал])*($B$3=Таблица2[ФЕР/ТЕР])*(F47=Таблица2[Наименование работ])*(G47=Таблица2[ТПиР/НСиР])*Таблица2[Оборудование2013-10])</f>
        <v>0</v>
      </c>
      <c r="R47" s="63">
        <f>W47*SUMPRODUCT(($B$2=Таблица2[Филиал])*($B$3=Таблица2[ФЕР/ТЕР])*(F47=Таблица2[Наименование работ])*(G47=Таблица2[ТПиР/НСиР])*Таблица2[Прочие2013-10])</f>
        <v>0</v>
      </c>
      <c r="S47" s="63">
        <f>IF($B$4="в базовых ценах",калькулятор!J51,X47*SUMPRODUCT(($B$2=Таблица2[Филиал])*($B$3=Таблица2[ФЕР/ТЕР])*(F47=Таблица2[Наименование работ])*(G47=Таблица2[ТПиР/НСиР])/Таблица2[ПИР2013]))</f>
        <v>0</v>
      </c>
      <c r="T47" s="63">
        <f>IF($B$4="в базовых ценах",калькулятор!K51,Y47*SUMPRODUCT(($B$2=Таблица2[Филиал])*($B$3=Таблица2[ФЕР/ТЕР])*(F47=Таблица2[Наименование работ])*(G47=Таблица2[ТПиР/НСиР])/Таблица2[СМР2013]))</f>
        <v>0</v>
      </c>
      <c r="U47" s="63">
        <f>IF($B$4="в базовых ценах",калькулятор!L51,Z47*SUMPRODUCT(($B$2=Таблица2[Филиал])*($B$3=Таблица2[ФЕР/ТЕР])*(F47=Таблица2[Наименование работ])*(G47=Таблица2[ТПиР/НСиР])/Таблица2[ПНР2013]))</f>
        <v>0</v>
      </c>
      <c r="V47" s="63">
        <f>IF($B$4="в базовых ценах",калькулятор!M51,AA47*SUMPRODUCT(($B$2=Таблица2[Филиал])*($B$3=Таблица2[ФЕР/ТЕР])*(F47=Таблица2[Наименование работ])*(G47=Таблица2[ТПиР/НСиР])/Таблица2[Оборудование2013]))</f>
        <v>0</v>
      </c>
      <c r="W47" s="63">
        <f>IF($B$4="в базовых ценах",калькулятор!N51,AB47*SUMPRODUCT(($B$2=Таблица2[Филиал])*($B$3=Таблица2[ФЕР/ТЕР])*(F47=Таблица2[Наименование работ])*(G47=Таблица2[ТПиР/НСиР])/Таблица2[Прочие3]))</f>
        <v>0</v>
      </c>
      <c r="X47" s="63">
        <f>IF($B$4="в текущих ценах",калькулятор!J51,S47*SUMPRODUCT(($B$2=Таблица2[Филиал])*($B$3=Таблица2[ФЕР/ТЕР])*(F47=Таблица2[Наименование работ])*(G47=Таблица2[ТПиР/НСиР])*Таблица2[ПИР2013]))</f>
        <v>0</v>
      </c>
      <c r="Y47" s="63">
        <f>IF($B$4="в текущих ценах",калькулятор!K51,T47*SUMPRODUCT(($B$2=Таблица2[Филиал])*($B$3=Таблица2[ФЕР/ТЕР])*(F47=Таблица2[Наименование работ])*(G47=Таблица2[ТПиР/НСиР])*Таблица2[СМР2013]))</f>
        <v>0</v>
      </c>
      <c r="Z47" s="63">
        <f>IF($B$4="в текущих ценах",калькулятор!L51,U47*SUMPRODUCT(($B$2=Таблица2[Филиал])*($B$3=Таблица2[ФЕР/ТЕР])*(F47=Таблица2[Наименование работ])*(G47=Таблица2[ТПиР/НСиР])*Таблица2[ПНР2013]))</f>
        <v>0</v>
      </c>
      <c r="AA47" s="63">
        <f>IF($B$4="в текущих ценах",калькулятор!M51,V47*SUMPRODUCT(($B$2=Таблица2[Филиал])*($B$3=Таблица2[ФЕР/ТЕР])*(F47=Таблица2[Наименование работ])*(G47=Таблица2[ТПиР/НСиР])*Таблица2[Оборудование2013]))</f>
        <v>0</v>
      </c>
      <c r="AB47" s="63">
        <f>IF($B$4="в текущих ценах",калькулятор!N51,W47*SUMPRODUCT(($B$2=Таблица2[Филиал])*($B$3=Таблица2[ФЕР/ТЕР])*(F47=Таблица2[Наименование работ])*(G47=Таблица2[ТПиР/НСиР])*Таблица2[Прочие3]))</f>
        <v>0</v>
      </c>
      <c r="AC47" s="63">
        <f>SUM(данные!$I47:$M47)</f>
        <v>0</v>
      </c>
      <c r="AD47" s="63">
        <f>IF(SUM(данные!$N47:$R47)&gt;данные!$AF47,данные!$AF47*0.9*1.058,SUM(данные!$N47:$R47))</f>
        <v>0</v>
      </c>
      <c r="AE47" s="63">
        <f>SUM(данные!$S47:$W47)</f>
        <v>0</v>
      </c>
      <c r="AF47" s="63">
        <f>SUM(данные!$X47:$AB47)</f>
        <v>0</v>
      </c>
      <c r="AG47" s="63">
        <f>IF($B$4="в текущих ценах",S47*SUMPRODUCT(($B$2=Таблица2[Филиал])*($B$3=Таблица2[ФЕР/ТЕР])*(F47=Таблица2[Наименование работ])*(G47=Таблица2[ТПиР/НСиР])*Таблица2[ПИР2012]),S47*SUMPRODUCT(($B$2=Таблица2[Филиал])*($B$3=Таблица2[ФЕР/ТЕР])*(F47=Таблица2[Наименование работ])*(G47=Таблица2[ТПиР/НСиР])*Таблица2[ПИР2012]))</f>
        <v>0</v>
      </c>
      <c r="AH47" s="63">
        <f>IF($B$4="в текущих ценах",T47*SUMPRODUCT(($B$2=Таблица2[Филиал])*($B$3=Таблица2[ФЕР/ТЕР])*(F47=Таблица2[Наименование работ])*(G47=Таблица2[ТПиР/НСиР])*Таблица2[СМР2012]),T47*SUMPRODUCT(($B$2=Таблица2[Филиал])*($B$3=Таблица2[ФЕР/ТЕР])*(F47=Таблица2[Наименование работ])*(G47=Таблица2[ТПиР/НСиР])*Таблица2[СМР2012]))</f>
        <v>0</v>
      </c>
      <c r="AI47" s="63">
        <f>IF($B$4="в текущих ценах",U47*SUMPRODUCT(($B$2=Таблица2[Филиал])*($B$3=Таблица2[ФЕР/ТЕР])*(F47=Таблица2[Наименование работ])*(G47=Таблица2[ТПиР/НСиР])*Таблица2[ПНР2012]),U47*SUMPRODUCT(($B$2=Таблица2[Филиал])*($B$3=Таблица2[ФЕР/ТЕР])*(F47=Таблица2[Наименование работ])*(G47=Таблица2[ТПиР/НСиР])*Таблица2[ПНР2012]))</f>
        <v>0</v>
      </c>
      <c r="AJ47" s="63">
        <f>IF($B$4="в текущих ценах",V47*SUMPRODUCT(($B$2=Таблица2[Филиал])*($B$3=Таблица2[ФЕР/ТЕР])*(F47=Таблица2[Наименование работ])*(G47=Таблица2[ТПиР/НСиР])*Таблица2[Оборудование2012]),V47*SUMPRODUCT(($B$2=Таблица2[Филиал])*($B$3=Таблица2[ФЕР/ТЕР])*(F47=Таблица2[Наименование работ])*(G47=Таблица2[ТПиР/НСиР])*Таблица2[Оборудование2012]))</f>
        <v>0</v>
      </c>
      <c r="AK47" s="63">
        <f>IF($B$4="в текущих ценах",W47*SUMPRODUCT(($B$2=Таблица2[Филиал])*($B$3=Таблица2[ФЕР/ТЕР])*(F47=Таблица2[Наименование работ])*(G47=Таблица2[ТПиР/НСиР])*Таблица2[Прочее2012]),W47*SUMPRODUCT(($B$2=Таблица2[Филиал])*($B$3=Таблица2[ФЕР/ТЕР])*(F47=Таблица2[Наименование работ])*(G47=Таблица2[ТПиР/НСиР])*Таблица2[Прочее2012]))</f>
        <v>0</v>
      </c>
      <c r="AL47" s="63">
        <f>данные!$X47+данные!$Y47+данные!$Z47+данные!$AA47+данные!$AB47</f>
        <v>0</v>
      </c>
      <c r="AM47" s="63">
        <v>1.03639035</v>
      </c>
      <c r="AN47" s="63">
        <v>1.0114049394</v>
      </c>
      <c r="AO47" s="63">
        <v>0.98210394336149998</v>
      </c>
      <c r="AP47" s="63">
        <v>0.93762413895893393</v>
      </c>
      <c r="AQ47" s="63"/>
      <c r="AR47" s="63"/>
      <c r="AS47" s="64"/>
      <c r="AU47" s="66">
        <f t="shared" si="5"/>
        <v>0</v>
      </c>
      <c r="AX47" s="66">
        <f t="shared" si="0"/>
        <v>0</v>
      </c>
      <c r="AY47" s="66">
        <f t="shared" si="1"/>
        <v>0</v>
      </c>
      <c r="AZ47" s="66">
        <f t="shared" si="2"/>
        <v>0</v>
      </c>
      <c r="BA47" s="66">
        <f t="shared" si="3"/>
        <v>0</v>
      </c>
      <c r="BB47" s="66">
        <f t="shared" si="4"/>
        <v>0</v>
      </c>
    </row>
    <row r="48" spans="4:54" x14ac:dyDescent="0.25">
      <c r="D48" s="62">
        <f>калькулятор!C52</f>
        <v>0</v>
      </c>
      <c r="E48" s="62">
        <f>калькулятор!F52</f>
        <v>0</v>
      </c>
      <c r="F48" s="62">
        <f>калькулятор!G52</f>
        <v>0</v>
      </c>
      <c r="G48" s="62">
        <f>калькулятор!H52</f>
        <v>0</v>
      </c>
      <c r="H48" s="62">
        <f>калькулятор!I52</f>
        <v>0</v>
      </c>
      <c r="I48" s="63">
        <f>S48*SUMPRODUCT(($B$2=Таблица2[Филиал])*($B$3=Таблица2[ФЕР/ТЕР])*(F48=Таблица2[Наименование работ])*(G48=Таблица2[ТПиР/НСиР])*Таблица2[ПИР2010])</f>
        <v>0</v>
      </c>
      <c r="J48" s="63">
        <f>T48*SUMPRODUCT(($B$2=Таблица2[Филиал])*($B$3=Таблица2[ФЕР/ТЕР])*(F48=Таблица2[Наименование работ])*(G48=Таблица2[ТПиР/НСиР])*Таблица2[СМР2010])</f>
        <v>0</v>
      </c>
      <c r="K48" s="63">
        <f>U48*SUMPRODUCT(($B$2=Таблица2[Филиал])*($B$3=Таблица2[ФЕР/ТЕР])*(F48=Таблица2[Наименование работ])*(G48=Таблица2[ТПиР/НСиР])*Таблица2[ПНР2010])</f>
        <v>0</v>
      </c>
      <c r="L48" s="63">
        <f>V48*SUMPRODUCT(($B$2=Таблица2[Филиал])*($B$3=Таблица2[ФЕР/ТЕР])*(F48=Таблица2[Наименование работ])*(G48=Таблица2[ТПиР/НСиР])*Таблица2[Оборудование2010])</f>
        <v>0</v>
      </c>
      <c r="M48" s="63">
        <f>W48*SUMPRODUCT(($B$2=Таблица2[Филиал])*($B$3=Таблица2[ФЕР/ТЕР])*(F48=Таблица2[Наименование работ])*(G48=Таблица2[ТПиР/НСиР])*Таблица2[Прочие2010])</f>
        <v>0</v>
      </c>
      <c r="N48" s="63">
        <f>S48*SUMPRODUCT(($B$2=Таблица2[Филиал])*($B$3=Таблица2[ФЕР/ТЕР])*(F48=Таблица2[Наименование работ])*(G48=Таблица2[ТПиР/НСиР])*Таблица2[ПИР2013-10])</f>
        <v>0</v>
      </c>
      <c r="O48" s="63">
        <f>T48*SUMPRODUCT(($B$2=Таблица2[Филиал])*($B$3=Таблица2[ФЕР/ТЕР])*(F48=Таблица2[Наименование работ])*(G48=Таблица2[ТПиР/НСиР])*Таблица2[СМР2013-10])</f>
        <v>0</v>
      </c>
      <c r="P48" s="63">
        <f>U48*SUMPRODUCT(($B$2=Таблица2[Филиал])*($B$3=Таблица2[ФЕР/ТЕР])*(F48=Таблица2[Наименование работ])*(G48=Таблица2[ТПиР/НСиР])*Таблица2[ПНР2013-10])</f>
        <v>0</v>
      </c>
      <c r="Q48" s="63">
        <f>V48*SUMPRODUCT(($B$2=Таблица2[Филиал])*($B$3=Таблица2[ФЕР/ТЕР])*(F48=Таблица2[Наименование работ])*(G48=Таблица2[ТПиР/НСиР])*Таблица2[Оборудование2013-10])</f>
        <v>0</v>
      </c>
      <c r="R48" s="63">
        <f>W48*SUMPRODUCT(($B$2=Таблица2[Филиал])*($B$3=Таблица2[ФЕР/ТЕР])*(F48=Таблица2[Наименование работ])*(G48=Таблица2[ТПиР/НСиР])*Таблица2[Прочие2013-10])</f>
        <v>0</v>
      </c>
      <c r="S48" s="63">
        <f>IF($B$4="в базовых ценах",калькулятор!J52,X48*SUMPRODUCT(($B$2=Таблица2[Филиал])*($B$3=Таблица2[ФЕР/ТЕР])*(F48=Таблица2[Наименование работ])*(G48=Таблица2[ТПиР/НСиР])/Таблица2[ПИР2013]))</f>
        <v>0</v>
      </c>
      <c r="T48" s="63">
        <f>IF($B$4="в базовых ценах",калькулятор!K52,Y48*SUMPRODUCT(($B$2=Таблица2[Филиал])*($B$3=Таблица2[ФЕР/ТЕР])*(F48=Таблица2[Наименование работ])*(G48=Таблица2[ТПиР/НСиР])/Таблица2[СМР2013]))</f>
        <v>0</v>
      </c>
      <c r="U48" s="63">
        <f>IF($B$4="в базовых ценах",калькулятор!L52,Z48*SUMPRODUCT(($B$2=Таблица2[Филиал])*($B$3=Таблица2[ФЕР/ТЕР])*(F48=Таблица2[Наименование работ])*(G48=Таблица2[ТПиР/НСиР])/Таблица2[ПНР2013]))</f>
        <v>0</v>
      </c>
      <c r="V48" s="63">
        <f>IF($B$4="в базовых ценах",калькулятор!M52,AA48*SUMPRODUCT(($B$2=Таблица2[Филиал])*($B$3=Таблица2[ФЕР/ТЕР])*(F48=Таблица2[Наименование работ])*(G48=Таблица2[ТПиР/НСиР])/Таблица2[Оборудование2013]))</f>
        <v>0</v>
      </c>
      <c r="W48" s="63">
        <f>IF($B$4="в базовых ценах",калькулятор!N52,AB48*SUMPRODUCT(($B$2=Таблица2[Филиал])*($B$3=Таблица2[ФЕР/ТЕР])*(F48=Таблица2[Наименование работ])*(G48=Таблица2[ТПиР/НСиР])/Таблица2[Прочие3]))</f>
        <v>0</v>
      </c>
      <c r="X48" s="63">
        <f>IF($B$4="в текущих ценах",калькулятор!J52,S48*SUMPRODUCT(($B$2=Таблица2[Филиал])*($B$3=Таблица2[ФЕР/ТЕР])*(F48=Таблица2[Наименование работ])*(G48=Таблица2[ТПиР/НСиР])*Таблица2[ПИР2013]))</f>
        <v>0</v>
      </c>
      <c r="Y48" s="63">
        <f>IF($B$4="в текущих ценах",калькулятор!K52,T48*SUMPRODUCT(($B$2=Таблица2[Филиал])*($B$3=Таблица2[ФЕР/ТЕР])*(F48=Таблица2[Наименование работ])*(G48=Таблица2[ТПиР/НСиР])*Таблица2[СМР2013]))</f>
        <v>0</v>
      </c>
      <c r="Z48" s="63">
        <f>IF($B$4="в текущих ценах",калькулятор!L52,U48*SUMPRODUCT(($B$2=Таблица2[Филиал])*($B$3=Таблица2[ФЕР/ТЕР])*(F48=Таблица2[Наименование работ])*(G48=Таблица2[ТПиР/НСиР])*Таблица2[ПНР2013]))</f>
        <v>0</v>
      </c>
      <c r="AA48" s="63">
        <f>IF($B$4="в текущих ценах",калькулятор!M52,V48*SUMPRODUCT(($B$2=Таблица2[Филиал])*($B$3=Таблица2[ФЕР/ТЕР])*(F48=Таблица2[Наименование работ])*(G48=Таблица2[ТПиР/НСиР])*Таблица2[Оборудование2013]))</f>
        <v>0</v>
      </c>
      <c r="AB48" s="63">
        <f>IF($B$4="в текущих ценах",калькулятор!N52,W48*SUMPRODUCT(($B$2=Таблица2[Филиал])*($B$3=Таблица2[ФЕР/ТЕР])*(F48=Таблица2[Наименование работ])*(G48=Таблица2[ТПиР/НСиР])*Таблица2[Прочие3]))</f>
        <v>0</v>
      </c>
      <c r="AC48" s="63">
        <f>SUM(данные!$I48:$M48)</f>
        <v>0</v>
      </c>
      <c r="AD48" s="63">
        <f>IF(SUM(данные!$N48:$R48)&gt;данные!$AF48,данные!$AF48*0.9*1.058,SUM(данные!$N48:$R48))</f>
        <v>0</v>
      </c>
      <c r="AE48" s="63">
        <f>SUM(данные!$S48:$W48)</f>
        <v>0</v>
      </c>
      <c r="AF48" s="63">
        <f>SUM(данные!$X48:$AB48)</f>
        <v>0</v>
      </c>
      <c r="AG48" s="63">
        <f>IF($B$4="в текущих ценах",S48*SUMPRODUCT(($B$2=Таблица2[Филиал])*($B$3=Таблица2[ФЕР/ТЕР])*(F48=Таблица2[Наименование работ])*(G48=Таблица2[ТПиР/НСиР])*Таблица2[ПИР2012]),S48*SUMPRODUCT(($B$2=Таблица2[Филиал])*($B$3=Таблица2[ФЕР/ТЕР])*(F48=Таблица2[Наименование работ])*(G48=Таблица2[ТПиР/НСиР])*Таблица2[ПИР2012]))</f>
        <v>0</v>
      </c>
      <c r="AH48" s="63">
        <f>IF($B$4="в текущих ценах",T48*SUMPRODUCT(($B$2=Таблица2[Филиал])*($B$3=Таблица2[ФЕР/ТЕР])*(F48=Таблица2[Наименование работ])*(G48=Таблица2[ТПиР/НСиР])*Таблица2[СМР2012]),T48*SUMPRODUCT(($B$2=Таблица2[Филиал])*($B$3=Таблица2[ФЕР/ТЕР])*(F48=Таблица2[Наименование работ])*(G48=Таблица2[ТПиР/НСиР])*Таблица2[СМР2012]))</f>
        <v>0</v>
      </c>
      <c r="AI48" s="63">
        <f>IF($B$4="в текущих ценах",U48*SUMPRODUCT(($B$2=Таблица2[Филиал])*($B$3=Таблица2[ФЕР/ТЕР])*(F48=Таблица2[Наименование работ])*(G48=Таблица2[ТПиР/НСиР])*Таблица2[ПНР2012]),U48*SUMPRODUCT(($B$2=Таблица2[Филиал])*($B$3=Таблица2[ФЕР/ТЕР])*(F48=Таблица2[Наименование работ])*(G48=Таблица2[ТПиР/НСиР])*Таблица2[ПНР2012]))</f>
        <v>0</v>
      </c>
      <c r="AJ48" s="63">
        <f>IF($B$4="в текущих ценах",V48*SUMPRODUCT(($B$2=Таблица2[Филиал])*($B$3=Таблица2[ФЕР/ТЕР])*(F48=Таблица2[Наименование работ])*(G48=Таблица2[ТПиР/НСиР])*Таблица2[Оборудование2012]),V48*SUMPRODUCT(($B$2=Таблица2[Филиал])*($B$3=Таблица2[ФЕР/ТЕР])*(F48=Таблица2[Наименование работ])*(G48=Таблица2[ТПиР/НСиР])*Таблица2[Оборудование2012]))</f>
        <v>0</v>
      </c>
      <c r="AK48" s="63">
        <f>IF($B$4="в текущих ценах",W48*SUMPRODUCT(($B$2=Таблица2[Филиал])*($B$3=Таблица2[ФЕР/ТЕР])*(F48=Таблица2[Наименование работ])*(G48=Таблица2[ТПиР/НСиР])*Таблица2[Прочее2012]),W48*SUMPRODUCT(($B$2=Таблица2[Филиал])*($B$3=Таблица2[ФЕР/ТЕР])*(F48=Таблица2[Наименование работ])*(G48=Таблица2[ТПиР/НСиР])*Таблица2[Прочее2012]))</f>
        <v>0</v>
      </c>
      <c r="AL48" s="63">
        <f>данные!$X48+данные!$Y48+данные!$Z48+данные!$AA48+данные!$AB48</f>
        <v>0</v>
      </c>
      <c r="AM48" s="63">
        <v>1.03639035</v>
      </c>
      <c r="AN48" s="63">
        <v>1.0114049394</v>
      </c>
      <c r="AO48" s="63">
        <v>0.98210394336149998</v>
      </c>
      <c r="AP48" s="63">
        <v>0.93762413895893393</v>
      </c>
      <c r="AQ48" s="63"/>
      <c r="AR48" s="63"/>
      <c r="AS48" s="64"/>
      <c r="AU48" s="66">
        <f t="shared" si="5"/>
        <v>0</v>
      </c>
      <c r="AX48" s="66">
        <f t="shared" si="0"/>
        <v>0</v>
      </c>
      <c r="AY48" s="66">
        <f t="shared" si="1"/>
        <v>0</v>
      </c>
      <c r="AZ48" s="66">
        <f t="shared" si="2"/>
        <v>0</v>
      </c>
      <c r="BA48" s="66">
        <f t="shared" si="3"/>
        <v>0</v>
      </c>
      <c r="BB48" s="66">
        <f t="shared" si="4"/>
        <v>0</v>
      </c>
    </row>
    <row r="49" spans="4:54" x14ac:dyDescent="0.25">
      <c r="D49" s="62">
        <f>калькулятор!C53</f>
        <v>0</v>
      </c>
      <c r="E49" s="62">
        <f>калькулятор!F53</f>
        <v>0</v>
      </c>
      <c r="F49" s="62">
        <f>калькулятор!G53</f>
        <v>0</v>
      </c>
      <c r="G49" s="62">
        <f>калькулятор!H53</f>
        <v>0</v>
      </c>
      <c r="H49" s="62">
        <f>калькулятор!I53</f>
        <v>0</v>
      </c>
      <c r="I49" s="63">
        <f>S49*SUMPRODUCT(($B$2=Таблица2[Филиал])*($B$3=Таблица2[ФЕР/ТЕР])*(F49=Таблица2[Наименование работ])*(G49=Таблица2[ТПиР/НСиР])*Таблица2[ПИР2010])</f>
        <v>0</v>
      </c>
      <c r="J49" s="63">
        <f>T49*SUMPRODUCT(($B$2=Таблица2[Филиал])*($B$3=Таблица2[ФЕР/ТЕР])*(F49=Таблица2[Наименование работ])*(G49=Таблица2[ТПиР/НСиР])*Таблица2[СМР2010])</f>
        <v>0</v>
      </c>
      <c r="K49" s="63">
        <f>U49*SUMPRODUCT(($B$2=Таблица2[Филиал])*($B$3=Таблица2[ФЕР/ТЕР])*(F49=Таблица2[Наименование работ])*(G49=Таблица2[ТПиР/НСиР])*Таблица2[ПНР2010])</f>
        <v>0</v>
      </c>
      <c r="L49" s="63">
        <f>V49*SUMPRODUCT(($B$2=Таблица2[Филиал])*($B$3=Таблица2[ФЕР/ТЕР])*(F49=Таблица2[Наименование работ])*(G49=Таблица2[ТПиР/НСиР])*Таблица2[Оборудование2010])</f>
        <v>0</v>
      </c>
      <c r="M49" s="63">
        <f>W49*SUMPRODUCT(($B$2=Таблица2[Филиал])*($B$3=Таблица2[ФЕР/ТЕР])*(F49=Таблица2[Наименование работ])*(G49=Таблица2[ТПиР/НСиР])*Таблица2[Прочие2010])</f>
        <v>0</v>
      </c>
      <c r="N49" s="63">
        <f>S49*SUMPRODUCT(($B$2=Таблица2[Филиал])*($B$3=Таблица2[ФЕР/ТЕР])*(F49=Таблица2[Наименование работ])*(G49=Таблица2[ТПиР/НСиР])*Таблица2[ПИР2013-10])</f>
        <v>0</v>
      </c>
      <c r="O49" s="63">
        <f>T49*SUMPRODUCT(($B$2=Таблица2[Филиал])*($B$3=Таблица2[ФЕР/ТЕР])*(F49=Таблица2[Наименование работ])*(G49=Таблица2[ТПиР/НСиР])*Таблица2[СМР2013-10])</f>
        <v>0</v>
      </c>
      <c r="P49" s="63">
        <f>U49*SUMPRODUCT(($B$2=Таблица2[Филиал])*($B$3=Таблица2[ФЕР/ТЕР])*(F49=Таблица2[Наименование работ])*(G49=Таблица2[ТПиР/НСиР])*Таблица2[ПНР2013-10])</f>
        <v>0</v>
      </c>
      <c r="Q49" s="63">
        <f>V49*SUMPRODUCT(($B$2=Таблица2[Филиал])*($B$3=Таблица2[ФЕР/ТЕР])*(F49=Таблица2[Наименование работ])*(G49=Таблица2[ТПиР/НСиР])*Таблица2[Оборудование2013-10])</f>
        <v>0</v>
      </c>
      <c r="R49" s="63">
        <f>W49*SUMPRODUCT(($B$2=Таблица2[Филиал])*($B$3=Таблица2[ФЕР/ТЕР])*(F49=Таблица2[Наименование работ])*(G49=Таблица2[ТПиР/НСиР])*Таблица2[Прочие2013-10])</f>
        <v>0</v>
      </c>
      <c r="S49" s="63">
        <f>IF($B$4="в базовых ценах",калькулятор!J53,X49*SUMPRODUCT(($B$2=Таблица2[Филиал])*($B$3=Таблица2[ФЕР/ТЕР])*(F49=Таблица2[Наименование работ])*(G49=Таблица2[ТПиР/НСиР])/Таблица2[ПИР2013]))</f>
        <v>0</v>
      </c>
      <c r="T49" s="63">
        <f>IF($B$4="в базовых ценах",калькулятор!K53,Y49*SUMPRODUCT(($B$2=Таблица2[Филиал])*($B$3=Таблица2[ФЕР/ТЕР])*(F49=Таблица2[Наименование работ])*(G49=Таблица2[ТПиР/НСиР])/Таблица2[СМР2013]))</f>
        <v>0</v>
      </c>
      <c r="U49" s="63">
        <f>IF($B$4="в базовых ценах",калькулятор!L53,Z49*SUMPRODUCT(($B$2=Таблица2[Филиал])*($B$3=Таблица2[ФЕР/ТЕР])*(F49=Таблица2[Наименование работ])*(G49=Таблица2[ТПиР/НСиР])/Таблица2[ПНР2013]))</f>
        <v>0</v>
      </c>
      <c r="V49" s="63">
        <f>IF($B$4="в базовых ценах",калькулятор!M53,AA49*SUMPRODUCT(($B$2=Таблица2[Филиал])*($B$3=Таблица2[ФЕР/ТЕР])*(F49=Таблица2[Наименование работ])*(G49=Таблица2[ТПиР/НСиР])/Таблица2[Оборудование2013]))</f>
        <v>0</v>
      </c>
      <c r="W49" s="63">
        <f>IF($B$4="в базовых ценах",калькулятор!N53,AB49*SUMPRODUCT(($B$2=Таблица2[Филиал])*($B$3=Таблица2[ФЕР/ТЕР])*(F49=Таблица2[Наименование работ])*(G49=Таблица2[ТПиР/НСиР])/Таблица2[Прочие3]))</f>
        <v>0</v>
      </c>
      <c r="X49" s="63">
        <f>IF($B$4="в текущих ценах",калькулятор!J53,S49*SUMPRODUCT(($B$2=Таблица2[Филиал])*($B$3=Таблица2[ФЕР/ТЕР])*(F49=Таблица2[Наименование работ])*(G49=Таблица2[ТПиР/НСиР])*Таблица2[ПИР2013]))</f>
        <v>0</v>
      </c>
      <c r="Y49" s="63">
        <f>IF($B$4="в текущих ценах",калькулятор!K53,T49*SUMPRODUCT(($B$2=Таблица2[Филиал])*($B$3=Таблица2[ФЕР/ТЕР])*(F49=Таблица2[Наименование работ])*(G49=Таблица2[ТПиР/НСиР])*Таблица2[СМР2013]))</f>
        <v>0</v>
      </c>
      <c r="Z49" s="63">
        <f>IF($B$4="в текущих ценах",калькулятор!L53,U49*SUMPRODUCT(($B$2=Таблица2[Филиал])*($B$3=Таблица2[ФЕР/ТЕР])*(F49=Таблица2[Наименование работ])*(G49=Таблица2[ТПиР/НСиР])*Таблица2[ПНР2013]))</f>
        <v>0</v>
      </c>
      <c r="AA49" s="63">
        <f>IF($B$4="в текущих ценах",калькулятор!M53,V49*SUMPRODUCT(($B$2=Таблица2[Филиал])*($B$3=Таблица2[ФЕР/ТЕР])*(F49=Таблица2[Наименование работ])*(G49=Таблица2[ТПиР/НСиР])*Таблица2[Оборудование2013]))</f>
        <v>0</v>
      </c>
      <c r="AB49" s="63">
        <f>IF($B$4="в текущих ценах",калькулятор!N53,W49*SUMPRODUCT(($B$2=Таблица2[Филиал])*($B$3=Таблица2[ФЕР/ТЕР])*(F49=Таблица2[Наименование работ])*(G49=Таблица2[ТПиР/НСиР])*Таблица2[Прочие3]))</f>
        <v>0</v>
      </c>
      <c r="AC49" s="63">
        <f>SUM(данные!$I49:$M49)</f>
        <v>0</v>
      </c>
      <c r="AD49" s="63">
        <f>IF(SUM(данные!$N49:$R49)&gt;данные!$AF49,данные!$AF49*0.9*1.058,SUM(данные!$N49:$R49))</f>
        <v>0</v>
      </c>
      <c r="AE49" s="63">
        <f>SUM(данные!$S49:$W49)</f>
        <v>0</v>
      </c>
      <c r="AF49" s="63">
        <f>SUM(данные!$X49:$AB49)</f>
        <v>0</v>
      </c>
      <c r="AG49" s="63">
        <f>IF($B$4="в текущих ценах",S49*SUMPRODUCT(($B$2=Таблица2[Филиал])*($B$3=Таблица2[ФЕР/ТЕР])*(F49=Таблица2[Наименование работ])*(G49=Таблица2[ТПиР/НСиР])*Таблица2[ПИР2012]),S49*SUMPRODUCT(($B$2=Таблица2[Филиал])*($B$3=Таблица2[ФЕР/ТЕР])*(F49=Таблица2[Наименование работ])*(G49=Таблица2[ТПиР/НСиР])*Таблица2[ПИР2012]))</f>
        <v>0</v>
      </c>
      <c r="AH49" s="63">
        <f>IF($B$4="в текущих ценах",T49*SUMPRODUCT(($B$2=Таблица2[Филиал])*($B$3=Таблица2[ФЕР/ТЕР])*(F49=Таблица2[Наименование работ])*(G49=Таблица2[ТПиР/НСиР])*Таблица2[СМР2012]),T49*SUMPRODUCT(($B$2=Таблица2[Филиал])*($B$3=Таблица2[ФЕР/ТЕР])*(F49=Таблица2[Наименование работ])*(G49=Таблица2[ТПиР/НСиР])*Таблица2[СМР2012]))</f>
        <v>0</v>
      </c>
      <c r="AI49" s="63">
        <f>IF($B$4="в текущих ценах",U49*SUMPRODUCT(($B$2=Таблица2[Филиал])*($B$3=Таблица2[ФЕР/ТЕР])*(F49=Таблица2[Наименование работ])*(G49=Таблица2[ТПиР/НСиР])*Таблица2[ПНР2012]),U49*SUMPRODUCT(($B$2=Таблица2[Филиал])*($B$3=Таблица2[ФЕР/ТЕР])*(F49=Таблица2[Наименование работ])*(G49=Таблица2[ТПиР/НСиР])*Таблица2[ПНР2012]))</f>
        <v>0</v>
      </c>
      <c r="AJ49" s="63">
        <f>IF($B$4="в текущих ценах",V49*SUMPRODUCT(($B$2=Таблица2[Филиал])*($B$3=Таблица2[ФЕР/ТЕР])*(F49=Таблица2[Наименование работ])*(G49=Таблица2[ТПиР/НСиР])*Таблица2[Оборудование2012]),V49*SUMPRODUCT(($B$2=Таблица2[Филиал])*($B$3=Таблица2[ФЕР/ТЕР])*(F49=Таблица2[Наименование работ])*(G49=Таблица2[ТПиР/НСиР])*Таблица2[Оборудование2012]))</f>
        <v>0</v>
      </c>
      <c r="AK49" s="63">
        <f>IF($B$4="в текущих ценах",W49*SUMPRODUCT(($B$2=Таблица2[Филиал])*($B$3=Таблица2[ФЕР/ТЕР])*(F49=Таблица2[Наименование работ])*(G49=Таблица2[ТПиР/НСиР])*Таблица2[Прочее2012]),W49*SUMPRODUCT(($B$2=Таблица2[Филиал])*($B$3=Таблица2[ФЕР/ТЕР])*(F49=Таблица2[Наименование работ])*(G49=Таблица2[ТПиР/НСиР])*Таблица2[Прочее2012]))</f>
        <v>0</v>
      </c>
      <c r="AL49" s="63">
        <f>данные!$X49+данные!$Y49+данные!$Z49+данные!$AA49+данные!$AB49</f>
        <v>0</v>
      </c>
      <c r="AM49" s="63">
        <v>1.03639035</v>
      </c>
      <c r="AN49" s="63">
        <v>1.0114049394</v>
      </c>
      <c r="AO49" s="63">
        <v>0.98210394336149998</v>
      </c>
      <c r="AP49" s="63">
        <v>0.93762413895893393</v>
      </c>
      <c r="AQ49" s="63"/>
      <c r="AR49" s="63"/>
      <c r="AS49" s="64"/>
      <c r="AU49" s="66">
        <f t="shared" si="5"/>
        <v>0</v>
      </c>
      <c r="AX49" s="66">
        <f t="shared" si="0"/>
        <v>0</v>
      </c>
      <c r="AY49" s="66">
        <f t="shared" si="1"/>
        <v>0</v>
      </c>
      <c r="AZ49" s="66">
        <f t="shared" si="2"/>
        <v>0</v>
      </c>
      <c r="BA49" s="66">
        <f t="shared" si="3"/>
        <v>0</v>
      </c>
      <c r="BB49" s="66">
        <f t="shared" si="4"/>
        <v>0</v>
      </c>
    </row>
    <row r="50" spans="4:54" x14ac:dyDescent="0.25">
      <c r="D50" s="62">
        <f>калькулятор!C54</f>
        <v>0</v>
      </c>
      <c r="E50" s="62">
        <f>калькулятор!F54</f>
        <v>0</v>
      </c>
      <c r="F50" s="62">
        <f>калькулятор!G54</f>
        <v>0</v>
      </c>
      <c r="G50" s="62">
        <f>калькулятор!H54</f>
        <v>0</v>
      </c>
      <c r="H50" s="62">
        <f>калькулятор!I54</f>
        <v>0</v>
      </c>
      <c r="I50" s="63">
        <f>S50*SUMPRODUCT(($B$2=Таблица2[Филиал])*($B$3=Таблица2[ФЕР/ТЕР])*(F50=Таблица2[Наименование работ])*(G50=Таблица2[ТПиР/НСиР])*Таблица2[ПИР2010])</f>
        <v>0</v>
      </c>
      <c r="J50" s="63">
        <f>T50*SUMPRODUCT(($B$2=Таблица2[Филиал])*($B$3=Таблица2[ФЕР/ТЕР])*(F50=Таблица2[Наименование работ])*(G50=Таблица2[ТПиР/НСиР])*Таблица2[СМР2010])</f>
        <v>0</v>
      </c>
      <c r="K50" s="63">
        <f>U50*SUMPRODUCT(($B$2=Таблица2[Филиал])*($B$3=Таблица2[ФЕР/ТЕР])*(F50=Таблица2[Наименование работ])*(G50=Таблица2[ТПиР/НСиР])*Таблица2[ПНР2010])</f>
        <v>0</v>
      </c>
      <c r="L50" s="63">
        <f>V50*SUMPRODUCT(($B$2=Таблица2[Филиал])*($B$3=Таблица2[ФЕР/ТЕР])*(F50=Таблица2[Наименование работ])*(G50=Таблица2[ТПиР/НСиР])*Таблица2[Оборудование2010])</f>
        <v>0</v>
      </c>
      <c r="M50" s="63">
        <f>W50*SUMPRODUCT(($B$2=Таблица2[Филиал])*($B$3=Таблица2[ФЕР/ТЕР])*(F50=Таблица2[Наименование работ])*(G50=Таблица2[ТПиР/НСиР])*Таблица2[Прочие2010])</f>
        <v>0</v>
      </c>
      <c r="N50" s="63">
        <f>S50*SUMPRODUCT(($B$2=Таблица2[Филиал])*($B$3=Таблица2[ФЕР/ТЕР])*(F50=Таблица2[Наименование работ])*(G50=Таблица2[ТПиР/НСиР])*Таблица2[ПИР2013-10])</f>
        <v>0</v>
      </c>
      <c r="O50" s="63">
        <f>T50*SUMPRODUCT(($B$2=Таблица2[Филиал])*($B$3=Таблица2[ФЕР/ТЕР])*(F50=Таблица2[Наименование работ])*(G50=Таблица2[ТПиР/НСиР])*Таблица2[СМР2013-10])</f>
        <v>0</v>
      </c>
      <c r="P50" s="63">
        <f>U50*SUMPRODUCT(($B$2=Таблица2[Филиал])*($B$3=Таблица2[ФЕР/ТЕР])*(F50=Таблица2[Наименование работ])*(G50=Таблица2[ТПиР/НСиР])*Таблица2[ПНР2013-10])</f>
        <v>0</v>
      </c>
      <c r="Q50" s="63">
        <f>V50*SUMPRODUCT(($B$2=Таблица2[Филиал])*($B$3=Таблица2[ФЕР/ТЕР])*(F50=Таблица2[Наименование работ])*(G50=Таблица2[ТПиР/НСиР])*Таблица2[Оборудование2013-10])</f>
        <v>0</v>
      </c>
      <c r="R50" s="63">
        <f>W50*SUMPRODUCT(($B$2=Таблица2[Филиал])*($B$3=Таблица2[ФЕР/ТЕР])*(F50=Таблица2[Наименование работ])*(G50=Таблица2[ТПиР/НСиР])*Таблица2[Прочие2013-10])</f>
        <v>0</v>
      </c>
      <c r="S50" s="63">
        <f>IF($B$4="в базовых ценах",калькулятор!J54,X50*SUMPRODUCT(($B$2=Таблица2[Филиал])*($B$3=Таблица2[ФЕР/ТЕР])*(F50=Таблица2[Наименование работ])*(G50=Таблица2[ТПиР/НСиР])/Таблица2[ПИР2013]))</f>
        <v>0</v>
      </c>
      <c r="T50" s="63">
        <f>IF($B$4="в базовых ценах",калькулятор!K54,Y50*SUMPRODUCT(($B$2=Таблица2[Филиал])*($B$3=Таблица2[ФЕР/ТЕР])*(F50=Таблица2[Наименование работ])*(G50=Таблица2[ТПиР/НСиР])/Таблица2[СМР2013]))</f>
        <v>0</v>
      </c>
      <c r="U50" s="63">
        <f>IF($B$4="в базовых ценах",калькулятор!L54,Z50*SUMPRODUCT(($B$2=Таблица2[Филиал])*($B$3=Таблица2[ФЕР/ТЕР])*(F50=Таблица2[Наименование работ])*(G50=Таблица2[ТПиР/НСиР])/Таблица2[ПНР2013]))</f>
        <v>0</v>
      </c>
      <c r="V50" s="63">
        <f>IF($B$4="в базовых ценах",калькулятор!M54,AA50*SUMPRODUCT(($B$2=Таблица2[Филиал])*($B$3=Таблица2[ФЕР/ТЕР])*(F50=Таблица2[Наименование работ])*(G50=Таблица2[ТПиР/НСиР])/Таблица2[Оборудование2013]))</f>
        <v>0</v>
      </c>
      <c r="W50" s="63">
        <f>IF($B$4="в базовых ценах",калькулятор!N54,AB50*SUMPRODUCT(($B$2=Таблица2[Филиал])*($B$3=Таблица2[ФЕР/ТЕР])*(F50=Таблица2[Наименование работ])*(G50=Таблица2[ТПиР/НСиР])/Таблица2[Прочие3]))</f>
        <v>0</v>
      </c>
      <c r="X50" s="63">
        <f>IF($B$4="в текущих ценах",калькулятор!J54,S50*SUMPRODUCT(($B$2=Таблица2[Филиал])*($B$3=Таблица2[ФЕР/ТЕР])*(F50=Таблица2[Наименование работ])*(G50=Таблица2[ТПиР/НСиР])*Таблица2[ПИР2013]))</f>
        <v>0</v>
      </c>
      <c r="Y50" s="63">
        <f>IF($B$4="в текущих ценах",калькулятор!K54,T50*SUMPRODUCT(($B$2=Таблица2[Филиал])*($B$3=Таблица2[ФЕР/ТЕР])*(F50=Таблица2[Наименование работ])*(G50=Таблица2[ТПиР/НСиР])*Таблица2[СМР2013]))</f>
        <v>0</v>
      </c>
      <c r="Z50" s="63">
        <f>IF($B$4="в текущих ценах",калькулятор!L54,U50*SUMPRODUCT(($B$2=Таблица2[Филиал])*($B$3=Таблица2[ФЕР/ТЕР])*(F50=Таблица2[Наименование работ])*(G50=Таблица2[ТПиР/НСиР])*Таблица2[ПНР2013]))</f>
        <v>0</v>
      </c>
      <c r="AA50" s="63">
        <f>IF($B$4="в текущих ценах",калькулятор!M54,V50*SUMPRODUCT(($B$2=Таблица2[Филиал])*($B$3=Таблица2[ФЕР/ТЕР])*(F50=Таблица2[Наименование работ])*(G50=Таблица2[ТПиР/НСиР])*Таблица2[Оборудование2013]))</f>
        <v>0</v>
      </c>
      <c r="AB50" s="63">
        <f>IF($B$4="в текущих ценах",калькулятор!N54,W50*SUMPRODUCT(($B$2=Таблица2[Филиал])*($B$3=Таблица2[ФЕР/ТЕР])*(F50=Таблица2[Наименование работ])*(G50=Таблица2[ТПиР/НСиР])*Таблица2[Прочие3]))</f>
        <v>0</v>
      </c>
      <c r="AC50" s="63">
        <f>SUM(данные!$I50:$M50)</f>
        <v>0</v>
      </c>
      <c r="AD50" s="63">
        <f>IF(SUM(данные!$N50:$R50)&gt;данные!$AF50,данные!$AF50*0.9*1.058,SUM(данные!$N50:$R50))</f>
        <v>0</v>
      </c>
      <c r="AE50" s="63">
        <f>SUM(данные!$S50:$W50)</f>
        <v>0</v>
      </c>
      <c r="AF50" s="63">
        <f>SUM(данные!$X50:$AB50)</f>
        <v>0</v>
      </c>
      <c r="AG50" s="63">
        <f>IF($B$4="в текущих ценах",S50*SUMPRODUCT(($B$2=Таблица2[Филиал])*($B$3=Таблица2[ФЕР/ТЕР])*(F50=Таблица2[Наименование работ])*(G50=Таблица2[ТПиР/НСиР])*Таблица2[ПИР2012]),S50*SUMPRODUCT(($B$2=Таблица2[Филиал])*($B$3=Таблица2[ФЕР/ТЕР])*(F50=Таблица2[Наименование работ])*(G50=Таблица2[ТПиР/НСиР])*Таблица2[ПИР2012]))</f>
        <v>0</v>
      </c>
      <c r="AH50" s="63">
        <f>IF($B$4="в текущих ценах",T50*SUMPRODUCT(($B$2=Таблица2[Филиал])*($B$3=Таблица2[ФЕР/ТЕР])*(F50=Таблица2[Наименование работ])*(G50=Таблица2[ТПиР/НСиР])*Таблица2[СМР2012]),T50*SUMPRODUCT(($B$2=Таблица2[Филиал])*($B$3=Таблица2[ФЕР/ТЕР])*(F50=Таблица2[Наименование работ])*(G50=Таблица2[ТПиР/НСиР])*Таблица2[СМР2012]))</f>
        <v>0</v>
      </c>
      <c r="AI50" s="63">
        <f>IF($B$4="в текущих ценах",U50*SUMPRODUCT(($B$2=Таблица2[Филиал])*($B$3=Таблица2[ФЕР/ТЕР])*(F50=Таблица2[Наименование работ])*(G50=Таблица2[ТПиР/НСиР])*Таблица2[ПНР2012]),U50*SUMPRODUCT(($B$2=Таблица2[Филиал])*($B$3=Таблица2[ФЕР/ТЕР])*(F50=Таблица2[Наименование работ])*(G50=Таблица2[ТПиР/НСиР])*Таблица2[ПНР2012]))</f>
        <v>0</v>
      </c>
      <c r="AJ50" s="63">
        <f>IF($B$4="в текущих ценах",V50*SUMPRODUCT(($B$2=Таблица2[Филиал])*($B$3=Таблица2[ФЕР/ТЕР])*(F50=Таблица2[Наименование работ])*(G50=Таблица2[ТПиР/НСиР])*Таблица2[Оборудование2012]),V50*SUMPRODUCT(($B$2=Таблица2[Филиал])*($B$3=Таблица2[ФЕР/ТЕР])*(F50=Таблица2[Наименование работ])*(G50=Таблица2[ТПиР/НСиР])*Таблица2[Оборудование2012]))</f>
        <v>0</v>
      </c>
      <c r="AK50" s="63">
        <f>IF($B$4="в текущих ценах",W50*SUMPRODUCT(($B$2=Таблица2[Филиал])*($B$3=Таблица2[ФЕР/ТЕР])*(F50=Таблица2[Наименование работ])*(G50=Таблица2[ТПиР/НСиР])*Таблица2[Прочее2012]),W50*SUMPRODUCT(($B$2=Таблица2[Филиал])*($B$3=Таблица2[ФЕР/ТЕР])*(F50=Таблица2[Наименование работ])*(G50=Таблица2[ТПиР/НСиР])*Таблица2[Прочее2012]))</f>
        <v>0</v>
      </c>
      <c r="AL50" s="63">
        <f>данные!$X50+данные!$Y50+данные!$Z50+данные!$AA50+данные!$AB50</f>
        <v>0</v>
      </c>
      <c r="AM50" s="63">
        <v>1.03639035</v>
      </c>
      <c r="AN50" s="63">
        <v>1.0114049394</v>
      </c>
      <c r="AO50" s="63">
        <v>0.98210394336149998</v>
      </c>
      <c r="AP50" s="63">
        <v>0.93762413895893393</v>
      </c>
      <c r="AQ50" s="63"/>
      <c r="AR50" s="63"/>
      <c r="AS50" s="64"/>
      <c r="AU50" s="66">
        <f t="shared" si="5"/>
        <v>0</v>
      </c>
      <c r="AX50" s="66">
        <f t="shared" si="0"/>
        <v>0</v>
      </c>
      <c r="AY50" s="66">
        <f t="shared" si="1"/>
        <v>0</v>
      </c>
      <c r="AZ50" s="66">
        <f t="shared" si="2"/>
        <v>0</v>
      </c>
      <c r="BA50" s="66">
        <f t="shared" si="3"/>
        <v>0</v>
      </c>
      <c r="BB50" s="66">
        <f t="shared" si="4"/>
        <v>0</v>
      </c>
    </row>
    <row r="51" spans="4:54" x14ac:dyDescent="0.25">
      <c r="D51" s="62">
        <f>калькулятор!C55</f>
        <v>0</v>
      </c>
      <c r="E51" s="62">
        <f>калькулятор!F55</f>
        <v>0</v>
      </c>
      <c r="F51" s="62">
        <f>калькулятор!G55</f>
        <v>0</v>
      </c>
      <c r="G51" s="62">
        <f>калькулятор!H55</f>
        <v>0</v>
      </c>
      <c r="H51" s="62">
        <f>калькулятор!I55</f>
        <v>0</v>
      </c>
      <c r="I51" s="63">
        <f>S51*SUMPRODUCT(($B$2=Таблица2[Филиал])*($B$3=Таблица2[ФЕР/ТЕР])*(F51=Таблица2[Наименование работ])*(G51=Таблица2[ТПиР/НСиР])*Таблица2[ПИР2010])</f>
        <v>0</v>
      </c>
      <c r="J51" s="63">
        <f>T51*SUMPRODUCT(($B$2=Таблица2[Филиал])*($B$3=Таблица2[ФЕР/ТЕР])*(F51=Таблица2[Наименование работ])*(G51=Таблица2[ТПиР/НСиР])*Таблица2[СМР2010])</f>
        <v>0</v>
      </c>
      <c r="K51" s="63">
        <f>U51*SUMPRODUCT(($B$2=Таблица2[Филиал])*($B$3=Таблица2[ФЕР/ТЕР])*(F51=Таблица2[Наименование работ])*(G51=Таблица2[ТПиР/НСиР])*Таблица2[ПНР2010])</f>
        <v>0</v>
      </c>
      <c r="L51" s="63">
        <f>V51*SUMPRODUCT(($B$2=Таблица2[Филиал])*($B$3=Таблица2[ФЕР/ТЕР])*(F51=Таблица2[Наименование работ])*(G51=Таблица2[ТПиР/НСиР])*Таблица2[Оборудование2010])</f>
        <v>0</v>
      </c>
      <c r="M51" s="63">
        <f>W51*SUMPRODUCT(($B$2=Таблица2[Филиал])*($B$3=Таблица2[ФЕР/ТЕР])*(F51=Таблица2[Наименование работ])*(G51=Таблица2[ТПиР/НСиР])*Таблица2[Прочие2010])</f>
        <v>0</v>
      </c>
      <c r="N51" s="63">
        <f>S51*SUMPRODUCT(($B$2=Таблица2[Филиал])*($B$3=Таблица2[ФЕР/ТЕР])*(F51=Таблица2[Наименование работ])*(G51=Таблица2[ТПиР/НСиР])*Таблица2[ПИР2013-10])</f>
        <v>0</v>
      </c>
      <c r="O51" s="63">
        <f>T51*SUMPRODUCT(($B$2=Таблица2[Филиал])*($B$3=Таблица2[ФЕР/ТЕР])*(F51=Таблица2[Наименование работ])*(G51=Таблица2[ТПиР/НСиР])*Таблица2[СМР2013-10])</f>
        <v>0</v>
      </c>
      <c r="P51" s="63">
        <f>U51*SUMPRODUCT(($B$2=Таблица2[Филиал])*($B$3=Таблица2[ФЕР/ТЕР])*(F51=Таблица2[Наименование работ])*(G51=Таблица2[ТПиР/НСиР])*Таблица2[ПНР2013-10])</f>
        <v>0</v>
      </c>
      <c r="Q51" s="63">
        <f>V51*SUMPRODUCT(($B$2=Таблица2[Филиал])*($B$3=Таблица2[ФЕР/ТЕР])*(F51=Таблица2[Наименование работ])*(G51=Таблица2[ТПиР/НСиР])*Таблица2[Оборудование2013-10])</f>
        <v>0</v>
      </c>
      <c r="R51" s="63">
        <f>W51*SUMPRODUCT(($B$2=Таблица2[Филиал])*($B$3=Таблица2[ФЕР/ТЕР])*(F51=Таблица2[Наименование работ])*(G51=Таблица2[ТПиР/НСиР])*Таблица2[Прочие2013-10])</f>
        <v>0</v>
      </c>
      <c r="S51" s="63">
        <f>IF($B$4="в базовых ценах",калькулятор!J55,X51*SUMPRODUCT(($B$2=Таблица2[Филиал])*($B$3=Таблица2[ФЕР/ТЕР])*(F51=Таблица2[Наименование работ])*(G51=Таблица2[ТПиР/НСиР])/Таблица2[ПИР2013]))</f>
        <v>0</v>
      </c>
      <c r="T51" s="63">
        <f>IF($B$4="в базовых ценах",калькулятор!K55,Y51*SUMPRODUCT(($B$2=Таблица2[Филиал])*($B$3=Таблица2[ФЕР/ТЕР])*(F51=Таблица2[Наименование работ])*(G51=Таблица2[ТПиР/НСиР])/Таблица2[СМР2013]))</f>
        <v>0</v>
      </c>
      <c r="U51" s="63">
        <f>IF($B$4="в базовых ценах",калькулятор!L55,Z51*SUMPRODUCT(($B$2=Таблица2[Филиал])*($B$3=Таблица2[ФЕР/ТЕР])*(F51=Таблица2[Наименование работ])*(G51=Таблица2[ТПиР/НСиР])/Таблица2[ПНР2013]))</f>
        <v>0</v>
      </c>
      <c r="V51" s="63">
        <f>IF($B$4="в базовых ценах",калькулятор!M55,AA51*SUMPRODUCT(($B$2=Таблица2[Филиал])*($B$3=Таблица2[ФЕР/ТЕР])*(F51=Таблица2[Наименование работ])*(G51=Таблица2[ТПиР/НСиР])/Таблица2[Оборудование2013]))</f>
        <v>0</v>
      </c>
      <c r="W51" s="63">
        <f>IF($B$4="в базовых ценах",калькулятор!N55,AB51*SUMPRODUCT(($B$2=Таблица2[Филиал])*($B$3=Таблица2[ФЕР/ТЕР])*(F51=Таблица2[Наименование работ])*(G51=Таблица2[ТПиР/НСиР])/Таблица2[Прочие3]))</f>
        <v>0</v>
      </c>
      <c r="X51" s="63">
        <f>IF($B$4="в текущих ценах",калькулятор!J55,S51*SUMPRODUCT(($B$2=Таблица2[Филиал])*($B$3=Таблица2[ФЕР/ТЕР])*(F51=Таблица2[Наименование работ])*(G51=Таблица2[ТПиР/НСиР])*Таблица2[ПИР2013]))</f>
        <v>0</v>
      </c>
      <c r="Y51" s="63">
        <f>IF($B$4="в текущих ценах",калькулятор!K55,T51*SUMPRODUCT(($B$2=Таблица2[Филиал])*($B$3=Таблица2[ФЕР/ТЕР])*(F51=Таблица2[Наименование работ])*(G51=Таблица2[ТПиР/НСиР])*Таблица2[СМР2013]))</f>
        <v>0</v>
      </c>
      <c r="Z51" s="63">
        <f>IF($B$4="в текущих ценах",калькулятор!L55,U51*SUMPRODUCT(($B$2=Таблица2[Филиал])*($B$3=Таблица2[ФЕР/ТЕР])*(F51=Таблица2[Наименование работ])*(G51=Таблица2[ТПиР/НСиР])*Таблица2[ПНР2013]))</f>
        <v>0</v>
      </c>
      <c r="AA51" s="63">
        <f>IF($B$4="в текущих ценах",калькулятор!M55,V51*SUMPRODUCT(($B$2=Таблица2[Филиал])*($B$3=Таблица2[ФЕР/ТЕР])*(F51=Таблица2[Наименование работ])*(G51=Таблица2[ТПиР/НСиР])*Таблица2[Оборудование2013]))</f>
        <v>0</v>
      </c>
      <c r="AB51" s="63">
        <f>IF($B$4="в текущих ценах",калькулятор!N55,W51*SUMPRODUCT(($B$2=Таблица2[Филиал])*($B$3=Таблица2[ФЕР/ТЕР])*(F51=Таблица2[Наименование работ])*(G51=Таблица2[ТПиР/НСиР])*Таблица2[Прочие3]))</f>
        <v>0</v>
      </c>
      <c r="AC51" s="63">
        <f>SUM(данные!$I51:$M51)</f>
        <v>0</v>
      </c>
      <c r="AD51" s="63">
        <f>IF(SUM(данные!$N51:$R51)&gt;данные!$AF51,данные!$AF51*0.9*1.058,SUM(данные!$N51:$R51))</f>
        <v>0</v>
      </c>
      <c r="AE51" s="63">
        <f>SUM(данные!$S51:$W51)</f>
        <v>0</v>
      </c>
      <c r="AF51" s="63">
        <f>SUM(данные!$X51:$AB51)</f>
        <v>0</v>
      </c>
      <c r="AG51" s="63">
        <f>IF($B$4="в текущих ценах",S51*SUMPRODUCT(($B$2=Таблица2[Филиал])*($B$3=Таблица2[ФЕР/ТЕР])*(F51=Таблица2[Наименование работ])*(G51=Таблица2[ТПиР/НСиР])*Таблица2[ПИР2012]),S51*SUMPRODUCT(($B$2=Таблица2[Филиал])*($B$3=Таблица2[ФЕР/ТЕР])*(F51=Таблица2[Наименование работ])*(G51=Таблица2[ТПиР/НСиР])*Таблица2[ПИР2012]))</f>
        <v>0</v>
      </c>
      <c r="AH51" s="63">
        <f>IF($B$4="в текущих ценах",T51*SUMPRODUCT(($B$2=Таблица2[Филиал])*($B$3=Таблица2[ФЕР/ТЕР])*(F51=Таблица2[Наименование работ])*(G51=Таблица2[ТПиР/НСиР])*Таблица2[СМР2012]),T51*SUMPRODUCT(($B$2=Таблица2[Филиал])*($B$3=Таблица2[ФЕР/ТЕР])*(F51=Таблица2[Наименование работ])*(G51=Таблица2[ТПиР/НСиР])*Таблица2[СМР2012]))</f>
        <v>0</v>
      </c>
      <c r="AI51" s="63">
        <f>IF($B$4="в текущих ценах",U51*SUMPRODUCT(($B$2=Таблица2[Филиал])*($B$3=Таблица2[ФЕР/ТЕР])*(F51=Таблица2[Наименование работ])*(G51=Таблица2[ТПиР/НСиР])*Таблица2[ПНР2012]),U51*SUMPRODUCT(($B$2=Таблица2[Филиал])*($B$3=Таблица2[ФЕР/ТЕР])*(F51=Таблица2[Наименование работ])*(G51=Таблица2[ТПиР/НСиР])*Таблица2[ПНР2012]))</f>
        <v>0</v>
      </c>
      <c r="AJ51" s="63">
        <f>IF($B$4="в текущих ценах",V51*SUMPRODUCT(($B$2=Таблица2[Филиал])*($B$3=Таблица2[ФЕР/ТЕР])*(F51=Таблица2[Наименование работ])*(G51=Таблица2[ТПиР/НСиР])*Таблица2[Оборудование2012]),V51*SUMPRODUCT(($B$2=Таблица2[Филиал])*($B$3=Таблица2[ФЕР/ТЕР])*(F51=Таблица2[Наименование работ])*(G51=Таблица2[ТПиР/НСиР])*Таблица2[Оборудование2012]))</f>
        <v>0</v>
      </c>
      <c r="AK51" s="63">
        <f>IF($B$4="в текущих ценах",W51*SUMPRODUCT(($B$2=Таблица2[Филиал])*($B$3=Таблица2[ФЕР/ТЕР])*(F51=Таблица2[Наименование работ])*(G51=Таблица2[ТПиР/НСиР])*Таблица2[Прочее2012]),W51*SUMPRODUCT(($B$2=Таблица2[Филиал])*($B$3=Таблица2[ФЕР/ТЕР])*(F51=Таблица2[Наименование работ])*(G51=Таблица2[ТПиР/НСиР])*Таблица2[Прочее2012]))</f>
        <v>0</v>
      </c>
      <c r="AL51" s="63">
        <f>данные!$X51+данные!$Y51+данные!$Z51+данные!$AA51+данные!$AB51</f>
        <v>0</v>
      </c>
      <c r="AM51" s="63">
        <v>1.03639035</v>
      </c>
      <c r="AN51" s="63">
        <v>1.0114049394</v>
      </c>
      <c r="AO51" s="63">
        <v>0.98210394336149998</v>
      </c>
      <c r="AP51" s="63">
        <v>0.93762413895893393</v>
      </c>
      <c r="AQ51" s="63"/>
      <c r="AR51" s="63"/>
      <c r="AS51" s="64"/>
      <c r="AU51" s="66">
        <f t="shared" si="5"/>
        <v>0</v>
      </c>
      <c r="AX51" s="66">
        <f t="shared" si="0"/>
        <v>0</v>
      </c>
      <c r="AY51" s="66">
        <f t="shared" si="1"/>
        <v>0</v>
      </c>
      <c r="AZ51" s="66">
        <f t="shared" si="2"/>
        <v>0</v>
      </c>
      <c r="BA51" s="66">
        <f t="shared" si="3"/>
        <v>0</v>
      </c>
      <c r="BB51" s="66">
        <f t="shared" si="4"/>
        <v>0</v>
      </c>
    </row>
    <row r="52" spans="4:54" x14ac:dyDescent="0.25">
      <c r="D52" s="62">
        <f>калькулятор!C56</f>
        <v>0</v>
      </c>
      <c r="E52" s="62">
        <f>калькулятор!F56</f>
        <v>0</v>
      </c>
      <c r="F52" s="62">
        <f>калькулятор!G56</f>
        <v>0</v>
      </c>
      <c r="G52" s="62">
        <f>калькулятор!H56</f>
        <v>0</v>
      </c>
      <c r="H52" s="62">
        <f>калькулятор!I56</f>
        <v>0</v>
      </c>
      <c r="I52" s="63">
        <f>S52*SUMPRODUCT(($B$2=Таблица2[Филиал])*($B$3=Таблица2[ФЕР/ТЕР])*(F52=Таблица2[Наименование работ])*(G52=Таблица2[ТПиР/НСиР])*Таблица2[ПИР2010])</f>
        <v>0</v>
      </c>
      <c r="J52" s="63">
        <f>T52*SUMPRODUCT(($B$2=Таблица2[Филиал])*($B$3=Таблица2[ФЕР/ТЕР])*(F52=Таблица2[Наименование работ])*(G52=Таблица2[ТПиР/НСиР])*Таблица2[СМР2010])</f>
        <v>0</v>
      </c>
      <c r="K52" s="63">
        <f>U52*SUMPRODUCT(($B$2=Таблица2[Филиал])*($B$3=Таблица2[ФЕР/ТЕР])*(F52=Таблица2[Наименование работ])*(G52=Таблица2[ТПиР/НСиР])*Таблица2[ПНР2010])</f>
        <v>0</v>
      </c>
      <c r="L52" s="63">
        <f>V52*SUMPRODUCT(($B$2=Таблица2[Филиал])*($B$3=Таблица2[ФЕР/ТЕР])*(F52=Таблица2[Наименование работ])*(G52=Таблица2[ТПиР/НСиР])*Таблица2[Оборудование2010])</f>
        <v>0</v>
      </c>
      <c r="M52" s="63">
        <f>W52*SUMPRODUCT(($B$2=Таблица2[Филиал])*($B$3=Таблица2[ФЕР/ТЕР])*(F52=Таблица2[Наименование работ])*(G52=Таблица2[ТПиР/НСиР])*Таблица2[Прочие2010])</f>
        <v>0</v>
      </c>
      <c r="N52" s="63">
        <f>S52*SUMPRODUCT(($B$2=Таблица2[Филиал])*($B$3=Таблица2[ФЕР/ТЕР])*(F52=Таблица2[Наименование работ])*(G52=Таблица2[ТПиР/НСиР])*Таблица2[ПИР2013-10])</f>
        <v>0</v>
      </c>
      <c r="O52" s="63">
        <f>T52*SUMPRODUCT(($B$2=Таблица2[Филиал])*($B$3=Таблица2[ФЕР/ТЕР])*(F52=Таблица2[Наименование работ])*(G52=Таблица2[ТПиР/НСиР])*Таблица2[СМР2013-10])</f>
        <v>0</v>
      </c>
      <c r="P52" s="63">
        <f>U52*SUMPRODUCT(($B$2=Таблица2[Филиал])*($B$3=Таблица2[ФЕР/ТЕР])*(F52=Таблица2[Наименование работ])*(G52=Таблица2[ТПиР/НСиР])*Таблица2[ПНР2013-10])</f>
        <v>0</v>
      </c>
      <c r="Q52" s="63">
        <f>V52*SUMPRODUCT(($B$2=Таблица2[Филиал])*($B$3=Таблица2[ФЕР/ТЕР])*(F52=Таблица2[Наименование работ])*(G52=Таблица2[ТПиР/НСиР])*Таблица2[Оборудование2013-10])</f>
        <v>0</v>
      </c>
      <c r="R52" s="63">
        <f>W52*SUMPRODUCT(($B$2=Таблица2[Филиал])*($B$3=Таблица2[ФЕР/ТЕР])*(F52=Таблица2[Наименование работ])*(G52=Таблица2[ТПиР/НСиР])*Таблица2[Прочие2013-10])</f>
        <v>0</v>
      </c>
      <c r="S52" s="63">
        <f>IF($B$4="в базовых ценах",калькулятор!J56,X52*SUMPRODUCT(($B$2=Таблица2[Филиал])*($B$3=Таблица2[ФЕР/ТЕР])*(F52=Таблица2[Наименование работ])*(G52=Таблица2[ТПиР/НСиР])/Таблица2[ПИР2013]))</f>
        <v>0</v>
      </c>
      <c r="T52" s="63">
        <f>IF($B$4="в базовых ценах",калькулятор!K56,Y52*SUMPRODUCT(($B$2=Таблица2[Филиал])*($B$3=Таблица2[ФЕР/ТЕР])*(F52=Таблица2[Наименование работ])*(G52=Таблица2[ТПиР/НСиР])/Таблица2[СМР2013]))</f>
        <v>0</v>
      </c>
      <c r="U52" s="63">
        <f>IF($B$4="в базовых ценах",калькулятор!L56,Z52*SUMPRODUCT(($B$2=Таблица2[Филиал])*($B$3=Таблица2[ФЕР/ТЕР])*(F52=Таблица2[Наименование работ])*(G52=Таблица2[ТПиР/НСиР])/Таблица2[ПНР2013]))</f>
        <v>0</v>
      </c>
      <c r="V52" s="63">
        <f>IF($B$4="в базовых ценах",калькулятор!M56,AA52*SUMPRODUCT(($B$2=Таблица2[Филиал])*($B$3=Таблица2[ФЕР/ТЕР])*(F52=Таблица2[Наименование работ])*(G52=Таблица2[ТПиР/НСиР])/Таблица2[Оборудование2013]))</f>
        <v>0</v>
      </c>
      <c r="W52" s="63">
        <f>IF($B$4="в базовых ценах",калькулятор!N56,AB52*SUMPRODUCT(($B$2=Таблица2[Филиал])*($B$3=Таблица2[ФЕР/ТЕР])*(F52=Таблица2[Наименование работ])*(G52=Таблица2[ТПиР/НСиР])/Таблица2[Прочие3]))</f>
        <v>0</v>
      </c>
      <c r="X52" s="63">
        <f>IF($B$4="в текущих ценах",калькулятор!J56,S52*SUMPRODUCT(($B$2=Таблица2[Филиал])*($B$3=Таблица2[ФЕР/ТЕР])*(F52=Таблица2[Наименование работ])*(G52=Таблица2[ТПиР/НСиР])*Таблица2[ПИР2013]))</f>
        <v>0</v>
      </c>
      <c r="Y52" s="63">
        <f>IF($B$4="в текущих ценах",калькулятор!K56,T52*SUMPRODUCT(($B$2=Таблица2[Филиал])*($B$3=Таблица2[ФЕР/ТЕР])*(F52=Таблица2[Наименование работ])*(G52=Таблица2[ТПиР/НСиР])*Таблица2[СМР2013]))</f>
        <v>0</v>
      </c>
      <c r="Z52" s="63">
        <f>IF($B$4="в текущих ценах",калькулятор!L56,U52*SUMPRODUCT(($B$2=Таблица2[Филиал])*($B$3=Таблица2[ФЕР/ТЕР])*(F52=Таблица2[Наименование работ])*(G52=Таблица2[ТПиР/НСиР])*Таблица2[ПНР2013]))</f>
        <v>0</v>
      </c>
      <c r="AA52" s="63">
        <f>IF($B$4="в текущих ценах",калькулятор!M56,V52*SUMPRODUCT(($B$2=Таблица2[Филиал])*($B$3=Таблица2[ФЕР/ТЕР])*(F52=Таблица2[Наименование работ])*(G52=Таблица2[ТПиР/НСиР])*Таблица2[Оборудование2013]))</f>
        <v>0</v>
      </c>
      <c r="AB52" s="63">
        <f>IF($B$4="в текущих ценах",калькулятор!N56,W52*SUMPRODUCT(($B$2=Таблица2[Филиал])*($B$3=Таблица2[ФЕР/ТЕР])*(F52=Таблица2[Наименование работ])*(G52=Таблица2[ТПиР/НСиР])*Таблица2[Прочие3]))</f>
        <v>0</v>
      </c>
      <c r="AC52" s="63">
        <f>SUM(данные!$I52:$M52)</f>
        <v>0</v>
      </c>
      <c r="AD52" s="63">
        <f>IF(SUM(данные!$N52:$R52)&gt;данные!$AF52,данные!$AF52*0.9*1.058,SUM(данные!$N52:$R52))</f>
        <v>0</v>
      </c>
      <c r="AE52" s="63">
        <f>SUM(данные!$S52:$W52)</f>
        <v>0</v>
      </c>
      <c r="AF52" s="63">
        <f>SUM(данные!$X52:$AB52)</f>
        <v>0</v>
      </c>
      <c r="AG52" s="63">
        <f>IF($B$4="в текущих ценах",S52*SUMPRODUCT(($B$2=Таблица2[Филиал])*($B$3=Таблица2[ФЕР/ТЕР])*(F52=Таблица2[Наименование работ])*(G52=Таблица2[ТПиР/НСиР])*Таблица2[ПИР2012]),S52*SUMPRODUCT(($B$2=Таблица2[Филиал])*($B$3=Таблица2[ФЕР/ТЕР])*(F52=Таблица2[Наименование работ])*(G52=Таблица2[ТПиР/НСиР])*Таблица2[ПИР2012]))</f>
        <v>0</v>
      </c>
      <c r="AH52" s="63">
        <f>IF($B$4="в текущих ценах",T52*SUMPRODUCT(($B$2=Таблица2[Филиал])*($B$3=Таблица2[ФЕР/ТЕР])*(F52=Таблица2[Наименование работ])*(G52=Таблица2[ТПиР/НСиР])*Таблица2[СМР2012]),T52*SUMPRODUCT(($B$2=Таблица2[Филиал])*($B$3=Таблица2[ФЕР/ТЕР])*(F52=Таблица2[Наименование работ])*(G52=Таблица2[ТПиР/НСиР])*Таблица2[СМР2012]))</f>
        <v>0</v>
      </c>
      <c r="AI52" s="63">
        <f>IF($B$4="в текущих ценах",U52*SUMPRODUCT(($B$2=Таблица2[Филиал])*($B$3=Таблица2[ФЕР/ТЕР])*(F52=Таблица2[Наименование работ])*(G52=Таблица2[ТПиР/НСиР])*Таблица2[ПНР2012]),U52*SUMPRODUCT(($B$2=Таблица2[Филиал])*($B$3=Таблица2[ФЕР/ТЕР])*(F52=Таблица2[Наименование работ])*(G52=Таблица2[ТПиР/НСиР])*Таблица2[ПНР2012]))</f>
        <v>0</v>
      </c>
      <c r="AJ52" s="63">
        <f>IF($B$4="в текущих ценах",V52*SUMPRODUCT(($B$2=Таблица2[Филиал])*($B$3=Таблица2[ФЕР/ТЕР])*(F52=Таблица2[Наименование работ])*(G52=Таблица2[ТПиР/НСиР])*Таблица2[Оборудование2012]),V52*SUMPRODUCT(($B$2=Таблица2[Филиал])*($B$3=Таблица2[ФЕР/ТЕР])*(F52=Таблица2[Наименование работ])*(G52=Таблица2[ТПиР/НСиР])*Таблица2[Оборудование2012]))</f>
        <v>0</v>
      </c>
      <c r="AK52" s="63">
        <f>IF($B$4="в текущих ценах",W52*SUMPRODUCT(($B$2=Таблица2[Филиал])*($B$3=Таблица2[ФЕР/ТЕР])*(F52=Таблица2[Наименование работ])*(G52=Таблица2[ТПиР/НСиР])*Таблица2[Прочее2012]),W52*SUMPRODUCT(($B$2=Таблица2[Филиал])*($B$3=Таблица2[ФЕР/ТЕР])*(F52=Таблица2[Наименование работ])*(G52=Таблица2[ТПиР/НСиР])*Таблица2[Прочее2012]))</f>
        <v>0</v>
      </c>
      <c r="AL52" s="63">
        <f>данные!$X52+данные!$Y52+данные!$Z52+данные!$AA52+данные!$AB52</f>
        <v>0</v>
      </c>
      <c r="AM52" s="63">
        <v>1.03639035</v>
      </c>
      <c r="AN52" s="63">
        <v>1.0114049394</v>
      </c>
      <c r="AO52" s="63">
        <v>0.98210394336149998</v>
      </c>
      <c r="AP52" s="63">
        <v>0.93762413895893393</v>
      </c>
      <c r="AQ52" s="63"/>
      <c r="AR52" s="63"/>
      <c r="AS52" s="64"/>
      <c r="AU52" s="66">
        <f t="shared" si="5"/>
        <v>0</v>
      </c>
      <c r="AX52" s="66">
        <f t="shared" si="0"/>
        <v>0</v>
      </c>
      <c r="AY52" s="66">
        <f t="shared" si="1"/>
        <v>0</v>
      </c>
      <c r="AZ52" s="66">
        <f t="shared" si="2"/>
        <v>0</v>
      </c>
      <c r="BA52" s="66">
        <f t="shared" si="3"/>
        <v>0</v>
      </c>
      <c r="BB52" s="66">
        <f t="shared" si="4"/>
        <v>0</v>
      </c>
    </row>
    <row r="53" spans="4:54" x14ac:dyDescent="0.25">
      <c r="D53" s="62">
        <f>калькулятор!C57</f>
        <v>0</v>
      </c>
      <c r="E53" s="62">
        <f>калькулятор!F57</f>
        <v>0</v>
      </c>
      <c r="F53" s="62">
        <f>калькулятор!G57</f>
        <v>0</v>
      </c>
      <c r="G53" s="62">
        <f>калькулятор!H57</f>
        <v>0</v>
      </c>
      <c r="H53" s="62">
        <f>калькулятор!I57</f>
        <v>0</v>
      </c>
      <c r="I53" s="63">
        <f>S53*SUMPRODUCT(($B$2=Таблица2[Филиал])*($B$3=Таблица2[ФЕР/ТЕР])*(F53=Таблица2[Наименование работ])*(G53=Таблица2[ТПиР/НСиР])*Таблица2[ПИР2010])</f>
        <v>0</v>
      </c>
      <c r="J53" s="63">
        <f>T53*SUMPRODUCT(($B$2=Таблица2[Филиал])*($B$3=Таблица2[ФЕР/ТЕР])*(F53=Таблица2[Наименование работ])*(G53=Таблица2[ТПиР/НСиР])*Таблица2[СМР2010])</f>
        <v>0</v>
      </c>
      <c r="K53" s="63">
        <f>U53*SUMPRODUCT(($B$2=Таблица2[Филиал])*($B$3=Таблица2[ФЕР/ТЕР])*(F53=Таблица2[Наименование работ])*(G53=Таблица2[ТПиР/НСиР])*Таблица2[ПНР2010])</f>
        <v>0</v>
      </c>
      <c r="L53" s="63">
        <f>V53*SUMPRODUCT(($B$2=Таблица2[Филиал])*($B$3=Таблица2[ФЕР/ТЕР])*(F53=Таблица2[Наименование работ])*(G53=Таблица2[ТПиР/НСиР])*Таблица2[Оборудование2010])</f>
        <v>0</v>
      </c>
      <c r="M53" s="63">
        <f>W53*SUMPRODUCT(($B$2=Таблица2[Филиал])*($B$3=Таблица2[ФЕР/ТЕР])*(F53=Таблица2[Наименование работ])*(G53=Таблица2[ТПиР/НСиР])*Таблица2[Прочие2010])</f>
        <v>0</v>
      </c>
      <c r="N53" s="63">
        <f>S53*SUMPRODUCT(($B$2=Таблица2[Филиал])*($B$3=Таблица2[ФЕР/ТЕР])*(F53=Таблица2[Наименование работ])*(G53=Таблица2[ТПиР/НСиР])*Таблица2[ПИР2013-10])</f>
        <v>0</v>
      </c>
      <c r="O53" s="63">
        <f>T53*SUMPRODUCT(($B$2=Таблица2[Филиал])*($B$3=Таблица2[ФЕР/ТЕР])*(F53=Таблица2[Наименование работ])*(G53=Таблица2[ТПиР/НСиР])*Таблица2[СМР2013-10])</f>
        <v>0</v>
      </c>
      <c r="P53" s="63">
        <f>U53*SUMPRODUCT(($B$2=Таблица2[Филиал])*($B$3=Таблица2[ФЕР/ТЕР])*(F53=Таблица2[Наименование работ])*(G53=Таблица2[ТПиР/НСиР])*Таблица2[ПНР2013-10])</f>
        <v>0</v>
      </c>
      <c r="Q53" s="63">
        <f>V53*SUMPRODUCT(($B$2=Таблица2[Филиал])*($B$3=Таблица2[ФЕР/ТЕР])*(F53=Таблица2[Наименование работ])*(G53=Таблица2[ТПиР/НСиР])*Таблица2[Оборудование2013-10])</f>
        <v>0</v>
      </c>
      <c r="R53" s="63">
        <f>W53*SUMPRODUCT(($B$2=Таблица2[Филиал])*($B$3=Таблица2[ФЕР/ТЕР])*(F53=Таблица2[Наименование работ])*(G53=Таблица2[ТПиР/НСиР])*Таблица2[Прочие2013-10])</f>
        <v>0</v>
      </c>
      <c r="S53" s="63">
        <f>IF($B$4="в базовых ценах",калькулятор!J57,X53*SUMPRODUCT(($B$2=Таблица2[Филиал])*($B$3=Таблица2[ФЕР/ТЕР])*(F53=Таблица2[Наименование работ])*(G53=Таблица2[ТПиР/НСиР])/Таблица2[ПИР2013]))</f>
        <v>0</v>
      </c>
      <c r="T53" s="63">
        <f>IF($B$4="в базовых ценах",калькулятор!K57,Y53*SUMPRODUCT(($B$2=Таблица2[Филиал])*($B$3=Таблица2[ФЕР/ТЕР])*(F53=Таблица2[Наименование работ])*(G53=Таблица2[ТПиР/НСиР])/Таблица2[СМР2013]))</f>
        <v>0</v>
      </c>
      <c r="U53" s="63">
        <f>IF($B$4="в базовых ценах",калькулятор!L57,Z53*SUMPRODUCT(($B$2=Таблица2[Филиал])*($B$3=Таблица2[ФЕР/ТЕР])*(F53=Таблица2[Наименование работ])*(G53=Таблица2[ТПиР/НСиР])/Таблица2[ПНР2013]))</f>
        <v>0</v>
      </c>
      <c r="V53" s="63">
        <f>IF($B$4="в базовых ценах",калькулятор!M57,AA53*SUMPRODUCT(($B$2=Таблица2[Филиал])*($B$3=Таблица2[ФЕР/ТЕР])*(F53=Таблица2[Наименование работ])*(G53=Таблица2[ТПиР/НСиР])/Таблица2[Оборудование2013]))</f>
        <v>0</v>
      </c>
      <c r="W53" s="63">
        <f>IF($B$4="в базовых ценах",калькулятор!N57,AB53*SUMPRODUCT(($B$2=Таблица2[Филиал])*($B$3=Таблица2[ФЕР/ТЕР])*(F53=Таблица2[Наименование работ])*(G53=Таблица2[ТПиР/НСиР])/Таблица2[Прочие3]))</f>
        <v>0</v>
      </c>
      <c r="X53" s="63">
        <f>IF($B$4="в текущих ценах",калькулятор!J57,S53*SUMPRODUCT(($B$2=Таблица2[Филиал])*($B$3=Таблица2[ФЕР/ТЕР])*(F53=Таблица2[Наименование работ])*(G53=Таблица2[ТПиР/НСиР])*Таблица2[ПИР2013]))</f>
        <v>0</v>
      </c>
      <c r="Y53" s="63">
        <f>IF($B$4="в текущих ценах",калькулятор!K57,T53*SUMPRODUCT(($B$2=Таблица2[Филиал])*($B$3=Таблица2[ФЕР/ТЕР])*(F53=Таблица2[Наименование работ])*(G53=Таблица2[ТПиР/НСиР])*Таблица2[СМР2013]))</f>
        <v>0</v>
      </c>
      <c r="Z53" s="63">
        <f>IF($B$4="в текущих ценах",калькулятор!L57,U53*SUMPRODUCT(($B$2=Таблица2[Филиал])*($B$3=Таблица2[ФЕР/ТЕР])*(F53=Таблица2[Наименование работ])*(G53=Таблица2[ТПиР/НСиР])*Таблица2[ПНР2013]))</f>
        <v>0</v>
      </c>
      <c r="AA53" s="63">
        <f>IF($B$4="в текущих ценах",калькулятор!M57,V53*SUMPRODUCT(($B$2=Таблица2[Филиал])*($B$3=Таблица2[ФЕР/ТЕР])*(F53=Таблица2[Наименование работ])*(G53=Таблица2[ТПиР/НСиР])*Таблица2[Оборудование2013]))</f>
        <v>0</v>
      </c>
      <c r="AB53" s="63">
        <f>IF($B$4="в текущих ценах",калькулятор!N57,W53*SUMPRODUCT(($B$2=Таблица2[Филиал])*($B$3=Таблица2[ФЕР/ТЕР])*(F53=Таблица2[Наименование работ])*(G53=Таблица2[ТПиР/НСиР])*Таблица2[Прочие3]))</f>
        <v>0</v>
      </c>
      <c r="AC53" s="63">
        <f>SUM(данные!$I53:$M53)</f>
        <v>0</v>
      </c>
      <c r="AD53" s="63">
        <f>IF(SUM(данные!$N53:$R53)&gt;данные!$AF53,данные!$AF53*0.9*1.058,SUM(данные!$N53:$R53))</f>
        <v>0</v>
      </c>
      <c r="AE53" s="63">
        <f>SUM(данные!$S53:$W53)</f>
        <v>0</v>
      </c>
      <c r="AF53" s="63">
        <f>SUM(данные!$X53:$AB53)</f>
        <v>0</v>
      </c>
      <c r="AG53" s="63">
        <f>IF($B$4="в текущих ценах",S53*SUMPRODUCT(($B$2=Таблица2[Филиал])*($B$3=Таблица2[ФЕР/ТЕР])*(F53=Таблица2[Наименование работ])*(G53=Таблица2[ТПиР/НСиР])*Таблица2[ПИР2012]),S53*SUMPRODUCT(($B$2=Таблица2[Филиал])*($B$3=Таблица2[ФЕР/ТЕР])*(F53=Таблица2[Наименование работ])*(G53=Таблица2[ТПиР/НСиР])*Таблица2[ПИР2012]))</f>
        <v>0</v>
      </c>
      <c r="AH53" s="63">
        <f>IF($B$4="в текущих ценах",T53*SUMPRODUCT(($B$2=Таблица2[Филиал])*($B$3=Таблица2[ФЕР/ТЕР])*(F53=Таблица2[Наименование работ])*(G53=Таблица2[ТПиР/НСиР])*Таблица2[СМР2012]),T53*SUMPRODUCT(($B$2=Таблица2[Филиал])*($B$3=Таблица2[ФЕР/ТЕР])*(F53=Таблица2[Наименование работ])*(G53=Таблица2[ТПиР/НСиР])*Таблица2[СМР2012]))</f>
        <v>0</v>
      </c>
      <c r="AI53" s="63">
        <f>IF($B$4="в текущих ценах",U53*SUMPRODUCT(($B$2=Таблица2[Филиал])*($B$3=Таблица2[ФЕР/ТЕР])*(F53=Таблица2[Наименование работ])*(G53=Таблица2[ТПиР/НСиР])*Таблица2[ПНР2012]),U53*SUMPRODUCT(($B$2=Таблица2[Филиал])*($B$3=Таблица2[ФЕР/ТЕР])*(F53=Таблица2[Наименование работ])*(G53=Таблица2[ТПиР/НСиР])*Таблица2[ПНР2012]))</f>
        <v>0</v>
      </c>
      <c r="AJ53" s="63">
        <f>IF($B$4="в текущих ценах",V53*SUMPRODUCT(($B$2=Таблица2[Филиал])*($B$3=Таблица2[ФЕР/ТЕР])*(F53=Таблица2[Наименование работ])*(G53=Таблица2[ТПиР/НСиР])*Таблица2[Оборудование2012]),V53*SUMPRODUCT(($B$2=Таблица2[Филиал])*($B$3=Таблица2[ФЕР/ТЕР])*(F53=Таблица2[Наименование работ])*(G53=Таблица2[ТПиР/НСиР])*Таблица2[Оборудование2012]))</f>
        <v>0</v>
      </c>
      <c r="AK53" s="63">
        <f>IF($B$4="в текущих ценах",W53*SUMPRODUCT(($B$2=Таблица2[Филиал])*($B$3=Таблица2[ФЕР/ТЕР])*(F53=Таблица2[Наименование работ])*(G53=Таблица2[ТПиР/НСиР])*Таблица2[Прочее2012]),W53*SUMPRODUCT(($B$2=Таблица2[Филиал])*($B$3=Таблица2[ФЕР/ТЕР])*(F53=Таблица2[Наименование работ])*(G53=Таблица2[ТПиР/НСиР])*Таблица2[Прочее2012]))</f>
        <v>0</v>
      </c>
      <c r="AL53" s="63">
        <f>данные!$X53+данные!$Y53+данные!$Z53+данные!$AA53+данные!$AB53</f>
        <v>0</v>
      </c>
      <c r="AM53" s="63">
        <v>1.03639035</v>
      </c>
      <c r="AN53" s="63">
        <v>1.0114049394</v>
      </c>
      <c r="AO53" s="63">
        <v>0.98210394336149998</v>
      </c>
      <c r="AP53" s="63">
        <v>0.93762413895893393</v>
      </c>
      <c r="AQ53" s="63"/>
      <c r="AR53" s="63"/>
      <c r="AS53" s="64"/>
      <c r="AU53" s="66">
        <f t="shared" si="5"/>
        <v>0</v>
      </c>
      <c r="AX53" s="66">
        <f t="shared" si="0"/>
        <v>0</v>
      </c>
      <c r="AY53" s="66">
        <f t="shared" si="1"/>
        <v>0</v>
      </c>
      <c r="AZ53" s="66">
        <f t="shared" si="2"/>
        <v>0</v>
      </c>
      <c r="BA53" s="66">
        <f t="shared" si="3"/>
        <v>0</v>
      </c>
      <c r="BB53" s="66">
        <f t="shared" si="4"/>
        <v>0</v>
      </c>
    </row>
    <row r="54" spans="4:54" x14ac:dyDescent="0.25">
      <c r="D54" s="62">
        <f>калькулятор!C58</f>
        <v>0</v>
      </c>
      <c r="E54" s="62">
        <f>калькулятор!F58</f>
        <v>0</v>
      </c>
      <c r="F54" s="62">
        <f>калькулятор!G58</f>
        <v>0</v>
      </c>
      <c r="G54" s="62">
        <f>калькулятор!H58</f>
        <v>0</v>
      </c>
      <c r="H54" s="62">
        <f>калькулятор!I58</f>
        <v>0</v>
      </c>
      <c r="I54" s="63">
        <f>S54*SUMPRODUCT(($B$2=Таблица2[Филиал])*($B$3=Таблица2[ФЕР/ТЕР])*(F54=Таблица2[Наименование работ])*(G54=Таблица2[ТПиР/НСиР])*Таблица2[ПИР2010])</f>
        <v>0</v>
      </c>
      <c r="J54" s="63">
        <f>T54*SUMPRODUCT(($B$2=Таблица2[Филиал])*($B$3=Таблица2[ФЕР/ТЕР])*(F54=Таблица2[Наименование работ])*(G54=Таблица2[ТПиР/НСиР])*Таблица2[СМР2010])</f>
        <v>0</v>
      </c>
      <c r="K54" s="63">
        <f>U54*SUMPRODUCT(($B$2=Таблица2[Филиал])*($B$3=Таблица2[ФЕР/ТЕР])*(F54=Таблица2[Наименование работ])*(G54=Таблица2[ТПиР/НСиР])*Таблица2[ПНР2010])</f>
        <v>0</v>
      </c>
      <c r="L54" s="63">
        <f>V54*SUMPRODUCT(($B$2=Таблица2[Филиал])*($B$3=Таблица2[ФЕР/ТЕР])*(F54=Таблица2[Наименование работ])*(G54=Таблица2[ТПиР/НСиР])*Таблица2[Оборудование2010])</f>
        <v>0</v>
      </c>
      <c r="M54" s="63">
        <f>W54*SUMPRODUCT(($B$2=Таблица2[Филиал])*($B$3=Таблица2[ФЕР/ТЕР])*(F54=Таблица2[Наименование работ])*(G54=Таблица2[ТПиР/НСиР])*Таблица2[Прочие2010])</f>
        <v>0</v>
      </c>
      <c r="N54" s="63">
        <f>S54*SUMPRODUCT(($B$2=Таблица2[Филиал])*($B$3=Таблица2[ФЕР/ТЕР])*(F54=Таблица2[Наименование работ])*(G54=Таблица2[ТПиР/НСиР])*Таблица2[ПИР2013-10])</f>
        <v>0</v>
      </c>
      <c r="O54" s="63">
        <f>T54*SUMPRODUCT(($B$2=Таблица2[Филиал])*($B$3=Таблица2[ФЕР/ТЕР])*(F54=Таблица2[Наименование работ])*(G54=Таблица2[ТПиР/НСиР])*Таблица2[СМР2013-10])</f>
        <v>0</v>
      </c>
      <c r="P54" s="63">
        <f>U54*SUMPRODUCT(($B$2=Таблица2[Филиал])*($B$3=Таблица2[ФЕР/ТЕР])*(F54=Таблица2[Наименование работ])*(G54=Таблица2[ТПиР/НСиР])*Таблица2[ПНР2013-10])</f>
        <v>0</v>
      </c>
      <c r="Q54" s="63">
        <f>V54*SUMPRODUCT(($B$2=Таблица2[Филиал])*($B$3=Таблица2[ФЕР/ТЕР])*(F54=Таблица2[Наименование работ])*(G54=Таблица2[ТПиР/НСиР])*Таблица2[Оборудование2013-10])</f>
        <v>0</v>
      </c>
      <c r="R54" s="63">
        <f>W54*SUMPRODUCT(($B$2=Таблица2[Филиал])*($B$3=Таблица2[ФЕР/ТЕР])*(F54=Таблица2[Наименование работ])*(G54=Таблица2[ТПиР/НСиР])*Таблица2[Прочие2013-10])</f>
        <v>0</v>
      </c>
      <c r="S54" s="63">
        <f>IF($B$4="в базовых ценах",калькулятор!J58,X54*SUMPRODUCT(($B$2=Таблица2[Филиал])*($B$3=Таблица2[ФЕР/ТЕР])*(F54=Таблица2[Наименование работ])*(G54=Таблица2[ТПиР/НСиР])/Таблица2[ПИР2013]))</f>
        <v>0</v>
      </c>
      <c r="T54" s="63">
        <f>IF($B$4="в базовых ценах",калькулятор!K58,Y54*SUMPRODUCT(($B$2=Таблица2[Филиал])*($B$3=Таблица2[ФЕР/ТЕР])*(F54=Таблица2[Наименование работ])*(G54=Таблица2[ТПиР/НСиР])/Таблица2[СМР2013]))</f>
        <v>0</v>
      </c>
      <c r="U54" s="63">
        <f>IF($B$4="в базовых ценах",калькулятор!L58,Z54*SUMPRODUCT(($B$2=Таблица2[Филиал])*($B$3=Таблица2[ФЕР/ТЕР])*(F54=Таблица2[Наименование работ])*(G54=Таблица2[ТПиР/НСиР])/Таблица2[ПНР2013]))</f>
        <v>0</v>
      </c>
      <c r="V54" s="63">
        <f>IF($B$4="в базовых ценах",калькулятор!M58,AA54*SUMPRODUCT(($B$2=Таблица2[Филиал])*($B$3=Таблица2[ФЕР/ТЕР])*(F54=Таблица2[Наименование работ])*(G54=Таблица2[ТПиР/НСиР])/Таблица2[Оборудование2013]))</f>
        <v>0</v>
      </c>
      <c r="W54" s="63">
        <f>IF($B$4="в базовых ценах",калькулятор!N58,AB54*SUMPRODUCT(($B$2=Таблица2[Филиал])*($B$3=Таблица2[ФЕР/ТЕР])*(F54=Таблица2[Наименование работ])*(G54=Таблица2[ТПиР/НСиР])/Таблица2[Прочие3]))</f>
        <v>0</v>
      </c>
      <c r="X54" s="63">
        <f>IF($B$4="в текущих ценах",калькулятор!J58,S54*SUMPRODUCT(($B$2=Таблица2[Филиал])*($B$3=Таблица2[ФЕР/ТЕР])*(F54=Таблица2[Наименование работ])*(G54=Таблица2[ТПиР/НСиР])*Таблица2[ПИР2013]))</f>
        <v>0</v>
      </c>
      <c r="Y54" s="63">
        <f>IF($B$4="в текущих ценах",калькулятор!K58,T54*SUMPRODUCT(($B$2=Таблица2[Филиал])*($B$3=Таблица2[ФЕР/ТЕР])*(F54=Таблица2[Наименование работ])*(G54=Таблица2[ТПиР/НСиР])*Таблица2[СМР2013]))</f>
        <v>0</v>
      </c>
      <c r="Z54" s="63">
        <f>IF($B$4="в текущих ценах",калькулятор!L58,U54*SUMPRODUCT(($B$2=Таблица2[Филиал])*($B$3=Таблица2[ФЕР/ТЕР])*(F54=Таблица2[Наименование работ])*(G54=Таблица2[ТПиР/НСиР])*Таблица2[ПНР2013]))</f>
        <v>0</v>
      </c>
      <c r="AA54" s="63">
        <f>IF($B$4="в текущих ценах",калькулятор!M58,V54*SUMPRODUCT(($B$2=Таблица2[Филиал])*($B$3=Таблица2[ФЕР/ТЕР])*(F54=Таблица2[Наименование работ])*(G54=Таблица2[ТПиР/НСиР])*Таблица2[Оборудование2013]))</f>
        <v>0</v>
      </c>
      <c r="AB54" s="63">
        <f>IF($B$4="в текущих ценах",калькулятор!N58,W54*SUMPRODUCT(($B$2=Таблица2[Филиал])*($B$3=Таблица2[ФЕР/ТЕР])*(F54=Таблица2[Наименование работ])*(G54=Таблица2[ТПиР/НСиР])*Таблица2[Прочие3]))</f>
        <v>0</v>
      </c>
      <c r="AC54" s="63">
        <f>SUM(данные!$I54:$M54)</f>
        <v>0</v>
      </c>
      <c r="AD54" s="63">
        <f>IF(SUM(данные!$N54:$R54)&gt;данные!$AF54,данные!$AF54*0.9*1.058,SUM(данные!$N54:$R54))</f>
        <v>0</v>
      </c>
      <c r="AE54" s="63">
        <f>SUM(данные!$S54:$W54)</f>
        <v>0</v>
      </c>
      <c r="AF54" s="63">
        <f>SUM(данные!$X54:$AB54)</f>
        <v>0</v>
      </c>
      <c r="AG54" s="63">
        <f>IF($B$4="в текущих ценах",S54*SUMPRODUCT(($B$2=Таблица2[Филиал])*($B$3=Таблица2[ФЕР/ТЕР])*(F54=Таблица2[Наименование работ])*(G54=Таблица2[ТПиР/НСиР])*Таблица2[ПИР2012]),S54*SUMPRODUCT(($B$2=Таблица2[Филиал])*($B$3=Таблица2[ФЕР/ТЕР])*(F54=Таблица2[Наименование работ])*(G54=Таблица2[ТПиР/НСиР])*Таблица2[ПИР2012]))</f>
        <v>0</v>
      </c>
      <c r="AH54" s="63">
        <f>IF($B$4="в текущих ценах",T54*SUMPRODUCT(($B$2=Таблица2[Филиал])*($B$3=Таблица2[ФЕР/ТЕР])*(F54=Таблица2[Наименование работ])*(G54=Таблица2[ТПиР/НСиР])*Таблица2[СМР2012]),T54*SUMPRODUCT(($B$2=Таблица2[Филиал])*($B$3=Таблица2[ФЕР/ТЕР])*(F54=Таблица2[Наименование работ])*(G54=Таблица2[ТПиР/НСиР])*Таблица2[СМР2012]))</f>
        <v>0</v>
      </c>
      <c r="AI54" s="63">
        <f>IF($B$4="в текущих ценах",U54*SUMPRODUCT(($B$2=Таблица2[Филиал])*($B$3=Таблица2[ФЕР/ТЕР])*(F54=Таблица2[Наименование работ])*(G54=Таблица2[ТПиР/НСиР])*Таблица2[ПНР2012]),U54*SUMPRODUCT(($B$2=Таблица2[Филиал])*($B$3=Таблица2[ФЕР/ТЕР])*(F54=Таблица2[Наименование работ])*(G54=Таблица2[ТПиР/НСиР])*Таблица2[ПНР2012]))</f>
        <v>0</v>
      </c>
      <c r="AJ54" s="63">
        <f>IF($B$4="в текущих ценах",V54*SUMPRODUCT(($B$2=Таблица2[Филиал])*($B$3=Таблица2[ФЕР/ТЕР])*(F54=Таблица2[Наименование работ])*(G54=Таблица2[ТПиР/НСиР])*Таблица2[Оборудование2012]),V54*SUMPRODUCT(($B$2=Таблица2[Филиал])*($B$3=Таблица2[ФЕР/ТЕР])*(F54=Таблица2[Наименование работ])*(G54=Таблица2[ТПиР/НСиР])*Таблица2[Оборудование2012]))</f>
        <v>0</v>
      </c>
      <c r="AK54" s="63">
        <f>IF($B$4="в текущих ценах",W54*SUMPRODUCT(($B$2=Таблица2[Филиал])*($B$3=Таблица2[ФЕР/ТЕР])*(F54=Таблица2[Наименование работ])*(G54=Таблица2[ТПиР/НСиР])*Таблица2[Прочее2012]),W54*SUMPRODUCT(($B$2=Таблица2[Филиал])*($B$3=Таблица2[ФЕР/ТЕР])*(F54=Таблица2[Наименование работ])*(G54=Таблица2[ТПиР/НСиР])*Таблица2[Прочее2012]))</f>
        <v>0</v>
      </c>
      <c r="AL54" s="63">
        <f>данные!$X54+данные!$Y54+данные!$Z54+данные!$AA54+данные!$AB54</f>
        <v>0</v>
      </c>
      <c r="AM54" s="63">
        <v>1.03639035</v>
      </c>
      <c r="AN54" s="63">
        <v>1.0114049394</v>
      </c>
      <c r="AO54" s="63">
        <v>0.98210394336149998</v>
      </c>
      <c r="AP54" s="63">
        <v>0.93762413895893393</v>
      </c>
      <c r="AQ54" s="63"/>
      <c r="AR54" s="63"/>
      <c r="AS54" s="64"/>
      <c r="AU54" s="66">
        <f t="shared" si="5"/>
        <v>0</v>
      </c>
      <c r="AX54" s="66">
        <f t="shared" si="0"/>
        <v>0</v>
      </c>
      <c r="AY54" s="66">
        <f t="shared" si="1"/>
        <v>0</v>
      </c>
      <c r="AZ54" s="66">
        <f t="shared" si="2"/>
        <v>0</v>
      </c>
      <c r="BA54" s="66">
        <f t="shared" si="3"/>
        <v>0</v>
      </c>
      <c r="BB54" s="66">
        <f t="shared" si="4"/>
        <v>0</v>
      </c>
    </row>
    <row r="55" spans="4:54" x14ac:dyDescent="0.25">
      <c r="D55" s="62">
        <f>калькулятор!C59</f>
        <v>0</v>
      </c>
      <c r="E55" s="62">
        <f>калькулятор!F59</f>
        <v>0</v>
      </c>
      <c r="F55" s="62">
        <f>калькулятор!G59</f>
        <v>0</v>
      </c>
      <c r="G55" s="62">
        <f>калькулятор!H59</f>
        <v>0</v>
      </c>
      <c r="H55" s="62">
        <f>калькулятор!I59</f>
        <v>0</v>
      </c>
      <c r="I55" s="63">
        <f>S55*SUMPRODUCT(($B$2=Таблица2[Филиал])*($B$3=Таблица2[ФЕР/ТЕР])*(F55=Таблица2[Наименование работ])*(G55=Таблица2[ТПиР/НСиР])*Таблица2[ПИР2010])</f>
        <v>0</v>
      </c>
      <c r="J55" s="63">
        <f>T55*SUMPRODUCT(($B$2=Таблица2[Филиал])*($B$3=Таблица2[ФЕР/ТЕР])*(F55=Таблица2[Наименование работ])*(G55=Таблица2[ТПиР/НСиР])*Таблица2[СМР2010])</f>
        <v>0</v>
      </c>
      <c r="K55" s="63">
        <f>U55*SUMPRODUCT(($B$2=Таблица2[Филиал])*($B$3=Таблица2[ФЕР/ТЕР])*(F55=Таблица2[Наименование работ])*(G55=Таблица2[ТПиР/НСиР])*Таблица2[ПНР2010])</f>
        <v>0</v>
      </c>
      <c r="L55" s="63">
        <f>V55*SUMPRODUCT(($B$2=Таблица2[Филиал])*($B$3=Таблица2[ФЕР/ТЕР])*(F55=Таблица2[Наименование работ])*(G55=Таблица2[ТПиР/НСиР])*Таблица2[Оборудование2010])</f>
        <v>0</v>
      </c>
      <c r="M55" s="63">
        <f>W55*SUMPRODUCT(($B$2=Таблица2[Филиал])*($B$3=Таблица2[ФЕР/ТЕР])*(F55=Таблица2[Наименование работ])*(G55=Таблица2[ТПиР/НСиР])*Таблица2[Прочие2010])</f>
        <v>0</v>
      </c>
      <c r="N55" s="63">
        <f>S55*SUMPRODUCT(($B$2=Таблица2[Филиал])*($B$3=Таблица2[ФЕР/ТЕР])*(F55=Таблица2[Наименование работ])*(G55=Таблица2[ТПиР/НСиР])*Таблица2[ПИР2013-10])</f>
        <v>0</v>
      </c>
      <c r="O55" s="63">
        <f>T55*SUMPRODUCT(($B$2=Таблица2[Филиал])*($B$3=Таблица2[ФЕР/ТЕР])*(F55=Таблица2[Наименование работ])*(G55=Таблица2[ТПиР/НСиР])*Таблица2[СМР2013-10])</f>
        <v>0</v>
      </c>
      <c r="P55" s="63">
        <f>U55*SUMPRODUCT(($B$2=Таблица2[Филиал])*($B$3=Таблица2[ФЕР/ТЕР])*(F55=Таблица2[Наименование работ])*(G55=Таблица2[ТПиР/НСиР])*Таблица2[ПНР2013-10])</f>
        <v>0</v>
      </c>
      <c r="Q55" s="63">
        <f>V55*SUMPRODUCT(($B$2=Таблица2[Филиал])*($B$3=Таблица2[ФЕР/ТЕР])*(F55=Таблица2[Наименование работ])*(G55=Таблица2[ТПиР/НСиР])*Таблица2[Оборудование2013-10])</f>
        <v>0</v>
      </c>
      <c r="R55" s="63">
        <f>W55*SUMPRODUCT(($B$2=Таблица2[Филиал])*($B$3=Таблица2[ФЕР/ТЕР])*(F55=Таблица2[Наименование работ])*(G55=Таблица2[ТПиР/НСиР])*Таблица2[Прочие2013-10])</f>
        <v>0</v>
      </c>
      <c r="S55" s="63">
        <f>IF($B$4="в базовых ценах",калькулятор!J59,X55*SUMPRODUCT(($B$2=Таблица2[Филиал])*($B$3=Таблица2[ФЕР/ТЕР])*(F55=Таблица2[Наименование работ])*(G55=Таблица2[ТПиР/НСиР])/Таблица2[ПИР2013]))</f>
        <v>0</v>
      </c>
      <c r="T55" s="63">
        <f>IF($B$4="в базовых ценах",калькулятор!K59,Y55*SUMPRODUCT(($B$2=Таблица2[Филиал])*($B$3=Таблица2[ФЕР/ТЕР])*(F55=Таблица2[Наименование работ])*(G55=Таблица2[ТПиР/НСиР])/Таблица2[СМР2013]))</f>
        <v>0</v>
      </c>
      <c r="U55" s="63">
        <f>IF($B$4="в базовых ценах",калькулятор!L59,Z55*SUMPRODUCT(($B$2=Таблица2[Филиал])*($B$3=Таблица2[ФЕР/ТЕР])*(F55=Таблица2[Наименование работ])*(G55=Таблица2[ТПиР/НСиР])/Таблица2[ПНР2013]))</f>
        <v>0</v>
      </c>
      <c r="V55" s="63">
        <f>IF($B$4="в базовых ценах",калькулятор!M59,AA55*SUMPRODUCT(($B$2=Таблица2[Филиал])*($B$3=Таблица2[ФЕР/ТЕР])*(F55=Таблица2[Наименование работ])*(G55=Таблица2[ТПиР/НСиР])/Таблица2[Оборудование2013]))</f>
        <v>0</v>
      </c>
      <c r="W55" s="63">
        <f>IF($B$4="в базовых ценах",калькулятор!N59,AB55*SUMPRODUCT(($B$2=Таблица2[Филиал])*($B$3=Таблица2[ФЕР/ТЕР])*(F55=Таблица2[Наименование работ])*(G55=Таблица2[ТПиР/НСиР])/Таблица2[Прочие3]))</f>
        <v>0</v>
      </c>
      <c r="X55" s="63">
        <f>IF($B$4="в текущих ценах",калькулятор!J59,S55*SUMPRODUCT(($B$2=Таблица2[Филиал])*($B$3=Таблица2[ФЕР/ТЕР])*(F55=Таблица2[Наименование работ])*(G55=Таблица2[ТПиР/НСиР])*Таблица2[ПИР2013]))</f>
        <v>0</v>
      </c>
      <c r="Y55" s="63">
        <f>IF($B$4="в текущих ценах",калькулятор!K59,T55*SUMPRODUCT(($B$2=Таблица2[Филиал])*($B$3=Таблица2[ФЕР/ТЕР])*(F55=Таблица2[Наименование работ])*(G55=Таблица2[ТПиР/НСиР])*Таблица2[СМР2013]))</f>
        <v>0</v>
      </c>
      <c r="Z55" s="63">
        <f>IF($B$4="в текущих ценах",калькулятор!L59,U55*SUMPRODUCT(($B$2=Таблица2[Филиал])*($B$3=Таблица2[ФЕР/ТЕР])*(F55=Таблица2[Наименование работ])*(G55=Таблица2[ТПиР/НСиР])*Таблица2[ПНР2013]))</f>
        <v>0</v>
      </c>
      <c r="AA55" s="63">
        <f>IF($B$4="в текущих ценах",калькулятор!M59,V55*SUMPRODUCT(($B$2=Таблица2[Филиал])*($B$3=Таблица2[ФЕР/ТЕР])*(F55=Таблица2[Наименование работ])*(G55=Таблица2[ТПиР/НСиР])*Таблица2[Оборудование2013]))</f>
        <v>0</v>
      </c>
      <c r="AB55" s="63">
        <f>IF($B$4="в текущих ценах",калькулятор!N59,W55*SUMPRODUCT(($B$2=Таблица2[Филиал])*($B$3=Таблица2[ФЕР/ТЕР])*(F55=Таблица2[Наименование работ])*(G55=Таблица2[ТПиР/НСиР])*Таблица2[Прочие3]))</f>
        <v>0</v>
      </c>
      <c r="AC55" s="63">
        <f>SUM(данные!$I55:$M55)</f>
        <v>0</v>
      </c>
      <c r="AD55" s="63">
        <f>IF(SUM(данные!$N55:$R55)&gt;данные!$AF55,данные!$AF55*0.9*1.058,SUM(данные!$N55:$R55))</f>
        <v>0</v>
      </c>
      <c r="AE55" s="63">
        <f>SUM(данные!$S55:$W55)</f>
        <v>0</v>
      </c>
      <c r="AF55" s="63">
        <f>SUM(данные!$X55:$AB55)</f>
        <v>0</v>
      </c>
      <c r="AG55" s="63">
        <f>IF($B$4="в текущих ценах",S55*SUMPRODUCT(($B$2=Таблица2[Филиал])*($B$3=Таблица2[ФЕР/ТЕР])*(F55=Таблица2[Наименование работ])*(G55=Таблица2[ТПиР/НСиР])*Таблица2[ПИР2012]),S55*SUMPRODUCT(($B$2=Таблица2[Филиал])*($B$3=Таблица2[ФЕР/ТЕР])*(F55=Таблица2[Наименование работ])*(G55=Таблица2[ТПиР/НСиР])*Таблица2[ПИР2012]))</f>
        <v>0</v>
      </c>
      <c r="AH55" s="63">
        <f>IF($B$4="в текущих ценах",T55*SUMPRODUCT(($B$2=Таблица2[Филиал])*($B$3=Таблица2[ФЕР/ТЕР])*(F55=Таблица2[Наименование работ])*(G55=Таблица2[ТПиР/НСиР])*Таблица2[СМР2012]),T55*SUMPRODUCT(($B$2=Таблица2[Филиал])*($B$3=Таблица2[ФЕР/ТЕР])*(F55=Таблица2[Наименование работ])*(G55=Таблица2[ТПиР/НСиР])*Таблица2[СМР2012]))</f>
        <v>0</v>
      </c>
      <c r="AI55" s="63">
        <f>IF($B$4="в текущих ценах",U55*SUMPRODUCT(($B$2=Таблица2[Филиал])*($B$3=Таблица2[ФЕР/ТЕР])*(F55=Таблица2[Наименование работ])*(G55=Таблица2[ТПиР/НСиР])*Таблица2[ПНР2012]),U55*SUMPRODUCT(($B$2=Таблица2[Филиал])*($B$3=Таблица2[ФЕР/ТЕР])*(F55=Таблица2[Наименование работ])*(G55=Таблица2[ТПиР/НСиР])*Таблица2[ПНР2012]))</f>
        <v>0</v>
      </c>
      <c r="AJ55" s="63">
        <f>IF($B$4="в текущих ценах",V55*SUMPRODUCT(($B$2=Таблица2[Филиал])*($B$3=Таблица2[ФЕР/ТЕР])*(F55=Таблица2[Наименование работ])*(G55=Таблица2[ТПиР/НСиР])*Таблица2[Оборудование2012]),V55*SUMPRODUCT(($B$2=Таблица2[Филиал])*($B$3=Таблица2[ФЕР/ТЕР])*(F55=Таблица2[Наименование работ])*(G55=Таблица2[ТПиР/НСиР])*Таблица2[Оборудование2012]))</f>
        <v>0</v>
      </c>
      <c r="AK55" s="63">
        <f>IF($B$4="в текущих ценах",W55*SUMPRODUCT(($B$2=Таблица2[Филиал])*($B$3=Таблица2[ФЕР/ТЕР])*(F55=Таблица2[Наименование работ])*(G55=Таблица2[ТПиР/НСиР])*Таблица2[Прочее2012]),W55*SUMPRODUCT(($B$2=Таблица2[Филиал])*($B$3=Таблица2[ФЕР/ТЕР])*(F55=Таблица2[Наименование работ])*(G55=Таблица2[ТПиР/НСиР])*Таблица2[Прочее2012]))</f>
        <v>0</v>
      </c>
      <c r="AL55" s="63">
        <f>данные!$X55+данные!$Y55+данные!$Z55+данные!$AA55+данные!$AB55</f>
        <v>0</v>
      </c>
      <c r="AM55" s="63">
        <v>1.03639035</v>
      </c>
      <c r="AN55" s="63">
        <v>1.0114049394</v>
      </c>
      <c r="AO55" s="63">
        <v>0.98210394336149998</v>
      </c>
      <c r="AP55" s="63">
        <v>0.93762413895893393</v>
      </c>
      <c r="AQ55" s="63"/>
      <c r="AR55" s="63"/>
      <c r="AS55" s="64"/>
      <c r="AU55" s="66">
        <f t="shared" si="5"/>
        <v>0</v>
      </c>
      <c r="AX55" s="66">
        <f t="shared" si="0"/>
        <v>0</v>
      </c>
      <c r="AY55" s="66">
        <f t="shared" si="1"/>
        <v>0</v>
      </c>
      <c r="AZ55" s="66">
        <f t="shared" si="2"/>
        <v>0</v>
      </c>
      <c r="BA55" s="66">
        <f t="shared" si="3"/>
        <v>0</v>
      </c>
      <c r="BB55" s="66">
        <f t="shared" si="4"/>
        <v>0</v>
      </c>
    </row>
    <row r="56" spans="4:54" x14ac:dyDescent="0.25">
      <c r="D56" s="62">
        <f>калькулятор!C60</f>
        <v>0</v>
      </c>
      <c r="E56" s="62">
        <f>калькулятор!F60</f>
        <v>0</v>
      </c>
      <c r="F56" s="62">
        <f>калькулятор!G60</f>
        <v>0</v>
      </c>
      <c r="G56" s="62">
        <f>калькулятор!H60</f>
        <v>0</v>
      </c>
      <c r="H56" s="62">
        <f>калькулятор!I60</f>
        <v>0</v>
      </c>
      <c r="I56" s="63">
        <f>S56*SUMPRODUCT(($B$2=Таблица2[Филиал])*($B$3=Таблица2[ФЕР/ТЕР])*(F56=Таблица2[Наименование работ])*(G56=Таблица2[ТПиР/НСиР])*Таблица2[ПИР2010])</f>
        <v>0</v>
      </c>
      <c r="J56" s="63">
        <f>T56*SUMPRODUCT(($B$2=Таблица2[Филиал])*($B$3=Таблица2[ФЕР/ТЕР])*(F56=Таблица2[Наименование работ])*(G56=Таблица2[ТПиР/НСиР])*Таблица2[СМР2010])</f>
        <v>0</v>
      </c>
      <c r="K56" s="63">
        <f>U56*SUMPRODUCT(($B$2=Таблица2[Филиал])*($B$3=Таблица2[ФЕР/ТЕР])*(F56=Таблица2[Наименование работ])*(G56=Таблица2[ТПиР/НСиР])*Таблица2[ПНР2010])</f>
        <v>0</v>
      </c>
      <c r="L56" s="63">
        <f>V56*SUMPRODUCT(($B$2=Таблица2[Филиал])*($B$3=Таблица2[ФЕР/ТЕР])*(F56=Таблица2[Наименование работ])*(G56=Таблица2[ТПиР/НСиР])*Таблица2[Оборудование2010])</f>
        <v>0</v>
      </c>
      <c r="M56" s="63">
        <f>W56*SUMPRODUCT(($B$2=Таблица2[Филиал])*($B$3=Таблица2[ФЕР/ТЕР])*(F56=Таблица2[Наименование работ])*(G56=Таблица2[ТПиР/НСиР])*Таблица2[Прочие2010])</f>
        <v>0</v>
      </c>
      <c r="N56" s="63">
        <f>S56*SUMPRODUCT(($B$2=Таблица2[Филиал])*($B$3=Таблица2[ФЕР/ТЕР])*(F56=Таблица2[Наименование работ])*(G56=Таблица2[ТПиР/НСиР])*Таблица2[ПИР2013-10])</f>
        <v>0</v>
      </c>
      <c r="O56" s="63">
        <f>T56*SUMPRODUCT(($B$2=Таблица2[Филиал])*($B$3=Таблица2[ФЕР/ТЕР])*(F56=Таблица2[Наименование работ])*(G56=Таблица2[ТПиР/НСиР])*Таблица2[СМР2013-10])</f>
        <v>0</v>
      </c>
      <c r="P56" s="63">
        <f>U56*SUMPRODUCT(($B$2=Таблица2[Филиал])*($B$3=Таблица2[ФЕР/ТЕР])*(F56=Таблица2[Наименование работ])*(G56=Таблица2[ТПиР/НСиР])*Таблица2[ПНР2013-10])</f>
        <v>0</v>
      </c>
      <c r="Q56" s="63">
        <f>V56*SUMPRODUCT(($B$2=Таблица2[Филиал])*($B$3=Таблица2[ФЕР/ТЕР])*(F56=Таблица2[Наименование работ])*(G56=Таблица2[ТПиР/НСиР])*Таблица2[Оборудование2013-10])</f>
        <v>0</v>
      </c>
      <c r="R56" s="63">
        <f>W56*SUMPRODUCT(($B$2=Таблица2[Филиал])*($B$3=Таблица2[ФЕР/ТЕР])*(F56=Таблица2[Наименование работ])*(G56=Таблица2[ТПиР/НСиР])*Таблица2[Прочие2013-10])</f>
        <v>0</v>
      </c>
      <c r="S56" s="63">
        <f>IF($B$4="в базовых ценах",калькулятор!J60,X56*SUMPRODUCT(($B$2=Таблица2[Филиал])*($B$3=Таблица2[ФЕР/ТЕР])*(F56=Таблица2[Наименование работ])*(G56=Таблица2[ТПиР/НСиР])/Таблица2[ПИР2013]))</f>
        <v>0</v>
      </c>
      <c r="T56" s="63">
        <f>IF($B$4="в базовых ценах",калькулятор!K60,Y56*SUMPRODUCT(($B$2=Таблица2[Филиал])*($B$3=Таблица2[ФЕР/ТЕР])*(F56=Таблица2[Наименование работ])*(G56=Таблица2[ТПиР/НСиР])/Таблица2[СМР2013]))</f>
        <v>0</v>
      </c>
      <c r="U56" s="63">
        <f>IF($B$4="в базовых ценах",калькулятор!L60,Z56*SUMPRODUCT(($B$2=Таблица2[Филиал])*($B$3=Таблица2[ФЕР/ТЕР])*(F56=Таблица2[Наименование работ])*(G56=Таблица2[ТПиР/НСиР])/Таблица2[ПНР2013]))</f>
        <v>0</v>
      </c>
      <c r="V56" s="63">
        <f>IF($B$4="в базовых ценах",калькулятор!M60,AA56*SUMPRODUCT(($B$2=Таблица2[Филиал])*($B$3=Таблица2[ФЕР/ТЕР])*(F56=Таблица2[Наименование работ])*(G56=Таблица2[ТПиР/НСиР])/Таблица2[Оборудование2013]))</f>
        <v>0</v>
      </c>
      <c r="W56" s="63">
        <f>IF($B$4="в базовых ценах",калькулятор!N60,AB56*SUMPRODUCT(($B$2=Таблица2[Филиал])*($B$3=Таблица2[ФЕР/ТЕР])*(F56=Таблица2[Наименование работ])*(G56=Таблица2[ТПиР/НСиР])/Таблица2[Прочие3]))</f>
        <v>0</v>
      </c>
      <c r="X56" s="63">
        <f>IF($B$4="в текущих ценах",калькулятор!J60,S56*SUMPRODUCT(($B$2=Таблица2[Филиал])*($B$3=Таблица2[ФЕР/ТЕР])*(F56=Таблица2[Наименование работ])*(G56=Таблица2[ТПиР/НСиР])*Таблица2[ПИР2013]))</f>
        <v>0</v>
      </c>
      <c r="Y56" s="63">
        <f>IF($B$4="в текущих ценах",калькулятор!K60,T56*SUMPRODUCT(($B$2=Таблица2[Филиал])*($B$3=Таблица2[ФЕР/ТЕР])*(F56=Таблица2[Наименование работ])*(G56=Таблица2[ТПиР/НСиР])*Таблица2[СМР2013]))</f>
        <v>0</v>
      </c>
      <c r="Z56" s="63">
        <f>IF($B$4="в текущих ценах",калькулятор!L60,U56*SUMPRODUCT(($B$2=Таблица2[Филиал])*($B$3=Таблица2[ФЕР/ТЕР])*(F56=Таблица2[Наименование работ])*(G56=Таблица2[ТПиР/НСиР])*Таблица2[ПНР2013]))</f>
        <v>0</v>
      </c>
      <c r="AA56" s="63">
        <f>IF($B$4="в текущих ценах",калькулятор!M60,V56*SUMPRODUCT(($B$2=Таблица2[Филиал])*($B$3=Таблица2[ФЕР/ТЕР])*(F56=Таблица2[Наименование работ])*(G56=Таблица2[ТПиР/НСиР])*Таблица2[Оборудование2013]))</f>
        <v>0</v>
      </c>
      <c r="AB56" s="63">
        <f>IF($B$4="в текущих ценах",калькулятор!N60,W56*SUMPRODUCT(($B$2=Таблица2[Филиал])*($B$3=Таблица2[ФЕР/ТЕР])*(F56=Таблица2[Наименование работ])*(G56=Таблица2[ТПиР/НСиР])*Таблица2[Прочие3]))</f>
        <v>0</v>
      </c>
      <c r="AC56" s="63">
        <f>SUM(данные!$I56:$M56)</f>
        <v>0</v>
      </c>
      <c r="AD56" s="63">
        <f>IF(SUM(данные!$N56:$R56)&gt;данные!$AF56,данные!$AF56*0.9*1.058,SUM(данные!$N56:$R56))</f>
        <v>0</v>
      </c>
      <c r="AE56" s="63">
        <f>SUM(данные!$S56:$W56)</f>
        <v>0</v>
      </c>
      <c r="AF56" s="63">
        <f>SUM(данные!$X56:$AB56)</f>
        <v>0</v>
      </c>
      <c r="AG56" s="63">
        <f>IF($B$4="в текущих ценах",S56*SUMPRODUCT(($B$2=Таблица2[Филиал])*($B$3=Таблица2[ФЕР/ТЕР])*(F56=Таблица2[Наименование работ])*(G56=Таблица2[ТПиР/НСиР])*Таблица2[ПИР2012]),S56*SUMPRODUCT(($B$2=Таблица2[Филиал])*($B$3=Таблица2[ФЕР/ТЕР])*(F56=Таблица2[Наименование работ])*(G56=Таблица2[ТПиР/НСиР])*Таблица2[ПИР2012]))</f>
        <v>0</v>
      </c>
      <c r="AH56" s="63">
        <f>IF($B$4="в текущих ценах",T56*SUMPRODUCT(($B$2=Таблица2[Филиал])*($B$3=Таблица2[ФЕР/ТЕР])*(F56=Таблица2[Наименование работ])*(G56=Таблица2[ТПиР/НСиР])*Таблица2[СМР2012]),T56*SUMPRODUCT(($B$2=Таблица2[Филиал])*($B$3=Таблица2[ФЕР/ТЕР])*(F56=Таблица2[Наименование работ])*(G56=Таблица2[ТПиР/НСиР])*Таблица2[СМР2012]))</f>
        <v>0</v>
      </c>
      <c r="AI56" s="63">
        <f>IF($B$4="в текущих ценах",U56*SUMPRODUCT(($B$2=Таблица2[Филиал])*($B$3=Таблица2[ФЕР/ТЕР])*(F56=Таблица2[Наименование работ])*(G56=Таблица2[ТПиР/НСиР])*Таблица2[ПНР2012]),U56*SUMPRODUCT(($B$2=Таблица2[Филиал])*($B$3=Таблица2[ФЕР/ТЕР])*(F56=Таблица2[Наименование работ])*(G56=Таблица2[ТПиР/НСиР])*Таблица2[ПНР2012]))</f>
        <v>0</v>
      </c>
      <c r="AJ56" s="63">
        <f>IF($B$4="в текущих ценах",V56*SUMPRODUCT(($B$2=Таблица2[Филиал])*($B$3=Таблица2[ФЕР/ТЕР])*(F56=Таблица2[Наименование работ])*(G56=Таблица2[ТПиР/НСиР])*Таблица2[Оборудование2012]),V56*SUMPRODUCT(($B$2=Таблица2[Филиал])*($B$3=Таблица2[ФЕР/ТЕР])*(F56=Таблица2[Наименование работ])*(G56=Таблица2[ТПиР/НСиР])*Таблица2[Оборудование2012]))</f>
        <v>0</v>
      </c>
      <c r="AK56" s="63">
        <f>IF($B$4="в текущих ценах",W56*SUMPRODUCT(($B$2=Таблица2[Филиал])*($B$3=Таблица2[ФЕР/ТЕР])*(F56=Таблица2[Наименование работ])*(G56=Таблица2[ТПиР/НСиР])*Таблица2[Прочее2012]),W56*SUMPRODUCT(($B$2=Таблица2[Филиал])*($B$3=Таблица2[ФЕР/ТЕР])*(F56=Таблица2[Наименование работ])*(G56=Таблица2[ТПиР/НСиР])*Таблица2[Прочее2012]))</f>
        <v>0</v>
      </c>
      <c r="AL56" s="63">
        <f>данные!$X56+данные!$Y56+данные!$Z56+данные!$AA56+данные!$AB56</f>
        <v>0</v>
      </c>
      <c r="AM56" s="63">
        <v>1.03639035</v>
      </c>
      <c r="AN56" s="63">
        <v>1.0114049394</v>
      </c>
      <c r="AO56" s="63">
        <v>0.98210394336149998</v>
      </c>
      <c r="AP56" s="63">
        <v>0.93762413895893393</v>
      </c>
      <c r="AQ56" s="63"/>
      <c r="AR56" s="63"/>
      <c r="AS56" s="64"/>
      <c r="AU56" s="66">
        <f t="shared" si="5"/>
        <v>0</v>
      </c>
      <c r="AX56" s="66">
        <f t="shared" si="0"/>
        <v>0</v>
      </c>
      <c r="AY56" s="66">
        <f t="shared" si="1"/>
        <v>0</v>
      </c>
      <c r="AZ56" s="66">
        <f t="shared" si="2"/>
        <v>0</v>
      </c>
      <c r="BA56" s="66">
        <f t="shared" si="3"/>
        <v>0</v>
      </c>
      <c r="BB56" s="66">
        <f t="shared" si="4"/>
        <v>0</v>
      </c>
    </row>
    <row r="57" spans="4:54" x14ac:dyDescent="0.25">
      <c r="D57" s="62">
        <f>калькулятор!C61</f>
        <v>0</v>
      </c>
      <c r="E57" s="62">
        <f>калькулятор!F61</f>
        <v>0</v>
      </c>
      <c r="F57" s="62">
        <f>калькулятор!G61</f>
        <v>0</v>
      </c>
      <c r="G57" s="62">
        <f>калькулятор!H61</f>
        <v>0</v>
      </c>
      <c r="H57" s="62">
        <f>калькулятор!I61</f>
        <v>0</v>
      </c>
      <c r="I57" s="63">
        <f>S57*SUMPRODUCT(($B$2=Таблица2[Филиал])*($B$3=Таблица2[ФЕР/ТЕР])*(F57=Таблица2[Наименование работ])*(G57=Таблица2[ТПиР/НСиР])*Таблица2[ПИР2010])</f>
        <v>0</v>
      </c>
      <c r="J57" s="63">
        <f>T57*SUMPRODUCT(($B$2=Таблица2[Филиал])*($B$3=Таблица2[ФЕР/ТЕР])*(F57=Таблица2[Наименование работ])*(G57=Таблица2[ТПиР/НСиР])*Таблица2[СМР2010])</f>
        <v>0</v>
      </c>
      <c r="K57" s="63">
        <f>U57*SUMPRODUCT(($B$2=Таблица2[Филиал])*($B$3=Таблица2[ФЕР/ТЕР])*(F57=Таблица2[Наименование работ])*(G57=Таблица2[ТПиР/НСиР])*Таблица2[ПНР2010])</f>
        <v>0</v>
      </c>
      <c r="L57" s="63">
        <f>V57*SUMPRODUCT(($B$2=Таблица2[Филиал])*($B$3=Таблица2[ФЕР/ТЕР])*(F57=Таблица2[Наименование работ])*(G57=Таблица2[ТПиР/НСиР])*Таблица2[Оборудование2010])</f>
        <v>0</v>
      </c>
      <c r="M57" s="63">
        <f>W57*SUMPRODUCT(($B$2=Таблица2[Филиал])*($B$3=Таблица2[ФЕР/ТЕР])*(F57=Таблица2[Наименование работ])*(G57=Таблица2[ТПиР/НСиР])*Таблица2[Прочие2010])</f>
        <v>0</v>
      </c>
      <c r="N57" s="63">
        <f>S57*SUMPRODUCT(($B$2=Таблица2[Филиал])*($B$3=Таблица2[ФЕР/ТЕР])*(F57=Таблица2[Наименование работ])*(G57=Таблица2[ТПиР/НСиР])*Таблица2[ПИР2013-10])</f>
        <v>0</v>
      </c>
      <c r="O57" s="63">
        <f>T57*SUMPRODUCT(($B$2=Таблица2[Филиал])*($B$3=Таблица2[ФЕР/ТЕР])*(F57=Таблица2[Наименование работ])*(G57=Таблица2[ТПиР/НСиР])*Таблица2[СМР2013-10])</f>
        <v>0</v>
      </c>
      <c r="P57" s="63">
        <f>U57*SUMPRODUCT(($B$2=Таблица2[Филиал])*($B$3=Таблица2[ФЕР/ТЕР])*(F57=Таблица2[Наименование работ])*(G57=Таблица2[ТПиР/НСиР])*Таблица2[ПНР2013-10])</f>
        <v>0</v>
      </c>
      <c r="Q57" s="63">
        <f>V57*SUMPRODUCT(($B$2=Таблица2[Филиал])*($B$3=Таблица2[ФЕР/ТЕР])*(F57=Таблица2[Наименование работ])*(G57=Таблица2[ТПиР/НСиР])*Таблица2[Оборудование2013-10])</f>
        <v>0</v>
      </c>
      <c r="R57" s="63">
        <f>W57*SUMPRODUCT(($B$2=Таблица2[Филиал])*($B$3=Таблица2[ФЕР/ТЕР])*(F57=Таблица2[Наименование работ])*(G57=Таблица2[ТПиР/НСиР])*Таблица2[Прочие2013-10])</f>
        <v>0</v>
      </c>
      <c r="S57" s="63">
        <f>IF($B$4="в базовых ценах",калькулятор!J61,X57*SUMPRODUCT(($B$2=Таблица2[Филиал])*($B$3=Таблица2[ФЕР/ТЕР])*(F57=Таблица2[Наименование работ])*(G57=Таблица2[ТПиР/НСиР])/Таблица2[ПИР2013]))</f>
        <v>0</v>
      </c>
      <c r="T57" s="63">
        <f>IF($B$4="в базовых ценах",калькулятор!K61,Y57*SUMPRODUCT(($B$2=Таблица2[Филиал])*($B$3=Таблица2[ФЕР/ТЕР])*(F57=Таблица2[Наименование работ])*(G57=Таблица2[ТПиР/НСиР])/Таблица2[СМР2013]))</f>
        <v>0</v>
      </c>
      <c r="U57" s="63">
        <f>IF($B$4="в базовых ценах",калькулятор!L61,Z57*SUMPRODUCT(($B$2=Таблица2[Филиал])*($B$3=Таблица2[ФЕР/ТЕР])*(F57=Таблица2[Наименование работ])*(G57=Таблица2[ТПиР/НСиР])/Таблица2[ПНР2013]))</f>
        <v>0</v>
      </c>
      <c r="V57" s="63">
        <f>IF($B$4="в базовых ценах",калькулятор!M61,AA57*SUMPRODUCT(($B$2=Таблица2[Филиал])*($B$3=Таблица2[ФЕР/ТЕР])*(F57=Таблица2[Наименование работ])*(G57=Таблица2[ТПиР/НСиР])/Таблица2[Оборудование2013]))</f>
        <v>0</v>
      </c>
      <c r="W57" s="63">
        <f>IF($B$4="в базовых ценах",калькулятор!N61,AB57*SUMPRODUCT(($B$2=Таблица2[Филиал])*($B$3=Таблица2[ФЕР/ТЕР])*(F57=Таблица2[Наименование работ])*(G57=Таблица2[ТПиР/НСиР])/Таблица2[Прочие3]))</f>
        <v>0</v>
      </c>
      <c r="X57" s="63">
        <f>IF($B$4="в текущих ценах",калькулятор!J61,S57*SUMPRODUCT(($B$2=Таблица2[Филиал])*($B$3=Таблица2[ФЕР/ТЕР])*(F57=Таблица2[Наименование работ])*(G57=Таблица2[ТПиР/НСиР])*Таблица2[ПИР2013]))</f>
        <v>0</v>
      </c>
      <c r="Y57" s="63">
        <f>IF($B$4="в текущих ценах",калькулятор!K61,T57*SUMPRODUCT(($B$2=Таблица2[Филиал])*($B$3=Таблица2[ФЕР/ТЕР])*(F57=Таблица2[Наименование работ])*(G57=Таблица2[ТПиР/НСиР])*Таблица2[СМР2013]))</f>
        <v>0</v>
      </c>
      <c r="Z57" s="63">
        <f>IF($B$4="в текущих ценах",калькулятор!L61,U57*SUMPRODUCT(($B$2=Таблица2[Филиал])*($B$3=Таблица2[ФЕР/ТЕР])*(F57=Таблица2[Наименование работ])*(G57=Таблица2[ТПиР/НСиР])*Таблица2[ПНР2013]))</f>
        <v>0</v>
      </c>
      <c r="AA57" s="63">
        <f>IF($B$4="в текущих ценах",калькулятор!M61,V57*SUMPRODUCT(($B$2=Таблица2[Филиал])*($B$3=Таблица2[ФЕР/ТЕР])*(F57=Таблица2[Наименование работ])*(G57=Таблица2[ТПиР/НСиР])*Таблица2[Оборудование2013]))</f>
        <v>0</v>
      </c>
      <c r="AB57" s="63">
        <f>IF($B$4="в текущих ценах",калькулятор!N61,W57*SUMPRODUCT(($B$2=Таблица2[Филиал])*($B$3=Таблица2[ФЕР/ТЕР])*(F57=Таблица2[Наименование работ])*(G57=Таблица2[ТПиР/НСиР])*Таблица2[Прочие3]))</f>
        <v>0</v>
      </c>
      <c r="AC57" s="63">
        <f>SUM(данные!$I57:$M57)</f>
        <v>0</v>
      </c>
      <c r="AD57" s="63">
        <f>IF(SUM(данные!$N57:$R57)&gt;данные!$AF57,данные!$AF57*0.9*1.058,SUM(данные!$N57:$R57))</f>
        <v>0</v>
      </c>
      <c r="AE57" s="63">
        <f>SUM(данные!$S57:$W57)</f>
        <v>0</v>
      </c>
      <c r="AF57" s="63">
        <f>SUM(данные!$X57:$AB57)</f>
        <v>0</v>
      </c>
      <c r="AG57" s="63">
        <f>IF($B$4="в текущих ценах",S57*SUMPRODUCT(($B$2=Таблица2[Филиал])*($B$3=Таблица2[ФЕР/ТЕР])*(F57=Таблица2[Наименование работ])*(G57=Таблица2[ТПиР/НСиР])*Таблица2[ПИР2012]),S57*SUMPRODUCT(($B$2=Таблица2[Филиал])*($B$3=Таблица2[ФЕР/ТЕР])*(F57=Таблица2[Наименование работ])*(G57=Таблица2[ТПиР/НСиР])*Таблица2[ПИР2012]))</f>
        <v>0</v>
      </c>
      <c r="AH57" s="63">
        <f>IF($B$4="в текущих ценах",T57*SUMPRODUCT(($B$2=Таблица2[Филиал])*($B$3=Таблица2[ФЕР/ТЕР])*(F57=Таблица2[Наименование работ])*(G57=Таблица2[ТПиР/НСиР])*Таблица2[СМР2012]),T57*SUMPRODUCT(($B$2=Таблица2[Филиал])*($B$3=Таблица2[ФЕР/ТЕР])*(F57=Таблица2[Наименование работ])*(G57=Таблица2[ТПиР/НСиР])*Таблица2[СМР2012]))</f>
        <v>0</v>
      </c>
      <c r="AI57" s="63">
        <f>IF($B$4="в текущих ценах",U57*SUMPRODUCT(($B$2=Таблица2[Филиал])*($B$3=Таблица2[ФЕР/ТЕР])*(F57=Таблица2[Наименование работ])*(G57=Таблица2[ТПиР/НСиР])*Таблица2[ПНР2012]),U57*SUMPRODUCT(($B$2=Таблица2[Филиал])*($B$3=Таблица2[ФЕР/ТЕР])*(F57=Таблица2[Наименование работ])*(G57=Таблица2[ТПиР/НСиР])*Таблица2[ПНР2012]))</f>
        <v>0</v>
      </c>
      <c r="AJ57" s="63">
        <f>IF($B$4="в текущих ценах",V57*SUMPRODUCT(($B$2=Таблица2[Филиал])*($B$3=Таблица2[ФЕР/ТЕР])*(F57=Таблица2[Наименование работ])*(G57=Таблица2[ТПиР/НСиР])*Таблица2[Оборудование2012]),V57*SUMPRODUCT(($B$2=Таблица2[Филиал])*($B$3=Таблица2[ФЕР/ТЕР])*(F57=Таблица2[Наименование работ])*(G57=Таблица2[ТПиР/НСиР])*Таблица2[Оборудование2012]))</f>
        <v>0</v>
      </c>
      <c r="AK57" s="63">
        <f>IF($B$4="в текущих ценах",W57*SUMPRODUCT(($B$2=Таблица2[Филиал])*($B$3=Таблица2[ФЕР/ТЕР])*(F57=Таблица2[Наименование работ])*(G57=Таблица2[ТПиР/НСиР])*Таблица2[Прочее2012]),W57*SUMPRODUCT(($B$2=Таблица2[Филиал])*($B$3=Таблица2[ФЕР/ТЕР])*(F57=Таблица2[Наименование работ])*(G57=Таблица2[ТПиР/НСиР])*Таблица2[Прочее2012]))</f>
        <v>0</v>
      </c>
      <c r="AL57" s="63">
        <f>данные!$X57+данные!$Y57+данные!$Z57+данные!$AA57+данные!$AB57</f>
        <v>0</v>
      </c>
      <c r="AM57" s="63">
        <v>1.03639035</v>
      </c>
      <c r="AN57" s="63">
        <v>1.0114049394</v>
      </c>
      <c r="AO57" s="63">
        <v>0.98210394336149998</v>
      </c>
      <c r="AP57" s="63">
        <v>0.93762413895893393</v>
      </c>
      <c r="AQ57" s="63"/>
      <c r="AR57" s="63"/>
      <c r="AS57" s="64"/>
      <c r="AU57" s="66">
        <f t="shared" si="5"/>
        <v>0</v>
      </c>
      <c r="AX57" s="66">
        <f t="shared" si="0"/>
        <v>0</v>
      </c>
      <c r="AY57" s="66">
        <f t="shared" si="1"/>
        <v>0</v>
      </c>
      <c r="AZ57" s="66">
        <f t="shared" si="2"/>
        <v>0</v>
      </c>
      <c r="BA57" s="66">
        <f t="shared" si="3"/>
        <v>0</v>
      </c>
      <c r="BB57" s="66">
        <f t="shared" si="4"/>
        <v>0</v>
      </c>
    </row>
    <row r="58" spans="4:54" x14ac:dyDescent="0.25">
      <c r="D58" s="62">
        <f>калькулятор!C62</f>
        <v>0</v>
      </c>
      <c r="E58" s="62">
        <f>калькулятор!F62</f>
        <v>0</v>
      </c>
      <c r="F58" s="62">
        <f>калькулятор!G62</f>
        <v>0</v>
      </c>
      <c r="G58" s="62">
        <f>калькулятор!H62</f>
        <v>0</v>
      </c>
      <c r="H58" s="62">
        <f>калькулятор!I62</f>
        <v>0</v>
      </c>
      <c r="I58" s="63">
        <f>S58*SUMPRODUCT(($B$2=Таблица2[Филиал])*($B$3=Таблица2[ФЕР/ТЕР])*(F58=Таблица2[Наименование работ])*(G58=Таблица2[ТПиР/НСиР])*Таблица2[ПИР2010])</f>
        <v>0</v>
      </c>
      <c r="J58" s="63">
        <f>T58*SUMPRODUCT(($B$2=Таблица2[Филиал])*($B$3=Таблица2[ФЕР/ТЕР])*(F58=Таблица2[Наименование работ])*(G58=Таблица2[ТПиР/НСиР])*Таблица2[СМР2010])</f>
        <v>0</v>
      </c>
      <c r="K58" s="63">
        <f>U58*SUMPRODUCT(($B$2=Таблица2[Филиал])*($B$3=Таблица2[ФЕР/ТЕР])*(F58=Таблица2[Наименование работ])*(G58=Таблица2[ТПиР/НСиР])*Таблица2[ПНР2010])</f>
        <v>0</v>
      </c>
      <c r="L58" s="63">
        <f>V58*SUMPRODUCT(($B$2=Таблица2[Филиал])*($B$3=Таблица2[ФЕР/ТЕР])*(F58=Таблица2[Наименование работ])*(G58=Таблица2[ТПиР/НСиР])*Таблица2[Оборудование2010])</f>
        <v>0</v>
      </c>
      <c r="M58" s="63">
        <f>W58*SUMPRODUCT(($B$2=Таблица2[Филиал])*($B$3=Таблица2[ФЕР/ТЕР])*(F58=Таблица2[Наименование работ])*(G58=Таблица2[ТПиР/НСиР])*Таблица2[Прочие2010])</f>
        <v>0</v>
      </c>
      <c r="N58" s="63">
        <f>S58*SUMPRODUCT(($B$2=Таблица2[Филиал])*($B$3=Таблица2[ФЕР/ТЕР])*(F58=Таблица2[Наименование работ])*(G58=Таблица2[ТПиР/НСиР])*Таблица2[ПИР2013-10])</f>
        <v>0</v>
      </c>
      <c r="O58" s="63">
        <f>T58*SUMPRODUCT(($B$2=Таблица2[Филиал])*($B$3=Таблица2[ФЕР/ТЕР])*(F58=Таблица2[Наименование работ])*(G58=Таблица2[ТПиР/НСиР])*Таблица2[СМР2013-10])</f>
        <v>0</v>
      </c>
      <c r="P58" s="63">
        <f>U58*SUMPRODUCT(($B$2=Таблица2[Филиал])*($B$3=Таблица2[ФЕР/ТЕР])*(F58=Таблица2[Наименование работ])*(G58=Таблица2[ТПиР/НСиР])*Таблица2[ПНР2013-10])</f>
        <v>0</v>
      </c>
      <c r="Q58" s="63">
        <f>V58*SUMPRODUCT(($B$2=Таблица2[Филиал])*($B$3=Таблица2[ФЕР/ТЕР])*(F58=Таблица2[Наименование работ])*(G58=Таблица2[ТПиР/НСиР])*Таблица2[Оборудование2013-10])</f>
        <v>0</v>
      </c>
      <c r="R58" s="63">
        <f>W58*SUMPRODUCT(($B$2=Таблица2[Филиал])*($B$3=Таблица2[ФЕР/ТЕР])*(F58=Таблица2[Наименование работ])*(G58=Таблица2[ТПиР/НСиР])*Таблица2[Прочие2013-10])</f>
        <v>0</v>
      </c>
      <c r="S58" s="63">
        <f>IF($B$4="в базовых ценах",калькулятор!J62,X58*SUMPRODUCT(($B$2=Таблица2[Филиал])*($B$3=Таблица2[ФЕР/ТЕР])*(F58=Таблица2[Наименование работ])*(G58=Таблица2[ТПиР/НСиР])/Таблица2[ПИР2013]))</f>
        <v>0</v>
      </c>
      <c r="T58" s="63">
        <f>IF($B$4="в базовых ценах",калькулятор!K62,Y58*SUMPRODUCT(($B$2=Таблица2[Филиал])*($B$3=Таблица2[ФЕР/ТЕР])*(F58=Таблица2[Наименование работ])*(G58=Таблица2[ТПиР/НСиР])/Таблица2[СМР2013]))</f>
        <v>0</v>
      </c>
      <c r="U58" s="63">
        <f>IF($B$4="в базовых ценах",калькулятор!L62,Z58*SUMPRODUCT(($B$2=Таблица2[Филиал])*($B$3=Таблица2[ФЕР/ТЕР])*(F58=Таблица2[Наименование работ])*(G58=Таблица2[ТПиР/НСиР])/Таблица2[ПНР2013]))</f>
        <v>0</v>
      </c>
      <c r="V58" s="63">
        <f>IF($B$4="в базовых ценах",калькулятор!M62,AA58*SUMPRODUCT(($B$2=Таблица2[Филиал])*($B$3=Таблица2[ФЕР/ТЕР])*(F58=Таблица2[Наименование работ])*(G58=Таблица2[ТПиР/НСиР])/Таблица2[Оборудование2013]))</f>
        <v>0</v>
      </c>
      <c r="W58" s="63">
        <f>IF($B$4="в базовых ценах",калькулятор!N62,AB58*SUMPRODUCT(($B$2=Таблица2[Филиал])*($B$3=Таблица2[ФЕР/ТЕР])*(F58=Таблица2[Наименование работ])*(G58=Таблица2[ТПиР/НСиР])/Таблица2[Прочие3]))</f>
        <v>0</v>
      </c>
      <c r="X58" s="63">
        <f>IF($B$4="в текущих ценах",калькулятор!J62,S58*SUMPRODUCT(($B$2=Таблица2[Филиал])*($B$3=Таблица2[ФЕР/ТЕР])*(F58=Таблица2[Наименование работ])*(G58=Таблица2[ТПиР/НСиР])*Таблица2[ПИР2013]))</f>
        <v>0</v>
      </c>
      <c r="Y58" s="63">
        <f>IF($B$4="в текущих ценах",калькулятор!K62,T58*SUMPRODUCT(($B$2=Таблица2[Филиал])*($B$3=Таблица2[ФЕР/ТЕР])*(F58=Таблица2[Наименование работ])*(G58=Таблица2[ТПиР/НСиР])*Таблица2[СМР2013]))</f>
        <v>0</v>
      </c>
      <c r="Z58" s="63">
        <f>IF($B$4="в текущих ценах",калькулятор!L62,U58*SUMPRODUCT(($B$2=Таблица2[Филиал])*($B$3=Таблица2[ФЕР/ТЕР])*(F58=Таблица2[Наименование работ])*(G58=Таблица2[ТПиР/НСиР])*Таблица2[ПНР2013]))</f>
        <v>0</v>
      </c>
      <c r="AA58" s="63">
        <f>IF($B$4="в текущих ценах",калькулятор!M62,V58*SUMPRODUCT(($B$2=Таблица2[Филиал])*($B$3=Таблица2[ФЕР/ТЕР])*(F58=Таблица2[Наименование работ])*(G58=Таблица2[ТПиР/НСиР])*Таблица2[Оборудование2013]))</f>
        <v>0</v>
      </c>
      <c r="AB58" s="63">
        <f>IF($B$4="в текущих ценах",калькулятор!N62,W58*SUMPRODUCT(($B$2=Таблица2[Филиал])*($B$3=Таблица2[ФЕР/ТЕР])*(F58=Таблица2[Наименование работ])*(G58=Таблица2[ТПиР/НСиР])*Таблица2[Прочие3]))</f>
        <v>0</v>
      </c>
      <c r="AC58" s="63">
        <f>SUM(данные!$I58:$M58)</f>
        <v>0</v>
      </c>
      <c r="AD58" s="63">
        <f>IF(SUM(данные!$N58:$R58)&gt;данные!$AF58,данные!$AF58*0.9*1.058,SUM(данные!$N58:$R58))</f>
        <v>0</v>
      </c>
      <c r="AE58" s="63">
        <f>SUM(данные!$S58:$W58)</f>
        <v>0</v>
      </c>
      <c r="AF58" s="63">
        <f>SUM(данные!$X58:$AB58)</f>
        <v>0</v>
      </c>
      <c r="AG58" s="63">
        <f>IF($B$4="в текущих ценах",S58*SUMPRODUCT(($B$2=Таблица2[Филиал])*($B$3=Таблица2[ФЕР/ТЕР])*(F58=Таблица2[Наименование работ])*(G58=Таблица2[ТПиР/НСиР])*Таблица2[ПИР2012]),S58*SUMPRODUCT(($B$2=Таблица2[Филиал])*($B$3=Таблица2[ФЕР/ТЕР])*(F58=Таблица2[Наименование работ])*(G58=Таблица2[ТПиР/НСиР])*Таблица2[ПИР2012]))</f>
        <v>0</v>
      </c>
      <c r="AH58" s="63">
        <f>IF($B$4="в текущих ценах",T58*SUMPRODUCT(($B$2=Таблица2[Филиал])*($B$3=Таблица2[ФЕР/ТЕР])*(F58=Таблица2[Наименование работ])*(G58=Таблица2[ТПиР/НСиР])*Таблица2[СМР2012]),T58*SUMPRODUCT(($B$2=Таблица2[Филиал])*($B$3=Таблица2[ФЕР/ТЕР])*(F58=Таблица2[Наименование работ])*(G58=Таблица2[ТПиР/НСиР])*Таблица2[СМР2012]))</f>
        <v>0</v>
      </c>
      <c r="AI58" s="63">
        <f>IF($B$4="в текущих ценах",U58*SUMPRODUCT(($B$2=Таблица2[Филиал])*($B$3=Таблица2[ФЕР/ТЕР])*(F58=Таблица2[Наименование работ])*(G58=Таблица2[ТПиР/НСиР])*Таблица2[ПНР2012]),U58*SUMPRODUCT(($B$2=Таблица2[Филиал])*($B$3=Таблица2[ФЕР/ТЕР])*(F58=Таблица2[Наименование работ])*(G58=Таблица2[ТПиР/НСиР])*Таблица2[ПНР2012]))</f>
        <v>0</v>
      </c>
      <c r="AJ58" s="63">
        <f>IF($B$4="в текущих ценах",V58*SUMPRODUCT(($B$2=Таблица2[Филиал])*($B$3=Таблица2[ФЕР/ТЕР])*(F58=Таблица2[Наименование работ])*(G58=Таблица2[ТПиР/НСиР])*Таблица2[Оборудование2012]),V58*SUMPRODUCT(($B$2=Таблица2[Филиал])*($B$3=Таблица2[ФЕР/ТЕР])*(F58=Таблица2[Наименование работ])*(G58=Таблица2[ТПиР/НСиР])*Таблица2[Оборудование2012]))</f>
        <v>0</v>
      </c>
      <c r="AK58" s="63">
        <f>IF($B$4="в текущих ценах",W58*SUMPRODUCT(($B$2=Таблица2[Филиал])*($B$3=Таблица2[ФЕР/ТЕР])*(F58=Таблица2[Наименование работ])*(G58=Таблица2[ТПиР/НСиР])*Таблица2[Прочее2012]),W58*SUMPRODUCT(($B$2=Таблица2[Филиал])*($B$3=Таблица2[ФЕР/ТЕР])*(F58=Таблица2[Наименование работ])*(G58=Таблица2[ТПиР/НСиР])*Таблица2[Прочее2012]))</f>
        <v>0</v>
      </c>
      <c r="AL58" s="63">
        <f>данные!$X58+данные!$Y58+данные!$Z58+данные!$AA58+данные!$AB58</f>
        <v>0</v>
      </c>
      <c r="AM58" s="63">
        <v>1.03639035</v>
      </c>
      <c r="AN58" s="63">
        <v>1.0114049394</v>
      </c>
      <c r="AO58" s="63">
        <v>0.98210394336149998</v>
      </c>
      <c r="AP58" s="63">
        <v>0.93762413895893393</v>
      </c>
      <c r="AQ58" s="63"/>
      <c r="AR58" s="63"/>
      <c r="AS58" s="64"/>
      <c r="AU58" s="66">
        <f t="shared" si="5"/>
        <v>0</v>
      </c>
      <c r="AX58" s="66">
        <f t="shared" si="0"/>
        <v>0</v>
      </c>
      <c r="AY58" s="66">
        <f t="shared" si="1"/>
        <v>0</v>
      </c>
      <c r="AZ58" s="66">
        <f t="shared" si="2"/>
        <v>0</v>
      </c>
      <c r="BA58" s="66">
        <f t="shared" si="3"/>
        <v>0</v>
      </c>
      <c r="BB58" s="66">
        <f t="shared" si="4"/>
        <v>0</v>
      </c>
    </row>
    <row r="59" spans="4:54" x14ac:dyDescent="0.25">
      <c r="D59" s="62">
        <f>калькулятор!C63</f>
        <v>0</v>
      </c>
      <c r="E59" s="62">
        <f>калькулятор!F63</f>
        <v>0</v>
      </c>
      <c r="F59" s="62">
        <f>калькулятор!G63</f>
        <v>0</v>
      </c>
      <c r="G59" s="62">
        <f>калькулятор!H63</f>
        <v>0</v>
      </c>
      <c r="H59" s="62">
        <f>калькулятор!I63</f>
        <v>0</v>
      </c>
      <c r="I59" s="63">
        <f>S59*SUMPRODUCT(($B$2=Таблица2[Филиал])*($B$3=Таблица2[ФЕР/ТЕР])*(F59=Таблица2[Наименование работ])*(G59=Таблица2[ТПиР/НСиР])*Таблица2[ПИР2010])</f>
        <v>0</v>
      </c>
      <c r="J59" s="63">
        <f>T59*SUMPRODUCT(($B$2=Таблица2[Филиал])*($B$3=Таблица2[ФЕР/ТЕР])*(F59=Таблица2[Наименование работ])*(G59=Таблица2[ТПиР/НСиР])*Таблица2[СМР2010])</f>
        <v>0</v>
      </c>
      <c r="K59" s="63">
        <f>U59*SUMPRODUCT(($B$2=Таблица2[Филиал])*($B$3=Таблица2[ФЕР/ТЕР])*(F59=Таблица2[Наименование работ])*(G59=Таблица2[ТПиР/НСиР])*Таблица2[ПНР2010])</f>
        <v>0</v>
      </c>
      <c r="L59" s="63">
        <f>V59*SUMPRODUCT(($B$2=Таблица2[Филиал])*($B$3=Таблица2[ФЕР/ТЕР])*(F59=Таблица2[Наименование работ])*(G59=Таблица2[ТПиР/НСиР])*Таблица2[Оборудование2010])</f>
        <v>0</v>
      </c>
      <c r="M59" s="63">
        <f>W59*SUMPRODUCT(($B$2=Таблица2[Филиал])*($B$3=Таблица2[ФЕР/ТЕР])*(F59=Таблица2[Наименование работ])*(G59=Таблица2[ТПиР/НСиР])*Таблица2[Прочие2010])</f>
        <v>0</v>
      </c>
      <c r="N59" s="63">
        <f>S59*SUMPRODUCT(($B$2=Таблица2[Филиал])*($B$3=Таблица2[ФЕР/ТЕР])*(F59=Таблица2[Наименование работ])*(G59=Таблица2[ТПиР/НСиР])*Таблица2[ПИР2013-10])</f>
        <v>0</v>
      </c>
      <c r="O59" s="63">
        <f>T59*SUMPRODUCT(($B$2=Таблица2[Филиал])*($B$3=Таблица2[ФЕР/ТЕР])*(F59=Таблица2[Наименование работ])*(G59=Таблица2[ТПиР/НСиР])*Таблица2[СМР2013-10])</f>
        <v>0</v>
      </c>
      <c r="P59" s="63">
        <f>U59*SUMPRODUCT(($B$2=Таблица2[Филиал])*($B$3=Таблица2[ФЕР/ТЕР])*(F59=Таблица2[Наименование работ])*(G59=Таблица2[ТПиР/НСиР])*Таблица2[ПНР2013-10])</f>
        <v>0</v>
      </c>
      <c r="Q59" s="63">
        <f>V59*SUMPRODUCT(($B$2=Таблица2[Филиал])*($B$3=Таблица2[ФЕР/ТЕР])*(F59=Таблица2[Наименование работ])*(G59=Таблица2[ТПиР/НСиР])*Таблица2[Оборудование2013-10])</f>
        <v>0</v>
      </c>
      <c r="R59" s="63">
        <f>W59*SUMPRODUCT(($B$2=Таблица2[Филиал])*($B$3=Таблица2[ФЕР/ТЕР])*(F59=Таблица2[Наименование работ])*(G59=Таблица2[ТПиР/НСиР])*Таблица2[Прочие2013-10])</f>
        <v>0</v>
      </c>
      <c r="S59" s="63">
        <f>IF($B$4="в базовых ценах",калькулятор!J63,X59*SUMPRODUCT(($B$2=Таблица2[Филиал])*($B$3=Таблица2[ФЕР/ТЕР])*(F59=Таблица2[Наименование работ])*(G59=Таблица2[ТПиР/НСиР])/Таблица2[ПИР2013]))</f>
        <v>0</v>
      </c>
      <c r="T59" s="63">
        <f>IF($B$4="в базовых ценах",калькулятор!K63,Y59*SUMPRODUCT(($B$2=Таблица2[Филиал])*($B$3=Таблица2[ФЕР/ТЕР])*(F59=Таблица2[Наименование работ])*(G59=Таблица2[ТПиР/НСиР])/Таблица2[СМР2013]))</f>
        <v>0</v>
      </c>
      <c r="U59" s="63">
        <f>IF($B$4="в базовых ценах",калькулятор!L63,Z59*SUMPRODUCT(($B$2=Таблица2[Филиал])*($B$3=Таблица2[ФЕР/ТЕР])*(F59=Таблица2[Наименование работ])*(G59=Таблица2[ТПиР/НСиР])/Таблица2[ПНР2013]))</f>
        <v>0</v>
      </c>
      <c r="V59" s="63">
        <f>IF($B$4="в базовых ценах",калькулятор!M63,AA59*SUMPRODUCT(($B$2=Таблица2[Филиал])*($B$3=Таблица2[ФЕР/ТЕР])*(F59=Таблица2[Наименование работ])*(G59=Таблица2[ТПиР/НСиР])/Таблица2[Оборудование2013]))</f>
        <v>0</v>
      </c>
      <c r="W59" s="63">
        <f>IF($B$4="в базовых ценах",калькулятор!N63,AB59*SUMPRODUCT(($B$2=Таблица2[Филиал])*($B$3=Таблица2[ФЕР/ТЕР])*(F59=Таблица2[Наименование работ])*(G59=Таблица2[ТПиР/НСиР])/Таблица2[Прочие3]))</f>
        <v>0</v>
      </c>
      <c r="X59" s="63">
        <f>IF($B$4="в текущих ценах",калькулятор!J63,S59*SUMPRODUCT(($B$2=Таблица2[Филиал])*($B$3=Таблица2[ФЕР/ТЕР])*(F59=Таблица2[Наименование работ])*(G59=Таблица2[ТПиР/НСиР])*Таблица2[ПИР2013]))</f>
        <v>0</v>
      </c>
      <c r="Y59" s="63">
        <f>IF($B$4="в текущих ценах",калькулятор!K63,T59*SUMPRODUCT(($B$2=Таблица2[Филиал])*($B$3=Таблица2[ФЕР/ТЕР])*(F59=Таблица2[Наименование работ])*(G59=Таблица2[ТПиР/НСиР])*Таблица2[СМР2013]))</f>
        <v>0</v>
      </c>
      <c r="Z59" s="63">
        <f>IF($B$4="в текущих ценах",калькулятор!L63,U59*SUMPRODUCT(($B$2=Таблица2[Филиал])*($B$3=Таблица2[ФЕР/ТЕР])*(F59=Таблица2[Наименование работ])*(G59=Таблица2[ТПиР/НСиР])*Таблица2[ПНР2013]))</f>
        <v>0</v>
      </c>
      <c r="AA59" s="63">
        <f>IF($B$4="в текущих ценах",калькулятор!M63,V59*SUMPRODUCT(($B$2=Таблица2[Филиал])*($B$3=Таблица2[ФЕР/ТЕР])*(F59=Таблица2[Наименование работ])*(G59=Таблица2[ТПиР/НСиР])*Таблица2[Оборудование2013]))</f>
        <v>0</v>
      </c>
      <c r="AB59" s="63">
        <f>IF($B$4="в текущих ценах",калькулятор!N63,W59*SUMPRODUCT(($B$2=Таблица2[Филиал])*($B$3=Таблица2[ФЕР/ТЕР])*(F59=Таблица2[Наименование работ])*(G59=Таблица2[ТПиР/НСиР])*Таблица2[Прочие3]))</f>
        <v>0</v>
      </c>
      <c r="AC59" s="63">
        <f>SUM(данные!$I59:$M59)</f>
        <v>0</v>
      </c>
      <c r="AD59" s="63">
        <f>IF(SUM(данные!$N59:$R59)&gt;данные!$AF59,данные!$AF59*0.9*1.058,SUM(данные!$N59:$R59))</f>
        <v>0</v>
      </c>
      <c r="AE59" s="63">
        <f>SUM(данные!$S59:$W59)</f>
        <v>0</v>
      </c>
      <c r="AF59" s="63">
        <f>SUM(данные!$X59:$AB59)</f>
        <v>0</v>
      </c>
      <c r="AG59" s="63">
        <f>IF($B$4="в текущих ценах",S59*SUMPRODUCT(($B$2=Таблица2[Филиал])*($B$3=Таблица2[ФЕР/ТЕР])*(F59=Таблица2[Наименование работ])*(G59=Таблица2[ТПиР/НСиР])*Таблица2[ПИР2012]),S59*SUMPRODUCT(($B$2=Таблица2[Филиал])*($B$3=Таблица2[ФЕР/ТЕР])*(F59=Таблица2[Наименование работ])*(G59=Таблица2[ТПиР/НСиР])*Таблица2[ПИР2012]))</f>
        <v>0</v>
      </c>
      <c r="AH59" s="63">
        <f>IF($B$4="в текущих ценах",T59*SUMPRODUCT(($B$2=Таблица2[Филиал])*($B$3=Таблица2[ФЕР/ТЕР])*(F59=Таблица2[Наименование работ])*(G59=Таблица2[ТПиР/НСиР])*Таблица2[СМР2012]),T59*SUMPRODUCT(($B$2=Таблица2[Филиал])*($B$3=Таблица2[ФЕР/ТЕР])*(F59=Таблица2[Наименование работ])*(G59=Таблица2[ТПиР/НСиР])*Таблица2[СМР2012]))</f>
        <v>0</v>
      </c>
      <c r="AI59" s="63">
        <f>IF($B$4="в текущих ценах",U59*SUMPRODUCT(($B$2=Таблица2[Филиал])*($B$3=Таблица2[ФЕР/ТЕР])*(F59=Таблица2[Наименование работ])*(G59=Таблица2[ТПиР/НСиР])*Таблица2[ПНР2012]),U59*SUMPRODUCT(($B$2=Таблица2[Филиал])*($B$3=Таблица2[ФЕР/ТЕР])*(F59=Таблица2[Наименование работ])*(G59=Таблица2[ТПиР/НСиР])*Таблица2[ПНР2012]))</f>
        <v>0</v>
      </c>
      <c r="AJ59" s="63">
        <f>IF($B$4="в текущих ценах",V59*SUMPRODUCT(($B$2=Таблица2[Филиал])*($B$3=Таблица2[ФЕР/ТЕР])*(F59=Таблица2[Наименование работ])*(G59=Таблица2[ТПиР/НСиР])*Таблица2[Оборудование2012]),V59*SUMPRODUCT(($B$2=Таблица2[Филиал])*($B$3=Таблица2[ФЕР/ТЕР])*(F59=Таблица2[Наименование работ])*(G59=Таблица2[ТПиР/НСиР])*Таблица2[Оборудование2012]))</f>
        <v>0</v>
      </c>
      <c r="AK59" s="63">
        <f>IF($B$4="в текущих ценах",W59*SUMPRODUCT(($B$2=Таблица2[Филиал])*($B$3=Таблица2[ФЕР/ТЕР])*(F59=Таблица2[Наименование работ])*(G59=Таблица2[ТПиР/НСиР])*Таблица2[Прочее2012]),W59*SUMPRODUCT(($B$2=Таблица2[Филиал])*($B$3=Таблица2[ФЕР/ТЕР])*(F59=Таблица2[Наименование работ])*(G59=Таблица2[ТПиР/НСиР])*Таблица2[Прочее2012]))</f>
        <v>0</v>
      </c>
      <c r="AL59" s="63">
        <f>данные!$X59+данные!$Y59+данные!$Z59+данные!$AA59+данные!$AB59</f>
        <v>0</v>
      </c>
      <c r="AM59" s="63">
        <v>1.03639035</v>
      </c>
      <c r="AN59" s="63">
        <v>1.0114049394</v>
      </c>
      <c r="AO59" s="63">
        <v>0.98210394336149998</v>
      </c>
      <c r="AP59" s="63">
        <v>0.93762413895893393</v>
      </c>
      <c r="AQ59" s="63"/>
      <c r="AR59" s="63"/>
      <c r="AS59" s="64"/>
      <c r="AU59" s="66">
        <f t="shared" si="5"/>
        <v>0</v>
      </c>
      <c r="AX59" s="66">
        <f t="shared" si="0"/>
        <v>0</v>
      </c>
      <c r="AY59" s="66">
        <f t="shared" si="1"/>
        <v>0</v>
      </c>
      <c r="AZ59" s="66">
        <f t="shared" si="2"/>
        <v>0</v>
      </c>
      <c r="BA59" s="66">
        <f t="shared" si="3"/>
        <v>0</v>
      </c>
      <c r="BB59" s="66">
        <f t="shared" si="4"/>
        <v>0</v>
      </c>
    </row>
    <row r="60" spans="4:54" x14ac:dyDescent="0.25">
      <c r="D60" s="62">
        <f>калькулятор!C64</f>
        <v>0</v>
      </c>
      <c r="E60" s="62">
        <f>калькулятор!F64</f>
        <v>0</v>
      </c>
      <c r="F60" s="62">
        <f>калькулятор!G64</f>
        <v>0</v>
      </c>
      <c r="G60" s="62">
        <f>калькулятор!H64</f>
        <v>0</v>
      </c>
      <c r="H60" s="62">
        <f>калькулятор!I64</f>
        <v>0</v>
      </c>
      <c r="I60" s="63">
        <f>S60*SUMPRODUCT(($B$2=Таблица2[Филиал])*($B$3=Таблица2[ФЕР/ТЕР])*(F60=Таблица2[Наименование работ])*(G60=Таблица2[ТПиР/НСиР])*Таблица2[ПИР2010])</f>
        <v>0</v>
      </c>
      <c r="J60" s="63">
        <f>T60*SUMPRODUCT(($B$2=Таблица2[Филиал])*($B$3=Таблица2[ФЕР/ТЕР])*(F60=Таблица2[Наименование работ])*(G60=Таблица2[ТПиР/НСиР])*Таблица2[СМР2010])</f>
        <v>0</v>
      </c>
      <c r="K60" s="63">
        <f>U60*SUMPRODUCT(($B$2=Таблица2[Филиал])*($B$3=Таблица2[ФЕР/ТЕР])*(F60=Таблица2[Наименование работ])*(G60=Таблица2[ТПиР/НСиР])*Таблица2[ПНР2010])</f>
        <v>0</v>
      </c>
      <c r="L60" s="63">
        <f>V60*SUMPRODUCT(($B$2=Таблица2[Филиал])*($B$3=Таблица2[ФЕР/ТЕР])*(F60=Таблица2[Наименование работ])*(G60=Таблица2[ТПиР/НСиР])*Таблица2[Оборудование2010])</f>
        <v>0</v>
      </c>
      <c r="M60" s="63">
        <f>W60*SUMPRODUCT(($B$2=Таблица2[Филиал])*($B$3=Таблица2[ФЕР/ТЕР])*(F60=Таблица2[Наименование работ])*(G60=Таблица2[ТПиР/НСиР])*Таблица2[Прочие2010])</f>
        <v>0</v>
      </c>
      <c r="N60" s="63">
        <f>S60*SUMPRODUCT(($B$2=Таблица2[Филиал])*($B$3=Таблица2[ФЕР/ТЕР])*(F60=Таблица2[Наименование работ])*(G60=Таблица2[ТПиР/НСиР])*Таблица2[ПИР2013-10])</f>
        <v>0</v>
      </c>
      <c r="O60" s="63">
        <f>T60*SUMPRODUCT(($B$2=Таблица2[Филиал])*($B$3=Таблица2[ФЕР/ТЕР])*(F60=Таблица2[Наименование работ])*(G60=Таблица2[ТПиР/НСиР])*Таблица2[СМР2013-10])</f>
        <v>0</v>
      </c>
      <c r="P60" s="63">
        <f>U60*SUMPRODUCT(($B$2=Таблица2[Филиал])*($B$3=Таблица2[ФЕР/ТЕР])*(F60=Таблица2[Наименование работ])*(G60=Таблица2[ТПиР/НСиР])*Таблица2[ПНР2013-10])</f>
        <v>0</v>
      </c>
      <c r="Q60" s="63">
        <f>V60*SUMPRODUCT(($B$2=Таблица2[Филиал])*($B$3=Таблица2[ФЕР/ТЕР])*(F60=Таблица2[Наименование работ])*(G60=Таблица2[ТПиР/НСиР])*Таблица2[Оборудование2013-10])</f>
        <v>0</v>
      </c>
      <c r="R60" s="63">
        <f>W60*SUMPRODUCT(($B$2=Таблица2[Филиал])*($B$3=Таблица2[ФЕР/ТЕР])*(F60=Таблица2[Наименование работ])*(G60=Таблица2[ТПиР/НСиР])*Таблица2[Прочие2013-10])</f>
        <v>0</v>
      </c>
      <c r="S60" s="63">
        <f>IF($B$4="в базовых ценах",калькулятор!J64,X60*SUMPRODUCT(($B$2=Таблица2[Филиал])*($B$3=Таблица2[ФЕР/ТЕР])*(F60=Таблица2[Наименование работ])*(G60=Таблица2[ТПиР/НСиР])/Таблица2[ПИР2013]))</f>
        <v>0</v>
      </c>
      <c r="T60" s="63">
        <f>IF($B$4="в базовых ценах",калькулятор!K64,Y60*SUMPRODUCT(($B$2=Таблица2[Филиал])*($B$3=Таблица2[ФЕР/ТЕР])*(F60=Таблица2[Наименование работ])*(G60=Таблица2[ТПиР/НСиР])/Таблица2[СМР2013]))</f>
        <v>0</v>
      </c>
      <c r="U60" s="63">
        <f>IF($B$4="в базовых ценах",калькулятор!L64,Z60*SUMPRODUCT(($B$2=Таблица2[Филиал])*($B$3=Таблица2[ФЕР/ТЕР])*(F60=Таблица2[Наименование работ])*(G60=Таблица2[ТПиР/НСиР])/Таблица2[ПНР2013]))</f>
        <v>0</v>
      </c>
      <c r="V60" s="63">
        <f>IF($B$4="в базовых ценах",калькулятор!M64,AA60*SUMPRODUCT(($B$2=Таблица2[Филиал])*($B$3=Таблица2[ФЕР/ТЕР])*(F60=Таблица2[Наименование работ])*(G60=Таблица2[ТПиР/НСиР])/Таблица2[Оборудование2013]))</f>
        <v>0</v>
      </c>
      <c r="W60" s="63">
        <f>IF($B$4="в базовых ценах",калькулятор!N64,AB60*SUMPRODUCT(($B$2=Таблица2[Филиал])*($B$3=Таблица2[ФЕР/ТЕР])*(F60=Таблица2[Наименование работ])*(G60=Таблица2[ТПиР/НСиР])/Таблица2[Прочие3]))</f>
        <v>0</v>
      </c>
      <c r="X60" s="63">
        <f>IF($B$4="в текущих ценах",калькулятор!J64,S60*SUMPRODUCT(($B$2=Таблица2[Филиал])*($B$3=Таблица2[ФЕР/ТЕР])*(F60=Таблица2[Наименование работ])*(G60=Таблица2[ТПиР/НСиР])*Таблица2[ПИР2013]))</f>
        <v>0</v>
      </c>
      <c r="Y60" s="63">
        <f>IF($B$4="в текущих ценах",калькулятор!K64,T60*SUMPRODUCT(($B$2=Таблица2[Филиал])*($B$3=Таблица2[ФЕР/ТЕР])*(F60=Таблица2[Наименование работ])*(G60=Таблица2[ТПиР/НСиР])*Таблица2[СМР2013]))</f>
        <v>0</v>
      </c>
      <c r="Z60" s="63">
        <f>IF($B$4="в текущих ценах",калькулятор!L64,U60*SUMPRODUCT(($B$2=Таблица2[Филиал])*($B$3=Таблица2[ФЕР/ТЕР])*(F60=Таблица2[Наименование работ])*(G60=Таблица2[ТПиР/НСиР])*Таблица2[ПНР2013]))</f>
        <v>0</v>
      </c>
      <c r="AA60" s="63">
        <f>IF($B$4="в текущих ценах",калькулятор!M64,V60*SUMPRODUCT(($B$2=Таблица2[Филиал])*($B$3=Таблица2[ФЕР/ТЕР])*(F60=Таблица2[Наименование работ])*(G60=Таблица2[ТПиР/НСиР])*Таблица2[Оборудование2013]))</f>
        <v>0</v>
      </c>
      <c r="AB60" s="63">
        <f>IF($B$4="в текущих ценах",калькулятор!N64,W60*SUMPRODUCT(($B$2=Таблица2[Филиал])*($B$3=Таблица2[ФЕР/ТЕР])*(F60=Таблица2[Наименование работ])*(G60=Таблица2[ТПиР/НСиР])*Таблица2[Прочие3]))</f>
        <v>0</v>
      </c>
      <c r="AC60" s="63">
        <f>SUM(данные!$I60:$M60)</f>
        <v>0</v>
      </c>
      <c r="AD60" s="63">
        <f>IF(SUM(данные!$N60:$R60)&gt;данные!$AF60,данные!$AF60*0.9*1.058,SUM(данные!$N60:$R60))</f>
        <v>0</v>
      </c>
      <c r="AE60" s="63">
        <f>SUM(данные!$S60:$W60)</f>
        <v>0</v>
      </c>
      <c r="AF60" s="63">
        <f>SUM(данные!$X60:$AB60)</f>
        <v>0</v>
      </c>
      <c r="AG60" s="63">
        <f>IF($B$4="в текущих ценах",S60*SUMPRODUCT(($B$2=Таблица2[Филиал])*($B$3=Таблица2[ФЕР/ТЕР])*(F60=Таблица2[Наименование работ])*(G60=Таблица2[ТПиР/НСиР])*Таблица2[ПИР2012]),S60*SUMPRODUCT(($B$2=Таблица2[Филиал])*($B$3=Таблица2[ФЕР/ТЕР])*(F60=Таблица2[Наименование работ])*(G60=Таблица2[ТПиР/НСиР])*Таблица2[ПИР2012]))</f>
        <v>0</v>
      </c>
      <c r="AH60" s="63">
        <f>IF($B$4="в текущих ценах",T60*SUMPRODUCT(($B$2=Таблица2[Филиал])*($B$3=Таблица2[ФЕР/ТЕР])*(F60=Таблица2[Наименование работ])*(G60=Таблица2[ТПиР/НСиР])*Таблица2[СМР2012]),T60*SUMPRODUCT(($B$2=Таблица2[Филиал])*($B$3=Таблица2[ФЕР/ТЕР])*(F60=Таблица2[Наименование работ])*(G60=Таблица2[ТПиР/НСиР])*Таблица2[СМР2012]))</f>
        <v>0</v>
      </c>
      <c r="AI60" s="63">
        <f>IF($B$4="в текущих ценах",U60*SUMPRODUCT(($B$2=Таблица2[Филиал])*($B$3=Таблица2[ФЕР/ТЕР])*(F60=Таблица2[Наименование работ])*(G60=Таблица2[ТПиР/НСиР])*Таблица2[ПНР2012]),U60*SUMPRODUCT(($B$2=Таблица2[Филиал])*($B$3=Таблица2[ФЕР/ТЕР])*(F60=Таблица2[Наименование работ])*(G60=Таблица2[ТПиР/НСиР])*Таблица2[ПНР2012]))</f>
        <v>0</v>
      </c>
      <c r="AJ60" s="63">
        <f>IF($B$4="в текущих ценах",V60*SUMPRODUCT(($B$2=Таблица2[Филиал])*($B$3=Таблица2[ФЕР/ТЕР])*(F60=Таблица2[Наименование работ])*(G60=Таблица2[ТПиР/НСиР])*Таблица2[Оборудование2012]),V60*SUMPRODUCT(($B$2=Таблица2[Филиал])*($B$3=Таблица2[ФЕР/ТЕР])*(F60=Таблица2[Наименование работ])*(G60=Таблица2[ТПиР/НСиР])*Таблица2[Оборудование2012]))</f>
        <v>0</v>
      </c>
      <c r="AK60" s="63">
        <f>IF($B$4="в текущих ценах",W60*SUMPRODUCT(($B$2=Таблица2[Филиал])*($B$3=Таблица2[ФЕР/ТЕР])*(F60=Таблица2[Наименование работ])*(G60=Таблица2[ТПиР/НСиР])*Таблица2[Прочее2012]),W60*SUMPRODUCT(($B$2=Таблица2[Филиал])*($B$3=Таблица2[ФЕР/ТЕР])*(F60=Таблица2[Наименование работ])*(G60=Таблица2[ТПиР/НСиР])*Таблица2[Прочее2012]))</f>
        <v>0</v>
      </c>
      <c r="AL60" s="63">
        <f>данные!$X60+данные!$Y60+данные!$Z60+данные!$AA60+данные!$AB60</f>
        <v>0</v>
      </c>
      <c r="AM60" s="63">
        <v>1.03639035</v>
      </c>
      <c r="AN60" s="63">
        <v>1.0114049394</v>
      </c>
      <c r="AO60" s="63">
        <v>0.98210394336149998</v>
      </c>
      <c r="AP60" s="63">
        <v>0.93762413895893393</v>
      </c>
      <c r="AQ60" s="63"/>
      <c r="AR60" s="63"/>
      <c r="AS60" s="64"/>
      <c r="AU60" s="66">
        <f t="shared" si="5"/>
        <v>0</v>
      </c>
      <c r="AX60" s="66">
        <f t="shared" si="0"/>
        <v>0</v>
      </c>
      <c r="AY60" s="66">
        <f t="shared" si="1"/>
        <v>0</v>
      </c>
      <c r="AZ60" s="66">
        <f t="shared" si="2"/>
        <v>0</v>
      </c>
      <c r="BA60" s="66">
        <f t="shared" si="3"/>
        <v>0</v>
      </c>
      <c r="BB60" s="66">
        <f t="shared" si="4"/>
        <v>0</v>
      </c>
    </row>
    <row r="61" spans="4:54" x14ac:dyDescent="0.25">
      <c r="D61" s="62">
        <f>калькулятор!C65</f>
        <v>0</v>
      </c>
      <c r="E61" s="62">
        <f>калькулятор!F65</f>
        <v>0</v>
      </c>
      <c r="F61" s="62">
        <f>калькулятор!G65</f>
        <v>0</v>
      </c>
      <c r="G61" s="62">
        <f>калькулятор!H65</f>
        <v>0</v>
      </c>
      <c r="H61" s="62">
        <f>калькулятор!I65</f>
        <v>0</v>
      </c>
      <c r="I61" s="63">
        <f>S61*SUMPRODUCT(($B$2=Таблица2[Филиал])*($B$3=Таблица2[ФЕР/ТЕР])*(F61=Таблица2[Наименование работ])*(G61=Таблица2[ТПиР/НСиР])*Таблица2[ПИР2010])</f>
        <v>0</v>
      </c>
      <c r="J61" s="63">
        <f>T61*SUMPRODUCT(($B$2=Таблица2[Филиал])*($B$3=Таблица2[ФЕР/ТЕР])*(F61=Таблица2[Наименование работ])*(G61=Таблица2[ТПиР/НСиР])*Таблица2[СМР2010])</f>
        <v>0</v>
      </c>
      <c r="K61" s="63">
        <f>U61*SUMPRODUCT(($B$2=Таблица2[Филиал])*($B$3=Таблица2[ФЕР/ТЕР])*(F61=Таблица2[Наименование работ])*(G61=Таблица2[ТПиР/НСиР])*Таблица2[ПНР2010])</f>
        <v>0</v>
      </c>
      <c r="L61" s="63">
        <f>V61*SUMPRODUCT(($B$2=Таблица2[Филиал])*($B$3=Таблица2[ФЕР/ТЕР])*(F61=Таблица2[Наименование работ])*(G61=Таблица2[ТПиР/НСиР])*Таблица2[Оборудование2010])</f>
        <v>0</v>
      </c>
      <c r="M61" s="63">
        <f>W61*SUMPRODUCT(($B$2=Таблица2[Филиал])*($B$3=Таблица2[ФЕР/ТЕР])*(F61=Таблица2[Наименование работ])*(G61=Таблица2[ТПиР/НСиР])*Таблица2[Прочие2010])</f>
        <v>0</v>
      </c>
      <c r="N61" s="63">
        <f>S61*SUMPRODUCT(($B$2=Таблица2[Филиал])*($B$3=Таблица2[ФЕР/ТЕР])*(F61=Таблица2[Наименование работ])*(G61=Таблица2[ТПиР/НСиР])*Таблица2[ПИР2013-10])</f>
        <v>0</v>
      </c>
      <c r="O61" s="63">
        <f>T61*SUMPRODUCT(($B$2=Таблица2[Филиал])*($B$3=Таблица2[ФЕР/ТЕР])*(F61=Таблица2[Наименование работ])*(G61=Таблица2[ТПиР/НСиР])*Таблица2[СМР2013-10])</f>
        <v>0</v>
      </c>
      <c r="P61" s="63">
        <f>U61*SUMPRODUCT(($B$2=Таблица2[Филиал])*($B$3=Таблица2[ФЕР/ТЕР])*(F61=Таблица2[Наименование работ])*(G61=Таблица2[ТПиР/НСиР])*Таблица2[ПНР2013-10])</f>
        <v>0</v>
      </c>
      <c r="Q61" s="63">
        <f>V61*SUMPRODUCT(($B$2=Таблица2[Филиал])*($B$3=Таблица2[ФЕР/ТЕР])*(F61=Таблица2[Наименование работ])*(G61=Таблица2[ТПиР/НСиР])*Таблица2[Оборудование2013-10])</f>
        <v>0</v>
      </c>
      <c r="R61" s="63">
        <f>W61*SUMPRODUCT(($B$2=Таблица2[Филиал])*($B$3=Таблица2[ФЕР/ТЕР])*(F61=Таблица2[Наименование работ])*(G61=Таблица2[ТПиР/НСиР])*Таблица2[Прочие2013-10])</f>
        <v>0</v>
      </c>
      <c r="S61" s="63">
        <f>IF($B$4="в базовых ценах",калькулятор!J65,X61*SUMPRODUCT(($B$2=Таблица2[Филиал])*($B$3=Таблица2[ФЕР/ТЕР])*(F61=Таблица2[Наименование работ])*(G61=Таблица2[ТПиР/НСиР])/Таблица2[ПИР2013]))</f>
        <v>0</v>
      </c>
      <c r="T61" s="63">
        <f>IF($B$4="в базовых ценах",калькулятор!K65,Y61*SUMPRODUCT(($B$2=Таблица2[Филиал])*($B$3=Таблица2[ФЕР/ТЕР])*(F61=Таблица2[Наименование работ])*(G61=Таблица2[ТПиР/НСиР])/Таблица2[СМР2013]))</f>
        <v>0</v>
      </c>
      <c r="U61" s="63">
        <f>IF($B$4="в базовых ценах",калькулятор!L65,Z61*SUMPRODUCT(($B$2=Таблица2[Филиал])*($B$3=Таблица2[ФЕР/ТЕР])*(F61=Таблица2[Наименование работ])*(G61=Таблица2[ТПиР/НСиР])/Таблица2[ПНР2013]))</f>
        <v>0</v>
      </c>
      <c r="V61" s="63">
        <f>IF($B$4="в базовых ценах",калькулятор!M65,AA61*SUMPRODUCT(($B$2=Таблица2[Филиал])*($B$3=Таблица2[ФЕР/ТЕР])*(F61=Таблица2[Наименование работ])*(G61=Таблица2[ТПиР/НСиР])/Таблица2[Оборудование2013]))</f>
        <v>0</v>
      </c>
      <c r="W61" s="63">
        <f>IF($B$4="в базовых ценах",калькулятор!N65,AB61*SUMPRODUCT(($B$2=Таблица2[Филиал])*($B$3=Таблица2[ФЕР/ТЕР])*(F61=Таблица2[Наименование работ])*(G61=Таблица2[ТПиР/НСиР])/Таблица2[Прочие3]))</f>
        <v>0</v>
      </c>
      <c r="X61" s="63">
        <f>IF($B$4="в текущих ценах",калькулятор!J65,S61*SUMPRODUCT(($B$2=Таблица2[Филиал])*($B$3=Таблица2[ФЕР/ТЕР])*(F61=Таблица2[Наименование работ])*(G61=Таблица2[ТПиР/НСиР])*Таблица2[ПИР2013]))</f>
        <v>0</v>
      </c>
      <c r="Y61" s="63">
        <f>IF($B$4="в текущих ценах",калькулятор!K65,T61*SUMPRODUCT(($B$2=Таблица2[Филиал])*($B$3=Таблица2[ФЕР/ТЕР])*(F61=Таблица2[Наименование работ])*(G61=Таблица2[ТПиР/НСиР])*Таблица2[СМР2013]))</f>
        <v>0</v>
      </c>
      <c r="Z61" s="63">
        <f>IF($B$4="в текущих ценах",калькулятор!L65,U61*SUMPRODUCT(($B$2=Таблица2[Филиал])*($B$3=Таблица2[ФЕР/ТЕР])*(F61=Таблица2[Наименование работ])*(G61=Таблица2[ТПиР/НСиР])*Таблица2[ПНР2013]))</f>
        <v>0</v>
      </c>
      <c r="AA61" s="63">
        <f>IF($B$4="в текущих ценах",калькулятор!M65,V61*SUMPRODUCT(($B$2=Таблица2[Филиал])*($B$3=Таблица2[ФЕР/ТЕР])*(F61=Таблица2[Наименование работ])*(G61=Таблица2[ТПиР/НСиР])*Таблица2[Оборудование2013]))</f>
        <v>0</v>
      </c>
      <c r="AB61" s="63">
        <f>IF($B$4="в текущих ценах",калькулятор!N65,W61*SUMPRODUCT(($B$2=Таблица2[Филиал])*($B$3=Таблица2[ФЕР/ТЕР])*(F61=Таблица2[Наименование работ])*(G61=Таблица2[ТПиР/НСиР])*Таблица2[Прочие3]))</f>
        <v>0</v>
      </c>
      <c r="AC61" s="63">
        <f>SUM(данные!$I61:$M61)</f>
        <v>0</v>
      </c>
      <c r="AD61" s="63">
        <f>IF(SUM(данные!$N61:$R61)&gt;данные!$AF61,данные!$AF61*0.9*1.058,SUM(данные!$N61:$R61))</f>
        <v>0</v>
      </c>
      <c r="AE61" s="63">
        <f>SUM(данные!$S61:$W61)</f>
        <v>0</v>
      </c>
      <c r="AF61" s="63">
        <f>SUM(данные!$X61:$AB61)</f>
        <v>0</v>
      </c>
      <c r="AG61" s="63">
        <f>IF($B$4="в текущих ценах",S61*SUMPRODUCT(($B$2=Таблица2[Филиал])*($B$3=Таблица2[ФЕР/ТЕР])*(F61=Таблица2[Наименование работ])*(G61=Таблица2[ТПиР/НСиР])*Таблица2[ПИР2012]),S61*SUMPRODUCT(($B$2=Таблица2[Филиал])*($B$3=Таблица2[ФЕР/ТЕР])*(F61=Таблица2[Наименование работ])*(G61=Таблица2[ТПиР/НСиР])*Таблица2[ПИР2012]))</f>
        <v>0</v>
      </c>
      <c r="AH61" s="63">
        <f>IF($B$4="в текущих ценах",T61*SUMPRODUCT(($B$2=Таблица2[Филиал])*($B$3=Таблица2[ФЕР/ТЕР])*(F61=Таблица2[Наименование работ])*(G61=Таблица2[ТПиР/НСиР])*Таблица2[СМР2012]),T61*SUMPRODUCT(($B$2=Таблица2[Филиал])*($B$3=Таблица2[ФЕР/ТЕР])*(F61=Таблица2[Наименование работ])*(G61=Таблица2[ТПиР/НСиР])*Таблица2[СМР2012]))</f>
        <v>0</v>
      </c>
      <c r="AI61" s="63">
        <f>IF($B$4="в текущих ценах",U61*SUMPRODUCT(($B$2=Таблица2[Филиал])*($B$3=Таблица2[ФЕР/ТЕР])*(F61=Таблица2[Наименование работ])*(G61=Таблица2[ТПиР/НСиР])*Таблица2[ПНР2012]),U61*SUMPRODUCT(($B$2=Таблица2[Филиал])*($B$3=Таблица2[ФЕР/ТЕР])*(F61=Таблица2[Наименование работ])*(G61=Таблица2[ТПиР/НСиР])*Таблица2[ПНР2012]))</f>
        <v>0</v>
      </c>
      <c r="AJ61" s="63">
        <f>IF($B$4="в текущих ценах",V61*SUMPRODUCT(($B$2=Таблица2[Филиал])*($B$3=Таблица2[ФЕР/ТЕР])*(F61=Таблица2[Наименование работ])*(G61=Таблица2[ТПиР/НСиР])*Таблица2[Оборудование2012]),V61*SUMPRODUCT(($B$2=Таблица2[Филиал])*($B$3=Таблица2[ФЕР/ТЕР])*(F61=Таблица2[Наименование работ])*(G61=Таблица2[ТПиР/НСиР])*Таблица2[Оборудование2012]))</f>
        <v>0</v>
      </c>
      <c r="AK61" s="63">
        <f>IF($B$4="в текущих ценах",W61*SUMPRODUCT(($B$2=Таблица2[Филиал])*($B$3=Таблица2[ФЕР/ТЕР])*(F61=Таблица2[Наименование работ])*(G61=Таблица2[ТПиР/НСиР])*Таблица2[Прочее2012]),W61*SUMPRODUCT(($B$2=Таблица2[Филиал])*($B$3=Таблица2[ФЕР/ТЕР])*(F61=Таблица2[Наименование работ])*(G61=Таблица2[ТПиР/НСиР])*Таблица2[Прочее2012]))</f>
        <v>0</v>
      </c>
      <c r="AL61" s="63">
        <f>данные!$X61+данные!$Y61+данные!$Z61+данные!$AA61+данные!$AB61</f>
        <v>0</v>
      </c>
      <c r="AM61" s="63">
        <v>1.03639035</v>
      </c>
      <c r="AN61" s="63">
        <v>1.0114049394</v>
      </c>
      <c r="AO61" s="63">
        <v>0.98210394336149998</v>
      </c>
      <c r="AP61" s="63">
        <v>0.93762413895893393</v>
      </c>
      <c r="AQ61" s="63"/>
      <c r="AR61" s="63"/>
      <c r="AS61" s="64"/>
      <c r="AU61" s="66">
        <f t="shared" si="5"/>
        <v>0</v>
      </c>
      <c r="AX61" s="66">
        <f t="shared" si="0"/>
        <v>0</v>
      </c>
      <c r="AY61" s="66">
        <f t="shared" si="1"/>
        <v>0</v>
      </c>
      <c r="AZ61" s="66">
        <f t="shared" si="2"/>
        <v>0</v>
      </c>
      <c r="BA61" s="66">
        <f t="shared" si="3"/>
        <v>0</v>
      </c>
      <c r="BB61" s="66">
        <f t="shared" si="4"/>
        <v>0</v>
      </c>
    </row>
    <row r="62" spans="4:54" x14ac:dyDescent="0.25">
      <c r="D62" s="62">
        <f>калькулятор!C66</f>
        <v>0</v>
      </c>
      <c r="E62" s="62">
        <f>калькулятор!F66</f>
        <v>0</v>
      </c>
      <c r="F62" s="62">
        <f>калькулятор!G66</f>
        <v>0</v>
      </c>
      <c r="G62" s="62">
        <f>калькулятор!H66</f>
        <v>0</v>
      </c>
      <c r="H62" s="62">
        <f>калькулятор!I66</f>
        <v>0</v>
      </c>
      <c r="I62" s="63">
        <f>S62*SUMPRODUCT(($B$2=Таблица2[Филиал])*($B$3=Таблица2[ФЕР/ТЕР])*(F62=Таблица2[Наименование работ])*(G62=Таблица2[ТПиР/НСиР])*Таблица2[ПИР2010])</f>
        <v>0</v>
      </c>
      <c r="J62" s="63">
        <f>T62*SUMPRODUCT(($B$2=Таблица2[Филиал])*($B$3=Таблица2[ФЕР/ТЕР])*(F62=Таблица2[Наименование работ])*(G62=Таблица2[ТПиР/НСиР])*Таблица2[СМР2010])</f>
        <v>0</v>
      </c>
      <c r="K62" s="63">
        <f>U62*SUMPRODUCT(($B$2=Таблица2[Филиал])*($B$3=Таблица2[ФЕР/ТЕР])*(F62=Таблица2[Наименование работ])*(G62=Таблица2[ТПиР/НСиР])*Таблица2[ПНР2010])</f>
        <v>0</v>
      </c>
      <c r="L62" s="63">
        <f>V62*SUMPRODUCT(($B$2=Таблица2[Филиал])*($B$3=Таблица2[ФЕР/ТЕР])*(F62=Таблица2[Наименование работ])*(G62=Таблица2[ТПиР/НСиР])*Таблица2[Оборудование2010])</f>
        <v>0</v>
      </c>
      <c r="M62" s="63">
        <f>W62*SUMPRODUCT(($B$2=Таблица2[Филиал])*($B$3=Таблица2[ФЕР/ТЕР])*(F62=Таблица2[Наименование работ])*(G62=Таблица2[ТПиР/НСиР])*Таблица2[Прочие2010])</f>
        <v>0</v>
      </c>
      <c r="N62" s="63">
        <f>S62*SUMPRODUCT(($B$2=Таблица2[Филиал])*($B$3=Таблица2[ФЕР/ТЕР])*(F62=Таблица2[Наименование работ])*(G62=Таблица2[ТПиР/НСиР])*Таблица2[ПИР2013-10])</f>
        <v>0</v>
      </c>
      <c r="O62" s="63">
        <f>T62*SUMPRODUCT(($B$2=Таблица2[Филиал])*($B$3=Таблица2[ФЕР/ТЕР])*(F62=Таблица2[Наименование работ])*(G62=Таблица2[ТПиР/НСиР])*Таблица2[СМР2013-10])</f>
        <v>0</v>
      </c>
      <c r="P62" s="63">
        <f>U62*SUMPRODUCT(($B$2=Таблица2[Филиал])*($B$3=Таблица2[ФЕР/ТЕР])*(F62=Таблица2[Наименование работ])*(G62=Таблица2[ТПиР/НСиР])*Таблица2[ПНР2013-10])</f>
        <v>0</v>
      </c>
      <c r="Q62" s="63">
        <f>V62*SUMPRODUCT(($B$2=Таблица2[Филиал])*($B$3=Таблица2[ФЕР/ТЕР])*(F62=Таблица2[Наименование работ])*(G62=Таблица2[ТПиР/НСиР])*Таблица2[Оборудование2013-10])</f>
        <v>0</v>
      </c>
      <c r="R62" s="63">
        <f>W62*SUMPRODUCT(($B$2=Таблица2[Филиал])*($B$3=Таблица2[ФЕР/ТЕР])*(F62=Таблица2[Наименование работ])*(G62=Таблица2[ТПиР/НСиР])*Таблица2[Прочие2013-10])</f>
        <v>0</v>
      </c>
      <c r="S62" s="63">
        <f>IF($B$4="в базовых ценах",калькулятор!J66,X62*SUMPRODUCT(($B$2=Таблица2[Филиал])*($B$3=Таблица2[ФЕР/ТЕР])*(F62=Таблица2[Наименование работ])*(G62=Таблица2[ТПиР/НСиР])/Таблица2[ПИР2013]))</f>
        <v>0</v>
      </c>
      <c r="T62" s="63">
        <f>IF($B$4="в базовых ценах",калькулятор!K66,Y62*SUMPRODUCT(($B$2=Таблица2[Филиал])*($B$3=Таблица2[ФЕР/ТЕР])*(F62=Таблица2[Наименование работ])*(G62=Таблица2[ТПиР/НСиР])/Таблица2[СМР2013]))</f>
        <v>0</v>
      </c>
      <c r="U62" s="63">
        <f>IF($B$4="в базовых ценах",калькулятор!L66,Z62*SUMPRODUCT(($B$2=Таблица2[Филиал])*($B$3=Таблица2[ФЕР/ТЕР])*(F62=Таблица2[Наименование работ])*(G62=Таблица2[ТПиР/НСиР])/Таблица2[ПНР2013]))</f>
        <v>0</v>
      </c>
      <c r="V62" s="63">
        <f>IF($B$4="в базовых ценах",калькулятор!M66,AA62*SUMPRODUCT(($B$2=Таблица2[Филиал])*($B$3=Таблица2[ФЕР/ТЕР])*(F62=Таблица2[Наименование работ])*(G62=Таблица2[ТПиР/НСиР])/Таблица2[Оборудование2013]))</f>
        <v>0</v>
      </c>
      <c r="W62" s="63">
        <f>IF($B$4="в базовых ценах",калькулятор!N66,AB62*SUMPRODUCT(($B$2=Таблица2[Филиал])*($B$3=Таблица2[ФЕР/ТЕР])*(F62=Таблица2[Наименование работ])*(G62=Таблица2[ТПиР/НСиР])/Таблица2[Прочие3]))</f>
        <v>0</v>
      </c>
      <c r="X62" s="63">
        <f>IF($B$4="в текущих ценах",калькулятор!J66,S62*SUMPRODUCT(($B$2=Таблица2[Филиал])*($B$3=Таблица2[ФЕР/ТЕР])*(F62=Таблица2[Наименование работ])*(G62=Таблица2[ТПиР/НСиР])*Таблица2[ПИР2013]))</f>
        <v>0</v>
      </c>
      <c r="Y62" s="63">
        <f>IF($B$4="в текущих ценах",калькулятор!K66,T62*SUMPRODUCT(($B$2=Таблица2[Филиал])*($B$3=Таблица2[ФЕР/ТЕР])*(F62=Таблица2[Наименование работ])*(G62=Таблица2[ТПиР/НСиР])*Таблица2[СМР2013]))</f>
        <v>0</v>
      </c>
      <c r="Z62" s="63">
        <f>IF($B$4="в текущих ценах",калькулятор!L66,U62*SUMPRODUCT(($B$2=Таблица2[Филиал])*($B$3=Таблица2[ФЕР/ТЕР])*(F62=Таблица2[Наименование работ])*(G62=Таблица2[ТПиР/НСиР])*Таблица2[ПНР2013]))</f>
        <v>0</v>
      </c>
      <c r="AA62" s="63">
        <f>IF($B$4="в текущих ценах",калькулятор!M66,V62*SUMPRODUCT(($B$2=Таблица2[Филиал])*($B$3=Таблица2[ФЕР/ТЕР])*(F62=Таблица2[Наименование работ])*(G62=Таблица2[ТПиР/НСиР])*Таблица2[Оборудование2013]))</f>
        <v>0</v>
      </c>
      <c r="AB62" s="63">
        <f>IF($B$4="в текущих ценах",калькулятор!N66,W62*SUMPRODUCT(($B$2=Таблица2[Филиал])*($B$3=Таблица2[ФЕР/ТЕР])*(F62=Таблица2[Наименование работ])*(G62=Таблица2[ТПиР/НСиР])*Таблица2[Прочие3]))</f>
        <v>0</v>
      </c>
      <c r="AC62" s="63">
        <f>SUM(данные!$I62:$M62)</f>
        <v>0</v>
      </c>
      <c r="AD62" s="63">
        <f>IF(SUM(данные!$N62:$R62)&gt;данные!$AF62,данные!$AF62*0.9*1.058,SUM(данные!$N62:$R62))</f>
        <v>0</v>
      </c>
      <c r="AE62" s="63">
        <f>SUM(данные!$S62:$W62)</f>
        <v>0</v>
      </c>
      <c r="AF62" s="63">
        <f>SUM(данные!$X62:$AB62)</f>
        <v>0</v>
      </c>
      <c r="AG62" s="63">
        <f>IF($B$4="в текущих ценах",S62*SUMPRODUCT(($B$2=Таблица2[Филиал])*($B$3=Таблица2[ФЕР/ТЕР])*(F62=Таблица2[Наименование работ])*(G62=Таблица2[ТПиР/НСиР])*Таблица2[ПИР2012]),S62*SUMPRODUCT(($B$2=Таблица2[Филиал])*($B$3=Таблица2[ФЕР/ТЕР])*(F62=Таблица2[Наименование работ])*(G62=Таблица2[ТПиР/НСиР])*Таблица2[ПИР2012]))</f>
        <v>0</v>
      </c>
      <c r="AH62" s="63">
        <f>IF($B$4="в текущих ценах",T62*SUMPRODUCT(($B$2=Таблица2[Филиал])*($B$3=Таблица2[ФЕР/ТЕР])*(F62=Таблица2[Наименование работ])*(G62=Таблица2[ТПиР/НСиР])*Таблица2[СМР2012]),T62*SUMPRODUCT(($B$2=Таблица2[Филиал])*($B$3=Таблица2[ФЕР/ТЕР])*(F62=Таблица2[Наименование работ])*(G62=Таблица2[ТПиР/НСиР])*Таблица2[СМР2012]))</f>
        <v>0</v>
      </c>
      <c r="AI62" s="63">
        <f>IF($B$4="в текущих ценах",U62*SUMPRODUCT(($B$2=Таблица2[Филиал])*($B$3=Таблица2[ФЕР/ТЕР])*(F62=Таблица2[Наименование работ])*(G62=Таблица2[ТПиР/НСиР])*Таблица2[ПНР2012]),U62*SUMPRODUCT(($B$2=Таблица2[Филиал])*($B$3=Таблица2[ФЕР/ТЕР])*(F62=Таблица2[Наименование работ])*(G62=Таблица2[ТПиР/НСиР])*Таблица2[ПНР2012]))</f>
        <v>0</v>
      </c>
      <c r="AJ62" s="63">
        <f>IF($B$4="в текущих ценах",V62*SUMPRODUCT(($B$2=Таблица2[Филиал])*($B$3=Таблица2[ФЕР/ТЕР])*(F62=Таблица2[Наименование работ])*(G62=Таблица2[ТПиР/НСиР])*Таблица2[Оборудование2012]),V62*SUMPRODUCT(($B$2=Таблица2[Филиал])*($B$3=Таблица2[ФЕР/ТЕР])*(F62=Таблица2[Наименование работ])*(G62=Таблица2[ТПиР/НСиР])*Таблица2[Оборудование2012]))</f>
        <v>0</v>
      </c>
      <c r="AK62" s="63">
        <f>IF($B$4="в текущих ценах",W62*SUMPRODUCT(($B$2=Таблица2[Филиал])*($B$3=Таблица2[ФЕР/ТЕР])*(F62=Таблица2[Наименование работ])*(G62=Таблица2[ТПиР/НСиР])*Таблица2[Прочее2012]),W62*SUMPRODUCT(($B$2=Таблица2[Филиал])*($B$3=Таблица2[ФЕР/ТЕР])*(F62=Таблица2[Наименование работ])*(G62=Таблица2[ТПиР/НСиР])*Таблица2[Прочее2012]))</f>
        <v>0</v>
      </c>
      <c r="AL62" s="63">
        <f>данные!$X62+данные!$Y62+данные!$Z62+данные!$AA62+данные!$AB62</f>
        <v>0</v>
      </c>
      <c r="AM62" s="63">
        <v>1.03639035</v>
      </c>
      <c r="AN62" s="63">
        <v>1.0114049394</v>
      </c>
      <c r="AO62" s="63">
        <v>0.98210394336149998</v>
      </c>
      <c r="AP62" s="63">
        <v>0.93762413895893393</v>
      </c>
      <c r="AQ62" s="63"/>
      <c r="AR62" s="63"/>
      <c r="AS62" s="64"/>
      <c r="AU62" s="66">
        <f t="shared" si="5"/>
        <v>0</v>
      </c>
      <c r="AX62" s="66">
        <f t="shared" si="0"/>
        <v>0</v>
      </c>
      <c r="AY62" s="66">
        <f t="shared" si="1"/>
        <v>0</v>
      </c>
      <c r="AZ62" s="66">
        <f t="shared" si="2"/>
        <v>0</v>
      </c>
      <c r="BA62" s="66">
        <f t="shared" si="3"/>
        <v>0</v>
      </c>
      <c r="BB62" s="66">
        <f t="shared" si="4"/>
        <v>0</v>
      </c>
    </row>
    <row r="63" spans="4:54" x14ac:dyDescent="0.25">
      <c r="D63" s="62">
        <f>калькулятор!C67</f>
        <v>0</v>
      </c>
      <c r="E63" s="62">
        <f>калькулятор!F67</f>
        <v>0</v>
      </c>
      <c r="F63" s="62">
        <f>калькулятор!G67</f>
        <v>0</v>
      </c>
      <c r="G63" s="62">
        <f>калькулятор!H67</f>
        <v>0</v>
      </c>
      <c r="H63" s="62">
        <f>калькулятор!I67</f>
        <v>0</v>
      </c>
      <c r="I63" s="63">
        <f>S63*SUMPRODUCT(($B$2=Таблица2[Филиал])*($B$3=Таблица2[ФЕР/ТЕР])*(F63=Таблица2[Наименование работ])*(G63=Таблица2[ТПиР/НСиР])*Таблица2[ПИР2010])</f>
        <v>0</v>
      </c>
      <c r="J63" s="63">
        <f>T63*SUMPRODUCT(($B$2=Таблица2[Филиал])*($B$3=Таблица2[ФЕР/ТЕР])*(F63=Таблица2[Наименование работ])*(G63=Таблица2[ТПиР/НСиР])*Таблица2[СМР2010])</f>
        <v>0</v>
      </c>
      <c r="K63" s="63">
        <f>U63*SUMPRODUCT(($B$2=Таблица2[Филиал])*($B$3=Таблица2[ФЕР/ТЕР])*(F63=Таблица2[Наименование работ])*(G63=Таблица2[ТПиР/НСиР])*Таблица2[ПНР2010])</f>
        <v>0</v>
      </c>
      <c r="L63" s="63">
        <f>V63*SUMPRODUCT(($B$2=Таблица2[Филиал])*($B$3=Таблица2[ФЕР/ТЕР])*(F63=Таблица2[Наименование работ])*(G63=Таблица2[ТПиР/НСиР])*Таблица2[Оборудование2010])</f>
        <v>0</v>
      </c>
      <c r="M63" s="63">
        <f>W63*SUMPRODUCT(($B$2=Таблица2[Филиал])*($B$3=Таблица2[ФЕР/ТЕР])*(F63=Таблица2[Наименование работ])*(G63=Таблица2[ТПиР/НСиР])*Таблица2[Прочие2010])</f>
        <v>0</v>
      </c>
      <c r="N63" s="63">
        <f>S63*SUMPRODUCT(($B$2=Таблица2[Филиал])*($B$3=Таблица2[ФЕР/ТЕР])*(F63=Таблица2[Наименование работ])*(G63=Таблица2[ТПиР/НСиР])*Таблица2[ПИР2013-10])</f>
        <v>0</v>
      </c>
      <c r="O63" s="63">
        <f>T63*SUMPRODUCT(($B$2=Таблица2[Филиал])*($B$3=Таблица2[ФЕР/ТЕР])*(F63=Таблица2[Наименование работ])*(G63=Таблица2[ТПиР/НСиР])*Таблица2[СМР2013-10])</f>
        <v>0</v>
      </c>
      <c r="P63" s="63">
        <f>U63*SUMPRODUCT(($B$2=Таблица2[Филиал])*($B$3=Таблица2[ФЕР/ТЕР])*(F63=Таблица2[Наименование работ])*(G63=Таблица2[ТПиР/НСиР])*Таблица2[ПНР2013-10])</f>
        <v>0</v>
      </c>
      <c r="Q63" s="63">
        <f>V63*SUMPRODUCT(($B$2=Таблица2[Филиал])*($B$3=Таблица2[ФЕР/ТЕР])*(F63=Таблица2[Наименование работ])*(G63=Таблица2[ТПиР/НСиР])*Таблица2[Оборудование2013-10])</f>
        <v>0</v>
      </c>
      <c r="R63" s="63">
        <f>W63*SUMPRODUCT(($B$2=Таблица2[Филиал])*($B$3=Таблица2[ФЕР/ТЕР])*(F63=Таблица2[Наименование работ])*(G63=Таблица2[ТПиР/НСиР])*Таблица2[Прочие2013-10])</f>
        <v>0</v>
      </c>
      <c r="S63" s="63">
        <f>IF($B$4="в базовых ценах",калькулятор!J67,X63*SUMPRODUCT(($B$2=Таблица2[Филиал])*($B$3=Таблица2[ФЕР/ТЕР])*(F63=Таблица2[Наименование работ])*(G63=Таблица2[ТПиР/НСиР])/Таблица2[ПИР2013]))</f>
        <v>0</v>
      </c>
      <c r="T63" s="63">
        <f>IF($B$4="в базовых ценах",калькулятор!K67,Y63*SUMPRODUCT(($B$2=Таблица2[Филиал])*($B$3=Таблица2[ФЕР/ТЕР])*(F63=Таблица2[Наименование работ])*(G63=Таблица2[ТПиР/НСиР])/Таблица2[СМР2013]))</f>
        <v>0</v>
      </c>
      <c r="U63" s="63">
        <f>IF($B$4="в базовых ценах",калькулятор!L67,Z63*SUMPRODUCT(($B$2=Таблица2[Филиал])*($B$3=Таблица2[ФЕР/ТЕР])*(F63=Таблица2[Наименование работ])*(G63=Таблица2[ТПиР/НСиР])/Таблица2[ПНР2013]))</f>
        <v>0</v>
      </c>
      <c r="V63" s="63">
        <f>IF($B$4="в базовых ценах",калькулятор!M67,AA63*SUMPRODUCT(($B$2=Таблица2[Филиал])*($B$3=Таблица2[ФЕР/ТЕР])*(F63=Таблица2[Наименование работ])*(G63=Таблица2[ТПиР/НСиР])/Таблица2[Оборудование2013]))</f>
        <v>0</v>
      </c>
      <c r="W63" s="63">
        <f>IF($B$4="в базовых ценах",калькулятор!N67,AB63*SUMPRODUCT(($B$2=Таблица2[Филиал])*($B$3=Таблица2[ФЕР/ТЕР])*(F63=Таблица2[Наименование работ])*(G63=Таблица2[ТПиР/НСиР])/Таблица2[Прочие3]))</f>
        <v>0</v>
      </c>
      <c r="X63" s="63">
        <f>IF($B$4="в текущих ценах",калькулятор!J67,S63*SUMPRODUCT(($B$2=Таблица2[Филиал])*($B$3=Таблица2[ФЕР/ТЕР])*(F63=Таблица2[Наименование работ])*(G63=Таблица2[ТПиР/НСиР])*Таблица2[ПИР2013]))</f>
        <v>0</v>
      </c>
      <c r="Y63" s="63">
        <f>IF($B$4="в текущих ценах",калькулятор!K67,T63*SUMPRODUCT(($B$2=Таблица2[Филиал])*($B$3=Таблица2[ФЕР/ТЕР])*(F63=Таблица2[Наименование работ])*(G63=Таблица2[ТПиР/НСиР])*Таблица2[СМР2013]))</f>
        <v>0</v>
      </c>
      <c r="Z63" s="63">
        <f>IF($B$4="в текущих ценах",калькулятор!L67,U63*SUMPRODUCT(($B$2=Таблица2[Филиал])*($B$3=Таблица2[ФЕР/ТЕР])*(F63=Таблица2[Наименование работ])*(G63=Таблица2[ТПиР/НСиР])*Таблица2[ПНР2013]))</f>
        <v>0</v>
      </c>
      <c r="AA63" s="63">
        <f>IF($B$4="в текущих ценах",калькулятор!M67,V63*SUMPRODUCT(($B$2=Таблица2[Филиал])*($B$3=Таблица2[ФЕР/ТЕР])*(F63=Таблица2[Наименование работ])*(G63=Таблица2[ТПиР/НСиР])*Таблица2[Оборудование2013]))</f>
        <v>0</v>
      </c>
      <c r="AB63" s="63">
        <f>IF($B$4="в текущих ценах",калькулятор!N67,W63*SUMPRODUCT(($B$2=Таблица2[Филиал])*($B$3=Таблица2[ФЕР/ТЕР])*(F63=Таблица2[Наименование работ])*(G63=Таблица2[ТПиР/НСиР])*Таблица2[Прочие3]))</f>
        <v>0</v>
      </c>
      <c r="AC63" s="63">
        <f>SUM(данные!$I63:$M63)</f>
        <v>0</v>
      </c>
      <c r="AD63" s="63">
        <f>IF(SUM(данные!$N63:$R63)&gt;данные!$AF63,данные!$AF63*0.9*1.058,SUM(данные!$N63:$R63))</f>
        <v>0</v>
      </c>
      <c r="AE63" s="63">
        <f>SUM(данные!$S63:$W63)</f>
        <v>0</v>
      </c>
      <c r="AF63" s="63">
        <f>SUM(данные!$X63:$AB63)</f>
        <v>0</v>
      </c>
      <c r="AG63" s="63">
        <f>IF($B$4="в текущих ценах",S63*SUMPRODUCT(($B$2=Таблица2[Филиал])*($B$3=Таблица2[ФЕР/ТЕР])*(F63=Таблица2[Наименование работ])*(G63=Таблица2[ТПиР/НСиР])*Таблица2[ПИР2012]),S63*SUMPRODUCT(($B$2=Таблица2[Филиал])*($B$3=Таблица2[ФЕР/ТЕР])*(F63=Таблица2[Наименование работ])*(G63=Таблица2[ТПиР/НСиР])*Таблица2[ПИР2012]))</f>
        <v>0</v>
      </c>
      <c r="AH63" s="63">
        <f>IF($B$4="в текущих ценах",T63*SUMPRODUCT(($B$2=Таблица2[Филиал])*($B$3=Таблица2[ФЕР/ТЕР])*(F63=Таблица2[Наименование работ])*(G63=Таблица2[ТПиР/НСиР])*Таблица2[СМР2012]),T63*SUMPRODUCT(($B$2=Таблица2[Филиал])*($B$3=Таблица2[ФЕР/ТЕР])*(F63=Таблица2[Наименование работ])*(G63=Таблица2[ТПиР/НСиР])*Таблица2[СМР2012]))</f>
        <v>0</v>
      </c>
      <c r="AI63" s="63">
        <f>IF($B$4="в текущих ценах",U63*SUMPRODUCT(($B$2=Таблица2[Филиал])*($B$3=Таблица2[ФЕР/ТЕР])*(F63=Таблица2[Наименование работ])*(G63=Таблица2[ТПиР/НСиР])*Таблица2[ПНР2012]),U63*SUMPRODUCT(($B$2=Таблица2[Филиал])*($B$3=Таблица2[ФЕР/ТЕР])*(F63=Таблица2[Наименование работ])*(G63=Таблица2[ТПиР/НСиР])*Таблица2[ПНР2012]))</f>
        <v>0</v>
      </c>
      <c r="AJ63" s="63">
        <f>IF($B$4="в текущих ценах",V63*SUMPRODUCT(($B$2=Таблица2[Филиал])*($B$3=Таблица2[ФЕР/ТЕР])*(F63=Таблица2[Наименование работ])*(G63=Таблица2[ТПиР/НСиР])*Таблица2[Оборудование2012]),V63*SUMPRODUCT(($B$2=Таблица2[Филиал])*($B$3=Таблица2[ФЕР/ТЕР])*(F63=Таблица2[Наименование работ])*(G63=Таблица2[ТПиР/НСиР])*Таблица2[Оборудование2012]))</f>
        <v>0</v>
      </c>
      <c r="AK63" s="63">
        <f>IF($B$4="в текущих ценах",W63*SUMPRODUCT(($B$2=Таблица2[Филиал])*($B$3=Таблица2[ФЕР/ТЕР])*(F63=Таблица2[Наименование работ])*(G63=Таблица2[ТПиР/НСиР])*Таблица2[Прочее2012]),W63*SUMPRODUCT(($B$2=Таблица2[Филиал])*($B$3=Таблица2[ФЕР/ТЕР])*(F63=Таблица2[Наименование работ])*(G63=Таблица2[ТПиР/НСиР])*Таблица2[Прочее2012]))</f>
        <v>0</v>
      </c>
      <c r="AL63" s="63">
        <f>данные!$X63+данные!$Y63+данные!$Z63+данные!$AA63+данные!$AB63</f>
        <v>0</v>
      </c>
      <c r="AM63" s="63">
        <v>1.03639035</v>
      </c>
      <c r="AN63" s="63">
        <v>1.0114049394</v>
      </c>
      <c r="AO63" s="63">
        <v>0.98210394336149998</v>
      </c>
      <c r="AP63" s="63">
        <v>0.93762413895893393</v>
      </c>
      <c r="AQ63" s="63"/>
      <c r="AR63" s="63"/>
      <c r="AS63" s="64"/>
      <c r="AU63" s="66">
        <f t="shared" si="5"/>
        <v>0</v>
      </c>
      <c r="AX63" s="66">
        <f t="shared" si="0"/>
        <v>0</v>
      </c>
      <c r="AY63" s="66">
        <f t="shared" si="1"/>
        <v>0</v>
      </c>
      <c r="AZ63" s="66">
        <f t="shared" si="2"/>
        <v>0</v>
      </c>
      <c r="BA63" s="66">
        <f t="shared" si="3"/>
        <v>0</v>
      </c>
      <c r="BB63" s="66">
        <f t="shared" si="4"/>
        <v>0</v>
      </c>
    </row>
    <row r="64" spans="4:54" x14ac:dyDescent="0.25">
      <c r="D64" s="62">
        <f>калькулятор!C68</f>
        <v>0</v>
      </c>
      <c r="E64" s="62">
        <f>калькулятор!F68</f>
        <v>0</v>
      </c>
      <c r="F64" s="62">
        <f>калькулятор!G68</f>
        <v>0</v>
      </c>
      <c r="G64" s="62">
        <f>калькулятор!H68</f>
        <v>0</v>
      </c>
      <c r="H64" s="62">
        <f>калькулятор!I68</f>
        <v>0</v>
      </c>
      <c r="I64" s="63">
        <f>S64*SUMPRODUCT(($B$2=Таблица2[Филиал])*($B$3=Таблица2[ФЕР/ТЕР])*(F64=Таблица2[Наименование работ])*(G64=Таблица2[ТПиР/НСиР])*Таблица2[ПИР2010])</f>
        <v>0</v>
      </c>
      <c r="J64" s="63">
        <f>T64*SUMPRODUCT(($B$2=Таблица2[Филиал])*($B$3=Таблица2[ФЕР/ТЕР])*(F64=Таблица2[Наименование работ])*(G64=Таблица2[ТПиР/НСиР])*Таблица2[СМР2010])</f>
        <v>0</v>
      </c>
      <c r="K64" s="63">
        <f>U64*SUMPRODUCT(($B$2=Таблица2[Филиал])*($B$3=Таблица2[ФЕР/ТЕР])*(F64=Таблица2[Наименование работ])*(G64=Таблица2[ТПиР/НСиР])*Таблица2[ПНР2010])</f>
        <v>0</v>
      </c>
      <c r="L64" s="63">
        <f>V64*SUMPRODUCT(($B$2=Таблица2[Филиал])*($B$3=Таблица2[ФЕР/ТЕР])*(F64=Таблица2[Наименование работ])*(G64=Таблица2[ТПиР/НСиР])*Таблица2[Оборудование2010])</f>
        <v>0</v>
      </c>
      <c r="M64" s="63">
        <f>W64*SUMPRODUCT(($B$2=Таблица2[Филиал])*($B$3=Таблица2[ФЕР/ТЕР])*(F64=Таблица2[Наименование работ])*(G64=Таблица2[ТПиР/НСиР])*Таблица2[Прочие2010])</f>
        <v>0</v>
      </c>
      <c r="N64" s="63">
        <f>S64*SUMPRODUCT(($B$2=Таблица2[Филиал])*($B$3=Таблица2[ФЕР/ТЕР])*(F64=Таблица2[Наименование работ])*(G64=Таблица2[ТПиР/НСиР])*Таблица2[ПИР2013-10])</f>
        <v>0</v>
      </c>
      <c r="O64" s="63">
        <f>T64*SUMPRODUCT(($B$2=Таблица2[Филиал])*($B$3=Таблица2[ФЕР/ТЕР])*(F64=Таблица2[Наименование работ])*(G64=Таблица2[ТПиР/НСиР])*Таблица2[СМР2013-10])</f>
        <v>0</v>
      </c>
      <c r="P64" s="63">
        <f>U64*SUMPRODUCT(($B$2=Таблица2[Филиал])*($B$3=Таблица2[ФЕР/ТЕР])*(F64=Таблица2[Наименование работ])*(G64=Таблица2[ТПиР/НСиР])*Таблица2[ПНР2013-10])</f>
        <v>0</v>
      </c>
      <c r="Q64" s="63">
        <f>V64*SUMPRODUCT(($B$2=Таблица2[Филиал])*($B$3=Таблица2[ФЕР/ТЕР])*(F64=Таблица2[Наименование работ])*(G64=Таблица2[ТПиР/НСиР])*Таблица2[Оборудование2013-10])</f>
        <v>0</v>
      </c>
      <c r="R64" s="63">
        <f>W64*SUMPRODUCT(($B$2=Таблица2[Филиал])*($B$3=Таблица2[ФЕР/ТЕР])*(F64=Таблица2[Наименование работ])*(G64=Таблица2[ТПиР/НСиР])*Таблица2[Прочие2013-10])</f>
        <v>0</v>
      </c>
      <c r="S64" s="63">
        <f>IF($B$4="в базовых ценах",калькулятор!J68,X64*SUMPRODUCT(($B$2=Таблица2[Филиал])*($B$3=Таблица2[ФЕР/ТЕР])*(F64=Таблица2[Наименование работ])*(G64=Таблица2[ТПиР/НСиР])/Таблица2[ПИР2013]))</f>
        <v>0</v>
      </c>
      <c r="T64" s="63">
        <f>IF($B$4="в базовых ценах",калькулятор!K68,Y64*SUMPRODUCT(($B$2=Таблица2[Филиал])*($B$3=Таблица2[ФЕР/ТЕР])*(F64=Таблица2[Наименование работ])*(G64=Таблица2[ТПиР/НСиР])/Таблица2[СМР2013]))</f>
        <v>0</v>
      </c>
      <c r="U64" s="63">
        <f>IF($B$4="в базовых ценах",калькулятор!L68,Z64*SUMPRODUCT(($B$2=Таблица2[Филиал])*($B$3=Таблица2[ФЕР/ТЕР])*(F64=Таблица2[Наименование работ])*(G64=Таблица2[ТПиР/НСиР])/Таблица2[ПНР2013]))</f>
        <v>0</v>
      </c>
      <c r="V64" s="63">
        <f>IF($B$4="в базовых ценах",калькулятор!M68,AA64*SUMPRODUCT(($B$2=Таблица2[Филиал])*($B$3=Таблица2[ФЕР/ТЕР])*(F64=Таблица2[Наименование работ])*(G64=Таблица2[ТПиР/НСиР])/Таблица2[Оборудование2013]))</f>
        <v>0</v>
      </c>
      <c r="W64" s="63">
        <f>IF($B$4="в базовых ценах",калькулятор!N68,AB64*SUMPRODUCT(($B$2=Таблица2[Филиал])*($B$3=Таблица2[ФЕР/ТЕР])*(F64=Таблица2[Наименование работ])*(G64=Таблица2[ТПиР/НСиР])/Таблица2[Прочие3]))</f>
        <v>0</v>
      </c>
      <c r="X64" s="63">
        <f>IF($B$4="в текущих ценах",калькулятор!J68,S64*SUMPRODUCT(($B$2=Таблица2[Филиал])*($B$3=Таблица2[ФЕР/ТЕР])*(F64=Таблица2[Наименование работ])*(G64=Таблица2[ТПиР/НСиР])*Таблица2[ПИР2013]))</f>
        <v>0</v>
      </c>
      <c r="Y64" s="63">
        <f>IF($B$4="в текущих ценах",калькулятор!K68,T64*SUMPRODUCT(($B$2=Таблица2[Филиал])*($B$3=Таблица2[ФЕР/ТЕР])*(F64=Таблица2[Наименование работ])*(G64=Таблица2[ТПиР/НСиР])*Таблица2[СМР2013]))</f>
        <v>0</v>
      </c>
      <c r="Z64" s="63">
        <f>IF($B$4="в текущих ценах",калькулятор!L68,U64*SUMPRODUCT(($B$2=Таблица2[Филиал])*($B$3=Таблица2[ФЕР/ТЕР])*(F64=Таблица2[Наименование работ])*(G64=Таблица2[ТПиР/НСиР])*Таблица2[ПНР2013]))</f>
        <v>0</v>
      </c>
      <c r="AA64" s="63">
        <f>IF($B$4="в текущих ценах",калькулятор!M68,V64*SUMPRODUCT(($B$2=Таблица2[Филиал])*($B$3=Таблица2[ФЕР/ТЕР])*(F64=Таблица2[Наименование работ])*(G64=Таблица2[ТПиР/НСиР])*Таблица2[Оборудование2013]))</f>
        <v>0</v>
      </c>
      <c r="AB64" s="63">
        <f>IF($B$4="в текущих ценах",калькулятор!N68,W64*SUMPRODUCT(($B$2=Таблица2[Филиал])*($B$3=Таблица2[ФЕР/ТЕР])*(F64=Таблица2[Наименование работ])*(G64=Таблица2[ТПиР/НСиР])*Таблица2[Прочие3]))</f>
        <v>0</v>
      </c>
      <c r="AC64" s="63">
        <f>SUM(данные!$I64:$M64)</f>
        <v>0</v>
      </c>
      <c r="AD64" s="63">
        <f>IF(SUM(данные!$N64:$R64)&gt;данные!$AF64,данные!$AF64*0.9*1.058,SUM(данные!$N64:$R64))</f>
        <v>0</v>
      </c>
      <c r="AE64" s="63">
        <f>SUM(данные!$S64:$W64)</f>
        <v>0</v>
      </c>
      <c r="AF64" s="63">
        <f>SUM(данные!$X64:$AB64)</f>
        <v>0</v>
      </c>
      <c r="AG64" s="63">
        <f>IF($B$4="в текущих ценах",S64*SUMPRODUCT(($B$2=Таблица2[Филиал])*($B$3=Таблица2[ФЕР/ТЕР])*(F64=Таблица2[Наименование работ])*(G64=Таблица2[ТПиР/НСиР])*Таблица2[ПИР2012]),S64*SUMPRODUCT(($B$2=Таблица2[Филиал])*($B$3=Таблица2[ФЕР/ТЕР])*(F64=Таблица2[Наименование работ])*(G64=Таблица2[ТПиР/НСиР])*Таблица2[ПИР2012]))</f>
        <v>0</v>
      </c>
      <c r="AH64" s="63">
        <f>IF($B$4="в текущих ценах",T64*SUMPRODUCT(($B$2=Таблица2[Филиал])*($B$3=Таблица2[ФЕР/ТЕР])*(F64=Таблица2[Наименование работ])*(G64=Таблица2[ТПиР/НСиР])*Таблица2[СМР2012]),T64*SUMPRODUCT(($B$2=Таблица2[Филиал])*($B$3=Таблица2[ФЕР/ТЕР])*(F64=Таблица2[Наименование работ])*(G64=Таблица2[ТПиР/НСиР])*Таблица2[СМР2012]))</f>
        <v>0</v>
      </c>
      <c r="AI64" s="63">
        <f>IF($B$4="в текущих ценах",U64*SUMPRODUCT(($B$2=Таблица2[Филиал])*($B$3=Таблица2[ФЕР/ТЕР])*(F64=Таблица2[Наименование работ])*(G64=Таблица2[ТПиР/НСиР])*Таблица2[ПНР2012]),U64*SUMPRODUCT(($B$2=Таблица2[Филиал])*($B$3=Таблица2[ФЕР/ТЕР])*(F64=Таблица2[Наименование работ])*(G64=Таблица2[ТПиР/НСиР])*Таблица2[ПНР2012]))</f>
        <v>0</v>
      </c>
      <c r="AJ64" s="63">
        <f>IF($B$4="в текущих ценах",V64*SUMPRODUCT(($B$2=Таблица2[Филиал])*($B$3=Таблица2[ФЕР/ТЕР])*(F64=Таблица2[Наименование работ])*(G64=Таблица2[ТПиР/НСиР])*Таблица2[Оборудование2012]),V64*SUMPRODUCT(($B$2=Таблица2[Филиал])*($B$3=Таблица2[ФЕР/ТЕР])*(F64=Таблица2[Наименование работ])*(G64=Таблица2[ТПиР/НСиР])*Таблица2[Оборудование2012]))</f>
        <v>0</v>
      </c>
      <c r="AK64" s="63">
        <f>IF($B$4="в текущих ценах",W64*SUMPRODUCT(($B$2=Таблица2[Филиал])*($B$3=Таблица2[ФЕР/ТЕР])*(F64=Таблица2[Наименование работ])*(G64=Таблица2[ТПиР/НСиР])*Таблица2[Прочее2012]),W64*SUMPRODUCT(($B$2=Таблица2[Филиал])*($B$3=Таблица2[ФЕР/ТЕР])*(F64=Таблица2[Наименование работ])*(G64=Таблица2[ТПиР/НСиР])*Таблица2[Прочее2012]))</f>
        <v>0</v>
      </c>
      <c r="AL64" s="63">
        <f>данные!$X64+данные!$Y64+данные!$Z64+данные!$AA64+данные!$AB64</f>
        <v>0</v>
      </c>
      <c r="AM64" s="63">
        <v>1.03639035</v>
      </c>
      <c r="AN64" s="63">
        <v>1.0114049394</v>
      </c>
      <c r="AO64" s="63">
        <v>0.98210394336149998</v>
      </c>
      <c r="AP64" s="63">
        <v>0.93762413895893393</v>
      </c>
      <c r="AQ64" s="63"/>
      <c r="AR64" s="63"/>
      <c r="AS64" s="64"/>
      <c r="AU64" s="66">
        <f t="shared" si="5"/>
        <v>0</v>
      </c>
      <c r="AX64" s="66">
        <f t="shared" si="0"/>
        <v>0</v>
      </c>
      <c r="AY64" s="66">
        <f t="shared" si="1"/>
        <v>0</v>
      </c>
      <c r="AZ64" s="66">
        <f t="shared" si="2"/>
        <v>0</v>
      </c>
      <c r="BA64" s="66">
        <f t="shared" si="3"/>
        <v>0</v>
      </c>
      <c r="BB64" s="66">
        <f t="shared" si="4"/>
        <v>0</v>
      </c>
    </row>
    <row r="65" spans="4:54" x14ac:dyDescent="0.25">
      <c r="D65" s="62">
        <f>калькулятор!C69</f>
        <v>0</v>
      </c>
      <c r="E65" s="62">
        <f>калькулятор!F69</f>
        <v>0</v>
      </c>
      <c r="F65" s="62">
        <f>калькулятор!G69</f>
        <v>0</v>
      </c>
      <c r="G65" s="62">
        <f>калькулятор!H69</f>
        <v>0</v>
      </c>
      <c r="H65" s="62">
        <f>калькулятор!I69</f>
        <v>0</v>
      </c>
      <c r="I65" s="63">
        <f>S65*SUMPRODUCT(($B$2=Таблица2[Филиал])*($B$3=Таблица2[ФЕР/ТЕР])*(F65=Таблица2[Наименование работ])*(G65=Таблица2[ТПиР/НСиР])*Таблица2[ПИР2010])</f>
        <v>0</v>
      </c>
      <c r="J65" s="63">
        <f>T65*SUMPRODUCT(($B$2=Таблица2[Филиал])*($B$3=Таблица2[ФЕР/ТЕР])*(F65=Таблица2[Наименование работ])*(G65=Таблица2[ТПиР/НСиР])*Таблица2[СМР2010])</f>
        <v>0</v>
      </c>
      <c r="K65" s="63">
        <f>U65*SUMPRODUCT(($B$2=Таблица2[Филиал])*($B$3=Таблица2[ФЕР/ТЕР])*(F65=Таблица2[Наименование работ])*(G65=Таблица2[ТПиР/НСиР])*Таблица2[ПНР2010])</f>
        <v>0</v>
      </c>
      <c r="L65" s="63">
        <f>V65*SUMPRODUCT(($B$2=Таблица2[Филиал])*($B$3=Таблица2[ФЕР/ТЕР])*(F65=Таблица2[Наименование работ])*(G65=Таблица2[ТПиР/НСиР])*Таблица2[Оборудование2010])</f>
        <v>0</v>
      </c>
      <c r="M65" s="63">
        <f>W65*SUMPRODUCT(($B$2=Таблица2[Филиал])*($B$3=Таблица2[ФЕР/ТЕР])*(F65=Таблица2[Наименование работ])*(G65=Таблица2[ТПиР/НСиР])*Таблица2[Прочие2010])</f>
        <v>0</v>
      </c>
      <c r="N65" s="63">
        <f>S65*SUMPRODUCT(($B$2=Таблица2[Филиал])*($B$3=Таблица2[ФЕР/ТЕР])*(F65=Таблица2[Наименование работ])*(G65=Таблица2[ТПиР/НСиР])*Таблица2[ПИР2013-10])</f>
        <v>0</v>
      </c>
      <c r="O65" s="63">
        <f>T65*SUMPRODUCT(($B$2=Таблица2[Филиал])*($B$3=Таблица2[ФЕР/ТЕР])*(F65=Таблица2[Наименование работ])*(G65=Таблица2[ТПиР/НСиР])*Таблица2[СМР2013-10])</f>
        <v>0</v>
      </c>
      <c r="P65" s="63">
        <f>U65*SUMPRODUCT(($B$2=Таблица2[Филиал])*($B$3=Таблица2[ФЕР/ТЕР])*(F65=Таблица2[Наименование работ])*(G65=Таблица2[ТПиР/НСиР])*Таблица2[ПНР2013-10])</f>
        <v>0</v>
      </c>
      <c r="Q65" s="63">
        <f>V65*SUMPRODUCT(($B$2=Таблица2[Филиал])*($B$3=Таблица2[ФЕР/ТЕР])*(F65=Таблица2[Наименование работ])*(G65=Таблица2[ТПиР/НСиР])*Таблица2[Оборудование2013-10])</f>
        <v>0</v>
      </c>
      <c r="R65" s="63">
        <f>W65*SUMPRODUCT(($B$2=Таблица2[Филиал])*($B$3=Таблица2[ФЕР/ТЕР])*(F65=Таблица2[Наименование работ])*(G65=Таблица2[ТПиР/НСиР])*Таблица2[Прочие2013-10])</f>
        <v>0</v>
      </c>
      <c r="S65" s="63">
        <f>IF($B$4="в базовых ценах",калькулятор!J69,X65*SUMPRODUCT(($B$2=Таблица2[Филиал])*($B$3=Таблица2[ФЕР/ТЕР])*(F65=Таблица2[Наименование работ])*(G65=Таблица2[ТПиР/НСиР])/Таблица2[ПИР2013]))</f>
        <v>0</v>
      </c>
      <c r="T65" s="63">
        <f>IF($B$4="в базовых ценах",калькулятор!K69,Y65*SUMPRODUCT(($B$2=Таблица2[Филиал])*($B$3=Таблица2[ФЕР/ТЕР])*(F65=Таблица2[Наименование работ])*(G65=Таблица2[ТПиР/НСиР])/Таблица2[СМР2013]))</f>
        <v>0</v>
      </c>
      <c r="U65" s="63">
        <f>IF($B$4="в базовых ценах",калькулятор!L69,Z65*SUMPRODUCT(($B$2=Таблица2[Филиал])*($B$3=Таблица2[ФЕР/ТЕР])*(F65=Таблица2[Наименование работ])*(G65=Таблица2[ТПиР/НСиР])/Таблица2[ПНР2013]))</f>
        <v>0</v>
      </c>
      <c r="V65" s="63">
        <f>IF($B$4="в базовых ценах",калькулятор!M69,AA65*SUMPRODUCT(($B$2=Таблица2[Филиал])*($B$3=Таблица2[ФЕР/ТЕР])*(F65=Таблица2[Наименование работ])*(G65=Таблица2[ТПиР/НСиР])/Таблица2[Оборудование2013]))</f>
        <v>0</v>
      </c>
      <c r="W65" s="63">
        <f>IF($B$4="в базовых ценах",калькулятор!N69,AB65*SUMPRODUCT(($B$2=Таблица2[Филиал])*($B$3=Таблица2[ФЕР/ТЕР])*(F65=Таблица2[Наименование работ])*(G65=Таблица2[ТПиР/НСиР])/Таблица2[Прочие3]))</f>
        <v>0</v>
      </c>
      <c r="X65" s="63">
        <f>IF($B$4="в текущих ценах",калькулятор!J69,S65*SUMPRODUCT(($B$2=Таблица2[Филиал])*($B$3=Таблица2[ФЕР/ТЕР])*(F65=Таблица2[Наименование работ])*(G65=Таблица2[ТПиР/НСиР])*Таблица2[ПИР2013]))</f>
        <v>0</v>
      </c>
      <c r="Y65" s="63">
        <f>IF($B$4="в текущих ценах",калькулятор!K69,T65*SUMPRODUCT(($B$2=Таблица2[Филиал])*($B$3=Таблица2[ФЕР/ТЕР])*(F65=Таблица2[Наименование работ])*(G65=Таблица2[ТПиР/НСиР])*Таблица2[СМР2013]))</f>
        <v>0</v>
      </c>
      <c r="Z65" s="63">
        <f>IF($B$4="в текущих ценах",калькулятор!L69,U65*SUMPRODUCT(($B$2=Таблица2[Филиал])*($B$3=Таблица2[ФЕР/ТЕР])*(F65=Таблица2[Наименование работ])*(G65=Таблица2[ТПиР/НСиР])*Таблица2[ПНР2013]))</f>
        <v>0</v>
      </c>
      <c r="AA65" s="63">
        <f>IF($B$4="в текущих ценах",калькулятор!M69,V65*SUMPRODUCT(($B$2=Таблица2[Филиал])*($B$3=Таблица2[ФЕР/ТЕР])*(F65=Таблица2[Наименование работ])*(G65=Таблица2[ТПиР/НСиР])*Таблица2[Оборудование2013]))</f>
        <v>0</v>
      </c>
      <c r="AB65" s="63">
        <f>IF($B$4="в текущих ценах",калькулятор!N69,W65*SUMPRODUCT(($B$2=Таблица2[Филиал])*($B$3=Таблица2[ФЕР/ТЕР])*(F65=Таблица2[Наименование работ])*(G65=Таблица2[ТПиР/НСиР])*Таблица2[Прочие3]))</f>
        <v>0</v>
      </c>
      <c r="AC65" s="63">
        <f>SUM(данные!$I65:$M65)</f>
        <v>0</v>
      </c>
      <c r="AD65" s="63">
        <f>IF(SUM(данные!$N65:$R65)&gt;данные!$AF65,данные!$AF65*0.9*1.058,SUM(данные!$N65:$R65))</f>
        <v>0</v>
      </c>
      <c r="AE65" s="63">
        <f>SUM(данные!$S65:$W65)</f>
        <v>0</v>
      </c>
      <c r="AF65" s="63">
        <f>SUM(данные!$X65:$AB65)</f>
        <v>0</v>
      </c>
      <c r="AG65" s="63">
        <f>IF($B$4="в текущих ценах",S65*SUMPRODUCT(($B$2=Таблица2[Филиал])*($B$3=Таблица2[ФЕР/ТЕР])*(F65=Таблица2[Наименование работ])*(G65=Таблица2[ТПиР/НСиР])*Таблица2[ПИР2012]),S65*SUMPRODUCT(($B$2=Таблица2[Филиал])*($B$3=Таблица2[ФЕР/ТЕР])*(F65=Таблица2[Наименование работ])*(G65=Таблица2[ТПиР/НСиР])*Таблица2[ПИР2012]))</f>
        <v>0</v>
      </c>
      <c r="AH65" s="63">
        <f>IF($B$4="в текущих ценах",T65*SUMPRODUCT(($B$2=Таблица2[Филиал])*($B$3=Таблица2[ФЕР/ТЕР])*(F65=Таблица2[Наименование работ])*(G65=Таблица2[ТПиР/НСиР])*Таблица2[СМР2012]),T65*SUMPRODUCT(($B$2=Таблица2[Филиал])*($B$3=Таблица2[ФЕР/ТЕР])*(F65=Таблица2[Наименование работ])*(G65=Таблица2[ТПиР/НСиР])*Таблица2[СМР2012]))</f>
        <v>0</v>
      </c>
      <c r="AI65" s="63">
        <f>IF($B$4="в текущих ценах",U65*SUMPRODUCT(($B$2=Таблица2[Филиал])*($B$3=Таблица2[ФЕР/ТЕР])*(F65=Таблица2[Наименование работ])*(G65=Таблица2[ТПиР/НСиР])*Таблица2[ПНР2012]),U65*SUMPRODUCT(($B$2=Таблица2[Филиал])*($B$3=Таблица2[ФЕР/ТЕР])*(F65=Таблица2[Наименование работ])*(G65=Таблица2[ТПиР/НСиР])*Таблица2[ПНР2012]))</f>
        <v>0</v>
      </c>
      <c r="AJ65" s="63">
        <f>IF($B$4="в текущих ценах",V65*SUMPRODUCT(($B$2=Таблица2[Филиал])*($B$3=Таблица2[ФЕР/ТЕР])*(F65=Таблица2[Наименование работ])*(G65=Таблица2[ТПиР/НСиР])*Таблица2[Оборудование2012]),V65*SUMPRODUCT(($B$2=Таблица2[Филиал])*($B$3=Таблица2[ФЕР/ТЕР])*(F65=Таблица2[Наименование работ])*(G65=Таблица2[ТПиР/НСиР])*Таблица2[Оборудование2012]))</f>
        <v>0</v>
      </c>
      <c r="AK65" s="63">
        <f>IF($B$4="в текущих ценах",W65*SUMPRODUCT(($B$2=Таблица2[Филиал])*($B$3=Таблица2[ФЕР/ТЕР])*(F65=Таблица2[Наименование работ])*(G65=Таблица2[ТПиР/НСиР])*Таблица2[Прочее2012]),W65*SUMPRODUCT(($B$2=Таблица2[Филиал])*($B$3=Таблица2[ФЕР/ТЕР])*(F65=Таблица2[Наименование работ])*(G65=Таблица2[ТПиР/НСиР])*Таблица2[Прочее2012]))</f>
        <v>0</v>
      </c>
      <c r="AL65" s="63">
        <f>данные!$X65+данные!$Y65+данные!$Z65+данные!$AA65+данные!$AB65</f>
        <v>0</v>
      </c>
      <c r="AM65" s="63">
        <v>1.03639035</v>
      </c>
      <c r="AN65" s="63">
        <v>1.0114049394</v>
      </c>
      <c r="AO65" s="63">
        <v>0.98210394336149998</v>
      </c>
      <c r="AP65" s="63">
        <v>0.93762413895893393</v>
      </c>
      <c r="AQ65" s="63"/>
      <c r="AR65" s="63"/>
      <c r="AS65" s="64"/>
      <c r="AU65" s="66">
        <f t="shared" si="5"/>
        <v>0</v>
      </c>
      <c r="AX65" s="66">
        <f t="shared" si="0"/>
        <v>0</v>
      </c>
      <c r="AY65" s="66">
        <f t="shared" si="1"/>
        <v>0</v>
      </c>
      <c r="AZ65" s="66">
        <f t="shared" si="2"/>
        <v>0</v>
      </c>
      <c r="BA65" s="66">
        <f t="shared" si="3"/>
        <v>0</v>
      </c>
      <c r="BB65" s="66">
        <f t="shared" si="4"/>
        <v>0</v>
      </c>
    </row>
    <row r="66" spans="4:54" x14ac:dyDescent="0.25">
      <c r="D66" s="62">
        <f>калькулятор!C70</f>
        <v>0</v>
      </c>
      <c r="E66" s="62">
        <f>калькулятор!F70</f>
        <v>0</v>
      </c>
      <c r="F66" s="62">
        <f>калькулятор!G70</f>
        <v>0</v>
      </c>
      <c r="G66" s="62">
        <f>калькулятор!H70</f>
        <v>0</v>
      </c>
      <c r="H66" s="62">
        <f>калькулятор!I70</f>
        <v>0</v>
      </c>
      <c r="I66" s="63">
        <f>S66*SUMPRODUCT(($B$2=Таблица2[Филиал])*($B$3=Таблица2[ФЕР/ТЕР])*(F66=Таблица2[Наименование работ])*(G66=Таблица2[ТПиР/НСиР])*Таблица2[ПИР2010])</f>
        <v>0</v>
      </c>
      <c r="J66" s="63">
        <f>T66*SUMPRODUCT(($B$2=Таблица2[Филиал])*($B$3=Таблица2[ФЕР/ТЕР])*(F66=Таблица2[Наименование работ])*(G66=Таблица2[ТПиР/НСиР])*Таблица2[СМР2010])</f>
        <v>0</v>
      </c>
      <c r="K66" s="63">
        <f>U66*SUMPRODUCT(($B$2=Таблица2[Филиал])*($B$3=Таблица2[ФЕР/ТЕР])*(F66=Таблица2[Наименование работ])*(G66=Таблица2[ТПиР/НСиР])*Таблица2[ПНР2010])</f>
        <v>0</v>
      </c>
      <c r="L66" s="63">
        <f>V66*SUMPRODUCT(($B$2=Таблица2[Филиал])*($B$3=Таблица2[ФЕР/ТЕР])*(F66=Таблица2[Наименование работ])*(G66=Таблица2[ТПиР/НСиР])*Таблица2[Оборудование2010])</f>
        <v>0</v>
      </c>
      <c r="M66" s="63">
        <f>W66*SUMPRODUCT(($B$2=Таблица2[Филиал])*($B$3=Таблица2[ФЕР/ТЕР])*(F66=Таблица2[Наименование работ])*(G66=Таблица2[ТПиР/НСиР])*Таблица2[Прочие2010])</f>
        <v>0</v>
      </c>
      <c r="N66" s="63">
        <f>S66*SUMPRODUCT(($B$2=Таблица2[Филиал])*($B$3=Таблица2[ФЕР/ТЕР])*(F66=Таблица2[Наименование работ])*(G66=Таблица2[ТПиР/НСиР])*Таблица2[ПИР2013-10])</f>
        <v>0</v>
      </c>
      <c r="O66" s="63">
        <f>T66*SUMPRODUCT(($B$2=Таблица2[Филиал])*($B$3=Таблица2[ФЕР/ТЕР])*(F66=Таблица2[Наименование работ])*(G66=Таблица2[ТПиР/НСиР])*Таблица2[СМР2013-10])</f>
        <v>0</v>
      </c>
      <c r="P66" s="63">
        <f>U66*SUMPRODUCT(($B$2=Таблица2[Филиал])*($B$3=Таблица2[ФЕР/ТЕР])*(F66=Таблица2[Наименование работ])*(G66=Таблица2[ТПиР/НСиР])*Таблица2[ПНР2013-10])</f>
        <v>0</v>
      </c>
      <c r="Q66" s="63">
        <f>V66*SUMPRODUCT(($B$2=Таблица2[Филиал])*($B$3=Таблица2[ФЕР/ТЕР])*(F66=Таблица2[Наименование работ])*(G66=Таблица2[ТПиР/НСиР])*Таблица2[Оборудование2013-10])</f>
        <v>0</v>
      </c>
      <c r="R66" s="63">
        <f>W66*SUMPRODUCT(($B$2=Таблица2[Филиал])*($B$3=Таблица2[ФЕР/ТЕР])*(F66=Таблица2[Наименование работ])*(G66=Таблица2[ТПиР/НСиР])*Таблица2[Прочие2013-10])</f>
        <v>0</v>
      </c>
      <c r="S66" s="63">
        <f>IF($B$4="в базовых ценах",калькулятор!J70,X66*SUMPRODUCT(($B$2=Таблица2[Филиал])*($B$3=Таблица2[ФЕР/ТЕР])*(F66=Таблица2[Наименование работ])*(G66=Таблица2[ТПиР/НСиР])/Таблица2[ПИР2013]))</f>
        <v>0</v>
      </c>
      <c r="T66" s="63">
        <f>IF($B$4="в базовых ценах",калькулятор!K70,Y66*SUMPRODUCT(($B$2=Таблица2[Филиал])*($B$3=Таблица2[ФЕР/ТЕР])*(F66=Таблица2[Наименование работ])*(G66=Таблица2[ТПиР/НСиР])/Таблица2[СМР2013]))</f>
        <v>0</v>
      </c>
      <c r="U66" s="63">
        <f>IF($B$4="в базовых ценах",калькулятор!L70,Z66*SUMPRODUCT(($B$2=Таблица2[Филиал])*($B$3=Таблица2[ФЕР/ТЕР])*(F66=Таблица2[Наименование работ])*(G66=Таблица2[ТПиР/НСиР])/Таблица2[ПНР2013]))</f>
        <v>0</v>
      </c>
      <c r="V66" s="63">
        <f>IF($B$4="в базовых ценах",калькулятор!M70,AA66*SUMPRODUCT(($B$2=Таблица2[Филиал])*($B$3=Таблица2[ФЕР/ТЕР])*(F66=Таблица2[Наименование работ])*(G66=Таблица2[ТПиР/НСиР])/Таблица2[Оборудование2013]))</f>
        <v>0</v>
      </c>
      <c r="W66" s="63">
        <f>IF($B$4="в базовых ценах",калькулятор!N70,AB66*SUMPRODUCT(($B$2=Таблица2[Филиал])*($B$3=Таблица2[ФЕР/ТЕР])*(F66=Таблица2[Наименование работ])*(G66=Таблица2[ТПиР/НСиР])/Таблица2[Прочие3]))</f>
        <v>0</v>
      </c>
      <c r="X66" s="63">
        <f>IF($B$4="в текущих ценах",калькулятор!J70,S66*SUMPRODUCT(($B$2=Таблица2[Филиал])*($B$3=Таблица2[ФЕР/ТЕР])*(F66=Таблица2[Наименование работ])*(G66=Таблица2[ТПиР/НСиР])*Таблица2[ПИР2013]))</f>
        <v>0</v>
      </c>
      <c r="Y66" s="63">
        <f>IF($B$4="в текущих ценах",калькулятор!K70,T66*SUMPRODUCT(($B$2=Таблица2[Филиал])*($B$3=Таблица2[ФЕР/ТЕР])*(F66=Таблица2[Наименование работ])*(G66=Таблица2[ТПиР/НСиР])*Таблица2[СМР2013]))</f>
        <v>0</v>
      </c>
      <c r="Z66" s="63">
        <f>IF($B$4="в текущих ценах",калькулятор!L70,U66*SUMPRODUCT(($B$2=Таблица2[Филиал])*($B$3=Таблица2[ФЕР/ТЕР])*(F66=Таблица2[Наименование работ])*(G66=Таблица2[ТПиР/НСиР])*Таблица2[ПНР2013]))</f>
        <v>0</v>
      </c>
      <c r="AA66" s="63">
        <f>IF($B$4="в текущих ценах",калькулятор!M70,V66*SUMPRODUCT(($B$2=Таблица2[Филиал])*($B$3=Таблица2[ФЕР/ТЕР])*(F66=Таблица2[Наименование работ])*(G66=Таблица2[ТПиР/НСиР])*Таблица2[Оборудование2013]))</f>
        <v>0</v>
      </c>
      <c r="AB66" s="63">
        <f>IF($B$4="в текущих ценах",калькулятор!N70,W66*SUMPRODUCT(($B$2=Таблица2[Филиал])*($B$3=Таблица2[ФЕР/ТЕР])*(F66=Таблица2[Наименование работ])*(G66=Таблица2[ТПиР/НСиР])*Таблица2[Прочие3]))</f>
        <v>0</v>
      </c>
      <c r="AC66" s="63">
        <f>SUM(данные!$I66:$M66)</f>
        <v>0</v>
      </c>
      <c r="AD66" s="63">
        <f>IF(SUM(данные!$N66:$R66)&gt;данные!$AF66,данные!$AF66*0.9*1.058,SUM(данные!$N66:$R66))</f>
        <v>0</v>
      </c>
      <c r="AE66" s="63">
        <f>SUM(данные!$S66:$W66)</f>
        <v>0</v>
      </c>
      <c r="AF66" s="63">
        <f>SUM(данные!$X66:$AB66)</f>
        <v>0</v>
      </c>
      <c r="AG66" s="63">
        <f>IF($B$4="в текущих ценах",S66*SUMPRODUCT(($B$2=Таблица2[Филиал])*($B$3=Таблица2[ФЕР/ТЕР])*(F66=Таблица2[Наименование работ])*(G66=Таблица2[ТПиР/НСиР])*Таблица2[ПИР2012]),S66*SUMPRODUCT(($B$2=Таблица2[Филиал])*($B$3=Таблица2[ФЕР/ТЕР])*(F66=Таблица2[Наименование работ])*(G66=Таблица2[ТПиР/НСиР])*Таблица2[ПИР2012]))</f>
        <v>0</v>
      </c>
      <c r="AH66" s="63">
        <f>IF($B$4="в текущих ценах",T66*SUMPRODUCT(($B$2=Таблица2[Филиал])*($B$3=Таблица2[ФЕР/ТЕР])*(F66=Таблица2[Наименование работ])*(G66=Таблица2[ТПиР/НСиР])*Таблица2[СМР2012]),T66*SUMPRODUCT(($B$2=Таблица2[Филиал])*($B$3=Таблица2[ФЕР/ТЕР])*(F66=Таблица2[Наименование работ])*(G66=Таблица2[ТПиР/НСиР])*Таблица2[СМР2012]))</f>
        <v>0</v>
      </c>
      <c r="AI66" s="63">
        <f>IF($B$4="в текущих ценах",U66*SUMPRODUCT(($B$2=Таблица2[Филиал])*($B$3=Таблица2[ФЕР/ТЕР])*(F66=Таблица2[Наименование работ])*(G66=Таблица2[ТПиР/НСиР])*Таблица2[ПНР2012]),U66*SUMPRODUCT(($B$2=Таблица2[Филиал])*($B$3=Таблица2[ФЕР/ТЕР])*(F66=Таблица2[Наименование работ])*(G66=Таблица2[ТПиР/НСиР])*Таблица2[ПНР2012]))</f>
        <v>0</v>
      </c>
      <c r="AJ66" s="63">
        <f>IF($B$4="в текущих ценах",V66*SUMPRODUCT(($B$2=Таблица2[Филиал])*($B$3=Таблица2[ФЕР/ТЕР])*(F66=Таблица2[Наименование работ])*(G66=Таблица2[ТПиР/НСиР])*Таблица2[Оборудование2012]),V66*SUMPRODUCT(($B$2=Таблица2[Филиал])*($B$3=Таблица2[ФЕР/ТЕР])*(F66=Таблица2[Наименование работ])*(G66=Таблица2[ТПиР/НСиР])*Таблица2[Оборудование2012]))</f>
        <v>0</v>
      </c>
      <c r="AK66" s="63">
        <f>IF($B$4="в текущих ценах",W66*SUMPRODUCT(($B$2=Таблица2[Филиал])*($B$3=Таблица2[ФЕР/ТЕР])*(F66=Таблица2[Наименование работ])*(G66=Таблица2[ТПиР/НСиР])*Таблица2[Прочее2012]),W66*SUMPRODUCT(($B$2=Таблица2[Филиал])*($B$3=Таблица2[ФЕР/ТЕР])*(F66=Таблица2[Наименование работ])*(G66=Таблица2[ТПиР/НСиР])*Таблица2[Прочее2012]))</f>
        <v>0</v>
      </c>
      <c r="AL66" s="63">
        <f>данные!$X66+данные!$Y66+данные!$Z66+данные!$AA66+данные!$AB66</f>
        <v>0</v>
      </c>
      <c r="AM66" s="63">
        <v>1.03639035</v>
      </c>
      <c r="AN66" s="63">
        <v>1.0114049394</v>
      </c>
      <c r="AO66" s="63">
        <v>0.98210394336149998</v>
      </c>
      <c r="AP66" s="63">
        <v>0.93762413895893393</v>
      </c>
      <c r="AQ66" s="63"/>
      <c r="AR66" s="63"/>
      <c r="AS66" s="64"/>
      <c r="AU66" s="66">
        <f t="shared" si="5"/>
        <v>0</v>
      </c>
      <c r="AX66" s="66">
        <f t="shared" si="0"/>
        <v>0</v>
      </c>
      <c r="AY66" s="66">
        <f t="shared" si="1"/>
        <v>0</v>
      </c>
      <c r="AZ66" s="66">
        <f t="shared" si="2"/>
        <v>0</v>
      </c>
      <c r="BA66" s="66">
        <f t="shared" si="3"/>
        <v>0</v>
      </c>
      <c r="BB66" s="66">
        <f t="shared" si="4"/>
        <v>0</v>
      </c>
    </row>
    <row r="67" spans="4:54" x14ac:dyDescent="0.25">
      <c r="D67" s="62">
        <f>калькулятор!C71</f>
        <v>0</v>
      </c>
      <c r="E67" s="62">
        <f>калькулятор!F71</f>
        <v>0</v>
      </c>
      <c r="F67" s="62">
        <f>калькулятор!G71</f>
        <v>0</v>
      </c>
      <c r="G67" s="62">
        <f>калькулятор!H71</f>
        <v>0</v>
      </c>
      <c r="H67" s="62">
        <f>калькулятор!I71</f>
        <v>0</v>
      </c>
      <c r="I67" s="63">
        <f>S67*SUMPRODUCT(($B$2=Таблица2[Филиал])*($B$3=Таблица2[ФЕР/ТЕР])*(F67=Таблица2[Наименование работ])*(G67=Таблица2[ТПиР/НСиР])*Таблица2[ПИР2010])</f>
        <v>0</v>
      </c>
      <c r="J67" s="63">
        <f>T67*SUMPRODUCT(($B$2=Таблица2[Филиал])*($B$3=Таблица2[ФЕР/ТЕР])*(F67=Таблица2[Наименование работ])*(G67=Таблица2[ТПиР/НСиР])*Таблица2[СМР2010])</f>
        <v>0</v>
      </c>
      <c r="K67" s="63">
        <f>U67*SUMPRODUCT(($B$2=Таблица2[Филиал])*($B$3=Таблица2[ФЕР/ТЕР])*(F67=Таблица2[Наименование работ])*(G67=Таблица2[ТПиР/НСиР])*Таблица2[ПНР2010])</f>
        <v>0</v>
      </c>
      <c r="L67" s="63">
        <f>V67*SUMPRODUCT(($B$2=Таблица2[Филиал])*($B$3=Таблица2[ФЕР/ТЕР])*(F67=Таблица2[Наименование работ])*(G67=Таблица2[ТПиР/НСиР])*Таблица2[Оборудование2010])</f>
        <v>0</v>
      </c>
      <c r="M67" s="63">
        <f>W67*SUMPRODUCT(($B$2=Таблица2[Филиал])*($B$3=Таблица2[ФЕР/ТЕР])*(F67=Таблица2[Наименование работ])*(G67=Таблица2[ТПиР/НСиР])*Таблица2[Прочие2010])</f>
        <v>0</v>
      </c>
      <c r="N67" s="63">
        <f>S67*SUMPRODUCT(($B$2=Таблица2[Филиал])*($B$3=Таблица2[ФЕР/ТЕР])*(F67=Таблица2[Наименование работ])*(G67=Таблица2[ТПиР/НСиР])*Таблица2[ПИР2013-10])</f>
        <v>0</v>
      </c>
      <c r="O67" s="63">
        <f>T67*SUMPRODUCT(($B$2=Таблица2[Филиал])*($B$3=Таблица2[ФЕР/ТЕР])*(F67=Таблица2[Наименование работ])*(G67=Таблица2[ТПиР/НСиР])*Таблица2[СМР2013-10])</f>
        <v>0</v>
      </c>
      <c r="P67" s="63">
        <f>U67*SUMPRODUCT(($B$2=Таблица2[Филиал])*($B$3=Таблица2[ФЕР/ТЕР])*(F67=Таблица2[Наименование работ])*(G67=Таблица2[ТПиР/НСиР])*Таблица2[ПНР2013-10])</f>
        <v>0</v>
      </c>
      <c r="Q67" s="63">
        <f>V67*SUMPRODUCT(($B$2=Таблица2[Филиал])*($B$3=Таблица2[ФЕР/ТЕР])*(F67=Таблица2[Наименование работ])*(G67=Таблица2[ТПиР/НСиР])*Таблица2[Оборудование2013-10])</f>
        <v>0</v>
      </c>
      <c r="R67" s="63">
        <f>W67*SUMPRODUCT(($B$2=Таблица2[Филиал])*($B$3=Таблица2[ФЕР/ТЕР])*(F67=Таблица2[Наименование работ])*(G67=Таблица2[ТПиР/НСиР])*Таблица2[Прочие2013-10])</f>
        <v>0</v>
      </c>
      <c r="S67" s="63">
        <f>IF($B$4="в базовых ценах",калькулятор!J71,X67*SUMPRODUCT(($B$2=Таблица2[Филиал])*($B$3=Таблица2[ФЕР/ТЕР])*(F67=Таблица2[Наименование работ])*(G67=Таблица2[ТПиР/НСиР])/Таблица2[ПИР2013]))</f>
        <v>0</v>
      </c>
      <c r="T67" s="63">
        <f>IF($B$4="в базовых ценах",калькулятор!K71,Y67*SUMPRODUCT(($B$2=Таблица2[Филиал])*($B$3=Таблица2[ФЕР/ТЕР])*(F67=Таблица2[Наименование работ])*(G67=Таблица2[ТПиР/НСиР])/Таблица2[СМР2013]))</f>
        <v>0</v>
      </c>
      <c r="U67" s="63">
        <f>IF($B$4="в базовых ценах",калькулятор!L71,Z67*SUMPRODUCT(($B$2=Таблица2[Филиал])*($B$3=Таблица2[ФЕР/ТЕР])*(F67=Таблица2[Наименование работ])*(G67=Таблица2[ТПиР/НСиР])/Таблица2[ПНР2013]))</f>
        <v>0</v>
      </c>
      <c r="V67" s="63">
        <f>IF($B$4="в базовых ценах",калькулятор!M71,AA67*SUMPRODUCT(($B$2=Таблица2[Филиал])*($B$3=Таблица2[ФЕР/ТЕР])*(F67=Таблица2[Наименование работ])*(G67=Таблица2[ТПиР/НСиР])/Таблица2[Оборудование2013]))</f>
        <v>0</v>
      </c>
      <c r="W67" s="63">
        <f>IF($B$4="в базовых ценах",калькулятор!N71,AB67*SUMPRODUCT(($B$2=Таблица2[Филиал])*($B$3=Таблица2[ФЕР/ТЕР])*(F67=Таблица2[Наименование работ])*(G67=Таблица2[ТПиР/НСиР])/Таблица2[Прочие3]))</f>
        <v>0</v>
      </c>
      <c r="X67" s="63">
        <f>IF($B$4="в текущих ценах",калькулятор!J71,S67*SUMPRODUCT(($B$2=Таблица2[Филиал])*($B$3=Таблица2[ФЕР/ТЕР])*(F67=Таблица2[Наименование работ])*(G67=Таблица2[ТПиР/НСиР])*Таблица2[ПИР2013]))</f>
        <v>0</v>
      </c>
      <c r="Y67" s="63">
        <f>IF($B$4="в текущих ценах",калькулятор!K71,T67*SUMPRODUCT(($B$2=Таблица2[Филиал])*($B$3=Таблица2[ФЕР/ТЕР])*(F67=Таблица2[Наименование работ])*(G67=Таблица2[ТПиР/НСиР])*Таблица2[СМР2013]))</f>
        <v>0</v>
      </c>
      <c r="Z67" s="63">
        <f>IF($B$4="в текущих ценах",калькулятор!L71,U67*SUMPRODUCT(($B$2=Таблица2[Филиал])*($B$3=Таблица2[ФЕР/ТЕР])*(F67=Таблица2[Наименование работ])*(G67=Таблица2[ТПиР/НСиР])*Таблица2[ПНР2013]))</f>
        <v>0</v>
      </c>
      <c r="AA67" s="63">
        <f>IF($B$4="в текущих ценах",калькулятор!M71,V67*SUMPRODUCT(($B$2=Таблица2[Филиал])*($B$3=Таблица2[ФЕР/ТЕР])*(F67=Таблица2[Наименование работ])*(G67=Таблица2[ТПиР/НСиР])*Таблица2[Оборудование2013]))</f>
        <v>0</v>
      </c>
      <c r="AB67" s="63">
        <f>IF($B$4="в текущих ценах",калькулятор!N71,W67*SUMPRODUCT(($B$2=Таблица2[Филиал])*($B$3=Таблица2[ФЕР/ТЕР])*(F67=Таблица2[Наименование работ])*(G67=Таблица2[ТПиР/НСиР])*Таблица2[Прочие3]))</f>
        <v>0</v>
      </c>
      <c r="AC67" s="63">
        <f>SUM(данные!$I67:$M67)</f>
        <v>0</v>
      </c>
      <c r="AD67" s="63">
        <f>IF(SUM(данные!$N67:$R67)&gt;данные!$AF67,данные!$AF67*0.9*1.058,SUM(данные!$N67:$R67))</f>
        <v>0</v>
      </c>
      <c r="AE67" s="63">
        <f>SUM(данные!$S67:$W67)</f>
        <v>0</v>
      </c>
      <c r="AF67" s="63">
        <f>SUM(данные!$X67:$AB67)</f>
        <v>0</v>
      </c>
      <c r="AG67" s="63">
        <f>IF($B$4="в текущих ценах",S67*SUMPRODUCT(($B$2=Таблица2[Филиал])*($B$3=Таблица2[ФЕР/ТЕР])*(F67=Таблица2[Наименование работ])*(G67=Таблица2[ТПиР/НСиР])*Таблица2[ПИР2012]),S67*SUMPRODUCT(($B$2=Таблица2[Филиал])*($B$3=Таблица2[ФЕР/ТЕР])*(F67=Таблица2[Наименование работ])*(G67=Таблица2[ТПиР/НСиР])*Таблица2[ПИР2012]))</f>
        <v>0</v>
      </c>
      <c r="AH67" s="63">
        <f>IF($B$4="в текущих ценах",T67*SUMPRODUCT(($B$2=Таблица2[Филиал])*($B$3=Таблица2[ФЕР/ТЕР])*(F67=Таблица2[Наименование работ])*(G67=Таблица2[ТПиР/НСиР])*Таблица2[СМР2012]),T67*SUMPRODUCT(($B$2=Таблица2[Филиал])*($B$3=Таблица2[ФЕР/ТЕР])*(F67=Таблица2[Наименование работ])*(G67=Таблица2[ТПиР/НСиР])*Таблица2[СМР2012]))</f>
        <v>0</v>
      </c>
      <c r="AI67" s="63">
        <f>IF($B$4="в текущих ценах",U67*SUMPRODUCT(($B$2=Таблица2[Филиал])*($B$3=Таблица2[ФЕР/ТЕР])*(F67=Таблица2[Наименование работ])*(G67=Таблица2[ТПиР/НСиР])*Таблица2[ПНР2012]),U67*SUMPRODUCT(($B$2=Таблица2[Филиал])*($B$3=Таблица2[ФЕР/ТЕР])*(F67=Таблица2[Наименование работ])*(G67=Таблица2[ТПиР/НСиР])*Таблица2[ПНР2012]))</f>
        <v>0</v>
      </c>
      <c r="AJ67" s="63">
        <f>IF($B$4="в текущих ценах",V67*SUMPRODUCT(($B$2=Таблица2[Филиал])*($B$3=Таблица2[ФЕР/ТЕР])*(F67=Таблица2[Наименование работ])*(G67=Таблица2[ТПиР/НСиР])*Таблица2[Оборудование2012]),V67*SUMPRODUCT(($B$2=Таблица2[Филиал])*($B$3=Таблица2[ФЕР/ТЕР])*(F67=Таблица2[Наименование работ])*(G67=Таблица2[ТПиР/НСиР])*Таблица2[Оборудование2012]))</f>
        <v>0</v>
      </c>
      <c r="AK67" s="63">
        <f>IF($B$4="в текущих ценах",W67*SUMPRODUCT(($B$2=Таблица2[Филиал])*($B$3=Таблица2[ФЕР/ТЕР])*(F67=Таблица2[Наименование работ])*(G67=Таблица2[ТПиР/НСиР])*Таблица2[Прочее2012]),W67*SUMPRODUCT(($B$2=Таблица2[Филиал])*($B$3=Таблица2[ФЕР/ТЕР])*(F67=Таблица2[Наименование работ])*(G67=Таблица2[ТПиР/НСиР])*Таблица2[Прочее2012]))</f>
        <v>0</v>
      </c>
      <c r="AL67" s="63">
        <f>данные!$X67+данные!$Y67+данные!$Z67+данные!$AA67+данные!$AB67</f>
        <v>0</v>
      </c>
      <c r="AM67" s="63">
        <v>1.03639035</v>
      </c>
      <c r="AN67" s="63">
        <v>1.0114049394</v>
      </c>
      <c r="AO67" s="63">
        <v>0.98210394336149998</v>
      </c>
      <c r="AP67" s="63">
        <v>0.93762413895893393</v>
      </c>
      <c r="AQ67" s="63"/>
      <c r="AR67" s="63"/>
      <c r="AS67" s="64"/>
      <c r="AU67" s="66">
        <f t="shared" si="5"/>
        <v>0</v>
      </c>
      <c r="AX67" s="66">
        <f t="shared" si="0"/>
        <v>0</v>
      </c>
      <c r="AY67" s="66">
        <f t="shared" si="1"/>
        <v>0</v>
      </c>
      <c r="AZ67" s="66">
        <f t="shared" si="2"/>
        <v>0</v>
      </c>
      <c r="BA67" s="66">
        <f t="shared" si="3"/>
        <v>0</v>
      </c>
      <c r="BB67" s="66">
        <f t="shared" si="4"/>
        <v>0</v>
      </c>
    </row>
    <row r="68" spans="4:54" x14ac:dyDescent="0.25">
      <c r="D68" s="62">
        <f>калькулятор!C72</f>
        <v>0</v>
      </c>
      <c r="E68" s="62">
        <f>калькулятор!F72</f>
        <v>0</v>
      </c>
      <c r="F68" s="62">
        <f>калькулятор!G72</f>
        <v>0</v>
      </c>
      <c r="G68" s="62">
        <f>калькулятор!H72</f>
        <v>0</v>
      </c>
      <c r="H68" s="62">
        <f>калькулятор!I72</f>
        <v>0</v>
      </c>
      <c r="I68" s="63">
        <f>S68*SUMPRODUCT(($B$2=Таблица2[Филиал])*($B$3=Таблица2[ФЕР/ТЕР])*(F68=Таблица2[Наименование работ])*(G68=Таблица2[ТПиР/НСиР])*Таблица2[ПИР2010])</f>
        <v>0</v>
      </c>
      <c r="J68" s="63">
        <f>T68*SUMPRODUCT(($B$2=Таблица2[Филиал])*($B$3=Таблица2[ФЕР/ТЕР])*(F68=Таблица2[Наименование работ])*(G68=Таблица2[ТПиР/НСиР])*Таблица2[СМР2010])</f>
        <v>0</v>
      </c>
      <c r="K68" s="63">
        <f>U68*SUMPRODUCT(($B$2=Таблица2[Филиал])*($B$3=Таблица2[ФЕР/ТЕР])*(F68=Таблица2[Наименование работ])*(G68=Таблица2[ТПиР/НСиР])*Таблица2[ПНР2010])</f>
        <v>0</v>
      </c>
      <c r="L68" s="63">
        <f>V68*SUMPRODUCT(($B$2=Таблица2[Филиал])*($B$3=Таблица2[ФЕР/ТЕР])*(F68=Таблица2[Наименование работ])*(G68=Таблица2[ТПиР/НСиР])*Таблица2[Оборудование2010])</f>
        <v>0</v>
      </c>
      <c r="M68" s="63">
        <f>W68*SUMPRODUCT(($B$2=Таблица2[Филиал])*($B$3=Таблица2[ФЕР/ТЕР])*(F68=Таблица2[Наименование работ])*(G68=Таблица2[ТПиР/НСиР])*Таблица2[Прочие2010])</f>
        <v>0</v>
      </c>
      <c r="N68" s="63">
        <f>S68*SUMPRODUCT(($B$2=Таблица2[Филиал])*($B$3=Таблица2[ФЕР/ТЕР])*(F68=Таблица2[Наименование работ])*(G68=Таблица2[ТПиР/НСиР])*Таблица2[ПИР2013-10])</f>
        <v>0</v>
      </c>
      <c r="O68" s="63">
        <f>T68*SUMPRODUCT(($B$2=Таблица2[Филиал])*($B$3=Таблица2[ФЕР/ТЕР])*(F68=Таблица2[Наименование работ])*(G68=Таблица2[ТПиР/НСиР])*Таблица2[СМР2013-10])</f>
        <v>0</v>
      </c>
      <c r="P68" s="63">
        <f>U68*SUMPRODUCT(($B$2=Таблица2[Филиал])*($B$3=Таблица2[ФЕР/ТЕР])*(F68=Таблица2[Наименование работ])*(G68=Таблица2[ТПиР/НСиР])*Таблица2[ПНР2013-10])</f>
        <v>0</v>
      </c>
      <c r="Q68" s="63">
        <f>V68*SUMPRODUCT(($B$2=Таблица2[Филиал])*($B$3=Таблица2[ФЕР/ТЕР])*(F68=Таблица2[Наименование работ])*(G68=Таблица2[ТПиР/НСиР])*Таблица2[Оборудование2013-10])</f>
        <v>0</v>
      </c>
      <c r="R68" s="63">
        <f>W68*SUMPRODUCT(($B$2=Таблица2[Филиал])*($B$3=Таблица2[ФЕР/ТЕР])*(F68=Таблица2[Наименование работ])*(G68=Таблица2[ТПиР/НСиР])*Таблица2[Прочие2013-10])</f>
        <v>0</v>
      </c>
      <c r="S68" s="63">
        <f>IF($B$4="в базовых ценах",калькулятор!J72,X68*SUMPRODUCT(($B$2=Таблица2[Филиал])*($B$3=Таблица2[ФЕР/ТЕР])*(F68=Таблица2[Наименование работ])*(G68=Таблица2[ТПиР/НСиР])/Таблица2[ПИР2013]))</f>
        <v>0</v>
      </c>
      <c r="T68" s="63">
        <f>IF($B$4="в базовых ценах",калькулятор!K72,Y68*SUMPRODUCT(($B$2=Таблица2[Филиал])*($B$3=Таблица2[ФЕР/ТЕР])*(F68=Таблица2[Наименование работ])*(G68=Таблица2[ТПиР/НСиР])/Таблица2[СМР2013]))</f>
        <v>0</v>
      </c>
      <c r="U68" s="63">
        <f>IF($B$4="в базовых ценах",калькулятор!L72,Z68*SUMPRODUCT(($B$2=Таблица2[Филиал])*($B$3=Таблица2[ФЕР/ТЕР])*(F68=Таблица2[Наименование работ])*(G68=Таблица2[ТПиР/НСиР])/Таблица2[ПНР2013]))</f>
        <v>0</v>
      </c>
      <c r="V68" s="63">
        <f>IF($B$4="в базовых ценах",калькулятор!M72,AA68*SUMPRODUCT(($B$2=Таблица2[Филиал])*($B$3=Таблица2[ФЕР/ТЕР])*(F68=Таблица2[Наименование работ])*(G68=Таблица2[ТПиР/НСиР])/Таблица2[Оборудование2013]))</f>
        <v>0</v>
      </c>
      <c r="W68" s="63">
        <f>IF($B$4="в базовых ценах",калькулятор!N72,AB68*SUMPRODUCT(($B$2=Таблица2[Филиал])*($B$3=Таблица2[ФЕР/ТЕР])*(F68=Таблица2[Наименование работ])*(G68=Таблица2[ТПиР/НСиР])/Таблица2[Прочие3]))</f>
        <v>0</v>
      </c>
      <c r="X68" s="63">
        <f>IF($B$4="в текущих ценах",калькулятор!J72,S68*SUMPRODUCT(($B$2=Таблица2[Филиал])*($B$3=Таблица2[ФЕР/ТЕР])*(F68=Таблица2[Наименование работ])*(G68=Таблица2[ТПиР/НСиР])*Таблица2[ПИР2013]))</f>
        <v>0</v>
      </c>
      <c r="Y68" s="63">
        <f>IF($B$4="в текущих ценах",калькулятор!K72,T68*SUMPRODUCT(($B$2=Таблица2[Филиал])*($B$3=Таблица2[ФЕР/ТЕР])*(F68=Таблица2[Наименование работ])*(G68=Таблица2[ТПиР/НСиР])*Таблица2[СМР2013]))</f>
        <v>0</v>
      </c>
      <c r="Z68" s="63">
        <f>IF($B$4="в текущих ценах",калькулятор!L72,U68*SUMPRODUCT(($B$2=Таблица2[Филиал])*($B$3=Таблица2[ФЕР/ТЕР])*(F68=Таблица2[Наименование работ])*(G68=Таблица2[ТПиР/НСиР])*Таблица2[ПНР2013]))</f>
        <v>0</v>
      </c>
      <c r="AA68" s="63">
        <f>IF($B$4="в текущих ценах",калькулятор!M72,V68*SUMPRODUCT(($B$2=Таблица2[Филиал])*($B$3=Таблица2[ФЕР/ТЕР])*(F68=Таблица2[Наименование работ])*(G68=Таблица2[ТПиР/НСиР])*Таблица2[Оборудование2013]))</f>
        <v>0</v>
      </c>
      <c r="AB68" s="63">
        <f>IF($B$4="в текущих ценах",калькулятор!N72,W68*SUMPRODUCT(($B$2=Таблица2[Филиал])*($B$3=Таблица2[ФЕР/ТЕР])*(F68=Таблица2[Наименование работ])*(G68=Таблица2[ТПиР/НСиР])*Таблица2[Прочие3]))</f>
        <v>0</v>
      </c>
      <c r="AC68" s="63">
        <f>SUM(данные!$I68:$M68)</f>
        <v>0</v>
      </c>
      <c r="AD68" s="63">
        <f>IF(SUM(данные!$N68:$R68)&gt;данные!$AF68,данные!$AF68*0.9*1.058,SUM(данные!$N68:$R68))</f>
        <v>0</v>
      </c>
      <c r="AE68" s="63">
        <f>SUM(данные!$S68:$W68)</f>
        <v>0</v>
      </c>
      <c r="AF68" s="63">
        <f>SUM(данные!$X68:$AB68)</f>
        <v>0</v>
      </c>
      <c r="AG68" s="63">
        <f>IF($B$4="в текущих ценах",S68*SUMPRODUCT(($B$2=Таблица2[Филиал])*($B$3=Таблица2[ФЕР/ТЕР])*(F68=Таблица2[Наименование работ])*(G68=Таблица2[ТПиР/НСиР])*Таблица2[ПИР2012]),S68*SUMPRODUCT(($B$2=Таблица2[Филиал])*($B$3=Таблица2[ФЕР/ТЕР])*(F68=Таблица2[Наименование работ])*(G68=Таблица2[ТПиР/НСиР])*Таблица2[ПИР2012]))</f>
        <v>0</v>
      </c>
      <c r="AH68" s="63">
        <f>IF($B$4="в текущих ценах",T68*SUMPRODUCT(($B$2=Таблица2[Филиал])*($B$3=Таблица2[ФЕР/ТЕР])*(F68=Таблица2[Наименование работ])*(G68=Таблица2[ТПиР/НСиР])*Таблица2[СМР2012]),T68*SUMPRODUCT(($B$2=Таблица2[Филиал])*($B$3=Таблица2[ФЕР/ТЕР])*(F68=Таблица2[Наименование работ])*(G68=Таблица2[ТПиР/НСиР])*Таблица2[СМР2012]))</f>
        <v>0</v>
      </c>
      <c r="AI68" s="63">
        <f>IF($B$4="в текущих ценах",U68*SUMPRODUCT(($B$2=Таблица2[Филиал])*($B$3=Таблица2[ФЕР/ТЕР])*(F68=Таблица2[Наименование работ])*(G68=Таблица2[ТПиР/НСиР])*Таблица2[ПНР2012]),U68*SUMPRODUCT(($B$2=Таблица2[Филиал])*($B$3=Таблица2[ФЕР/ТЕР])*(F68=Таблица2[Наименование работ])*(G68=Таблица2[ТПиР/НСиР])*Таблица2[ПНР2012]))</f>
        <v>0</v>
      </c>
      <c r="AJ68" s="63">
        <f>IF($B$4="в текущих ценах",V68*SUMPRODUCT(($B$2=Таблица2[Филиал])*($B$3=Таблица2[ФЕР/ТЕР])*(F68=Таблица2[Наименование работ])*(G68=Таблица2[ТПиР/НСиР])*Таблица2[Оборудование2012]),V68*SUMPRODUCT(($B$2=Таблица2[Филиал])*($B$3=Таблица2[ФЕР/ТЕР])*(F68=Таблица2[Наименование работ])*(G68=Таблица2[ТПиР/НСиР])*Таблица2[Оборудование2012]))</f>
        <v>0</v>
      </c>
      <c r="AK68" s="63">
        <f>IF($B$4="в текущих ценах",W68*SUMPRODUCT(($B$2=Таблица2[Филиал])*($B$3=Таблица2[ФЕР/ТЕР])*(F68=Таблица2[Наименование работ])*(G68=Таблица2[ТПиР/НСиР])*Таблица2[Прочее2012]),W68*SUMPRODUCT(($B$2=Таблица2[Филиал])*($B$3=Таблица2[ФЕР/ТЕР])*(F68=Таблица2[Наименование работ])*(G68=Таблица2[ТПиР/НСиР])*Таблица2[Прочее2012]))</f>
        <v>0</v>
      </c>
      <c r="AL68" s="63">
        <f>данные!$X68+данные!$Y68+данные!$Z68+данные!$AA68+данные!$AB68</f>
        <v>0</v>
      </c>
      <c r="AM68" s="63">
        <v>1.03639035</v>
      </c>
      <c r="AN68" s="63">
        <v>1.0114049394</v>
      </c>
      <c r="AO68" s="63">
        <v>0.98210394336149998</v>
      </c>
      <c r="AP68" s="63">
        <v>0.93762413895893393</v>
      </c>
      <c r="AQ68" s="63"/>
      <c r="AR68" s="63"/>
      <c r="AS68" s="64"/>
      <c r="AU68" s="66">
        <f t="shared" ref="AU68:AU131" si="6">AG68+AH68+AI68+AJ68+AK68</f>
        <v>0</v>
      </c>
      <c r="AX68" s="66">
        <f t="shared" ref="AX68:AX131" si="7">IF(SUM(N68:R68)&gt;SUM(X68:AB68),X68*0.9*1.058,N68)</f>
        <v>0</v>
      </c>
      <c r="AY68" s="66">
        <f t="shared" ref="AY68:AY131" si="8">IF(SUM(N68:R68)&gt;SUM(X68:AB68),Y68*0.9*1.058,O68)</f>
        <v>0</v>
      </c>
      <c r="AZ68" s="66">
        <f t="shared" ref="AZ68:AZ131" si="9">IF(SUM(N68:R68)&gt;SUM(X68:AB68),Z68*0.9*1.058,P68)</f>
        <v>0</v>
      </c>
      <c r="BA68" s="66">
        <f t="shared" ref="BA68:BA131" si="10">IF(SUM(N68:R68)&gt;SUM(X68:AB68),AA68*0.9*1.058,Q68)</f>
        <v>0</v>
      </c>
      <c r="BB68" s="66">
        <f t="shared" ref="BB68:BB131" si="11">IF(SUM(N68:R68)&gt;SUM(X68:AB68),AB68*0.9*1.058,R68)</f>
        <v>0</v>
      </c>
    </row>
    <row r="69" spans="4:54" x14ac:dyDescent="0.25">
      <c r="D69" s="62">
        <f>калькулятор!C73</f>
        <v>0</v>
      </c>
      <c r="E69" s="62">
        <f>калькулятор!F73</f>
        <v>0</v>
      </c>
      <c r="F69" s="62">
        <f>калькулятор!G73</f>
        <v>0</v>
      </c>
      <c r="G69" s="62">
        <f>калькулятор!H73</f>
        <v>0</v>
      </c>
      <c r="H69" s="62">
        <f>калькулятор!I73</f>
        <v>0</v>
      </c>
      <c r="I69" s="63">
        <f>S69*SUMPRODUCT(($B$2=Таблица2[Филиал])*($B$3=Таблица2[ФЕР/ТЕР])*(F69=Таблица2[Наименование работ])*(G69=Таблица2[ТПиР/НСиР])*Таблица2[ПИР2010])</f>
        <v>0</v>
      </c>
      <c r="J69" s="63">
        <f>T69*SUMPRODUCT(($B$2=Таблица2[Филиал])*($B$3=Таблица2[ФЕР/ТЕР])*(F69=Таблица2[Наименование работ])*(G69=Таблица2[ТПиР/НСиР])*Таблица2[СМР2010])</f>
        <v>0</v>
      </c>
      <c r="K69" s="63">
        <f>U69*SUMPRODUCT(($B$2=Таблица2[Филиал])*($B$3=Таблица2[ФЕР/ТЕР])*(F69=Таблица2[Наименование работ])*(G69=Таблица2[ТПиР/НСиР])*Таблица2[ПНР2010])</f>
        <v>0</v>
      </c>
      <c r="L69" s="63">
        <f>V69*SUMPRODUCT(($B$2=Таблица2[Филиал])*($B$3=Таблица2[ФЕР/ТЕР])*(F69=Таблица2[Наименование работ])*(G69=Таблица2[ТПиР/НСиР])*Таблица2[Оборудование2010])</f>
        <v>0</v>
      </c>
      <c r="M69" s="63">
        <f>W69*SUMPRODUCT(($B$2=Таблица2[Филиал])*($B$3=Таблица2[ФЕР/ТЕР])*(F69=Таблица2[Наименование работ])*(G69=Таблица2[ТПиР/НСиР])*Таблица2[Прочие2010])</f>
        <v>0</v>
      </c>
      <c r="N69" s="63">
        <f>S69*SUMPRODUCT(($B$2=Таблица2[Филиал])*($B$3=Таблица2[ФЕР/ТЕР])*(F69=Таблица2[Наименование работ])*(G69=Таблица2[ТПиР/НСиР])*Таблица2[ПИР2013-10])</f>
        <v>0</v>
      </c>
      <c r="O69" s="63">
        <f>T69*SUMPRODUCT(($B$2=Таблица2[Филиал])*($B$3=Таблица2[ФЕР/ТЕР])*(F69=Таблица2[Наименование работ])*(G69=Таблица2[ТПиР/НСиР])*Таблица2[СМР2013-10])</f>
        <v>0</v>
      </c>
      <c r="P69" s="63">
        <f>U69*SUMPRODUCT(($B$2=Таблица2[Филиал])*($B$3=Таблица2[ФЕР/ТЕР])*(F69=Таблица2[Наименование работ])*(G69=Таблица2[ТПиР/НСиР])*Таблица2[ПНР2013-10])</f>
        <v>0</v>
      </c>
      <c r="Q69" s="63">
        <f>V69*SUMPRODUCT(($B$2=Таблица2[Филиал])*($B$3=Таблица2[ФЕР/ТЕР])*(F69=Таблица2[Наименование работ])*(G69=Таблица2[ТПиР/НСиР])*Таблица2[Оборудование2013-10])</f>
        <v>0</v>
      </c>
      <c r="R69" s="63">
        <f>W69*SUMPRODUCT(($B$2=Таблица2[Филиал])*($B$3=Таблица2[ФЕР/ТЕР])*(F69=Таблица2[Наименование работ])*(G69=Таблица2[ТПиР/НСиР])*Таблица2[Прочие2013-10])</f>
        <v>0</v>
      </c>
      <c r="S69" s="63">
        <f>IF($B$4="в базовых ценах",калькулятор!J73,X69*SUMPRODUCT(($B$2=Таблица2[Филиал])*($B$3=Таблица2[ФЕР/ТЕР])*(F69=Таблица2[Наименование работ])*(G69=Таблица2[ТПиР/НСиР])/Таблица2[ПИР2013]))</f>
        <v>0</v>
      </c>
      <c r="T69" s="63">
        <f>IF($B$4="в базовых ценах",калькулятор!K73,Y69*SUMPRODUCT(($B$2=Таблица2[Филиал])*($B$3=Таблица2[ФЕР/ТЕР])*(F69=Таблица2[Наименование работ])*(G69=Таблица2[ТПиР/НСиР])/Таблица2[СМР2013]))</f>
        <v>0</v>
      </c>
      <c r="U69" s="63">
        <f>IF($B$4="в базовых ценах",калькулятор!L73,Z69*SUMPRODUCT(($B$2=Таблица2[Филиал])*($B$3=Таблица2[ФЕР/ТЕР])*(F69=Таблица2[Наименование работ])*(G69=Таблица2[ТПиР/НСиР])/Таблица2[ПНР2013]))</f>
        <v>0</v>
      </c>
      <c r="V69" s="63">
        <f>IF($B$4="в базовых ценах",калькулятор!M73,AA69*SUMPRODUCT(($B$2=Таблица2[Филиал])*($B$3=Таблица2[ФЕР/ТЕР])*(F69=Таблица2[Наименование работ])*(G69=Таблица2[ТПиР/НСиР])/Таблица2[Оборудование2013]))</f>
        <v>0</v>
      </c>
      <c r="W69" s="63">
        <f>IF($B$4="в базовых ценах",калькулятор!N73,AB69*SUMPRODUCT(($B$2=Таблица2[Филиал])*($B$3=Таблица2[ФЕР/ТЕР])*(F69=Таблица2[Наименование работ])*(G69=Таблица2[ТПиР/НСиР])/Таблица2[Прочие3]))</f>
        <v>0</v>
      </c>
      <c r="X69" s="63">
        <f>IF($B$4="в текущих ценах",калькулятор!J73,S69*SUMPRODUCT(($B$2=Таблица2[Филиал])*($B$3=Таблица2[ФЕР/ТЕР])*(F69=Таблица2[Наименование работ])*(G69=Таблица2[ТПиР/НСиР])*Таблица2[ПИР2013]))</f>
        <v>0</v>
      </c>
      <c r="Y69" s="63">
        <f>IF($B$4="в текущих ценах",калькулятор!K73,T69*SUMPRODUCT(($B$2=Таблица2[Филиал])*($B$3=Таблица2[ФЕР/ТЕР])*(F69=Таблица2[Наименование работ])*(G69=Таблица2[ТПиР/НСиР])*Таблица2[СМР2013]))</f>
        <v>0</v>
      </c>
      <c r="Z69" s="63">
        <f>IF($B$4="в текущих ценах",калькулятор!L73,U69*SUMPRODUCT(($B$2=Таблица2[Филиал])*($B$3=Таблица2[ФЕР/ТЕР])*(F69=Таблица2[Наименование работ])*(G69=Таблица2[ТПиР/НСиР])*Таблица2[ПНР2013]))</f>
        <v>0</v>
      </c>
      <c r="AA69" s="63">
        <f>IF($B$4="в текущих ценах",калькулятор!M73,V69*SUMPRODUCT(($B$2=Таблица2[Филиал])*($B$3=Таблица2[ФЕР/ТЕР])*(F69=Таблица2[Наименование работ])*(G69=Таблица2[ТПиР/НСиР])*Таблица2[Оборудование2013]))</f>
        <v>0</v>
      </c>
      <c r="AB69" s="63">
        <f>IF($B$4="в текущих ценах",калькулятор!N73,W69*SUMPRODUCT(($B$2=Таблица2[Филиал])*($B$3=Таблица2[ФЕР/ТЕР])*(F69=Таблица2[Наименование работ])*(G69=Таблица2[ТПиР/НСиР])*Таблица2[Прочие3]))</f>
        <v>0</v>
      </c>
      <c r="AC69" s="63">
        <f>SUM(данные!$I69:$M69)</f>
        <v>0</v>
      </c>
      <c r="AD69" s="63">
        <f>IF(SUM(данные!$N69:$R69)&gt;данные!$AF69,данные!$AF69*0.9*1.058,SUM(данные!$N69:$R69))</f>
        <v>0</v>
      </c>
      <c r="AE69" s="63">
        <f>SUM(данные!$S69:$W69)</f>
        <v>0</v>
      </c>
      <c r="AF69" s="63">
        <f>SUM(данные!$X69:$AB69)</f>
        <v>0</v>
      </c>
      <c r="AG69" s="63">
        <f>IF($B$4="в текущих ценах",S69*SUMPRODUCT(($B$2=Таблица2[Филиал])*($B$3=Таблица2[ФЕР/ТЕР])*(F69=Таблица2[Наименование работ])*(G69=Таблица2[ТПиР/НСиР])*Таблица2[ПИР2012]),S69*SUMPRODUCT(($B$2=Таблица2[Филиал])*($B$3=Таблица2[ФЕР/ТЕР])*(F69=Таблица2[Наименование работ])*(G69=Таблица2[ТПиР/НСиР])*Таблица2[ПИР2012]))</f>
        <v>0</v>
      </c>
      <c r="AH69" s="63">
        <f>IF($B$4="в текущих ценах",T69*SUMPRODUCT(($B$2=Таблица2[Филиал])*($B$3=Таблица2[ФЕР/ТЕР])*(F69=Таблица2[Наименование работ])*(G69=Таблица2[ТПиР/НСиР])*Таблица2[СМР2012]),T69*SUMPRODUCT(($B$2=Таблица2[Филиал])*($B$3=Таблица2[ФЕР/ТЕР])*(F69=Таблица2[Наименование работ])*(G69=Таблица2[ТПиР/НСиР])*Таблица2[СМР2012]))</f>
        <v>0</v>
      </c>
      <c r="AI69" s="63">
        <f>IF($B$4="в текущих ценах",U69*SUMPRODUCT(($B$2=Таблица2[Филиал])*($B$3=Таблица2[ФЕР/ТЕР])*(F69=Таблица2[Наименование работ])*(G69=Таблица2[ТПиР/НСиР])*Таблица2[ПНР2012]),U69*SUMPRODUCT(($B$2=Таблица2[Филиал])*($B$3=Таблица2[ФЕР/ТЕР])*(F69=Таблица2[Наименование работ])*(G69=Таблица2[ТПиР/НСиР])*Таблица2[ПНР2012]))</f>
        <v>0</v>
      </c>
      <c r="AJ69" s="63">
        <f>IF($B$4="в текущих ценах",V69*SUMPRODUCT(($B$2=Таблица2[Филиал])*($B$3=Таблица2[ФЕР/ТЕР])*(F69=Таблица2[Наименование работ])*(G69=Таблица2[ТПиР/НСиР])*Таблица2[Оборудование2012]),V69*SUMPRODUCT(($B$2=Таблица2[Филиал])*($B$3=Таблица2[ФЕР/ТЕР])*(F69=Таблица2[Наименование работ])*(G69=Таблица2[ТПиР/НСиР])*Таблица2[Оборудование2012]))</f>
        <v>0</v>
      </c>
      <c r="AK69" s="63">
        <f>IF($B$4="в текущих ценах",W69*SUMPRODUCT(($B$2=Таблица2[Филиал])*($B$3=Таблица2[ФЕР/ТЕР])*(F69=Таблица2[Наименование работ])*(G69=Таблица2[ТПиР/НСиР])*Таблица2[Прочее2012]),W69*SUMPRODUCT(($B$2=Таблица2[Филиал])*($B$3=Таблица2[ФЕР/ТЕР])*(F69=Таблица2[Наименование работ])*(G69=Таблица2[ТПиР/НСиР])*Таблица2[Прочее2012]))</f>
        <v>0</v>
      </c>
      <c r="AL69" s="63">
        <f>данные!$X69+данные!$Y69+данные!$Z69+данные!$AA69+данные!$AB69</f>
        <v>0</v>
      </c>
      <c r="AM69" s="63">
        <v>1.03639035</v>
      </c>
      <c r="AN69" s="63">
        <v>1.0114049394</v>
      </c>
      <c r="AO69" s="63">
        <v>0.98210394336149998</v>
      </c>
      <c r="AP69" s="63">
        <v>0.93762413895893393</v>
      </c>
      <c r="AQ69" s="63"/>
      <c r="AR69" s="63"/>
      <c r="AS69" s="64"/>
      <c r="AU69" s="66">
        <f t="shared" si="6"/>
        <v>0</v>
      </c>
      <c r="AX69" s="66">
        <f t="shared" si="7"/>
        <v>0</v>
      </c>
      <c r="AY69" s="66">
        <f t="shared" si="8"/>
        <v>0</v>
      </c>
      <c r="AZ69" s="66">
        <f t="shared" si="9"/>
        <v>0</v>
      </c>
      <c r="BA69" s="66">
        <f t="shared" si="10"/>
        <v>0</v>
      </c>
      <c r="BB69" s="66">
        <f t="shared" si="11"/>
        <v>0</v>
      </c>
    </row>
    <row r="70" spans="4:54" x14ac:dyDescent="0.25">
      <c r="D70" s="62">
        <f>калькулятор!C74</f>
        <v>0</v>
      </c>
      <c r="E70" s="62">
        <f>калькулятор!F74</f>
        <v>0</v>
      </c>
      <c r="F70" s="62">
        <f>калькулятор!G74</f>
        <v>0</v>
      </c>
      <c r="G70" s="62">
        <f>калькулятор!H74</f>
        <v>0</v>
      </c>
      <c r="H70" s="62">
        <f>калькулятор!I74</f>
        <v>0</v>
      </c>
      <c r="I70" s="63">
        <f>S70*SUMPRODUCT(($B$2=Таблица2[Филиал])*($B$3=Таблица2[ФЕР/ТЕР])*(F70=Таблица2[Наименование работ])*(G70=Таблица2[ТПиР/НСиР])*Таблица2[ПИР2010])</f>
        <v>0</v>
      </c>
      <c r="J70" s="63">
        <f>T70*SUMPRODUCT(($B$2=Таблица2[Филиал])*($B$3=Таблица2[ФЕР/ТЕР])*(F70=Таблица2[Наименование работ])*(G70=Таблица2[ТПиР/НСиР])*Таблица2[СМР2010])</f>
        <v>0</v>
      </c>
      <c r="K70" s="63">
        <f>U70*SUMPRODUCT(($B$2=Таблица2[Филиал])*($B$3=Таблица2[ФЕР/ТЕР])*(F70=Таблица2[Наименование работ])*(G70=Таблица2[ТПиР/НСиР])*Таблица2[ПНР2010])</f>
        <v>0</v>
      </c>
      <c r="L70" s="63">
        <f>V70*SUMPRODUCT(($B$2=Таблица2[Филиал])*($B$3=Таблица2[ФЕР/ТЕР])*(F70=Таблица2[Наименование работ])*(G70=Таблица2[ТПиР/НСиР])*Таблица2[Оборудование2010])</f>
        <v>0</v>
      </c>
      <c r="M70" s="63">
        <f>W70*SUMPRODUCT(($B$2=Таблица2[Филиал])*($B$3=Таблица2[ФЕР/ТЕР])*(F70=Таблица2[Наименование работ])*(G70=Таблица2[ТПиР/НСиР])*Таблица2[Прочие2010])</f>
        <v>0</v>
      </c>
      <c r="N70" s="63">
        <f>S70*SUMPRODUCT(($B$2=Таблица2[Филиал])*($B$3=Таблица2[ФЕР/ТЕР])*(F70=Таблица2[Наименование работ])*(G70=Таблица2[ТПиР/НСиР])*Таблица2[ПИР2013-10])</f>
        <v>0</v>
      </c>
      <c r="O70" s="63">
        <f>T70*SUMPRODUCT(($B$2=Таблица2[Филиал])*($B$3=Таблица2[ФЕР/ТЕР])*(F70=Таблица2[Наименование работ])*(G70=Таблица2[ТПиР/НСиР])*Таблица2[СМР2013-10])</f>
        <v>0</v>
      </c>
      <c r="P70" s="63">
        <f>U70*SUMPRODUCT(($B$2=Таблица2[Филиал])*($B$3=Таблица2[ФЕР/ТЕР])*(F70=Таблица2[Наименование работ])*(G70=Таблица2[ТПиР/НСиР])*Таблица2[ПНР2013-10])</f>
        <v>0</v>
      </c>
      <c r="Q70" s="63">
        <f>V70*SUMPRODUCT(($B$2=Таблица2[Филиал])*($B$3=Таблица2[ФЕР/ТЕР])*(F70=Таблица2[Наименование работ])*(G70=Таблица2[ТПиР/НСиР])*Таблица2[Оборудование2013-10])</f>
        <v>0</v>
      </c>
      <c r="R70" s="63">
        <f>W70*SUMPRODUCT(($B$2=Таблица2[Филиал])*($B$3=Таблица2[ФЕР/ТЕР])*(F70=Таблица2[Наименование работ])*(G70=Таблица2[ТПиР/НСиР])*Таблица2[Прочие2013-10])</f>
        <v>0</v>
      </c>
      <c r="S70" s="63">
        <f>IF($B$4="в базовых ценах",калькулятор!J74,X70*SUMPRODUCT(($B$2=Таблица2[Филиал])*($B$3=Таблица2[ФЕР/ТЕР])*(F70=Таблица2[Наименование работ])*(G70=Таблица2[ТПиР/НСиР])/Таблица2[ПИР2013]))</f>
        <v>0</v>
      </c>
      <c r="T70" s="63">
        <f>IF($B$4="в базовых ценах",калькулятор!K74,Y70*SUMPRODUCT(($B$2=Таблица2[Филиал])*($B$3=Таблица2[ФЕР/ТЕР])*(F70=Таблица2[Наименование работ])*(G70=Таблица2[ТПиР/НСиР])/Таблица2[СМР2013]))</f>
        <v>0</v>
      </c>
      <c r="U70" s="63">
        <f>IF($B$4="в базовых ценах",калькулятор!L74,Z70*SUMPRODUCT(($B$2=Таблица2[Филиал])*($B$3=Таблица2[ФЕР/ТЕР])*(F70=Таблица2[Наименование работ])*(G70=Таблица2[ТПиР/НСиР])/Таблица2[ПНР2013]))</f>
        <v>0</v>
      </c>
      <c r="V70" s="63">
        <f>IF($B$4="в базовых ценах",калькулятор!M74,AA70*SUMPRODUCT(($B$2=Таблица2[Филиал])*($B$3=Таблица2[ФЕР/ТЕР])*(F70=Таблица2[Наименование работ])*(G70=Таблица2[ТПиР/НСиР])/Таблица2[Оборудование2013]))</f>
        <v>0</v>
      </c>
      <c r="W70" s="63">
        <f>IF($B$4="в базовых ценах",калькулятор!N74,AB70*SUMPRODUCT(($B$2=Таблица2[Филиал])*($B$3=Таблица2[ФЕР/ТЕР])*(F70=Таблица2[Наименование работ])*(G70=Таблица2[ТПиР/НСиР])/Таблица2[Прочие3]))</f>
        <v>0</v>
      </c>
      <c r="X70" s="63">
        <f>IF($B$4="в текущих ценах",калькулятор!J74,S70*SUMPRODUCT(($B$2=Таблица2[Филиал])*($B$3=Таблица2[ФЕР/ТЕР])*(F70=Таблица2[Наименование работ])*(G70=Таблица2[ТПиР/НСиР])*Таблица2[ПИР2013]))</f>
        <v>0</v>
      </c>
      <c r="Y70" s="63">
        <f>IF($B$4="в текущих ценах",калькулятор!K74,T70*SUMPRODUCT(($B$2=Таблица2[Филиал])*($B$3=Таблица2[ФЕР/ТЕР])*(F70=Таблица2[Наименование работ])*(G70=Таблица2[ТПиР/НСиР])*Таблица2[СМР2013]))</f>
        <v>0</v>
      </c>
      <c r="Z70" s="63">
        <f>IF($B$4="в текущих ценах",калькулятор!L74,U70*SUMPRODUCT(($B$2=Таблица2[Филиал])*($B$3=Таблица2[ФЕР/ТЕР])*(F70=Таблица2[Наименование работ])*(G70=Таблица2[ТПиР/НСиР])*Таблица2[ПНР2013]))</f>
        <v>0</v>
      </c>
      <c r="AA70" s="63">
        <f>IF($B$4="в текущих ценах",калькулятор!M74,V70*SUMPRODUCT(($B$2=Таблица2[Филиал])*($B$3=Таблица2[ФЕР/ТЕР])*(F70=Таблица2[Наименование работ])*(G70=Таблица2[ТПиР/НСиР])*Таблица2[Оборудование2013]))</f>
        <v>0</v>
      </c>
      <c r="AB70" s="63">
        <f>IF($B$4="в текущих ценах",калькулятор!N74,W70*SUMPRODUCT(($B$2=Таблица2[Филиал])*($B$3=Таблица2[ФЕР/ТЕР])*(F70=Таблица2[Наименование работ])*(G70=Таблица2[ТПиР/НСиР])*Таблица2[Прочие3]))</f>
        <v>0</v>
      </c>
      <c r="AC70" s="63">
        <f>SUM(данные!$I70:$M70)</f>
        <v>0</v>
      </c>
      <c r="AD70" s="63">
        <f>IF(SUM(данные!$N70:$R70)&gt;данные!$AF70,данные!$AF70*0.9*1.058,SUM(данные!$N70:$R70))</f>
        <v>0</v>
      </c>
      <c r="AE70" s="63">
        <f>SUM(данные!$S70:$W70)</f>
        <v>0</v>
      </c>
      <c r="AF70" s="63">
        <f>SUM(данные!$X70:$AB70)</f>
        <v>0</v>
      </c>
      <c r="AG70" s="63">
        <f>IF($B$4="в текущих ценах",S70*SUMPRODUCT(($B$2=Таблица2[Филиал])*($B$3=Таблица2[ФЕР/ТЕР])*(F70=Таблица2[Наименование работ])*(G70=Таблица2[ТПиР/НСиР])*Таблица2[ПИР2012]),S70*SUMPRODUCT(($B$2=Таблица2[Филиал])*($B$3=Таблица2[ФЕР/ТЕР])*(F70=Таблица2[Наименование работ])*(G70=Таблица2[ТПиР/НСиР])*Таблица2[ПИР2012]))</f>
        <v>0</v>
      </c>
      <c r="AH70" s="63">
        <f>IF($B$4="в текущих ценах",T70*SUMPRODUCT(($B$2=Таблица2[Филиал])*($B$3=Таблица2[ФЕР/ТЕР])*(F70=Таблица2[Наименование работ])*(G70=Таблица2[ТПиР/НСиР])*Таблица2[СМР2012]),T70*SUMPRODUCT(($B$2=Таблица2[Филиал])*($B$3=Таблица2[ФЕР/ТЕР])*(F70=Таблица2[Наименование работ])*(G70=Таблица2[ТПиР/НСиР])*Таблица2[СМР2012]))</f>
        <v>0</v>
      </c>
      <c r="AI70" s="63">
        <f>IF($B$4="в текущих ценах",U70*SUMPRODUCT(($B$2=Таблица2[Филиал])*($B$3=Таблица2[ФЕР/ТЕР])*(F70=Таблица2[Наименование работ])*(G70=Таблица2[ТПиР/НСиР])*Таблица2[ПНР2012]),U70*SUMPRODUCT(($B$2=Таблица2[Филиал])*($B$3=Таблица2[ФЕР/ТЕР])*(F70=Таблица2[Наименование работ])*(G70=Таблица2[ТПиР/НСиР])*Таблица2[ПНР2012]))</f>
        <v>0</v>
      </c>
      <c r="AJ70" s="63">
        <f>IF($B$4="в текущих ценах",V70*SUMPRODUCT(($B$2=Таблица2[Филиал])*($B$3=Таблица2[ФЕР/ТЕР])*(F70=Таблица2[Наименование работ])*(G70=Таблица2[ТПиР/НСиР])*Таблица2[Оборудование2012]),V70*SUMPRODUCT(($B$2=Таблица2[Филиал])*($B$3=Таблица2[ФЕР/ТЕР])*(F70=Таблица2[Наименование работ])*(G70=Таблица2[ТПиР/НСиР])*Таблица2[Оборудование2012]))</f>
        <v>0</v>
      </c>
      <c r="AK70" s="63">
        <f>IF($B$4="в текущих ценах",W70*SUMPRODUCT(($B$2=Таблица2[Филиал])*($B$3=Таблица2[ФЕР/ТЕР])*(F70=Таблица2[Наименование работ])*(G70=Таблица2[ТПиР/НСиР])*Таблица2[Прочее2012]),W70*SUMPRODUCT(($B$2=Таблица2[Филиал])*($B$3=Таблица2[ФЕР/ТЕР])*(F70=Таблица2[Наименование работ])*(G70=Таблица2[ТПиР/НСиР])*Таблица2[Прочее2012]))</f>
        <v>0</v>
      </c>
      <c r="AL70" s="63">
        <f>данные!$X70+данные!$Y70+данные!$Z70+данные!$AA70+данные!$AB70</f>
        <v>0</v>
      </c>
      <c r="AM70" s="63">
        <v>1.03639035</v>
      </c>
      <c r="AN70" s="63">
        <v>1.0114049394</v>
      </c>
      <c r="AO70" s="63">
        <v>0.98210394336149998</v>
      </c>
      <c r="AP70" s="63">
        <v>0.93762413895893393</v>
      </c>
      <c r="AQ70" s="63"/>
      <c r="AR70" s="63"/>
      <c r="AS70" s="64"/>
      <c r="AU70" s="66">
        <f t="shared" si="6"/>
        <v>0</v>
      </c>
      <c r="AX70" s="66">
        <f t="shared" si="7"/>
        <v>0</v>
      </c>
      <c r="AY70" s="66">
        <f t="shared" si="8"/>
        <v>0</v>
      </c>
      <c r="AZ70" s="66">
        <f t="shared" si="9"/>
        <v>0</v>
      </c>
      <c r="BA70" s="66">
        <f t="shared" si="10"/>
        <v>0</v>
      </c>
      <c r="BB70" s="66">
        <f t="shared" si="11"/>
        <v>0</v>
      </c>
    </row>
    <row r="71" spans="4:54" x14ac:dyDescent="0.25">
      <c r="D71" s="62">
        <f>калькулятор!C75</f>
        <v>0</v>
      </c>
      <c r="E71" s="62">
        <f>калькулятор!F75</f>
        <v>0</v>
      </c>
      <c r="F71" s="62">
        <f>калькулятор!G75</f>
        <v>0</v>
      </c>
      <c r="G71" s="62">
        <f>калькулятор!H75</f>
        <v>0</v>
      </c>
      <c r="H71" s="62">
        <f>калькулятор!I75</f>
        <v>0</v>
      </c>
      <c r="I71" s="63">
        <f>S71*SUMPRODUCT(($B$2=Таблица2[Филиал])*($B$3=Таблица2[ФЕР/ТЕР])*(F71=Таблица2[Наименование работ])*(G71=Таблица2[ТПиР/НСиР])*Таблица2[ПИР2010])</f>
        <v>0</v>
      </c>
      <c r="J71" s="63">
        <f>T71*SUMPRODUCT(($B$2=Таблица2[Филиал])*($B$3=Таблица2[ФЕР/ТЕР])*(F71=Таблица2[Наименование работ])*(G71=Таблица2[ТПиР/НСиР])*Таблица2[СМР2010])</f>
        <v>0</v>
      </c>
      <c r="K71" s="63">
        <f>U71*SUMPRODUCT(($B$2=Таблица2[Филиал])*($B$3=Таблица2[ФЕР/ТЕР])*(F71=Таблица2[Наименование работ])*(G71=Таблица2[ТПиР/НСиР])*Таблица2[ПНР2010])</f>
        <v>0</v>
      </c>
      <c r="L71" s="63">
        <f>V71*SUMPRODUCT(($B$2=Таблица2[Филиал])*($B$3=Таблица2[ФЕР/ТЕР])*(F71=Таблица2[Наименование работ])*(G71=Таблица2[ТПиР/НСиР])*Таблица2[Оборудование2010])</f>
        <v>0</v>
      </c>
      <c r="M71" s="63">
        <f>W71*SUMPRODUCT(($B$2=Таблица2[Филиал])*($B$3=Таблица2[ФЕР/ТЕР])*(F71=Таблица2[Наименование работ])*(G71=Таблица2[ТПиР/НСиР])*Таблица2[Прочие2010])</f>
        <v>0</v>
      </c>
      <c r="N71" s="63">
        <f>S71*SUMPRODUCT(($B$2=Таблица2[Филиал])*($B$3=Таблица2[ФЕР/ТЕР])*(F71=Таблица2[Наименование работ])*(G71=Таблица2[ТПиР/НСиР])*Таблица2[ПИР2013-10])</f>
        <v>0</v>
      </c>
      <c r="O71" s="63">
        <f>T71*SUMPRODUCT(($B$2=Таблица2[Филиал])*($B$3=Таблица2[ФЕР/ТЕР])*(F71=Таблица2[Наименование работ])*(G71=Таблица2[ТПиР/НСиР])*Таблица2[СМР2013-10])</f>
        <v>0</v>
      </c>
      <c r="P71" s="63">
        <f>U71*SUMPRODUCT(($B$2=Таблица2[Филиал])*($B$3=Таблица2[ФЕР/ТЕР])*(F71=Таблица2[Наименование работ])*(G71=Таблица2[ТПиР/НСиР])*Таблица2[ПНР2013-10])</f>
        <v>0</v>
      </c>
      <c r="Q71" s="63">
        <f>V71*SUMPRODUCT(($B$2=Таблица2[Филиал])*($B$3=Таблица2[ФЕР/ТЕР])*(F71=Таблица2[Наименование работ])*(G71=Таблица2[ТПиР/НСиР])*Таблица2[Оборудование2013-10])</f>
        <v>0</v>
      </c>
      <c r="R71" s="63">
        <f>W71*SUMPRODUCT(($B$2=Таблица2[Филиал])*($B$3=Таблица2[ФЕР/ТЕР])*(F71=Таблица2[Наименование работ])*(G71=Таблица2[ТПиР/НСиР])*Таблица2[Прочие2013-10])</f>
        <v>0</v>
      </c>
      <c r="S71" s="63">
        <f>IF($B$4="в базовых ценах",калькулятор!J75,X71*SUMPRODUCT(($B$2=Таблица2[Филиал])*($B$3=Таблица2[ФЕР/ТЕР])*(F71=Таблица2[Наименование работ])*(G71=Таблица2[ТПиР/НСиР])/Таблица2[ПИР2013]))</f>
        <v>0</v>
      </c>
      <c r="T71" s="63">
        <f>IF($B$4="в базовых ценах",калькулятор!K75,Y71*SUMPRODUCT(($B$2=Таблица2[Филиал])*($B$3=Таблица2[ФЕР/ТЕР])*(F71=Таблица2[Наименование работ])*(G71=Таблица2[ТПиР/НСиР])/Таблица2[СМР2013]))</f>
        <v>0</v>
      </c>
      <c r="U71" s="63">
        <f>IF($B$4="в базовых ценах",калькулятор!L75,Z71*SUMPRODUCT(($B$2=Таблица2[Филиал])*($B$3=Таблица2[ФЕР/ТЕР])*(F71=Таблица2[Наименование работ])*(G71=Таблица2[ТПиР/НСиР])/Таблица2[ПНР2013]))</f>
        <v>0</v>
      </c>
      <c r="V71" s="63">
        <f>IF($B$4="в базовых ценах",калькулятор!M75,AA71*SUMPRODUCT(($B$2=Таблица2[Филиал])*($B$3=Таблица2[ФЕР/ТЕР])*(F71=Таблица2[Наименование работ])*(G71=Таблица2[ТПиР/НСиР])/Таблица2[Оборудование2013]))</f>
        <v>0</v>
      </c>
      <c r="W71" s="63">
        <f>IF($B$4="в базовых ценах",калькулятор!N75,AB71*SUMPRODUCT(($B$2=Таблица2[Филиал])*($B$3=Таблица2[ФЕР/ТЕР])*(F71=Таблица2[Наименование работ])*(G71=Таблица2[ТПиР/НСиР])/Таблица2[Прочие3]))</f>
        <v>0</v>
      </c>
      <c r="X71" s="63">
        <f>IF($B$4="в текущих ценах",калькулятор!J75,S71*SUMPRODUCT(($B$2=Таблица2[Филиал])*($B$3=Таблица2[ФЕР/ТЕР])*(F71=Таблица2[Наименование работ])*(G71=Таблица2[ТПиР/НСиР])*Таблица2[ПИР2013]))</f>
        <v>0</v>
      </c>
      <c r="Y71" s="63">
        <f>IF($B$4="в текущих ценах",калькулятор!K75,T71*SUMPRODUCT(($B$2=Таблица2[Филиал])*($B$3=Таблица2[ФЕР/ТЕР])*(F71=Таблица2[Наименование работ])*(G71=Таблица2[ТПиР/НСиР])*Таблица2[СМР2013]))</f>
        <v>0</v>
      </c>
      <c r="Z71" s="63">
        <f>IF($B$4="в текущих ценах",калькулятор!L75,U71*SUMPRODUCT(($B$2=Таблица2[Филиал])*($B$3=Таблица2[ФЕР/ТЕР])*(F71=Таблица2[Наименование работ])*(G71=Таблица2[ТПиР/НСиР])*Таблица2[ПНР2013]))</f>
        <v>0</v>
      </c>
      <c r="AA71" s="63">
        <f>IF($B$4="в текущих ценах",калькулятор!M75,V71*SUMPRODUCT(($B$2=Таблица2[Филиал])*($B$3=Таблица2[ФЕР/ТЕР])*(F71=Таблица2[Наименование работ])*(G71=Таблица2[ТПиР/НСиР])*Таблица2[Оборудование2013]))</f>
        <v>0</v>
      </c>
      <c r="AB71" s="63">
        <f>IF($B$4="в текущих ценах",калькулятор!N75,W71*SUMPRODUCT(($B$2=Таблица2[Филиал])*($B$3=Таблица2[ФЕР/ТЕР])*(F71=Таблица2[Наименование работ])*(G71=Таблица2[ТПиР/НСиР])*Таблица2[Прочие3]))</f>
        <v>0</v>
      </c>
      <c r="AC71" s="63">
        <f>SUM(данные!$I71:$M71)</f>
        <v>0</v>
      </c>
      <c r="AD71" s="63">
        <f>IF(SUM(данные!$N71:$R71)&gt;данные!$AF71,данные!$AF71*0.9*1.058,SUM(данные!$N71:$R71))</f>
        <v>0</v>
      </c>
      <c r="AE71" s="63">
        <f>SUM(данные!$S71:$W71)</f>
        <v>0</v>
      </c>
      <c r="AF71" s="63">
        <f>SUM(данные!$X71:$AB71)</f>
        <v>0</v>
      </c>
      <c r="AG71" s="63">
        <f>IF($B$4="в текущих ценах",S71*SUMPRODUCT(($B$2=Таблица2[Филиал])*($B$3=Таблица2[ФЕР/ТЕР])*(F71=Таблица2[Наименование работ])*(G71=Таблица2[ТПиР/НСиР])*Таблица2[ПИР2012]),S71*SUMPRODUCT(($B$2=Таблица2[Филиал])*($B$3=Таблица2[ФЕР/ТЕР])*(F71=Таблица2[Наименование работ])*(G71=Таблица2[ТПиР/НСиР])*Таблица2[ПИР2012]))</f>
        <v>0</v>
      </c>
      <c r="AH71" s="63">
        <f>IF($B$4="в текущих ценах",T71*SUMPRODUCT(($B$2=Таблица2[Филиал])*($B$3=Таблица2[ФЕР/ТЕР])*(F71=Таблица2[Наименование работ])*(G71=Таблица2[ТПиР/НСиР])*Таблица2[СМР2012]),T71*SUMPRODUCT(($B$2=Таблица2[Филиал])*($B$3=Таблица2[ФЕР/ТЕР])*(F71=Таблица2[Наименование работ])*(G71=Таблица2[ТПиР/НСиР])*Таблица2[СМР2012]))</f>
        <v>0</v>
      </c>
      <c r="AI71" s="63">
        <f>IF($B$4="в текущих ценах",U71*SUMPRODUCT(($B$2=Таблица2[Филиал])*($B$3=Таблица2[ФЕР/ТЕР])*(F71=Таблица2[Наименование работ])*(G71=Таблица2[ТПиР/НСиР])*Таблица2[ПНР2012]),U71*SUMPRODUCT(($B$2=Таблица2[Филиал])*($B$3=Таблица2[ФЕР/ТЕР])*(F71=Таблица2[Наименование работ])*(G71=Таблица2[ТПиР/НСиР])*Таблица2[ПНР2012]))</f>
        <v>0</v>
      </c>
      <c r="AJ71" s="63">
        <f>IF($B$4="в текущих ценах",V71*SUMPRODUCT(($B$2=Таблица2[Филиал])*($B$3=Таблица2[ФЕР/ТЕР])*(F71=Таблица2[Наименование работ])*(G71=Таблица2[ТПиР/НСиР])*Таблица2[Оборудование2012]),V71*SUMPRODUCT(($B$2=Таблица2[Филиал])*($B$3=Таблица2[ФЕР/ТЕР])*(F71=Таблица2[Наименование работ])*(G71=Таблица2[ТПиР/НСиР])*Таблица2[Оборудование2012]))</f>
        <v>0</v>
      </c>
      <c r="AK71" s="63">
        <f>IF($B$4="в текущих ценах",W71*SUMPRODUCT(($B$2=Таблица2[Филиал])*($B$3=Таблица2[ФЕР/ТЕР])*(F71=Таблица2[Наименование работ])*(G71=Таблица2[ТПиР/НСиР])*Таблица2[Прочее2012]),W71*SUMPRODUCT(($B$2=Таблица2[Филиал])*($B$3=Таблица2[ФЕР/ТЕР])*(F71=Таблица2[Наименование работ])*(G71=Таблица2[ТПиР/НСиР])*Таблица2[Прочее2012]))</f>
        <v>0</v>
      </c>
      <c r="AL71" s="63">
        <f>данные!$X71+данные!$Y71+данные!$Z71+данные!$AA71+данные!$AB71</f>
        <v>0</v>
      </c>
      <c r="AM71" s="63">
        <v>1.03639035</v>
      </c>
      <c r="AN71" s="63">
        <v>1.0114049394</v>
      </c>
      <c r="AO71" s="63">
        <v>0.98210394336149998</v>
      </c>
      <c r="AP71" s="63">
        <v>0.93762413895893393</v>
      </c>
      <c r="AQ71" s="63"/>
      <c r="AR71" s="63"/>
      <c r="AS71" s="64"/>
      <c r="AU71" s="66">
        <f t="shared" si="6"/>
        <v>0</v>
      </c>
      <c r="AX71" s="66">
        <f t="shared" si="7"/>
        <v>0</v>
      </c>
      <c r="AY71" s="66">
        <f t="shared" si="8"/>
        <v>0</v>
      </c>
      <c r="AZ71" s="66">
        <f t="shared" si="9"/>
        <v>0</v>
      </c>
      <c r="BA71" s="66">
        <f t="shared" si="10"/>
        <v>0</v>
      </c>
      <c r="BB71" s="66">
        <f t="shared" si="11"/>
        <v>0</v>
      </c>
    </row>
    <row r="72" spans="4:54" x14ac:dyDescent="0.25">
      <c r="D72" s="62">
        <f>калькулятор!C76</f>
        <v>0</v>
      </c>
      <c r="E72" s="62">
        <f>калькулятор!F76</f>
        <v>0</v>
      </c>
      <c r="F72" s="62">
        <f>калькулятор!G76</f>
        <v>0</v>
      </c>
      <c r="G72" s="62">
        <f>калькулятор!H76</f>
        <v>0</v>
      </c>
      <c r="H72" s="62">
        <f>калькулятор!I76</f>
        <v>0</v>
      </c>
      <c r="I72" s="63">
        <f>S72*SUMPRODUCT(($B$2=Таблица2[Филиал])*($B$3=Таблица2[ФЕР/ТЕР])*(F72=Таблица2[Наименование работ])*(G72=Таблица2[ТПиР/НСиР])*Таблица2[ПИР2010])</f>
        <v>0</v>
      </c>
      <c r="J72" s="63">
        <f>T72*SUMPRODUCT(($B$2=Таблица2[Филиал])*($B$3=Таблица2[ФЕР/ТЕР])*(F72=Таблица2[Наименование работ])*(G72=Таблица2[ТПиР/НСиР])*Таблица2[СМР2010])</f>
        <v>0</v>
      </c>
      <c r="K72" s="63">
        <f>U72*SUMPRODUCT(($B$2=Таблица2[Филиал])*($B$3=Таблица2[ФЕР/ТЕР])*(F72=Таблица2[Наименование работ])*(G72=Таблица2[ТПиР/НСиР])*Таблица2[ПНР2010])</f>
        <v>0</v>
      </c>
      <c r="L72" s="63">
        <f>V72*SUMPRODUCT(($B$2=Таблица2[Филиал])*($B$3=Таблица2[ФЕР/ТЕР])*(F72=Таблица2[Наименование работ])*(G72=Таблица2[ТПиР/НСиР])*Таблица2[Оборудование2010])</f>
        <v>0</v>
      </c>
      <c r="M72" s="63">
        <f>W72*SUMPRODUCT(($B$2=Таблица2[Филиал])*($B$3=Таблица2[ФЕР/ТЕР])*(F72=Таблица2[Наименование работ])*(G72=Таблица2[ТПиР/НСиР])*Таблица2[Прочие2010])</f>
        <v>0</v>
      </c>
      <c r="N72" s="63">
        <f>S72*SUMPRODUCT(($B$2=Таблица2[Филиал])*($B$3=Таблица2[ФЕР/ТЕР])*(F72=Таблица2[Наименование работ])*(G72=Таблица2[ТПиР/НСиР])*Таблица2[ПИР2013-10])</f>
        <v>0</v>
      </c>
      <c r="O72" s="63">
        <f>T72*SUMPRODUCT(($B$2=Таблица2[Филиал])*($B$3=Таблица2[ФЕР/ТЕР])*(F72=Таблица2[Наименование работ])*(G72=Таблица2[ТПиР/НСиР])*Таблица2[СМР2013-10])</f>
        <v>0</v>
      </c>
      <c r="P72" s="63">
        <f>U72*SUMPRODUCT(($B$2=Таблица2[Филиал])*($B$3=Таблица2[ФЕР/ТЕР])*(F72=Таблица2[Наименование работ])*(G72=Таблица2[ТПиР/НСиР])*Таблица2[ПНР2013-10])</f>
        <v>0</v>
      </c>
      <c r="Q72" s="63">
        <f>V72*SUMPRODUCT(($B$2=Таблица2[Филиал])*($B$3=Таблица2[ФЕР/ТЕР])*(F72=Таблица2[Наименование работ])*(G72=Таблица2[ТПиР/НСиР])*Таблица2[Оборудование2013-10])</f>
        <v>0</v>
      </c>
      <c r="R72" s="63">
        <f>W72*SUMPRODUCT(($B$2=Таблица2[Филиал])*($B$3=Таблица2[ФЕР/ТЕР])*(F72=Таблица2[Наименование работ])*(G72=Таблица2[ТПиР/НСиР])*Таблица2[Прочие2013-10])</f>
        <v>0</v>
      </c>
      <c r="S72" s="63">
        <f>IF($B$4="в базовых ценах",калькулятор!J76,X72*SUMPRODUCT(($B$2=Таблица2[Филиал])*($B$3=Таблица2[ФЕР/ТЕР])*(F72=Таблица2[Наименование работ])*(G72=Таблица2[ТПиР/НСиР])/Таблица2[ПИР2013]))</f>
        <v>0</v>
      </c>
      <c r="T72" s="63">
        <f>IF($B$4="в базовых ценах",калькулятор!K76,Y72*SUMPRODUCT(($B$2=Таблица2[Филиал])*($B$3=Таблица2[ФЕР/ТЕР])*(F72=Таблица2[Наименование работ])*(G72=Таблица2[ТПиР/НСиР])/Таблица2[СМР2013]))</f>
        <v>0</v>
      </c>
      <c r="U72" s="63">
        <f>IF($B$4="в базовых ценах",калькулятор!L76,Z72*SUMPRODUCT(($B$2=Таблица2[Филиал])*($B$3=Таблица2[ФЕР/ТЕР])*(F72=Таблица2[Наименование работ])*(G72=Таблица2[ТПиР/НСиР])/Таблица2[ПНР2013]))</f>
        <v>0</v>
      </c>
      <c r="V72" s="63">
        <f>IF($B$4="в базовых ценах",калькулятор!M76,AA72*SUMPRODUCT(($B$2=Таблица2[Филиал])*($B$3=Таблица2[ФЕР/ТЕР])*(F72=Таблица2[Наименование работ])*(G72=Таблица2[ТПиР/НСиР])/Таблица2[Оборудование2013]))</f>
        <v>0</v>
      </c>
      <c r="W72" s="63">
        <f>IF($B$4="в базовых ценах",калькулятор!N76,AB72*SUMPRODUCT(($B$2=Таблица2[Филиал])*($B$3=Таблица2[ФЕР/ТЕР])*(F72=Таблица2[Наименование работ])*(G72=Таблица2[ТПиР/НСиР])/Таблица2[Прочие3]))</f>
        <v>0</v>
      </c>
      <c r="X72" s="63">
        <f>IF($B$4="в текущих ценах",калькулятор!J76,S72*SUMPRODUCT(($B$2=Таблица2[Филиал])*($B$3=Таблица2[ФЕР/ТЕР])*(F72=Таблица2[Наименование работ])*(G72=Таблица2[ТПиР/НСиР])*Таблица2[ПИР2013]))</f>
        <v>0</v>
      </c>
      <c r="Y72" s="63">
        <f>IF($B$4="в текущих ценах",калькулятор!K76,T72*SUMPRODUCT(($B$2=Таблица2[Филиал])*($B$3=Таблица2[ФЕР/ТЕР])*(F72=Таблица2[Наименование работ])*(G72=Таблица2[ТПиР/НСиР])*Таблица2[СМР2013]))</f>
        <v>0</v>
      </c>
      <c r="Z72" s="63">
        <f>IF($B$4="в текущих ценах",калькулятор!L76,U72*SUMPRODUCT(($B$2=Таблица2[Филиал])*($B$3=Таблица2[ФЕР/ТЕР])*(F72=Таблица2[Наименование работ])*(G72=Таблица2[ТПиР/НСиР])*Таблица2[ПНР2013]))</f>
        <v>0</v>
      </c>
      <c r="AA72" s="63">
        <f>IF($B$4="в текущих ценах",калькулятор!M76,V72*SUMPRODUCT(($B$2=Таблица2[Филиал])*($B$3=Таблица2[ФЕР/ТЕР])*(F72=Таблица2[Наименование работ])*(G72=Таблица2[ТПиР/НСиР])*Таблица2[Оборудование2013]))</f>
        <v>0</v>
      </c>
      <c r="AB72" s="63">
        <f>IF($B$4="в текущих ценах",калькулятор!N76,W72*SUMPRODUCT(($B$2=Таблица2[Филиал])*($B$3=Таблица2[ФЕР/ТЕР])*(F72=Таблица2[Наименование работ])*(G72=Таблица2[ТПиР/НСиР])*Таблица2[Прочие3]))</f>
        <v>0</v>
      </c>
      <c r="AC72" s="63">
        <f>SUM(данные!$I72:$M72)</f>
        <v>0</v>
      </c>
      <c r="AD72" s="63">
        <f>IF(SUM(данные!$N72:$R72)&gt;данные!$AF72,данные!$AF72*0.9*1.058,SUM(данные!$N72:$R72))</f>
        <v>0</v>
      </c>
      <c r="AE72" s="63">
        <f>SUM(данные!$S72:$W72)</f>
        <v>0</v>
      </c>
      <c r="AF72" s="63">
        <f>SUM(данные!$X72:$AB72)</f>
        <v>0</v>
      </c>
      <c r="AG72" s="63">
        <f>IF($B$4="в текущих ценах",S72*SUMPRODUCT(($B$2=Таблица2[Филиал])*($B$3=Таблица2[ФЕР/ТЕР])*(F72=Таблица2[Наименование работ])*(G72=Таблица2[ТПиР/НСиР])*Таблица2[ПИР2012]),S72*SUMPRODUCT(($B$2=Таблица2[Филиал])*($B$3=Таблица2[ФЕР/ТЕР])*(F72=Таблица2[Наименование работ])*(G72=Таблица2[ТПиР/НСиР])*Таблица2[ПИР2012]))</f>
        <v>0</v>
      </c>
      <c r="AH72" s="63">
        <f>IF($B$4="в текущих ценах",T72*SUMPRODUCT(($B$2=Таблица2[Филиал])*($B$3=Таблица2[ФЕР/ТЕР])*(F72=Таблица2[Наименование работ])*(G72=Таблица2[ТПиР/НСиР])*Таблица2[СМР2012]),T72*SUMPRODUCT(($B$2=Таблица2[Филиал])*($B$3=Таблица2[ФЕР/ТЕР])*(F72=Таблица2[Наименование работ])*(G72=Таблица2[ТПиР/НСиР])*Таблица2[СМР2012]))</f>
        <v>0</v>
      </c>
      <c r="AI72" s="63">
        <f>IF($B$4="в текущих ценах",U72*SUMPRODUCT(($B$2=Таблица2[Филиал])*($B$3=Таблица2[ФЕР/ТЕР])*(F72=Таблица2[Наименование работ])*(G72=Таблица2[ТПиР/НСиР])*Таблица2[ПНР2012]),U72*SUMPRODUCT(($B$2=Таблица2[Филиал])*($B$3=Таблица2[ФЕР/ТЕР])*(F72=Таблица2[Наименование работ])*(G72=Таблица2[ТПиР/НСиР])*Таблица2[ПНР2012]))</f>
        <v>0</v>
      </c>
      <c r="AJ72" s="63">
        <f>IF($B$4="в текущих ценах",V72*SUMPRODUCT(($B$2=Таблица2[Филиал])*($B$3=Таблица2[ФЕР/ТЕР])*(F72=Таблица2[Наименование работ])*(G72=Таблица2[ТПиР/НСиР])*Таблица2[Оборудование2012]),V72*SUMPRODUCT(($B$2=Таблица2[Филиал])*($B$3=Таблица2[ФЕР/ТЕР])*(F72=Таблица2[Наименование работ])*(G72=Таблица2[ТПиР/НСиР])*Таблица2[Оборудование2012]))</f>
        <v>0</v>
      </c>
      <c r="AK72" s="63">
        <f>IF($B$4="в текущих ценах",W72*SUMPRODUCT(($B$2=Таблица2[Филиал])*($B$3=Таблица2[ФЕР/ТЕР])*(F72=Таблица2[Наименование работ])*(G72=Таблица2[ТПиР/НСиР])*Таблица2[Прочее2012]),W72*SUMPRODUCT(($B$2=Таблица2[Филиал])*($B$3=Таблица2[ФЕР/ТЕР])*(F72=Таблица2[Наименование работ])*(G72=Таблица2[ТПиР/НСиР])*Таблица2[Прочее2012]))</f>
        <v>0</v>
      </c>
      <c r="AL72" s="63">
        <f>данные!$X72+данные!$Y72+данные!$Z72+данные!$AA72+данные!$AB72</f>
        <v>0</v>
      </c>
      <c r="AM72" s="63">
        <v>1.03639035</v>
      </c>
      <c r="AN72" s="63">
        <v>1.0114049394</v>
      </c>
      <c r="AO72" s="63">
        <v>0.98210394336149998</v>
      </c>
      <c r="AP72" s="63">
        <v>0.93762413895893393</v>
      </c>
      <c r="AQ72" s="63"/>
      <c r="AR72" s="63"/>
      <c r="AS72" s="64"/>
      <c r="AU72" s="66">
        <f t="shared" si="6"/>
        <v>0</v>
      </c>
      <c r="AX72" s="66">
        <f t="shared" si="7"/>
        <v>0</v>
      </c>
      <c r="AY72" s="66">
        <f t="shared" si="8"/>
        <v>0</v>
      </c>
      <c r="AZ72" s="66">
        <f t="shared" si="9"/>
        <v>0</v>
      </c>
      <c r="BA72" s="66">
        <f t="shared" si="10"/>
        <v>0</v>
      </c>
      <c r="BB72" s="66">
        <f t="shared" si="11"/>
        <v>0</v>
      </c>
    </row>
    <row r="73" spans="4:54" x14ac:dyDescent="0.25">
      <c r="D73" s="62">
        <f>калькулятор!C77</f>
        <v>0</v>
      </c>
      <c r="E73" s="62">
        <f>калькулятор!F77</f>
        <v>0</v>
      </c>
      <c r="F73" s="62">
        <f>калькулятор!G77</f>
        <v>0</v>
      </c>
      <c r="G73" s="62">
        <f>калькулятор!H77</f>
        <v>0</v>
      </c>
      <c r="H73" s="62">
        <f>калькулятор!I77</f>
        <v>0</v>
      </c>
      <c r="I73" s="63">
        <f>S73*SUMPRODUCT(($B$2=Таблица2[Филиал])*($B$3=Таблица2[ФЕР/ТЕР])*(F73=Таблица2[Наименование работ])*(G73=Таблица2[ТПиР/НСиР])*Таблица2[ПИР2010])</f>
        <v>0</v>
      </c>
      <c r="J73" s="63">
        <f>T73*SUMPRODUCT(($B$2=Таблица2[Филиал])*($B$3=Таблица2[ФЕР/ТЕР])*(F73=Таблица2[Наименование работ])*(G73=Таблица2[ТПиР/НСиР])*Таблица2[СМР2010])</f>
        <v>0</v>
      </c>
      <c r="K73" s="63">
        <f>U73*SUMPRODUCT(($B$2=Таблица2[Филиал])*($B$3=Таблица2[ФЕР/ТЕР])*(F73=Таблица2[Наименование работ])*(G73=Таблица2[ТПиР/НСиР])*Таблица2[ПНР2010])</f>
        <v>0</v>
      </c>
      <c r="L73" s="63">
        <f>V73*SUMPRODUCT(($B$2=Таблица2[Филиал])*($B$3=Таблица2[ФЕР/ТЕР])*(F73=Таблица2[Наименование работ])*(G73=Таблица2[ТПиР/НСиР])*Таблица2[Оборудование2010])</f>
        <v>0</v>
      </c>
      <c r="M73" s="63">
        <f>W73*SUMPRODUCT(($B$2=Таблица2[Филиал])*($B$3=Таблица2[ФЕР/ТЕР])*(F73=Таблица2[Наименование работ])*(G73=Таблица2[ТПиР/НСиР])*Таблица2[Прочие2010])</f>
        <v>0</v>
      </c>
      <c r="N73" s="63">
        <f>S73*SUMPRODUCT(($B$2=Таблица2[Филиал])*($B$3=Таблица2[ФЕР/ТЕР])*(F73=Таблица2[Наименование работ])*(G73=Таблица2[ТПиР/НСиР])*Таблица2[ПИР2013-10])</f>
        <v>0</v>
      </c>
      <c r="O73" s="63">
        <f>T73*SUMPRODUCT(($B$2=Таблица2[Филиал])*($B$3=Таблица2[ФЕР/ТЕР])*(F73=Таблица2[Наименование работ])*(G73=Таблица2[ТПиР/НСиР])*Таблица2[СМР2013-10])</f>
        <v>0</v>
      </c>
      <c r="P73" s="63">
        <f>U73*SUMPRODUCT(($B$2=Таблица2[Филиал])*($B$3=Таблица2[ФЕР/ТЕР])*(F73=Таблица2[Наименование работ])*(G73=Таблица2[ТПиР/НСиР])*Таблица2[ПНР2013-10])</f>
        <v>0</v>
      </c>
      <c r="Q73" s="63">
        <f>V73*SUMPRODUCT(($B$2=Таблица2[Филиал])*($B$3=Таблица2[ФЕР/ТЕР])*(F73=Таблица2[Наименование работ])*(G73=Таблица2[ТПиР/НСиР])*Таблица2[Оборудование2013-10])</f>
        <v>0</v>
      </c>
      <c r="R73" s="63">
        <f>W73*SUMPRODUCT(($B$2=Таблица2[Филиал])*($B$3=Таблица2[ФЕР/ТЕР])*(F73=Таблица2[Наименование работ])*(G73=Таблица2[ТПиР/НСиР])*Таблица2[Прочие2013-10])</f>
        <v>0</v>
      </c>
      <c r="S73" s="63">
        <f>IF($B$4="в базовых ценах",калькулятор!J77,X73*SUMPRODUCT(($B$2=Таблица2[Филиал])*($B$3=Таблица2[ФЕР/ТЕР])*(F73=Таблица2[Наименование работ])*(G73=Таблица2[ТПиР/НСиР])/Таблица2[ПИР2013]))</f>
        <v>0</v>
      </c>
      <c r="T73" s="63">
        <f>IF($B$4="в базовых ценах",калькулятор!K77,Y73*SUMPRODUCT(($B$2=Таблица2[Филиал])*($B$3=Таблица2[ФЕР/ТЕР])*(F73=Таблица2[Наименование работ])*(G73=Таблица2[ТПиР/НСиР])/Таблица2[СМР2013]))</f>
        <v>0</v>
      </c>
      <c r="U73" s="63">
        <f>IF($B$4="в базовых ценах",калькулятор!L77,Z73*SUMPRODUCT(($B$2=Таблица2[Филиал])*($B$3=Таблица2[ФЕР/ТЕР])*(F73=Таблица2[Наименование работ])*(G73=Таблица2[ТПиР/НСиР])/Таблица2[ПНР2013]))</f>
        <v>0</v>
      </c>
      <c r="V73" s="63">
        <f>IF($B$4="в базовых ценах",калькулятор!M77,AA73*SUMPRODUCT(($B$2=Таблица2[Филиал])*($B$3=Таблица2[ФЕР/ТЕР])*(F73=Таблица2[Наименование работ])*(G73=Таблица2[ТПиР/НСиР])/Таблица2[Оборудование2013]))</f>
        <v>0</v>
      </c>
      <c r="W73" s="63">
        <f>IF($B$4="в базовых ценах",калькулятор!N77,AB73*SUMPRODUCT(($B$2=Таблица2[Филиал])*($B$3=Таблица2[ФЕР/ТЕР])*(F73=Таблица2[Наименование работ])*(G73=Таблица2[ТПиР/НСиР])/Таблица2[Прочие3]))</f>
        <v>0</v>
      </c>
      <c r="X73" s="63">
        <f>IF($B$4="в текущих ценах",калькулятор!J77,S73*SUMPRODUCT(($B$2=Таблица2[Филиал])*($B$3=Таблица2[ФЕР/ТЕР])*(F73=Таблица2[Наименование работ])*(G73=Таблица2[ТПиР/НСиР])*Таблица2[ПИР2013]))</f>
        <v>0</v>
      </c>
      <c r="Y73" s="63">
        <f>IF($B$4="в текущих ценах",калькулятор!K77,T73*SUMPRODUCT(($B$2=Таблица2[Филиал])*($B$3=Таблица2[ФЕР/ТЕР])*(F73=Таблица2[Наименование работ])*(G73=Таблица2[ТПиР/НСиР])*Таблица2[СМР2013]))</f>
        <v>0</v>
      </c>
      <c r="Z73" s="63">
        <f>IF($B$4="в текущих ценах",калькулятор!L77,U73*SUMPRODUCT(($B$2=Таблица2[Филиал])*($B$3=Таблица2[ФЕР/ТЕР])*(F73=Таблица2[Наименование работ])*(G73=Таблица2[ТПиР/НСиР])*Таблица2[ПНР2013]))</f>
        <v>0</v>
      </c>
      <c r="AA73" s="63">
        <f>IF($B$4="в текущих ценах",калькулятор!M77,V73*SUMPRODUCT(($B$2=Таблица2[Филиал])*($B$3=Таблица2[ФЕР/ТЕР])*(F73=Таблица2[Наименование работ])*(G73=Таблица2[ТПиР/НСиР])*Таблица2[Оборудование2013]))</f>
        <v>0</v>
      </c>
      <c r="AB73" s="63">
        <f>IF($B$4="в текущих ценах",калькулятор!N77,W73*SUMPRODUCT(($B$2=Таблица2[Филиал])*($B$3=Таблица2[ФЕР/ТЕР])*(F73=Таблица2[Наименование работ])*(G73=Таблица2[ТПиР/НСиР])*Таблица2[Прочие3]))</f>
        <v>0</v>
      </c>
      <c r="AC73" s="63">
        <f>SUM(данные!$I73:$M73)</f>
        <v>0</v>
      </c>
      <c r="AD73" s="63">
        <f>IF(SUM(данные!$N73:$R73)&gt;данные!$AF73,данные!$AF73*0.9*1.058,SUM(данные!$N73:$R73))</f>
        <v>0</v>
      </c>
      <c r="AE73" s="63">
        <f>SUM(данные!$S73:$W73)</f>
        <v>0</v>
      </c>
      <c r="AF73" s="63">
        <f>SUM(данные!$X73:$AB73)</f>
        <v>0</v>
      </c>
      <c r="AG73" s="63">
        <f>IF($B$4="в текущих ценах",S73*SUMPRODUCT(($B$2=Таблица2[Филиал])*($B$3=Таблица2[ФЕР/ТЕР])*(F73=Таблица2[Наименование работ])*(G73=Таблица2[ТПиР/НСиР])*Таблица2[ПИР2012]),S73*SUMPRODUCT(($B$2=Таблица2[Филиал])*($B$3=Таблица2[ФЕР/ТЕР])*(F73=Таблица2[Наименование работ])*(G73=Таблица2[ТПиР/НСиР])*Таблица2[ПИР2012]))</f>
        <v>0</v>
      </c>
      <c r="AH73" s="63">
        <f>IF($B$4="в текущих ценах",T73*SUMPRODUCT(($B$2=Таблица2[Филиал])*($B$3=Таблица2[ФЕР/ТЕР])*(F73=Таблица2[Наименование работ])*(G73=Таблица2[ТПиР/НСиР])*Таблица2[СМР2012]),T73*SUMPRODUCT(($B$2=Таблица2[Филиал])*($B$3=Таблица2[ФЕР/ТЕР])*(F73=Таблица2[Наименование работ])*(G73=Таблица2[ТПиР/НСиР])*Таблица2[СМР2012]))</f>
        <v>0</v>
      </c>
      <c r="AI73" s="63">
        <f>IF($B$4="в текущих ценах",U73*SUMPRODUCT(($B$2=Таблица2[Филиал])*($B$3=Таблица2[ФЕР/ТЕР])*(F73=Таблица2[Наименование работ])*(G73=Таблица2[ТПиР/НСиР])*Таблица2[ПНР2012]),U73*SUMPRODUCT(($B$2=Таблица2[Филиал])*($B$3=Таблица2[ФЕР/ТЕР])*(F73=Таблица2[Наименование работ])*(G73=Таблица2[ТПиР/НСиР])*Таблица2[ПНР2012]))</f>
        <v>0</v>
      </c>
      <c r="AJ73" s="63">
        <f>IF($B$4="в текущих ценах",V73*SUMPRODUCT(($B$2=Таблица2[Филиал])*($B$3=Таблица2[ФЕР/ТЕР])*(F73=Таблица2[Наименование работ])*(G73=Таблица2[ТПиР/НСиР])*Таблица2[Оборудование2012]),V73*SUMPRODUCT(($B$2=Таблица2[Филиал])*($B$3=Таблица2[ФЕР/ТЕР])*(F73=Таблица2[Наименование работ])*(G73=Таблица2[ТПиР/НСиР])*Таблица2[Оборудование2012]))</f>
        <v>0</v>
      </c>
      <c r="AK73" s="63">
        <f>IF($B$4="в текущих ценах",W73*SUMPRODUCT(($B$2=Таблица2[Филиал])*($B$3=Таблица2[ФЕР/ТЕР])*(F73=Таблица2[Наименование работ])*(G73=Таблица2[ТПиР/НСиР])*Таблица2[Прочее2012]),W73*SUMPRODUCT(($B$2=Таблица2[Филиал])*($B$3=Таблица2[ФЕР/ТЕР])*(F73=Таблица2[Наименование работ])*(G73=Таблица2[ТПиР/НСиР])*Таблица2[Прочее2012]))</f>
        <v>0</v>
      </c>
      <c r="AL73" s="63">
        <f>данные!$X73+данные!$Y73+данные!$Z73+данные!$AA73+данные!$AB73</f>
        <v>0</v>
      </c>
      <c r="AM73" s="63">
        <v>1.03639035</v>
      </c>
      <c r="AN73" s="63">
        <v>1.0114049394</v>
      </c>
      <c r="AO73" s="63">
        <v>0.98210394336149998</v>
      </c>
      <c r="AP73" s="63">
        <v>0.93762413895893393</v>
      </c>
      <c r="AQ73" s="63"/>
      <c r="AR73" s="63"/>
      <c r="AS73" s="64"/>
      <c r="AU73" s="66">
        <f t="shared" si="6"/>
        <v>0</v>
      </c>
      <c r="AX73" s="66">
        <f t="shared" si="7"/>
        <v>0</v>
      </c>
      <c r="AY73" s="66">
        <f t="shared" si="8"/>
        <v>0</v>
      </c>
      <c r="AZ73" s="66">
        <f t="shared" si="9"/>
        <v>0</v>
      </c>
      <c r="BA73" s="66">
        <f t="shared" si="10"/>
        <v>0</v>
      </c>
      <c r="BB73" s="66">
        <f t="shared" si="11"/>
        <v>0</v>
      </c>
    </row>
    <row r="74" spans="4:54" x14ac:dyDescent="0.25">
      <c r="D74" s="62">
        <f>калькулятор!C78</f>
        <v>0</v>
      </c>
      <c r="E74" s="62">
        <f>калькулятор!F78</f>
        <v>0</v>
      </c>
      <c r="F74" s="62">
        <f>калькулятор!G78</f>
        <v>0</v>
      </c>
      <c r="G74" s="62">
        <f>калькулятор!H78</f>
        <v>0</v>
      </c>
      <c r="H74" s="62">
        <f>калькулятор!I78</f>
        <v>0</v>
      </c>
      <c r="I74" s="63">
        <f>S74*SUMPRODUCT(($B$2=Таблица2[Филиал])*($B$3=Таблица2[ФЕР/ТЕР])*(F74=Таблица2[Наименование работ])*(G74=Таблица2[ТПиР/НСиР])*Таблица2[ПИР2010])</f>
        <v>0</v>
      </c>
      <c r="J74" s="63">
        <f>T74*SUMPRODUCT(($B$2=Таблица2[Филиал])*($B$3=Таблица2[ФЕР/ТЕР])*(F74=Таблица2[Наименование работ])*(G74=Таблица2[ТПиР/НСиР])*Таблица2[СМР2010])</f>
        <v>0</v>
      </c>
      <c r="K74" s="63">
        <f>U74*SUMPRODUCT(($B$2=Таблица2[Филиал])*($B$3=Таблица2[ФЕР/ТЕР])*(F74=Таблица2[Наименование работ])*(G74=Таблица2[ТПиР/НСиР])*Таблица2[ПНР2010])</f>
        <v>0</v>
      </c>
      <c r="L74" s="63">
        <f>V74*SUMPRODUCT(($B$2=Таблица2[Филиал])*($B$3=Таблица2[ФЕР/ТЕР])*(F74=Таблица2[Наименование работ])*(G74=Таблица2[ТПиР/НСиР])*Таблица2[Оборудование2010])</f>
        <v>0</v>
      </c>
      <c r="M74" s="63">
        <f>W74*SUMPRODUCT(($B$2=Таблица2[Филиал])*($B$3=Таблица2[ФЕР/ТЕР])*(F74=Таблица2[Наименование работ])*(G74=Таблица2[ТПиР/НСиР])*Таблица2[Прочие2010])</f>
        <v>0</v>
      </c>
      <c r="N74" s="63">
        <f>S74*SUMPRODUCT(($B$2=Таблица2[Филиал])*($B$3=Таблица2[ФЕР/ТЕР])*(F74=Таблица2[Наименование работ])*(G74=Таблица2[ТПиР/НСиР])*Таблица2[ПИР2013-10])</f>
        <v>0</v>
      </c>
      <c r="O74" s="63">
        <f>T74*SUMPRODUCT(($B$2=Таблица2[Филиал])*($B$3=Таблица2[ФЕР/ТЕР])*(F74=Таблица2[Наименование работ])*(G74=Таблица2[ТПиР/НСиР])*Таблица2[СМР2013-10])</f>
        <v>0</v>
      </c>
      <c r="P74" s="63">
        <f>U74*SUMPRODUCT(($B$2=Таблица2[Филиал])*($B$3=Таблица2[ФЕР/ТЕР])*(F74=Таблица2[Наименование работ])*(G74=Таблица2[ТПиР/НСиР])*Таблица2[ПНР2013-10])</f>
        <v>0</v>
      </c>
      <c r="Q74" s="63">
        <f>V74*SUMPRODUCT(($B$2=Таблица2[Филиал])*($B$3=Таблица2[ФЕР/ТЕР])*(F74=Таблица2[Наименование работ])*(G74=Таблица2[ТПиР/НСиР])*Таблица2[Оборудование2013-10])</f>
        <v>0</v>
      </c>
      <c r="R74" s="63">
        <f>W74*SUMPRODUCT(($B$2=Таблица2[Филиал])*($B$3=Таблица2[ФЕР/ТЕР])*(F74=Таблица2[Наименование работ])*(G74=Таблица2[ТПиР/НСиР])*Таблица2[Прочие2013-10])</f>
        <v>0</v>
      </c>
      <c r="S74" s="63">
        <f>IF($B$4="в базовых ценах",калькулятор!J78,X74*SUMPRODUCT(($B$2=Таблица2[Филиал])*($B$3=Таблица2[ФЕР/ТЕР])*(F74=Таблица2[Наименование работ])*(G74=Таблица2[ТПиР/НСиР])/Таблица2[ПИР2013]))</f>
        <v>0</v>
      </c>
      <c r="T74" s="63">
        <f>IF($B$4="в базовых ценах",калькулятор!K78,Y74*SUMPRODUCT(($B$2=Таблица2[Филиал])*($B$3=Таблица2[ФЕР/ТЕР])*(F74=Таблица2[Наименование работ])*(G74=Таблица2[ТПиР/НСиР])/Таблица2[СМР2013]))</f>
        <v>0</v>
      </c>
      <c r="U74" s="63">
        <f>IF($B$4="в базовых ценах",калькулятор!L78,Z74*SUMPRODUCT(($B$2=Таблица2[Филиал])*($B$3=Таблица2[ФЕР/ТЕР])*(F74=Таблица2[Наименование работ])*(G74=Таблица2[ТПиР/НСиР])/Таблица2[ПНР2013]))</f>
        <v>0</v>
      </c>
      <c r="V74" s="63">
        <f>IF($B$4="в базовых ценах",калькулятор!M78,AA74*SUMPRODUCT(($B$2=Таблица2[Филиал])*($B$3=Таблица2[ФЕР/ТЕР])*(F74=Таблица2[Наименование работ])*(G74=Таблица2[ТПиР/НСиР])/Таблица2[Оборудование2013]))</f>
        <v>0</v>
      </c>
      <c r="W74" s="63">
        <f>IF($B$4="в базовых ценах",калькулятор!N78,AB74*SUMPRODUCT(($B$2=Таблица2[Филиал])*($B$3=Таблица2[ФЕР/ТЕР])*(F74=Таблица2[Наименование работ])*(G74=Таблица2[ТПиР/НСиР])/Таблица2[Прочие3]))</f>
        <v>0</v>
      </c>
      <c r="X74" s="63">
        <f>IF($B$4="в текущих ценах",калькулятор!J78,S74*SUMPRODUCT(($B$2=Таблица2[Филиал])*($B$3=Таблица2[ФЕР/ТЕР])*(F74=Таблица2[Наименование работ])*(G74=Таблица2[ТПиР/НСиР])*Таблица2[ПИР2013]))</f>
        <v>0</v>
      </c>
      <c r="Y74" s="63">
        <f>IF($B$4="в текущих ценах",калькулятор!K78,T74*SUMPRODUCT(($B$2=Таблица2[Филиал])*($B$3=Таблица2[ФЕР/ТЕР])*(F74=Таблица2[Наименование работ])*(G74=Таблица2[ТПиР/НСиР])*Таблица2[СМР2013]))</f>
        <v>0</v>
      </c>
      <c r="Z74" s="63">
        <f>IF($B$4="в текущих ценах",калькулятор!L78,U74*SUMPRODUCT(($B$2=Таблица2[Филиал])*($B$3=Таблица2[ФЕР/ТЕР])*(F74=Таблица2[Наименование работ])*(G74=Таблица2[ТПиР/НСиР])*Таблица2[ПНР2013]))</f>
        <v>0</v>
      </c>
      <c r="AA74" s="63">
        <f>IF($B$4="в текущих ценах",калькулятор!M78,V74*SUMPRODUCT(($B$2=Таблица2[Филиал])*($B$3=Таблица2[ФЕР/ТЕР])*(F74=Таблица2[Наименование работ])*(G74=Таблица2[ТПиР/НСиР])*Таблица2[Оборудование2013]))</f>
        <v>0</v>
      </c>
      <c r="AB74" s="63">
        <f>IF($B$4="в текущих ценах",калькулятор!N78,W74*SUMPRODUCT(($B$2=Таблица2[Филиал])*($B$3=Таблица2[ФЕР/ТЕР])*(F74=Таблица2[Наименование работ])*(G74=Таблица2[ТПиР/НСиР])*Таблица2[Прочие3]))</f>
        <v>0</v>
      </c>
      <c r="AC74" s="63">
        <f>SUM(данные!$I74:$M74)</f>
        <v>0</v>
      </c>
      <c r="AD74" s="63">
        <f>IF(SUM(данные!$N74:$R74)&gt;данные!$AF74,данные!$AF74*0.9*1.058,SUM(данные!$N74:$R74))</f>
        <v>0</v>
      </c>
      <c r="AE74" s="63">
        <f>SUM(данные!$S74:$W74)</f>
        <v>0</v>
      </c>
      <c r="AF74" s="63">
        <f>SUM(данные!$X74:$AB74)</f>
        <v>0</v>
      </c>
      <c r="AG74" s="63">
        <f>IF($B$4="в текущих ценах",S74*SUMPRODUCT(($B$2=Таблица2[Филиал])*($B$3=Таблица2[ФЕР/ТЕР])*(F74=Таблица2[Наименование работ])*(G74=Таблица2[ТПиР/НСиР])*Таблица2[ПИР2012]),S74*SUMPRODUCT(($B$2=Таблица2[Филиал])*($B$3=Таблица2[ФЕР/ТЕР])*(F74=Таблица2[Наименование работ])*(G74=Таблица2[ТПиР/НСиР])*Таблица2[ПИР2012]))</f>
        <v>0</v>
      </c>
      <c r="AH74" s="63">
        <f>IF($B$4="в текущих ценах",T74*SUMPRODUCT(($B$2=Таблица2[Филиал])*($B$3=Таблица2[ФЕР/ТЕР])*(F74=Таблица2[Наименование работ])*(G74=Таблица2[ТПиР/НСиР])*Таблица2[СМР2012]),T74*SUMPRODUCT(($B$2=Таблица2[Филиал])*($B$3=Таблица2[ФЕР/ТЕР])*(F74=Таблица2[Наименование работ])*(G74=Таблица2[ТПиР/НСиР])*Таблица2[СМР2012]))</f>
        <v>0</v>
      </c>
      <c r="AI74" s="63">
        <f>IF($B$4="в текущих ценах",U74*SUMPRODUCT(($B$2=Таблица2[Филиал])*($B$3=Таблица2[ФЕР/ТЕР])*(F74=Таблица2[Наименование работ])*(G74=Таблица2[ТПиР/НСиР])*Таблица2[ПНР2012]),U74*SUMPRODUCT(($B$2=Таблица2[Филиал])*($B$3=Таблица2[ФЕР/ТЕР])*(F74=Таблица2[Наименование работ])*(G74=Таблица2[ТПиР/НСиР])*Таблица2[ПНР2012]))</f>
        <v>0</v>
      </c>
      <c r="AJ74" s="63">
        <f>IF($B$4="в текущих ценах",V74*SUMPRODUCT(($B$2=Таблица2[Филиал])*($B$3=Таблица2[ФЕР/ТЕР])*(F74=Таблица2[Наименование работ])*(G74=Таблица2[ТПиР/НСиР])*Таблица2[Оборудование2012]),V74*SUMPRODUCT(($B$2=Таблица2[Филиал])*($B$3=Таблица2[ФЕР/ТЕР])*(F74=Таблица2[Наименование работ])*(G74=Таблица2[ТПиР/НСиР])*Таблица2[Оборудование2012]))</f>
        <v>0</v>
      </c>
      <c r="AK74" s="63">
        <f>IF($B$4="в текущих ценах",W74*SUMPRODUCT(($B$2=Таблица2[Филиал])*($B$3=Таблица2[ФЕР/ТЕР])*(F74=Таблица2[Наименование работ])*(G74=Таблица2[ТПиР/НСиР])*Таблица2[Прочее2012]),W74*SUMPRODUCT(($B$2=Таблица2[Филиал])*($B$3=Таблица2[ФЕР/ТЕР])*(F74=Таблица2[Наименование работ])*(G74=Таблица2[ТПиР/НСиР])*Таблица2[Прочее2012]))</f>
        <v>0</v>
      </c>
      <c r="AL74" s="63">
        <f>данные!$X74+данные!$Y74+данные!$Z74+данные!$AA74+данные!$AB74</f>
        <v>0</v>
      </c>
      <c r="AM74" s="63">
        <v>1.03639035</v>
      </c>
      <c r="AN74" s="63">
        <v>1.0114049394</v>
      </c>
      <c r="AO74" s="63">
        <v>0.98210394336149998</v>
      </c>
      <c r="AP74" s="63">
        <v>0.93762413895893393</v>
      </c>
      <c r="AQ74" s="63"/>
      <c r="AR74" s="63"/>
      <c r="AS74" s="64"/>
      <c r="AU74" s="66">
        <f t="shared" si="6"/>
        <v>0</v>
      </c>
      <c r="AX74" s="66">
        <f t="shared" si="7"/>
        <v>0</v>
      </c>
      <c r="AY74" s="66">
        <f t="shared" si="8"/>
        <v>0</v>
      </c>
      <c r="AZ74" s="66">
        <f t="shared" si="9"/>
        <v>0</v>
      </c>
      <c r="BA74" s="66">
        <f t="shared" si="10"/>
        <v>0</v>
      </c>
      <c r="BB74" s="66">
        <f t="shared" si="11"/>
        <v>0</v>
      </c>
    </row>
    <row r="75" spans="4:54" x14ac:dyDescent="0.25">
      <c r="D75" s="62">
        <f>калькулятор!C79</f>
        <v>0</v>
      </c>
      <c r="E75" s="62">
        <f>калькулятор!F79</f>
        <v>0</v>
      </c>
      <c r="F75" s="62">
        <f>калькулятор!G79</f>
        <v>0</v>
      </c>
      <c r="G75" s="62">
        <f>калькулятор!H79</f>
        <v>0</v>
      </c>
      <c r="H75" s="62">
        <f>калькулятор!I79</f>
        <v>0</v>
      </c>
      <c r="I75" s="63">
        <f>S75*SUMPRODUCT(($B$2=Таблица2[Филиал])*($B$3=Таблица2[ФЕР/ТЕР])*(F75=Таблица2[Наименование работ])*(G75=Таблица2[ТПиР/НСиР])*Таблица2[ПИР2010])</f>
        <v>0</v>
      </c>
      <c r="J75" s="63">
        <f>T75*SUMPRODUCT(($B$2=Таблица2[Филиал])*($B$3=Таблица2[ФЕР/ТЕР])*(F75=Таблица2[Наименование работ])*(G75=Таблица2[ТПиР/НСиР])*Таблица2[СМР2010])</f>
        <v>0</v>
      </c>
      <c r="K75" s="63">
        <f>U75*SUMPRODUCT(($B$2=Таблица2[Филиал])*($B$3=Таблица2[ФЕР/ТЕР])*(F75=Таблица2[Наименование работ])*(G75=Таблица2[ТПиР/НСиР])*Таблица2[ПНР2010])</f>
        <v>0</v>
      </c>
      <c r="L75" s="63">
        <f>V75*SUMPRODUCT(($B$2=Таблица2[Филиал])*($B$3=Таблица2[ФЕР/ТЕР])*(F75=Таблица2[Наименование работ])*(G75=Таблица2[ТПиР/НСиР])*Таблица2[Оборудование2010])</f>
        <v>0</v>
      </c>
      <c r="M75" s="63">
        <f>W75*SUMPRODUCT(($B$2=Таблица2[Филиал])*($B$3=Таблица2[ФЕР/ТЕР])*(F75=Таблица2[Наименование работ])*(G75=Таблица2[ТПиР/НСиР])*Таблица2[Прочие2010])</f>
        <v>0</v>
      </c>
      <c r="N75" s="63">
        <f>S75*SUMPRODUCT(($B$2=Таблица2[Филиал])*($B$3=Таблица2[ФЕР/ТЕР])*(F75=Таблица2[Наименование работ])*(G75=Таблица2[ТПиР/НСиР])*Таблица2[ПИР2013-10])</f>
        <v>0</v>
      </c>
      <c r="O75" s="63">
        <f>T75*SUMPRODUCT(($B$2=Таблица2[Филиал])*($B$3=Таблица2[ФЕР/ТЕР])*(F75=Таблица2[Наименование работ])*(G75=Таблица2[ТПиР/НСиР])*Таблица2[СМР2013-10])</f>
        <v>0</v>
      </c>
      <c r="P75" s="63">
        <f>U75*SUMPRODUCT(($B$2=Таблица2[Филиал])*($B$3=Таблица2[ФЕР/ТЕР])*(F75=Таблица2[Наименование работ])*(G75=Таблица2[ТПиР/НСиР])*Таблица2[ПНР2013-10])</f>
        <v>0</v>
      </c>
      <c r="Q75" s="63">
        <f>V75*SUMPRODUCT(($B$2=Таблица2[Филиал])*($B$3=Таблица2[ФЕР/ТЕР])*(F75=Таблица2[Наименование работ])*(G75=Таблица2[ТПиР/НСиР])*Таблица2[Оборудование2013-10])</f>
        <v>0</v>
      </c>
      <c r="R75" s="63">
        <f>W75*SUMPRODUCT(($B$2=Таблица2[Филиал])*($B$3=Таблица2[ФЕР/ТЕР])*(F75=Таблица2[Наименование работ])*(G75=Таблица2[ТПиР/НСиР])*Таблица2[Прочие2013-10])</f>
        <v>0</v>
      </c>
      <c r="S75" s="63">
        <f>IF($B$4="в базовых ценах",калькулятор!J79,X75*SUMPRODUCT(($B$2=Таблица2[Филиал])*($B$3=Таблица2[ФЕР/ТЕР])*(F75=Таблица2[Наименование работ])*(G75=Таблица2[ТПиР/НСиР])/Таблица2[ПИР2013]))</f>
        <v>0</v>
      </c>
      <c r="T75" s="63">
        <f>IF($B$4="в базовых ценах",калькулятор!K79,Y75*SUMPRODUCT(($B$2=Таблица2[Филиал])*($B$3=Таблица2[ФЕР/ТЕР])*(F75=Таблица2[Наименование работ])*(G75=Таблица2[ТПиР/НСиР])/Таблица2[СМР2013]))</f>
        <v>0</v>
      </c>
      <c r="U75" s="63">
        <f>IF($B$4="в базовых ценах",калькулятор!L79,Z75*SUMPRODUCT(($B$2=Таблица2[Филиал])*($B$3=Таблица2[ФЕР/ТЕР])*(F75=Таблица2[Наименование работ])*(G75=Таблица2[ТПиР/НСиР])/Таблица2[ПНР2013]))</f>
        <v>0</v>
      </c>
      <c r="V75" s="63">
        <f>IF($B$4="в базовых ценах",калькулятор!M79,AA75*SUMPRODUCT(($B$2=Таблица2[Филиал])*($B$3=Таблица2[ФЕР/ТЕР])*(F75=Таблица2[Наименование работ])*(G75=Таблица2[ТПиР/НСиР])/Таблица2[Оборудование2013]))</f>
        <v>0</v>
      </c>
      <c r="W75" s="63">
        <f>IF($B$4="в базовых ценах",калькулятор!N79,AB75*SUMPRODUCT(($B$2=Таблица2[Филиал])*($B$3=Таблица2[ФЕР/ТЕР])*(F75=Таблица2[Наименование работ])*(G75=Таблица2[ТПиР/НСиР])/Таблица2[Прочие3]))</f>
        <v>0</v>
      </c>
      <c r="X75" s="63">
        <f>IF($B$4="в текущих ценах",калькулятор!J79,S75*SUMPRODUCT(($B$2=Таблица2[Филиал])*($B$3=Таблица2[ФЕР/ТЕР])*(F75=Таблица2[Наименование работ])*(G75=Таблица2[ТПиР/НСиР])*Таблица2[ПИР2013]))</f>
        <v>0</v>
      </c>
      <c r="Y75" s="63">
        <f>IF($B$4="в текущих ценах",калькулятор!K79,T75*SUMPRODUCT(($B$2=Таблица2[Филиал])*($B$3=Таблица2[ФЕР/ТЕР])*(F75=Таблица2[Наименование работ])*(G75=Таблица2[ТПиР/НСиР])*Таблица2[СМР2013]))</f>
        <v>0</v>
      </c>
      <c r="Z75" s="63">
        <f>IF($B$4="в текущих ценах",калькулятор!L79,U75*SUMPRODUCT(($B$2=Таблица2[Филиал])*($B$3=Таблица2[ФЕР/ТЕР])*(F75=Таблица2[Наименование работ])*(G75=Таблица2[ТПиР/НСиР])*Таблица2[ПНР2013]))</f>
        <v>0</v>
      </c>
      <c r="AA75" s="63">
        <f>IF($B$4="в текущих ценах",калькулятор!M79,V75*SUMPRODUCT(($B$2=Таблица2[Филиал])*($B$3=Таблица2[ФЕР/ТЕР])*(F75=Таблица2[Наименование работ])*(G75=Таблица2[ТПиР/НСиР])*Таблица2[Оборудование2013]))</f>
        <v>0</v>
      </c>
      <c r="AB75" s="63">
        <f>IF($B$4="в текущих ценах",калькулятор!N79,W75*SUMPRODUCT(($B$2=Таблица2[Филиал])*($B$3=Таблица2[ФЕР/ТЕР])*(F75=Таблица2[Наименование работ])*(G75=Таблица2[ТПиР/НСиР])*Таблица2[Прочие3]))</f>
        <v>0</v>
      </c>
      <c r="AC75" s="63">
        <f>SUM(данные!$I75:$M75)</f>
        <v>0</v>
      </c>
      <c r="AD75" s="63">
        <f>IF(SUM(данные!$N75:$R75)&gt;данные!$AF75,данные!$AF75*0.9*1.058,SUM(данные!$N75:$R75))</f>
        <v>0</v>
      </c>
      <c r="AE75" s="63">
        <f>SUM(данные!$S75:$W75)</f>
        <v>0</v>
      </c>
      <c r="AF75" s="63">
        <f>SUM(данные!$X75:$AB75)</f>
        <v>0</v>
      </c>
      <c r="AG75" s="63">
        <f>IF($B$4="в текущих ценах",S75*SUMPRODUCT(($B$2=Таблица2[Филиал])*($B$3=Таблица2[ФЕР/ТЕР])*(F75=Таблица2[Наименование работ])*(G75=Таблица2[ТПиР/НСиР])*Таблица2[ПИР2012]),S75*SUMPRODUCT(($B$2=Таблица2[Филиал])*($B$3=Таблица2[ФЕР/ТЕР])*(F75=Таблица2[Наименование работ])*(G75=Таблица2[ТПиР/НСиР])*Таблица2[ПИР2012]))</f>
        <v>0</v>
      </c>
      <c r="AH75" s="63">
        <f>IF($B$4="в текущих ценах",T75*SUMPRODUCT(($B$2=Таблица2[Филиал])*($B$3=Таблица2[ФЕР/ТЕР])*(F75=Таблица2[Наименование работ])*(G75=Таблица2[ТПиР/НСиР])*Таблица2[СМР2012]),T75*SUMPRODUCT(($B$2=Таблица2[Филиал])*($B$3=Таблица2[ФЕР/ТЕР])*(F75=Таблица2[Наименование работ])*(G75=Таблица2[ТПиР/НСиР])*Таблица2[СМР2012]))</f>
        <v>0</v>
      </c>
      <c r="AI75" s="63">
        <f>IF($B$4="в текущих ценах",U75*SUMPRODUCT(($B$2=Таблица2[Филиал])*($B$3=Таблица2[ФЕР/ТЕР])*(F75=Таблица2[Наименование работ])*(G75=Таблица2[ТПиР/НСиР])*Таблица2[ПНР2012]),U75*SUMPRODUCT(($B$2=Таблица2[Филиал])*($B$3=Таблица2[ФЕР/ТЕР])*(F75=Таблица2[Наименование работ])*(G75=Таблица2[ТПиР/НСиР])*Таблица2[ПНР2012]))</f>
        <v>0</v>
      </c>
      <c r="AJ75" s="63">
        <f>IF($B$4="в текущих ценах",V75*SUMPRODUCT(($B$2=Таблица2[Филиал])*($B$3=Таблица2[ФЕР/ТЕР])*(F75=Таблица2[Наименование работ])*(G75=Таблица2[ТПиР/НСиР])*Таблица2[Оборудование2012]),V75*SUMPRODUCT(($B$2=Таблица2[Филиал])*($B$3=Таблица2[ФЕР/ТЕР])*(F75=Таблица2[Наименование работ])*(G75=Таблица2[ТПиР/НСиР])*Таблица2[Оборудование2012]))</f>
        <v>0</v>
      </c>
      <c r="AK75" s="63">
        <f>IF($B$4="в текущих ценах",W75*SUMPRODUCT(($B$2=Таблица2[Филиал])*($B$3=Таблица2[ФЕР/ТЕР])*(F75=Таблица2[Наименование работ])*(G75=Таблица2[ТПиР/НСиР])*Таблица2[Прочее2012]),W75*SUMPRODUCT(($B$2=Таблица2[Филиал])*($B$3=Таблица2[ФЕР/ТЕР])*(F75=Таблица2[Наименование работ])*(G75=Таблица2[ТПиР/НСиР])*Таблица2[Прочее2012]))</f>
        <v>0</v>
      </c>
      <c r="AL75" s="63">
        <f>данные!$X75+данные!$Y75+данные!$Z75+данные!$AA75+данные!$AB75</f>
        <v>0</v>
      </c>
      <c r="AM75" s="63">
        <v>1.03639035</v>
      </c>
      <c r="AN75" s="63">
        <v>1.0114049394</v>
      </c>
      <c r="AO75" s="63">
        <v>0.98210394336149998</v>
      </c>
      <c r="AP75" s="63">
        <v>0.93762413895893393</v>
      </c>
      <c r="AQ75" s="63"/>
      <c r="AR75" s="63"/>
      <c r="AS75" s="64"/>
      <c r="AU75" s="66">
        <f t="shared" si="6"/>
        <v>0</v>
      </c>
      <c r="AX75" s="66">
        <f t="shared" si="7"/>
        <v>0</v>
      </c>
      <c r="AY75" s="66">
        <f t="shared" si="8"/>
        <v>0</v>
      </c>
      <c r="AZ75" s="66">
        <f t="shared" si="9"/>
        <v>0</v>
      </c>
      <c r="BA75" s="66">
        <f t="shared" si="10"/>
        <v>0</v>
      </c>
      <c r="BB75" s="66">
        <f t="shared" si="11"/>
        <v>0</v>
      </c>
    </row>
    <row r="76" spans="4:54" x14ac:dyDescent="0.25">
      <c r="D76" s="62">
        <f>калькулятор!C80</f>
        <v>0</v>
      </c>
      <c r="E76" s="62">
        <f>калькулятор!F80</f>
        <v>0</v>
      </c>
      <c r="F76" s="62">
        <f>калькулятор!G80</f>
        <v>0</v>
      </c>
      <c r="G76" s="62">
        <f>калькулятор!H80</f>
        <v>0</v>
      </c>
      <c r="H76" s="62">
        <f>калькулятор!I80</f>
        <v>0</v>
      </c>
      <c r="I76" s="63">
        <f>S76*SUMPRODUCT(($B$2=Таблица2[Филиал])*($B$3=Таблица2[ФЕР/ТЕР])*(F76=Таблица2[Наименование работ])*(G76=Таблица2[ТПиР/НСиР])*Таблица2[ПИР2010])</f>
        <v>0</v>
      </c>
      <c r="J76" s="63">
        <f>T76*SUMPRODUCT(($B$2=Таблица2[Филиал])*($B$3=Таблица2[ФЕР/ТЕР])*(F76=Таблица2[Наименование работ])*(G76=Таблица2[ТПиР/НСиР])*Таблица2[СМР2010])</f>
        <v>0</v>
      </c>
      <c r="K76" s="63">
        <f>U76*SUMPRODUCT(($B$2=Таблица2[Филиал])*($B$3=Таблица2[ФЕР/ТЕР])*(F76=Таблица2[Наименование работ])*(G76=Таблица2[ТПиР/НСиР])*Таблица2[ПНР2010])</f>
        <v>0</v>
      </c>
      <c r="L76" s="63">
        <f>V76*SUMPRODUCT(($B$2=Таблица2[Филиал])*($B$3=Таблица2[ФЕР/ТЕР])*(F76=Таблица2[Наименование работ])*(G76=Таблица2[ТПиР/НСиР])*Таблица2[Оборудование2010])</f>
        <v>0</v>
      </c>
      <c r="M76" s="63">
        <f>W76*SUMPRODUCT(($B$2=Таблица2[Филиал])*($B$3=Таблица2[ФЕР/ТЕР])*(F76=Таблица2[Наименование работ])*(G76=Таблица2[ТПиР/НСиР])*Таблица2[Прочие2010])</f>
        <v>0</v>
      </c>
      <c r="N76" s="63">
        <f>S76*SUMPRODUCT(($B$2=Таблица2[Филиал])*($B$3=Таблица2[ФЕР/ТЕР])*(F76=Таблица2[Наименование работ])*(G76=Таблица2[ТПиР/НСиР])*Таблица2[ПИР2013-10])</f>
        <v>0</v>
      </c>
      <c r="O76" s="63">
        <f>T76*SUMPRODUCT(($B$2=Таблица2[Филиал])*($B$3=Таблица2[ФЕР/ТЕР])*(F76=Таблица2[Наименование работ])*(G76=Таблица2[ТПиР/НСиР])*Таблица2[СМР2013-10])</f>
        <v>0</v>
      </c>
      <c r="P76" s="63">
        <f>U76*SUMPRODUCT(($B$2=Таблица2[Филиал])*($B$3=Таблица2[ФЕР/ТЕР])*(F76=Таблица2[Наименование работ])*(G76=Таблица2[ТПиР/НСиР])*Таблица2[ПНР2013-10])</f>
        <v>0</v>
      </c>
      <c r="Q76" s="63">
        <f>V76*SUMPRODUCT(($B$2=Таблица2[Филиал])*($B$3=Таблица2[ФЕР/ТЕР])*(F76=Таблица2[Наименование работ])*(G76=Таблица2[ТПиР/НСиР])*Таблица2[Оборудование2013-10])</f>
        <v>0</v>
      </c>
      <c r="R76" s="63">
        <f>W76*SUMPRODUCT(($B$2=Таблица2[Филиал])*($B$3=Таблица2[ФЕР/ТЕР])*(F76=Таблица2[Наименование работ])*(G76=Таблица2[ТПиР/НСиР])*Таблица2[Прочие2013-10])</f>
        <v>0</v>
      </c>
      <c r="S76" s="63">
        <f>IF($B$4="в базовых ценах",калькулятор!J80,X76*SUMPRODUCT(($B$2=Таблица2[Филиал])*($B$3=Таблица2[ФЕР/ТЕР])*(F76=Таблица2[Наименование работ])*(G76=Таблица2[ТПиР/НСиР])/Таблица2[ПИР2013]))</f>
        <v>0</v>
      </c>
      <c r="T76" s="63">
        <f>IF($B$4="в базовых ценах",калькулятор!K80,Y76*SUMPRODUCT(($B$2=Таблица2[Филиал])*($B$3=Таблица2[ФЕР/ТЕР])*(F76=Таблица2[Наименование работ])*(G76=Таблица2[ТПиР/НСиР])/Таблица2[СМР2013]))</f>
        <v>0</v>
      </c>
      <c r="U76" s="63">
        <f>IF($B$4="в базовых ценах",калькулятор!L80,Z76*SUMPRODUCT(($B$2=Таблица2[Филиал])*($B$3=Таблица2[ФЕР/ТЕР])*(F76=Таблица2[Наименование работ])*(G76=Таблица2[ТПиР/НСиР])/Таблица2[ПНР2013]))</f>
        <v>0</v>
      </c>
      <c r="V76" s="63">
        <f>IF($B$4="в базовых ценах",калькулятор!M80,AA76*SUMPRODUCT(($B$2=Таблица2[Филиал])*($B$3=Таблица2[ФЕР/ТЕР])*(F76=Таблица2[Наименование работ])*(G76=Таблица2[ТПиР/НСиР])/Таблица2[Оборудование2013]))</f>
        <v>0</v>
      </c>
      <c r="W76" s="63">
        <f>IF($B$4="в базовых ценах",калькулятор!N80,AB76*SUMPRODUCT(($B$2=Таблица2[Филиал])*($B$3=Таблица2[ФЕР/ТЕР])*(F76=Таблица2[Наименование работ])*(G76=Таблица2[ТПиР/НСиР])/Таблица2[Прочие3]))</f>
        <v>0</v>
      </c>
      <c r="X76" s="63">
        <f>IF($B$4="в текущих ценах",калькулятор!J80,S76*SUMPRODUCT(($B$2=Таблица2[Филиал])*($B$3=Таблица2[ФЕР/ТЕР])*(F76=Таблица2[Наименование работ])*(G76=Таблица2[ТПиР/НСиР])*Таблица2[ПИР2013]))</f>
        <v>0</v>
      </c>
      <c r="Y76" s="63">
        <f>IF($B$4="в текущих ценах",калькулятор!K80,T76*SUMPRODUCT(($B$2=Таблица2[Филиал])*($B$3=Таблица2[ФЕР/ТЕР])*(F76=Таблица2[Наименование работ])*(G76=Таблица2[ТПиР/НСиР])*Таблица2[СМР2013]))</f>
        <v>0</v>
      </c>
      <c r="Z76" s="63">
        <f>IF($B$4="в текущих ценах",калькулятор!L80,U76*SUMPRODUCT(($B$2=Таблица2[Филиал])*($B$3=Таблица2[ФЕР/ТЕР])*(F76=Таблица2[Наименование работ])*(G76=Таблица2[ТПиР/НСиР])*Таблица2[ПНР2013]))</f>
        <v>0</v>
      </c>
      <c r="AA76" s="63">
        <f>IF($B$4="в текущих ценах",калькулятор!M80,V76*SUMPRODUCT(($B$2=Таблица2[Филиал])*($B$3=Таблица2[ФЕР/ТЕР])*(F76=Таблица2[Наименование работ])*(G76=Таблица2[ТПиР/НСиР])*Таблица2[Оборудование2013]))</f>
        <v>0</v>
      </c>
      <c r="AB76" s="63">
        <f>IF($B$4="в текущих ценах",калькулятор!N80,W76*SUMPRODUCT(($B$2=Таблица2[Филиал])*($B$3=Таблица2[ФЕР/ТЕР])*(F76=Таблица2[Наименование работ])*(G76=Таблица2[ТПиР/НСиР])*Таблица2[Прочие3]))</f>
        <v>0</v>
      </c>
      <c r="AC76" s="63">
        <f>SUM(данные!$I76:$M76)</f>
        <v>0</v>
      </c>
      <c r="AD76" s="63">
        <f>IF(SUM(данные!$N76:$R76)&gt;данные!$AF76,данные!$AF76*0.9*1.058,SUM(данные!$N76:$R76))</f>
        <v>0</v>
      </c>
      <c r="AE76" s="63">
        <f>SUM(данные!$S76:$W76)</f>
        <v>0</v>
      </c>
      <c r="AF76" s="63">
        <f>SUM(данные!$X76:$AB76)</f>
        <v>0</v>
      </c>
      <c r="AG76" s="63">
        <f>IF($B$4="в текущих ценах",S76*SUMPRODUCT(($B$2=Таблица2[Филиал])*($B$3=Таблица2[ФЕР/ТЕР])*(F76=Таблица2[Наименование работ])*(G76=Таблица2[ТПиР/НСиР])*Таблица2[ПИР2012]),S76*SUMPRODUCT(($B$2=Таблица2[Филиал])*($B$3=Таблица2[ФЕР/ТЕР])*(F76=Таблица2[Наименование работ])*(G76=Таблица2[ТПиР/НСиР])*Таблица2[ПИР2012]))</f>
        <v>0</v>
      </c>
      <c r="AH76" s="63">
        <f>IF($B$4="в текущих ценах",T76*SUMPRODUCT(($B$2=Таблица2[Филиал])*($B$3=Таблица2[ФЕР/ТЕР])*(F76=Таблица2[Наименование работ])*(G76=Таблица2[ТПиР/НСиР])*Таблица2[СМР2012]),T76*SUMPRODUCT(($B$2=Таблица2[Филиал])*($B$3=Таблица2[ФЕР/ТЕР])*(F76=Таблица2[Наименование работ])*(G76=Таблица2[ТПиР/НСиР])*Таблица2[СМР2012]))</f>
        <v>0</v>
      </c>
      <c r="AI76" s="63">
        <f>IF($B$4="в текущих ценах",U76*SUMPRODUCT(($B$2=Таблица2[Филиал])*($B$3=Таблица2[ФЕР/ТЕР])*(F76=Таблица2[Наименование работ])*(G76=Таблица2[ТПиР/НСиР])*Таблица2[ПНР2012]),U76*SUMPRODUCT(($B$2=Таблица2[Филиал])*($B$3=Таблица2[ФЕР/ТЕР])*(F76=Таблица2[Наименование работ])*(G76=Таблица2[ТПиР/НСиР])*Таблица2[ПНР2012]))</f>
        <v>0</v>
      </c>
      <c r="AJ76" s="63">
        <f>IF($B$4="в текущих ценах",V76*SUMPRODUCT(($B$2=Таблица2[Филиал])*($B$3=Таблица2[ФЕР/ТЕР])*(F76=Таблица2[Наименование работ])*(G76=Таблица2[ТПиР/НСиР])*Таблица2[Оборудование2012]),V76*SUMPRODUCT(($B$2=Таблица2[Филиал])*($B$3=Таблица2[ФЕР/ТЕР])*(F76=Таблица2[Наименование работ])*(G76=Таблица2[ТПиР/НСиР])*Таблица2[Оборудование2012]))</f>
        <v>0</v>
      </c>
      <c r="AK76" s="63">
        <f>IF($B$4="в текущих ценах",W76*SUMPRODUCT(($B$2=Таблица2[Филиал])*($B$3=Таблица2[ФЕР/ТЕР])*(F76=Таблица2[Наименование работ])*(G76=Таблица2[ТПиР/НСиР])*Таблица2[Прочее2012]),W76*SUMPRODUCT(($B$2=Таблица2[Филиал])*($B$3=Таблица2[ФЕР/ТЕР])*(F76=Таблица2[Наименование работ])*(G76=Таблица2[ТПиР/НСиР])*Таблица2[Прочее2012]))</f>
        <v>0</v>
      </c>
      <c r="AL76" s="63">
        <f>данные!$X76+данные!$Y76+данные!$Z76+данные!$AA76+данные!$AB76</f>
        <v>0</v>
      </c>
      <c r="AM76" s="63">
        <v>1.03639035</v>
      </c>
      <c r="AN76" s="63">
        <v>1.0114049394</v>
      </c>
      <c r="AO76" s="63">
        <v>0.98210394336149998</v>
      </c>
      <c r="AP76" s="63">
        <v>0.93762413895893393</v>
      </c>
      <c r="AQ76" s="63"/>
      <c r="AR76" s="63"/>
      <c r="AS76" s="64"/>
      <c r="AU76" s="66">
        <f t="shared" si="6"/>
        <v>0</v>
      </c>
      <c r="AX76" s="66">
        <f t="shared" si="7"/>
        <v>0</v>
      </c>
      <c r="AY76" s="66">
        <f t="shared" si="8"/>
        <v>0</v>
      </c>
      <c r="AZ76" s="66">
        <f t="shared" si="9"/>
        <v>0</v>
      </c>
      <c r="BA76" s="66">
        <f t="shared" si="10"/>
        <v>0</v>
      </c>
      <c r="BB76" s="66">
        <f t="shared" si="11"/>
        <v>0</v>
      </c>
    </row>
    <row r="77" spans="4:54" x14ac:dyDescent="0.25">
      <c r="D77" s="62">
        <f>калькулятор!C81</f>
        <v>0</v>
      </c>
      <c r="E77" s="62">
        <f>калькулятор!F81</f>
        <v>0</v>
      </c>
      <c r="F77" s="62">
        <f>калькулятор!G81</f>
        <v>0</v>
      </c>
      <c r="G77" s="62">
        <f>калькулятор!H81</f>
        <v>0</v>
      </c>
      <c r="H77" s="62">
        <f>калькулятор!I81</f>
        <v>0</v>
      </c>
      <c r="I77" s="63">
        <f>S77*SUMPRODUCT(($B$2=Таблица2[Филиал])*($B$3=Таблица2[ФЕР/ТЕР])*(F77=Таблица2[Наименование работ])*(G77=Таблица2[ТПиР/НСиР])*Таблица2[ПИР2010])</f>
        <v>0</v>
      </c>
      <c r="J77" s="63">
        <f>T77*SUMPRODUCT(($B$2=Таблица2[Филиал])*($B$3=Таблица2[ФЕР/ТЕР])*(F77=Таблица2[Наименование работ])*(G77=Таблица2[ТПиР/НСиР])*Таблица2[СМР2010])</f>
        <v>0</v>
      </c>
      <c r="K77" s="63">
        <f>U77*SUMPRODUCT(($B$2=Таблица2[Филиал])*($B$3=Таблица2[ФЕР/ТЕР])*(F77=Таблица2[Наименование работ])*(G77=Таблица2[ТПиР/НСиР])*Таблица2[ПНР2010])</f>
        <v>0</v>
      </c>
      <c r="L77" s="63">
        <f>V77*SUMPRODUCT(($B$2=Таблица2[Филиал])*($B$3=Таблица2[ФЕР/ТЕР])*(F77=Таблица2[Наименование работ])*(G77=Таблица2[ТПиР/НСиР])*Таблица2[Оборудование2010])</f>
        <v>0</v>
      </c>
      <c r="M77" s="63">
        <f>W77*SUMPRODUCT(($B$2=Таблица2[Филиал])*($B$3=Таблица2[ФЕР/ТЕР])*(F77=Таблица2[Наименование работ])*(G77=Таблица2[ТПиР/НСиР])*Таблица2[Прочие2010])</f>
        <v>0</v>
      </c>
      <c r="N77" s="63">
        <f>S77*SUMPRODUCT(($B$2=Таблица2[Филиал])*($B$3=Таблица2[ФЕР/ТЕР])*(F77=Таблица2[Наименование работ])*(G77=Таблица2[ТПиР/НСиР])*Таблица2[ПИР2013-10])</f>
        <v>0</v>
      </c>
      <c r="O77" s="63">
        <f>T77*SUMPRODUCT(($B$2=Таблица2[Филиал])*($B$3=Таблица2[ФЕР/ТЕР])*(F77=Таблица2[Наименование работ])*(G77=Таблица2[ТПиР/НСиР])*Таблица2[СМР2013-10])</f>
        <v>0</v>
      </c>
      <c r="P77" s="63">
        <f>U77*SUMPRODUCT(($B$2=Таблица2[Филиал])*($B$3=Таблица2[ФЕР/ТЕР])*(F77=Таблица2[Наименование работ])*(G77=Таблица2[ТПиР/НСиР])*Таблица2[ПНР2013-10])</f>
        <v>0</v>
      </c>
      <c r="Q77" s="63">
        <f>V77*SUMPRODUCT(($B$2=Таблица2[Филиал])*($B$3=Таблица2[ФЕР/ТЕР])*(F77=Таблица2[Наименование работ])*(G77=Таблица2[ТПиР/НСиР])*Таблица2[Оборудование2013-10])</f>
        <v>0</v>
      </c>
      <c r="R77" s="63">
        <f>W77*SUMPRODUCT(($B$2=Таблица2[Филиал])*($B$3=Таблица2[ФЕР/ТЕР])*(F77=Таблица2[Наименование работ])*(G77=Таблица2[ТПиР/НСиР])*Таблица2[Прочие2013-10])</f>
        <v>0</v>
      </c>
      <c r="S77" s="63">
        <f>IF($B$4="в базовых ценах",калькулятор!J81,X77*SUMPRODUCT(($B$2=Таблица2[Филиал])*($B$3=Таблица2[ФЕР/ТЕР])*(F77=Таблица2[Наименование работ])*(G77=Таблица2[ТПиР/НСиР])/Таблица2[ПИР2013]))</f>
        <v>0</v>
      </c>
      <c r="T77" s="63">
        <f>IF($B$4="в базовых ценах",калькулятор!K81,Y77*SUMPRODUCT(($B$2=Таблица2[Филиал])*($B$3=Таблица2[ФЕР/ТЕР])*(F77=Таблица2[Наименование работ])*(G77=Таблица2[ТПиР/НСиР])/Таблица2[СМР2013]))</f>
        <v>0</v>
      </c>
      <c r="U77" s="63">
        <f>IF($B$4="в базовых ценах",калькулятор!L81,Z77*SUMPRODUCT(($B$2=Таблица2[Филиал])*($B$3=Таблица2[ФЕР/ТЕР])*(F77=Таблица2[Наименование работ])*(G77=Таблица2[ТПиР/НСиР])/Таблица2[ПНР2013]))</f>
        <v>0</v>
      </c>
      <c r="V77" s="63">
        <f>IF($B$4="в базовых ценах",калькулятор!M81,AA77*SUMPRODUCT(($B$2=Таблица2[Филиал])*($B$3=Таблица2[ФЕР/ТЕР])*(F77=Таблица2[Наименование работ])*(G77=Таблица2[ТПиР/НСиР])/Таблица2[Оборудование2013]))</f>
        <v>0</v>
      </c>
      <c r="W77" s="63">
        <f>IF($B$4="в базовых ценах",калькулятор!N81,AB77*SUMPRODUCT(($B$2=Таблица2[Филиал])*($B$3=Таблица2[ФЕР/ТЕР])*(F77=Таблица2[Наименование работ])*(G77=Таблица2[ТПиР/НСиР])/Таблица2[Прочие3]))</f>
        <v>0</v>
      </c>
      <c r="X77" s="63">
        <f>IF($B$4="в текущих ценах",калькулятор!J81,S77*SUMPRODUCT(($B$2=Таблица2[Филиал])*($B$3=Таблица2[ФЕР/ТЕР])*(F77=Таблица2[Наименование работ])*(G77=Таблица2[ТПиР/НСиР])*Таблица2[ПИР2013]))</f>
        <v>0</v>
      </c>
      <c r="Y77" s="63">
        <f>IF($B$4="в текущих ценах",калькулятор!K81,T77*SUMPRODUCT(($B$2=Таблица2[Филиал])*($B$3=Таблица2[ФЕР/ТЕР])*(F77=Таблица2[Наименование работ])*(G77=Таблица2[ТПиР/НСиР])*Таблица2[СМР2013]))</f>
        <v>0</v>
      </c>
      <c r="Z77" s="63">
        <f>IF($B$4="в текущих ценах",калькулятор!L81,U77*SUMPRODUCT(($B$2=Таблица2[Филиал])*($B$3=Таблица2[ФЕР/ТЕР])*(F77=Таблица2[Наименование работ])*(G77=Таблица2[ТПиР/НСиР])*Таблица2[ПНР2013]))</f>
        <v>0</v>
      </c>
      <c r="AA77" s="63">
        <f>IF($B$4="в текущих ценах",калькулятор!M81,V77*SUMPRODUCT(($B$2=Таблица2[Филиал])*($B$3=Таблица2[ФЕР/ТЕР])*(F77=Таблица2[Наименование работ])*(G77=Таблица2[ТПиР/НСиР])*Таблица2[Оборудование2013]))</f>
        <v>0</v>
      </c>
      <c r="AB77" s="63">
        <f>IF($B$4="в текущих ценах",калькулятор!N81,W77*SUMPRODUCT(($B$2=Таблица2[Филиал])*($B$3=Таблица2[ФЕР/ТЕР])*(F77=Таблица2[Наименование работ])*(G77=Таблица2[ТПиР/НСиР])*Таблица2[Прочие3]))</f>
        <v>0</v>
      </c>
      <c r="AC77" s="63">
        <f>SUM(данные!$I77:$M77)</f>
        <v>0</v>
      </c>
      <c r="AD77" s="63">
        <f>IF(SUM(данные!$N77:$R77)&gt;данные!$AF77,данные!$AF77*0.9*1.058,SUM(данные!$N77:$R77))</f>
        <v>0</v>
      </c>
      <c r="AE77" s="63">
        <f>SUM(данные!$S77:$W77)</f>
        <v>0</v>
      </c>
      <c r="AF77" s="63">
        <f>SUM(данные!$X77:$AB77)</f>
        <v>0</v>
      </c>
      <c r="AG77" s="63">
        <f>IF($B$4="в текущих ценах",S77*SUMPRODUCT(($B$2=Таблица2[Филиал])*($B$3=Таблица2[ФЕР/ТЕР])*(F77=Таблица2[Наименование работ])*(G77=Таблица2[ТПиР/НСиР])*Таблица2[ПИР2012]),S77*SUMPRODUCT(($B$2=Таблица2[Филиал])*($B$3=Таблица2[ФЕР/ТЕР])*(F77=Таблица2[Наименование работ])*(G77=Таблица2[ТПиР/НСиР])*Таблица2[ПИР2012]))</f>
        <v>0</v>
      </c>
      <c r="AH77" s="63">
        <f>IF($B$4="в текущих ценах",T77*SUMPRODUCT(($B$2=Таблица2[Филиал])*($B$3=Таблица2[ФЕР/ТЕР])*(F77=Таблица2[Наименование работ])*(G77=Таблица2[ТПиР/НСиР])*Таблица2[СМР2012]),T77*SUMPRODUCT(($B$2=Таблица2[Филиал])*($B$3=Таблица2[ФЕР/ТЕР])*(F77=Таблица2[Наименование работ])*(G77=Таблица2[ТПиР/НСиР])*Таблица2[СМР2012]))</f>
        <v>0</v>
      </c>
      <c r="AI77" s="63">
        <f>IF($B$4="в текущих ценах",U77*SUMPRODUCT(($B$2=Таблица2[Филиал])*($B$3=Таблица2[ФЕР/ТЕР])*(F77=Таблица2[Наименование работ])*(G77=Таблица2[ТПиР/НСиР])*Таблица2[ПНР2012]),U77*SUMPRODUCT(($B$2=Таблица2[Филиал])*($B$3=Таблица2[ФЕР/ТЕР])*(F77=Таблица2[Наименование работ])*(G77=Таблица2[ТПиР/НСиР])*Таблица2[ПНР2012]))</f>
        <v>0</v>
      </c>
      <c r="AJ77" s="63">
        <f>IF($B$4="в текущих ценах",V77*SUMPRODUCT(($B$2=Таблица2[Филиал])*($B$3=Таблица2[ФЕР/ТЕР])*(F77=Таблица2[Наименование работ])*(G77=Таблица2[ТПиР/НСиР])*Таблица2[Оборудование2012]),V77*SUMPRODUCT(($B$2=Таблица2[Филиал])*($B$3=Таблица2[ФЕР/ТЕР])*(F77=Таблица2[Наименование работ])*(G77=Таблица2[ТПиР/НСиР])*Таблица2[Оборудование2012]))</f>
        <v>0</v>
      </c>
      <c r="AK77" s="63">
        <f>IF($B$4="в текущих ценах",W77*SUMPRODUCT(($B$2=Таблица2[Филиал])*($B$3=Таблица2[ФЕР/ТЕР])*(F77=Таблица2[Наименование работ])*(G77=Таблица2[ТПиР/НСиР])*Таблица2[Прочее2012]),W77*SUMPRODUCT(($B$2=Таблица2[Филиал])*($B$3=Таблица2[ФЕР/ТЕР])*(F77=Таблица2[Наименование работ])*(G77=Таблица2[ТПиР/НСиР])*Таблица2[Прочее2012]))</f>
        <v>0</v>
      </c>
      <c r="AL77" s="63">
        <f>данные!$X77+данные!$Y77+данные!$Z77+данные!$AA77+данные!$AB77</f>
        <v>0</v>
      </c>
      <c r="AM77" s="63">
        <v>1.03639035</v>
      </c>
      <c r="AN77" s="63">
        <v>1.0114049394</v>
      </c>
      <c r="AO77" s="63">
        <v>0.98210394336149998</v>
      </c>
      <c r="AP77" s="63">
        <v>0.93762413895893393</v>
      </c>
      <c r="AQ77" s="63"/>
      <c r="AR77" s="63"/>
      <c r="AS77" s="64"/>
      <c r="AU77" s="66">
        <f t="shared" si="6"/>
        <v>0</v>
      </c>
      <c r="AX77" s="66">
        <f t="shared" si="7"/>
        <v>0</v>
      </c>
      <c r="AY77" s="66">
        <f t="shared" si="8"/>
        <v>0</v>
      </c>
      <c r="AZ77" s="66">
        <f t="shared" si="9"/>
        <v>0</v>
      </c>
      <c r="BA77" s="66">
        <f t="shared" si="10"/>
        <v>0</v>
      </c>
      <c r="BB77" s="66">
        <f t="shared" si="11"/>
        <v>0</v>
      </c>
    </row>
    <row r="78" spans="4:54" x14ac:dyDescent="0.25">
      <c r="D78" s="62">
        <f>калькулятор!C82</f>
        <v>0</v>
      </c>
      <c r="E78" s="62">
        <f>калькулятор!F82</f>
        <v>0</v>
      </c>
      <c r="F78" s="62">
        <f>калькулятор!G82</f>
        <v>0</v>
      </c>
      <c r="G78" s="62">
        <f>калькулятор!H82</f>
        <v>0</v>
      </c>
      <c r="H78" s="62">
        <f>калькулятор!I82</f>
        <v>0</v>
      </c>
      <c r="I78" s="63">
        <f>S78*SUMPRODUCT(($B$2=Таблица2[Филиал])*($B$3=Таблица2[ФЕР/ТЕР])*(F78=Таблица2[Наименование работ])*(G78=Таблица2[ТПиР/НСиР])*Таблица2[ПИР2010])</f>
        <v>0</v>
      </c>
      <c r="J78" s="63">
        <f>T78*SUMPRODUCT(($B$2=Таблица2[Филиал])*($B$3=Таблица2[ФЕР/ТЕР])*(F78=Таблица2[Наименование работ])*(G78=Таблица2[ТПиР/НСиР])*Таблица2[СМР2010])</f>
        <v>0</v>
      </c>
      <c r="K78" s="63">
        <f>U78*SUMPRODUCT(($B$2=Таблица2[Филиал])*($B$3=Таблица2[ФЕР/ТЕР])*(F78=Таблица2[Наименование работ])*(G78=Таблица2[ТПиР/НСиР])*Таблица2[ПНР2010])</f>
        <v>0</v>
      </c>
      <c r="L78" s="63">
        <f>V78*SUMPRODUCT(($B$2=Таблица2[Филиал])*($B$3=Таблица2[ФЕР/ТЕР])*(F78=Таблица2[Наименование работ])*(G78=Таблица2[ТПиР/НСиР])*Таблица2[Оборудование2010])</f>
        <v>0</v>
      </c>
      <c r="M78" s="63">
        <f>W78*SUMPRODUCT(($B$2=Таблица2[Филиал])*($B$3=Таблица2[ФЕР/ТЕР])*(F78=Таблица2[Наименование работ])*(G78=Таблица2[ТПиР/НСиР])*Таблица2[Прочие2010])</f>
        <v>0</v>
      </c>
      <c r="N78" s="63">
        <f>S78*SUMPRODUCT(($B$2=Таблица2[Филиал])*($B$3=Таблица2[ФЕР/ТЕР])*(F78=Таблица2[Наименование работ])*(G78=Таблица2[ТПиР/НСиР])*Таблица2[ПИР2013-10])</f>
        <v>0</v>
      </c>
      <c r="O78" s="63">
        <f>T78*SUMPRODUCT(($B$2=Таблица2[Филиал])*($B$3=Таблица2[ФЕР/ТЕР])*(F78=Таблица2[Наименование работ])*(G78=Таблица2[ТПиР/НСиР])*Таблица2[СМР2013-10])</f>
        <v>0</v>
      </c>
      <c r="P78" s="63">
        <f>U78*SUMPRODUCT(($B$2=Таблица2[Филиал])*($B$3=Таблица2[ФЕР/ТЕР])*(F78=Таблица2[Наименование работ])*(G78=Таблица2[ТПиР/НСиР])*Таблица2[ПНР2013-10])</f>
        <v>0</v>
      </c>
      <c r="Q78" s="63">
        <f>V78*SUMPRODUCT(($B$2=Таблица2[Филиал])*($B$3=Таблица2[ФЕР/ТЕР])*(F78=Таблица2[Наименование работ])*(G78=Таблица2[ТПиР/НСиР])*Таблица2[Оборудование2013-10])</f>
        <v>0</v>
      </c>
      <c r="R78" s="63">
        <f>W78*SUMPRODUCT(($B$2=Таблица2[Филиал])*($B$3=Таблица2[ФЕР/ТЕР])*(F78=Таблица2[Наименование работ])*(G78=Таблица2[ТПиР/НСиР])*Таблица2[Прочие2013-10])</f>
        <v>0</v>
      </c>
      <c r="S78" s="63">
        <f>IF($B$4="в базовых ценах",калькулятор!J82,X78*SUMPRODUCT(($B$2=Таблица2[Филиал])*($B$3=Таблица2[ФЕР/ТЕР])*(F78=Таблица2[Наименование работ])*(G78=Таблица2[ТПиР/НСиР])/Таблица2[ПИР2013]))</f>
        <v>0</v>
      </c>
      <c r="T78" s="63">
        <f>IF($B$4="в базовых ценах",калькулятор!K82,Y78*SUMPRODUCT(($B$2=Таблица2[Филиал])*($B$3=Таблица2[ФЕР/ТЕР])*(F78=Таблица2[Наименование работ])*(G78=Таблица2[ТПиР/НСиР])/Таблица2[СМР2013]))</f>
        <v>0</v>
      </c>
      <c r="U78" s="63">
        <f>IF($B$4="в базовых ценах",калькулятор!L82,Z78*SUMPRODUCT(($B$2=Таблица2[Филиал])*($B$3=Таблица2[ФЕР/ТЕР])*(F78=Таблица2[Наименование работ])*(G78=Таблица2[ТПиР/НСиР])/Таблица2[ПНР2013]))</f>
        <v>0</v>
      </c>
      <c r="V78" s="63">
        <f>IF($B$4="в базовых ценах",калькулятор!M82,AA78*SUMPRODUCT(($B$2=Таблица2[Филиал])*($B$3=Таблица2[ФЕР/ТЕР])*(F78=Таблица2[Наименование работ])*(G78=Таблица2[ТПиР/НСиР])/Таблица2[Оборудование2013]))</f>
        <v>0</v>
      </c>
      <c r="W78" s="63">
        <f>IF($B$4="в базовых ценах",калькулятор!N82,AB78*SUMPRODUCT(($B$2=Таблица2[Филиал])*($B$3=Таблица2[ФЕР/ТЕР])*(F78=Таблица2[Наименование работ])*(G78=Таблица2[ТПиР/НСиР])/Таблица2[Прочие3]))</f>
        <v>0</v>
      </c>
      <c r="X78" s="63">
        <f>IF($B$4="в текущих ценах",калькулятор!J82,S78*SUMPRODUCT(($B$2=Таблица2[Филиал])*($B$3=Таблица2[ФЕР/ТЕР])*(F78=Таблица2[Наименование работ])*(G78=Таблица2[ТПиР/НСиР])*Таблица2[ПИР2013]))</f>
        <v>0</v>
      </c>
      <c r="Y78" s="63">
        <f>IF($B$4="в текущих ценах",калькулятор!K82,T78*SUMPRODUCT(($B$2=Таблица2[Филиал])*($B$3=Таблица2[ФЕР/ТЕР])*(F78=Таблица2[Наименование работ])*(G78=Таблица2[ТПиР/НСиР])*Таблица2[СМР2013]))</f>
        <v>0</v>
      </c>
      <c r="Z78" s="63">
        <f>IF($B$4="в текущих ценах",калькулятор!L82,U78*SUMPRODUCT(($B$2=Таблица2[Филиал])*($B$3=Таблица2[ФЕР/ТЕР])*(F78=Таблица2[Наименование работ])*(G78=Таблица2[ТПиР/НСиР])*Таблица2[ПНР2013]))</f>
        <v>0</v>
      </c>
      <c r="AA78" s="63">
        <f>IF($B$4="в текущих ценах",калькулятор!M82,V78*SUMPRODUCT(($B$2=Таблица2[Филиал])*($B$3=Таблица2[ФЕР/ТЕР])*(F78=Таблица2[Наименование работ])*(G78=Таблица2[ТПиР/НСиР])*Таблица2[Оборудование2013]))</f>
        <v>0</v>
      </c>
      <c r="AB78" s="63">
        <f>IF($B$4="в текущих ценах",калькулятор!N82,W78*SUMPRODUCT(($B$2=Таблица2[Филиал])*($B$3=Таблица2[ФЕР/ТЕР])*(F78=Таблица2[Наименование работ])*(G78=Таблица2[ТПиР/НСиР])*Таблица2[Прочие3]))</f>
        <v>0</v>
      </c>
      <c r="AC78" s="63">
        <f>SUM(данные!$I78:$M78)</f>
        <v>0</v>
      </c>
      <c r="AD78" s="63">
        <f>IF(SUM(данные!$N78:$R78)&gt;данные!$AF78,данные!$AF78*0.9*1.058,SUM(данные!$N78:$R78))</f>
        <v>0</v>
      </c>
      <c r="AE78" s="63">
        <f>SUM(данные!$S78:$W78)</f>
        <v>0</v>
      </c>
      <c r="AF78" s="63">
        <f>SUM(данные!$X78:$AB78)</f>
        <v>0</v>
      </c>
      <c r="AG78" s="63">
        <f>IF($B$4="в текущих ценах",S78*SUMPRODUCT(($B$2=Таблица2[Филиал])*($B$3=Таблица2[ФЕР/ТЕР])*(F78=Таблица2[Наименование работ])*(G78=Таблица2[ТПиР/НСиР])*Таблица2[ПИР2012]),S78*SUMPRODUCT(($B$2=Таблица2[Филиал])*($B$3=Таблица2[ФЕР/ТЕР])*(F78=Таблица2[Наименование работ])*(G78=Таблица2[ТПиР/НСиР])*Таблица2[ПИР2012]))</f>
        <v>0</v>
      </c>
      <c r="AH78" s="63">
        <f>IF($B$4="в текущих ценах",T78*SUMPRODUCT(($B$2=Таблица2[Филиал])*($B$3=Таблица2[ФЕР/ТЕР])*(F78=Таблица2[Наименование работ])*(G78=Таблица2[ТПиР/НСиР])*Таблица2[СМР2012]),T78*SUMPRODUCT(($B$2=Таблица2[Филиал])*($B$3=Таблица2[ФЕР/ТЕР])*(F78=Таблица2[Наименование работ])*(G78=Таблица2[ТПиР/НСиР])*Таблица2[СМР2012]))</f>
        <v>0</v>
      </c>
      <c r="AI78" s="63">
        <f>IF($B$4="в текущих ценах",U78*SUMPRODUCT(($B$2=Таблица2[Филиал])*($B$3=Таблица2[ФЕР/ТЕР])*(F78=Таблица2[Наименование работ])*(G78=Таблица2[ТПиР/НСиР])*Таблица2[ПНР2012]),U78*SUMPRODUCT(($B$2=Таблица2[Филиал])*($B$3=Таблица2[ФЕР/ТЕР])*(F78=Таблица2[Наименование работ])*(G78=Таблица2[ТПиР/НСиР])*Таблица2[ПНР2012]))</f>
        <v>0</v>
      </c>
      <c r="AJ78" s="63">
        <f>IF($B$4="в текущих ценах",V78*SUMPRODUCT(($B$2=Таблица2[Филиал])*($B$3=Таблица2[ФЕР/ТЕР])*(F78=Таблица2[Наименование работ])*(G78=Таблица2[ТПиР/НСиР])*Таблица2[Оборудование2012]),V78*SUMPRODUCT(($B$2=Таблица2[Филиал])*($B$3=Таблица2[ФЕР/ТЕР])*(F78=Таблица2[Наименование работ])*(G78=Таблица2[ТПиР/НСиР])*Таблица2[Оборудование2012]))</f>
        <v>0</v>
      </c>
      <c r="AK78" s="63">
        <f>IF($B$4="в текущих ценах",W78*SUMPRODUCT(($B$2=Таблица2[Филиал])*($B$3=Таблица2[ФЕР/ТЕР])*(F78=Таблица2[Наименование работ])*(G78=Таблица2[ТПиР/НСиР])*Таблица2[Прочее2012]),W78*SUMPRODUCT(($B$2=Таблица2[Филиал])*($B$3=Таблица2[ФЕР/ТЕР])*(F78=Таблица2[Наименование работ])*(G78=Таблица2[ТПиР/НСиР])*Таблица2[Прочее2012]))</f>
        <v>0</v>
      </c>
      <c r="AL78" s="63">
        <f>данные!$X78+данные!$Y78+данные!$Z78+данные!$AA78+данные!$AB78</f>
        <v>0</v>
      </c>
      <c r="AM78" s="63">
        <v>1.03639035</v>
      </c>
      <c r="AN78" s="63">
        <v>1.0114049394</v>
      </c>
      <c r="AO78" s="63">
        <v>0.98210394336149998</v>
      </c>
      <c r="AP78" s="63">
        <v>0.93762413895893393</v>
      </c>
      <c r="AQ78" s="63"/>
      <c r="AR78" s="63"/>
      <c r="AS78" s="64"/>
      <c r="AU78" s="66">
        <f t="shared" si="6"/>
        <v>0</v>
      </c>
      <c r="AX78" s="66">
        <f t="shared" si="7"/>
        <v>0</v>
      </c>
      <c r="AY78" s="66">
        <f t="shared" si="8"/>
        <v>0</v>
      </c>
      <c r="AZ78" s="66">
        <f t="shared" si="9"/>
        <v>0</v>
      </c>
      <c r="BA78" s="66">
        <f t="shared" si="10"/>
        <v>0</v>
      </c>
      <c r="BB78" s="66">
        <f t="shared" si="11"/>
        <v>0</v>
      </c>
    </row>
    <row r="79" spans="4:54" x14ac:dyDescent="0.25">
      <c r="D79" s="62">
        <f>калькулятор!C83</f>
        <v>0</v>
      </c>
      <c r="E79" s="62">
        <f>калькулятор!F83</f>
        <v>0</v>
      </c>
      <c r="F79" s="62">
        <f>калькулятор!G83</f>
        <v>0</v>
      </c>
      <c r="G79" s="62">
        <f>калькулятор!H83</f>
        <v>0</v>
      </c>
      <c r="H79" s="62">
        <f>калькулятор!I83</f>
        <v>0</v>
      </c>
      <c r="I79" s="63">
        <f>S79*SUMPRODUCT(($B$2=Таблица2[Филиал])*($B$3=Таблица2[ФЕР/ТЕР])*(F79=Таблица2[Наименование работ])*(G79=Таблица2[ТПиР/НСиР])*Таблица2[ПИР2010])</f>
        <v>0</v>
      </c>
      <c r="J79" s="63">
        <f>T79*SUMPRODUCT(($B$2=Таблица2[Филиал])*($B$3=Таблица2[ФЕР/ТЕР])*(F79=Таблица2[Наименование работ])*(G79=Таблица2[ТПиР/НСиР])*Таблица2[СМР2010])</f>
        <v>0</v>
      </c>
      <c r="K79" s="63">
        <f>U79*SUMPRODUCT(($B$2=Таблица2[Филиал])*($B$3=Таблица2[ФЕР/ТЕР])*(F79=Таблица2[Наименование работ])*(G79=Таблица2[ТПиР/НСиР])*Таблица2[ПНР2010])</f>
        <v>0</v>
      </c>
      <c r="L79" s="63">
        <f>V79*SUMPRODUCT(($B$2=Таблица2[Филиал])*($B$3=Таблица2[ФЕР/ТЕР])*(F79=Таблица2[Наименование работ])*(G79=Таблица2[ТПиР/НСиР])*Таблица2[Оборудование2010])</f>
        <v>0</v>
      </c>
      <c r="M79" s="63">
        <f>W79*SUMPRODUCT(($B$2=Таблица2[Филиал])*($B$3=Таблица2[ФЕР/ТЕР])*(F79=Таблица2[Наименование работ])*(G79=Таблица2[ТПиР/НСиР])*Таблица2[Прочие2010])</f>
        <v>0</v>
      </c>
      <c r="N79" s="63">
        <f>S79*SUMPRODUCT(($B$2=Таблица2[Филиал])*($B$3=Таблица2[ФЕР/ТЕР])*(F79=Таблица2[Наименование работ])*(G79=Таблица2[ТПиР/НСиР])*Таблица2[ПИР2013-10])</f>
        <v>0</v>
      </c>
      <c r="O79" s="63">
        <f>T79*SUMPRODUCT(($B$2=Таблица2[Филиал])*($B$3=Таблица2[ФЕР/ТЕР])*(F79=Таблица2[Наименование работ])*(G79=Таблица2[ТПиР/НСиР])*Таблица2[СМР2013-10])</f>
        <v>0</v>
      </c>
      <c r="P79" s="63">
        <f>U79*SUMPRODUCT(($B$2=Таблица2[Филиал])*($B$3=Таблица2[ФЕР/ТЕР])*(F79=Таблица2[Наименование работ])*(G79=Таблица2[ТПиР/НСиР])*Таблица2[ПНР2013-10])</f>
        <v>0</v>
      </c>
      <c r="Q79" s="63">
        <f>V79*SUMPRODUCT(($B$2=Таблица2[Филиал])*($B$3=Таблица2[ФЕР/ТЕР])*(F79=Таблица2[Наименование работ])*(G79=Таблица2[ТПиР/НСиР])*Таблица2[Оборудование2013-10])</f>
        <v>0</v>
      </c>
      <c r="R79" s="63">
        <f>W79*SUMPRODUCT(($B$2=Таблица2[Филиал])*($B$3=Таблица2[ФЕР/ТЕР])*(F79=Таблица2[Наименование работ])*(G79=Таблица2[ТПиР/НСиР])*Таблица2[Прочие2013-10])</f>
        <v>0</v>
      </c>
      <c r="S79" s="63">
        <f>IF($B$4="в базовых ценах",калькулятор!J83,X79*SUMPRODUCT(($B$2=Таблица2[Филиал])*($B$3=Таблица2[ФЕР/ТЕР])*(F79=Таблица2[Наименование работ])*(G79=Таблица2[ТПиР/НСиР])/Таблица2[ПИР2013]))</f>
        <v>0</v>
      </c>
      <c r="T79" s="63">
        <f>IF($B$4="в базовых ценах",калькулятор!K83,Y79*SUMPRODUCT(($B$2=Таблица2[Филиал])*($B$3=Таблица2[ФЕР/ТЕР])*(F79=Таблица2[Наименование работ])*(G79=Таблица2[ТПиР/НСиР])/Таблица2[СМР2013]))</f>
        <v>0</v>
      </c>
      <c r="U79" s="63">
        <f>IF($B$4="в базовых ценах",калькулятор!L83,Z79*SUMPRODUCT(($B$2=Таблица2[Филиал])*($B$3=Таблица2[ФЕР/ТЕР])*(F79=Таблица2[Наименование работ])*(G79=Таблица2[ТПиР/НСиР])/Таблица2[ПНР2013]))</f>
        <v>0</v>
      </c>
      <c r="V79" s="63">
        <f>IF($B$4="в базовых ценах",калькулятор!M83,AA79*SUMPRODUCT(($B$2=Таблица2[Филиал])*($B$3=Таблица2[ФЕР/ТЕР])*(F79=Таблица2[Наименование работ])*(G79=Таблица2[ТПиР/НСиР])/Таблица2[Оборудование2013]))</f>
        <v>0</v>
      </c>
      <c r="W79" s="63">
        <f>IF($B$4="в базовых ценах",калькулятор!N83,AB79*SUMPRODUCT(($B$2=Таблица2[Филиал])*($B$3=Таблица2[ФЕР/ТЕР])*(F79=Таблица2[Наименование работ])*(G79=Таблица2[ТПиР/НСиР])/Таблица2[Прочие3]))</f>
        <v>0</v>
      </c>
      <c r="X79" s="63">
        <f>IF($B$4="в текущих ценах",калькулятор!J83,S79*SUMPRODUCT(($B$2=Таблица2[Филиал])*($B$3=Таблица2[ФЕР/ТЕР])*(F79=Таблица2[Наименование работ])*(G79=Таблица2[ТПиР/НСиР])*Таблица2[ПИР2013]))</f>
        <v>0</v>
      </c>
      <c r="Y79" s="63">
        <f>IF($B$4="в текущих ценах",калькулятор!K83,T79*SUMPRODUCT(($B$2=Таблица2[Филиал])*($B$3=Таблица2[ФЕР/ТЕР])*(F79=Таблица2[Наименование работ])*(G79=Таблица2[ТПиР/НСиР])*Таблица2[СМР2013]))</f>
        <v>0</v>
      </c>
      <c r="Z79" s="63">
        <f>IF($B$4="в текущих ценах",калькулятор!L83,U79*SUMPRODUCT(($B$2=Таблица2[Филиал])*($B$3=Таблица2[ФЕР/ТЕР])*(F79=Таблица2[Наименование работ])*(G79=Таблица2[ТПиР/НСиР])*Таблица2[ПНР2013]))</f>
        <v>0</v>
      </c>
      <c r="AA79" s="63">
        <f>IF($B$4="в текущих ценах",калькулятор!M83,V79*SUMPRODUCT(($B$2=Таблица2[Филиал])*($B$3=Таблица2[ФЕР/ТЕР])*(F79=Таблица2[Наименование работ])*(G79=Таблица2[ТПиР/НСиР])*Таблица2[Оборудование2013]))</f>
        <v>0</v>
      </c>
      <c r="AB79" s="63">
        <f>IF($B$4="в текущих ценах",калькулятор!N83,W79*SUMPRODUCT(($B$2=Таблица2[Филиал])*($B$3=Таблица2[ФЕР/ТЕР])*(F79=Таблица2[Наименование работ])*(G79=Таблица2[ТПиР/НСиР])*Таблица2[Прочие3]))</f>
        <v>0</v>
      </c>
      <c r="AC79" s="63">
        <f>SUM(данные!$I79:$M79)</f>
        <v>0</v>
      </c>
      <c r="AD79" s="63">
        <f>IF(SUM(данные!$N79:$R79)&gt;данные!$AF79,данные!$AF79*0.9*1.058,SUM(данные!$N79:$R79))</f>
        <v>0</v>
      </c>
      <c r="AE79" s="63">
        <f>SUM(данные!$S79:$W79)</f>
        <v>0</v>
      </c>
      <c r="AF79" s="63">
        <f>SUM(данные!$X79:$AB79)</f>
        <v>0</v>
      </c>
      <c r="AG79" s="63">
        <f>IF($B$4="в текущих ценах",S79*SUMPRODUCT(($B$2=Таблица2[Филиал])*($B$3=Таблица2[ФЕР/ТЕР])*(F79=Таблица2[Наименование работ])*(G79=Таблица2[ТПиР/НСиР])*Таблица2[ПИР2012]),S79*SUMPRODUCT(($B$2=Таблица2[Филиал])*($B$3=Таблица2[ФЕР/ТЕР])*(F79=Таблица2[Наименование работ])*(G79=Таблица2[ТПиР/НСиР])*Таблица2[ПИР2012]))</f>
        <v>0</v>
      </c>
      <c r="AH79" s="63">
        <f>IF($B$4="в текущих ценах",T79*SUMPRODUCT(($B$2=Таблица2[Филиал])*($B$3=Таблица2[ФЕР/ТЕР])*(F79=Таблица2[Наименование работ])*(G79=Таблица2[ТПиР/НСиР])*Таблица2[СМР2012]),T79*SUMPRODUCT(($B$2=Таблица2[Филиал])*($B$3=Таблица2[ФЕР/ТЕР])*(F79=Таблица2[Наименование работ])*(G79=Таблица2[ТПиР/НСиР])*Таблица2[СМР2012]))</f>
        <v>0</v>
      </c>
      <c r="AI79" s="63">
        <f>IF($B$4="в текущих ценах",U79*SUMPRODUCT(($B$2=Таблица2[Филиал])*($B$3=Таблица2[ФЕР/ТЕР])*(F79=Таблица2[Наименование работ])*(G79=Таблица2[ТПиР/НСиР])*Таблица2[ПНР2012]),U79*SUMPRODUCT(($B$2=Таблица2[Филиал])*($B$3=Таблица2[ФЕР/ТЕР])*(F79=Таблица2[Наименование работ])*(G79=Таблица2[ТПиР/НСиР])*Таблица2[ПНР2012]))</f>
        <v>0</v>
      </c>
      <c r="AJ79" s="63">
        <f>IF($B$4="в текущих ценах",V79*SUMPRODUCT(($B$2=Таблица2[Филиал])*($B$3=Таблица2[ФЕР/ТЕР])*(F79=Таблица2[Наименование работ])*(G79=Таблица2[ТПиР/НСиР])*Таблица2[Оборудование2012]),V79*SUMPRODUCT(($B$2=Таблица2[Филиал])*($B$3=Таблица2[ФЕР/ТЕР])*(F79=Таблица2[Наименование работ])*(G79=Таблица2[ТПиР/НСиР])*Таблица2[Оборудование2012]))</f>
        <v>0</v>
      </c>
      <c r="AK79" s="63">
        <f>IF($B$4="в текущих ценах",W79*SUMPRODUCT(($B$2=Таблица2[Филиал])*($B$3=Таблица2[ФЕР/ТЕР])*(F79=Таблица2[Наименование работ])*(G79=Таблица2[ТПиР/НСиР])*Таблица2[Прочее2012]),W79*SUMPRODUCT(($B$2=Таблица2[Филиал])*($B$3=Таблица2[ФЕР/ТЕР])*(F79=Таблица2[Наименование работ])*(G79=Таблица2[ТПиР/НСиР])*Таблица2[Прочее2012]))</f>
        <v>0</v>
      </c>
      <c r="AL79" s="63">
        <f>данные!$X79+данные!$Y79+данные!$Z79+данные!$AA79+данные!$AB79</f>
        <v>0</v>
      </c>
      <c r="AM79" s="63">
        <v>1.03639035</v>
      </c>
      <c r="AN79" s="63">
        <v>1.0114049394</v>
      </c>
      <c r="AO79" s="63">
        <v>0.98210394336149998</v>
      </c>
      <c r="AP79" s="63">
        <v>0.93762413895893393</v>
      </c>
      <c r="AQ79" s="63"/>
      <c r="AR79" s="63"/>
      <c r="AS79" s="64"/>
      <c r="AU79" s="66">
        <f t="shared" si="6"/>
        <v>0</v>
      </c>
      <c r="AX79" s="66">
        <f t="shared" si="7"/>
        <v>0</v>
      </c>
      <c r="AY79" s="66">
        <f t="shared" si="8"/>
        <v>0</v>
      </c>
      <c r="AZ79" s="66">
        <f t="shared" si="9"/>
        <v>0</v>
      </c>
      <c r="BA79" s="66">
        <f t="shared" si="10"/>
        <v>0</v>
      </c>
      <c r="BB79" s="66">
        <f t="shared" si="11"/>
        <v>0</v>
      </c>
    </row>
    <row r="80" spans="4:54" x14ac:dyDescent="0.25">
      <c r="D80" s="62">
        <f>калькулятор!C84</f>
        <v>0</v>
      </c>
      <c r="E80" s="62">
        <f>калькулятор!F84</f>
        <v>0</v>
      </c>
      <c r="F80" s="62">
        <f>калькулятор!G84</f>
        <v>0</v>
      </c>
      <c r="G80" s="62">
        <f>калькулятор!H84</f>
        <v>0</v>
      </c>
      <c r="H80" s="62">
        <f>калькулятор!I84</f>
        <v>0</v>
      </c>
      <c r="I80" s="63">
        <f>S80*SUMPRODUCT(($B$2=Таблица2[Филиал])*($B$3=Таблица2[ФЕР/ТЕР])*(F80=Таблица2[Наименование работ])*(G80=Таблица2[ТПиР/НСиР])*Таблица2[ПИР2010])</f>
        <v>0</v>
      </c>
      <c r="J80" s="63">
        <f>T80*SUMPRODUCT(($B$2=Таблица2[Филиал])*($B$3=Таблица2[ФЕР/ТЕР])*(F80=Таблица2[Наименование работ])*(G80=Таблица2[ТПиР/НСиР])*Таблица2[СМР2010])</f>
        <v>0</v>
      </c>
      <c r="K80" s="63">
        <f>U80*SUMPRODUCT(($B$2=Таблица2[Филиал])*($B$3=Таблица2[ФЕР/ТЕР])*(F80=Таблица2[Наименование работ])*(G80=Таблица2[ТПиР/НСиР])*Таблица2[ПНР2010])</f>
        <v>0</v>
      </c>
      <c r="L80" s="63">
        <f>V80*SUMPRODUCT(($B$2=Таблица2[Филиал])*($B$3=Таблица2[ФЕР/ТЕР])*(F80=Таблица2[Наименование работ])*(G80=Таблица2[ТПиР/НСиР])*Таблица2[Оборудование2010])</f>
        <v>0</v>
      </c>
      <c r="M80" s="63">
        <f>W80*SUMPRODUCT(($B$2=Таблица2[Филиал])*($B$3=Таблица2[ФЕР/ТЕР])*(F80=Таблица2[Наименование работ])*(G80=Таблица2[ТПиР/НСиР])*Таблица2[Прочие2010])</f>
        <v>0</v>
      </c>
      <c r="N80" s="63">
        <f>S80*SUMPRODUCT(($B$2=Таблица2[Филиал])*($B$3=Таблица2[ФЕР/ТЕР])*(F80=Таблица2[Наименование работ])*(G80=Таблица2[ТПиР/НСиР])*Таблица2[ПИР2013-10])</f>
        <v>0</v>
      </c>
      <c r="O80" s="63">
        <f>T80*SUMPRODUCT(($B$2=Таблица2[Филиал])*($B$3=Таблица2[ФЕР/ТЕР])*(F80=Таблица2[Наименование работ])*(G80=Таблица2[ТПиР/НСиР])*Таблица2[СМР2013-10])</f>
        <v>0</v>
      </c>
      <c r="P80" s="63">
        <f>U80*SUMPRODUCT(($B$2=Таблица2[Филиал])*($B$3=Таблица2[ФЕР/ТЕР])*(F80=Таблица2[Наименование работ])*(G80=Таблица2[ТПиР/НСиР])*Таблица2[ПНР2013-10])</f>
        <v>0</v>
      </c>
      <c r="Q80" s="63">
        <f>V80*SUMPRODUCT(($B$2=Таблица2[Филиал])*($B$3=Таблица2[ФЕР/ТЕР])*(F80=Таблица2[Наименование работ])*(G80=Таблица2[ТПиР/НСиР])*Таблица2[Оборудование2013-10])</f>
        <v>0</v>
      </c>
      <c r="R80" s="63">
        <f>W80*SUMPRODUCT(($B$2=Таблица2[Филиал])*($B$3=Таблица2[ФЕР/ТЕР])*(F80=Таблица2[Наименование работ])*(G80=Таблица2[ТПиР/НСиР])*Таблица2[Прочие2013-10])</f>
        <v>0</v>
      </c>
      <c r="S80" s="63">
        <f>IF($B$4="в базовых ценах",калькулятор!J84,X80*SUMPRODUCT(($B$2=Таблица2[Филиал])*($B$3=Таблица2[ФЕР/ТЕР])*(F80=Таблица2[Наименование работ])*(G80=Таблица2[ТПиР/НСиР])/Таблица2[ПИР2013]))</f>
        <v>0</v>
      </c>
      <c r="T80" s="63">
        <f>IF($B$4="в базовых ценах",калькулятор!K84,Y80*SUMPRODUCT(($B$2=Таблица2[Филиал])*($B$3=Таблица2[ФЕР/ТЕР])*(F80=Таблица2[Наименование работ])*(G80=Таблица2[ТПиР/НСиР])/Таблица2[СМР2013]))</f>
        <v>0</v>
      </c>
      <c r="U80" s="63">
        <f>IF($B$4="в базовых ценах",калькулятор!L84,Z80*SUMPRODUCT(($B$2=Таблица2[Филиал])*($B$3=Таблица2[ФЕР/ТЕР])*(F80=Таблица2[Наименование работ])*(G80=Таблица2[ТПиР/НСиР])/Таблица2[ПНР2013]))</f>
        <v>0</v>
      </c>
      <c r="V80" s="63">
        <f>IF($B$4="в базовых ценах",калькулятор!M84,AA80*SUMPRODUCT(($B$2=Таблица2[Филиал])*($B$3=Таблица2[ФЕР/ТЕР])*(F80=Таблица2[Наименование работ])*(G80=Таблица2[ТПиР/НСиР])/Таблица2[Оборудование2013]))</f>
        <v>0</v>
      </c>
      <c r="W80" s="63">
        <f>IF($B$4="в базовых ценах",калькулятор!N84,AB80*SUMPRODUCT(($B$2=Таблица2[Филиал])*($B$3=Таблица2[ФЕР/ТЕР])*(F80=Таблица2[Наименование работ])*(G80=Таблица2[ТПиР/НСиР])/Таблица2[Прочие3]))</f>
        <v>0</v>
      </c>
      <c r="X80" s="63">
        <f>IF($B$4="в текущих ценах",калькулятор!J84,S80*SUMPRODUCT(($B$2=Таблица2[Филиал])*($B$3=Таблица2[ФЕР/ТЕР])*(F80=Таблица2[Наименование работ])*(G80=Таблица2[ТПиР/НСиР])*Таблица2[ПИР2013]))</f>
        <v>0</v>
      </c>
      <c r="Y80" s="63">
        <f>IF($B$4="в текущих ценах",калькулятор!K84,T80*SUMPRODUCT(($B$2=Таблица2[Филиал])*($B$3=Таблица2[ФЕР/ТЕР])*(F80=Таблица2[Наименование работ])*(G80=Таблица2[ТПиР/НСиР])*Таблица2[СМР2013]))</f>
        <v>0</v>
      </c>
      <c r="Z80" s="63">
        <f>IF($B$4="в текущих ценах",калькулятор!L84,U80*SUMPRODUCT(($B$2=Таблица2[Филиал])*($B$3=Таблица2[ФЕР/ТЕР])*(F80=Таблица2[Наименование работ])*(G80=Таблица2[ТПиР/НСиР])*Таблица2[ПНР2013]))</f>
        <v>0</v>
      </c>
      <c r="AA80" s="63">
        <f>IF($B$4="в текущих ценах",калькулятор!M84,V80*SUMPRODUCT(($B$2=Таблица2[Филиал])*($B$3=Таблица2[ФЕР/ТЕР])*(F80=Таблица2[Наименование работ])*(G80=Таблица2[ТПиР/НСиР])*Таблица2[Оборудование2013]))</f>
        <v>0</v>
      </c>
      <c r="AB80" s="63">
        <f>IF($B$4="в текущих ценах",калькулятор!N84,W80*SUMPRODUCT(($B$2=Таблица2[Филиал])*($B$3=Таблица2[ФЕР/ТЕР])*(F80=Таблица2[Наименование работ])*(G80=Таблица2[ТПиР/НСиР])*Таблица2[Прочие3]))</f>
        <v>0</v>
      </c>
      <c r="AC80" s="63">
        <f>SUM(данные!$I80:$M80)</f>
        <v>0</v>
      </c>
      <c r="AD80" s="63">
        <f>IF(SUM(данные!$N80:$R80)&gt;данные!$AF80,данные!$AF80*0.9*1.058,SUM(данные!$N80:$R80))</f>
        <v>0</v>
      </c>
      <c r="AE80" s="63">
        <f>SUM(данные!$S80:$W80)</f>
        <v>0</v>
      </c>
      <c r="AF80" s="63">
        <f>SUM(данные!$X80:$AB80)</f>
        <v>0</v>
      </c>
      <c r="AG80" s="63">
        <f>IF($B$4="в текущих ценах",S80*SUMPRODUCT(($B$2=Таблица2[Филиал])*($B$3=Таблица2[ФЕР/ТЕР])*(F80=Таблица2[Наименование работ])*(G80=Таблица2[ТПиР/НСиР])*Таблица2[ПИР2012]),S80*SUMPRODUCT(($B$2=Таблица2[Филиал])*($B$3=Таблица2[ФЕР/ТЕР])*(F80=Таблица2[Наименование работ])*(G80=Таблица2[ТПиР/НСиР])*Таблица2[ПИР2012]))</f>
        <v>0</v>
      </c>
      <c r="AH80" s="63">
        <f>IF($B$4="в текущих ценах",T80*SUMPRODUCT(($B$2=Таблица2[Филиал])*($B$3=Таблица2[ФЕР/ТЕР])*(F80=Таблица2[Наименование работ])*(G80=Таблица2[ТПиР/НСиР])*Таблица2[СМР2012]),T80*SUMPRODUCT(($B$2=Таблица2[Филиал])*($B$3=Таблица2[ФЕР/ТЕР])*(F80=Таблица2[Наименование работ])*(G80=Таблица2[ТПиР/НСиР])*Таблица2[СМР2012]))</f>
        <v>0</v>
      </c>
      <c r="AI80" s="63">
        <f>IF($B$4="в текущих ценах",U80*SUMPRODUCT(($B$2=Таблица2[Филиал])*($B$3=Таблица2[ФЕР/ТЕР])*(F80=Таблица2[Наименование работ])*(G80=Таблица2[ТПиР/НСиР])*Таблица2[ПНР2012]),U80*SUMPRODUCT(($B$2=Таблица2[Филиал])*($B$3=Таблица2[ФЕР/ТЕР])*(F80=Таблица2[Наименование работ])*(G80=Таблица2[ТПиР/НСиР])*Таблица2[ПНР2012]))</f>
        <v>0</v>
      </c>
      <c r="AJ80" s="63">
        <f>IF($B$4="в текущих ценах",V80*SUMPRODUCT(($B$2=Таблица2[Филиал])*($B$3=Таблица2[ФЕР/ТЕР])*(F80=Таблица2[Наименование работ])*(G80=Таблица2[ТПиР/НСиР])*Таблица2[Оборудование2012]),V80*SUMPRODUCT(($B$2=Таблица2[Филиал])*($B$3=Таблица2[ФЕР/ТЕР])*(F80=Таблица2[Наименование работ])*(G80=Таблица2[ТПиР/НСиР])*Таблица2[Оборудование2012]))</f>
        <v>0</v>
      </c>
      <c r="AK80" s="63">
        <f>IF($B$4="в текущих ценах",W80*SUMPRODUCT(($B$2=Таблица2[Филиал])*($B$3=Таблица2[ФЕР/ТЕР])*(F80=Таблица2[Наименование работ])*(G80=Таблица2[ТПиР/НСиР])*Таблица2[Прочее2012]),W80*SUMPRODUCT(($B$2=Таблица2[Филиал])*($B$3=Таблица2[ФЕР/ТЕР])*(F80=Таблица2[Наименование работ])*(G80=Таблица2[ТПиР/НСиР])*Таблица2[Прочее2012]))</f>
        <v>0</v>
      </c>
      <c r="AL80" s="63">
        <f>данные!$X80+данные!$Y80+данные!$Z80+данные!$AA80+данные!$AB80</f>
        <v>0</v>
      </c>
      <c r="AM80" s="63">
        <v>1.03639035</v>
      </c>
      <c r="AN80" s="63">
        <v>1.0114049394</v>
      </c>
      <c r="AO80" s="63">
        <v>0.98210394336149998</v>
      </c>
      <c r="AP80" s="63">
        <v>0.93762413895893393</v>
      </c>
      <c r="AQ80" s="63"/>
      <c r="AR80" s="63"/>
      <c r="AS80" s="64"/>
      <c r="AU80" s="66">
        <f t="shared" si="6"/>
        <v>0</v>
      </c>
      <c r="AX80" s="66">
        <f t="shared" si="7"/>
        <v>0</v>
      </c>
      <c r="AY80" s="66">
        <f t="shared" si="8"/>
        <v>0</v>
      </c>
      <c r="AZ80" s="66">
        <f t="shared" si="9"/>
        <v>0</v>
      </c>
      <c r="BA80" s="66">
        <f t="shared" si="10"/>
        <v>0</v>
      </c>
      <c r="BB80" s="66">
        <f t="shared" si="11"/>
        <v>0</v>
      </c>
    </row>
    <row r="81" spans="4:54" x14ac:dyDescent="0.25">
      <c r="D81" s="62">
        <f>калькулятор!C85</f>
        <v>0</v>
      </c>
      <c r="E81" s="62">
        <f>калькулятор!F85</f>
        <v>0</v>
      </c>
      <c r="F81" s="62">
        <f>калькулятор!G85</f>
        <v>0</v>
      </c>
      <c r="G81" s="62">
        <f>калькулятор!H85</f>
        <v>0</v>
      </c>
      <c r="H81" s="62">
        <f>калькулятор!I85</f>
        <v>0</v>
      </c>
      <c r="I81" s="63">
        <f>S81*SUMPRODUCT(($B$2=Таблица2[Филиал])*($B$3=Таблица2[ФЕР/ТЕР])*(F81=Таблица2[Наименование работ])*(G81=Таблица2[ТПиР/НСиР])*Таблица2[ПИР2010])</f>
        <v>0</v>
      </c>
      <c r="J81" s="63">
        <f>T81*SUMPRODUCT(($B$2=Таблица2[Филиал])*($B$3=Таблица2[ФЕР/ТЕР])*(F81=Таблица2[Наименование работ])*(G81=Таблица2[ТПиР/НСиР])*Таблица2[СМР2010])</f>
        <v>0</v>
      </c>
      <c r="K81" s="63">
        <f>U81*SUMPRODUCT(($B$2=Таблица2[Филиал])*($B$3=Таблица2[ФЕР/ТЕР])*(F81=Таблица2[Наименование работ])*(G81=Таблица2[ТПиР/НСиР])*Таблица2[ПНР2010])</f>
        <v>0</v>
      </c>
      <c r="L81" s="63">
        <f>V81*SUMPRODUCT(($B$2=Таблица2[Филиал])*($B$3=Таблица2[ФЕР/ТЕР])*(F81=Таблица2[Наименование работ])*(G81=Таблица2[ТПиР/НСиР])*Таблица2[Оборудование2010])</f>
        <v>0</v>
      </c>
      <c r="M81" s="63">
        <f>W81*SUMPRODUCT(($B$2=Таблица2[Филиал])*($B$3=Таблица2[ФЕР/ТЕР])*(F81=Таблица2[Наименование работ])*(G81=Таблица2[ТПиР/НСиР])*Таблица2[Прочие2010])</f>
        <v>0</v>
      </c>
      <c r="N81" s="63">
        <f>S81*SUMPRODUCT(($B$2=Таблица2[Филиал])*($B$3=Таблица2[ФЕР/ТЕР])*(F81=Таблица2[Наименование работ])*(G81=Таблица2[ТПиР/НСиР])*Таблица2[ПИР2013-10])</f>
        <v>0</v>
      </c>
      <c r="O81" s="63">
        <f>T81*SUMPRODUCT(($B$2=Таблица2[Филиал])*($B$3=Таблица2[ФЕР/ТЕР])*(F81=Таблица2[Наименование работ])*(G81=Таблица2[ТПиР/НСиР])*Таблица2[СМР2013-10])</f>
        <v>0</v>
      </c>
      <c r="P81" s="63">
        <f>U81*SUMPRODUCT(($B$2=Таблица2[Филиал])*($B$3=Таблица2[ФЕР/ТЕР])*(F81=Таблица2[Наименование работ])*(G81=Таблица2[ТПиР/НСиР])*Таблица2[ПНР2013-10])</f>
        <v>0</v>
      </c>
      <c r="Q81" s="63">
        <f>V81*SUMPRODUCT(($B$2=Таблица2[Филиал])*($B$3=Таблица2[ФЕР/ТЕР])*(F81=Таблица2[Наименование работ])*(G81=Таблица2[ТПиР/НСиР])*Таблица2[Оборудование2013-10])</f>
        <v>0</v>
      </c>
      <c r="R81" s="63">
        <f>W81*SUMPRODUCT(($B$2=Таблица2[Филиал])*($B$3=Таблица2[ФЕР/ТЕР])*(F81=Таблица2[Наименование работ])*(G81=Таблица2[ТПиР/НСиР])*Таблица2[Прочие2013-10])</f>
        <v>0</v>
      </c>
      <c r="S81" s="63">
        <f>IF($B$4="в базовых ценах",калькулятор!J85,X81*SUMPRODUCT(($B$2=Таблица2[Филиал])*($B$3=Таблица2[ФЕР/ТЕР])*(F81=Таблица2[Наименование работ])*(G81=Таблица2[ТПиР/НСиР])/Таблица2[ПИР2013]))</f>
        <v>0</v>
      </c>
      <c r="T81" s="63">
        <f>IF($B$4="в базовых ценах",калькулятор!K85,Y81*SUMPRODUCT(($B$2=Таблица2[Филиал])*($B$3=Таблица2[ФЕР/ТЕР])*(F81=Таблица2[Наименование работ])*(G81=Таблица2[ТПиР/НСиР])/Таблица2[СМР2013]))</f>
        <v>0</v>
      </c>
      <c r="U81" s="63">
        <f>IF($B$4="в базовых ценах",калькулятор!L85,Z81*SUMPRODUCT(($B$2=Таблица2[Филиал])*($B$3=Таблица2[ФЕР/ТЕР])*(F81=Таблица2[Наименование работ])*(G81=Таблица2[ТПиР/НСиР])/Таблица2[ПНР2013]))</f>
        <v>0</v>
      </c>
      <c r="V81" s="63">
        <f>IF($B$4="в базовых ценах",калькулятор!M85,AA81*SUMPRODUCT(($B$2=Таблица2[Филиал])*($B$3=Таблица2[ФЕР/ТЕР])*(F81=Таблица2[Наименование работ])*(G81=Таблица2[ТПиР/НСиР])/Таблица2[Оборудование2013]))</f>
        <v>0</v>
      </c>
      <c r="W81" s="63">
        <f>IF($B$4="в базовых ценах",калькулятор!N85,AB81*SUMPRODUCT(($B$2=Таблица2[Филиал])*($B$3=Таблица2[ФЕР/ТЕР])*(F81=Таблица2[Наименование работ])*(G81=Таблица2[ТПиР/НСиР])/Таблица2[Прочие3]))</f>
        <v>0</v>
      </c>
      <c r="X81" s="63">
        <f>IF($B$4="в текущих ценах",калькулятор!J85,S81*SUMPRODUCT(($B$2=Таблица2[Филиал])*($B$3=Таблица2[ФЕР/ТЕР])*(F81=Таблица2[Наименование работ])*(G81=Таблица2[ТПиР/НСиР])*Таблица2[ПИР2013]))</f>
        <v>0</v>
      </c>
      <c r="Y81" s="63">
        <f>IF($B$4="в текущих ценах",калькулятор!K85,T81*SUMPRODUCT(($B$2=Таблица2[Филиал])*($B$3=Таблица2[ФЕР/ТЕР])*(F81=Таблица2[Наименование работ])*(G81=Таблица2[ТПиР/НСиР])*Таблица2[СМР2013]))</f>
        <v>0</v>
      </c>
      <c r="Z81" s="63">
        <f>IF($B$4="в текущих ценах",калькулятор!L85,U81*SUMPRODUCT(($B$2=Таблица2[Филиал])*($B$3=Таблица2[ФЕР/ТЕР])*(F81=Таблица2[Наименование работ])*(G81=Таблица2[ТПиР/НСиР])*Таблица2[ПНР2013]))</f>
        <v>0</v>
      </c>
      <c r="AA81" s="63">
        <f>IF($B$4="в текущих ценах",калькулятор!M85,V81*SUMPRODUCT(($B$2=Таблица2[Филиал])*($B$3=Таблица2[ФЕР/ТЕР])*(F81=Таблица2[Наименование работ])*(G81=Таблица2[ТПиР/НСиР])*Таблица2[Оборудование2013]))</f>
        <v>0</v>
      </c>
      <c r="AB81" s="63">
        <f>IF($B$4="в текущих ценах",калькулятор!N85,W81*SUMPRODUCT(($B$2=Таблица2[Филиал])*($B$3=Таблица2[ФЕР/ТЕР])*(F81=Таблица2[Наименование работ])*(G81=Таблица2[ТПиР/НСиР])*Таблица2[Прочие3]))</f>
        <v>0</v>
      </c>
      <c r="AC81" s="63">
        <f>SUM(данные!$I81:$M81)</f>
        <v>0</v>
      </c>
      <c r="AD81" s="63">
        <f>IF(SUM(данные!$N81:$R81)&gt;данные!$AF81,данные!$AF81*0.9*1.058,SUM(данные!$N81:$R81))</f>
        <v>0</v>
      </c>
      <c r="AE81" s="63">
        <f>SUM(данные!$S81:$W81)</f>
        <v>0</v>
      </c>
      <c r="AF81" s="63">
        <f>SUM(данные!$X81:$AB81)</f>
        <v>0</v>
      </c>
      <c r="AG81" s="63">
        <f>IF($B$4="в текущих ценах",S81*SUMPRODUCT(($B$2=Таблица2[Филиал])*($B$3=Таблица2[ФЕР/ТЕР])*(F81=Таблица2[Наименование работ])*(G81=Таблица2[ТПиР/НСиР])*Таблица2[ПИР2012]),S81*SUMPRODUCT(($B$2=Таблица2[Филиал])*($B$3=Таблица2[ФЕР/ТЕР])*(F81=Таблица2[Наименование работ])*(G81=Таблица2[ТПиР/НСиР])*Таблица2[ПИР2012]))</f>
        <v>0</v>
      </c>
      <c r="AH81" s="63">
        <f>IF($B$4="в текущих ценах",T81*SUMPRODUCT(($B$2=Таблица2[Филиал])*($B$3=Таблица2[ФЕР/ТЕР])*(F81=Таблица2[Наименование работ])*(G81=Таблица2[ТПиР/НСиР])*Таблица2[СМР2012]),T81*SUMPRODUCT(($B$2=Таблица2[Филиал])*($B$3=Таблица2[ФЕР/ТЕР])*(F81=Таблица2[Наименование работ])*(G81=Таблица2[ТПиР/НСиР])*Таблица2[СМР2012]))</f>
        <v>0</v>
      </c>
      <c r="AI81" s="63">
        <f>IF($B$4="в текущих ценах",U81*SUMPRODUCT(($B$2=Таблица2[Филиал])*($B$3=Таблица2[ФЕР/ТЕР])*(F81=Таблица2[Наименование работ])*(G81=Таблица2[ТПиР/НСиР])*Таблица2[ПНР2012]),U81*SUMPRODUCT(($B$2=Таблица2[Филиал])*($B$3=Таблица2[ФЕР/ТЕР])*(F81=Таблица2[Наименование работ])*(G81=Таблица2[ТПиР/НСиР])*Таблица2[ПНР2012]))</f>
        <v>0</v>
      </c>
      <c r="AJ81" s="63">
        <f>IF($B$4="в текущих ценах",V81*SUMPRODUCT(($B$2=Таблица2[Филиал])*($B$3=Таблица2[ФЕР/ТЕР])*(F81=Таблица2[Наименование работ])*(G81=Таблица2[ТПиР/НСиР])*Таблица2[Оборудование2012]),V81*SUMPRODUCT(($B$2=Таблица2[Филиал])*($B$3=Таблица2[ФЕР/ТЕР])*(F81=Таблица2[Наименование работ])*(G81=Таблица2[ТПиР/НСиР])*Таблица2[Оборудование2012]))</f>
        <v>0</v>
      </c>
      <c r="AK81" s="63">
        <f>IF($B$4="в текущих ценах",W81*SUMPRODUCT(($B$2=Таблица2[Филиал])*($B$3=Таблица2[ФЕР/ТЕР])*(F81=Таблица2[Наименование работ])*(G81=Таблица2[ТПиР/НСиР])*Таблица2[Прочее2012]),W81*SUMPRODUCT(($B$2=Таблица2[Филиал])*($B$3=Таблица2[ФЕР/ТЕР])*(F81=Таблица2[Наименование работ])*(G81=Таблица2[ТПиР/НСиР])*Таблица2[Прочее2012]))</f>
        <v>0</v>
      </c>
      <c r="AL81" s="63">
        <f>данные!$X81+данные!$Y81+данные!$Z81+данные!$AA81+данные!$AB81</f>
        <v>0</v>
      </c>
      <c r="AM81" s="63">
        <v>1.03639035</v>
      </c>
      <c r="AN81" s="63">
        <v>1.0114049394</v>
      </c>
      <c r="AO81" s="63">
        <v>0.98210394336149998</v>
      </c>
      <c r="AP81" s="63">
        <v>0.93762413895893393</v>
      </c>
      <c r="AQ81" s="63"/>
      <c r="AR81" s="63"/>
      <c r="AS81" s="64"/>
      <c r="AU81" s="66">
        <f t="shared" si="6"/>
        <v>0</v>
      </c>
      <c r="AX81" s="66">
        <f t="shared" si="7"/>
        <v>0</v>
      </c>
      <c r="AY81" s="66">
        <f t="shared" si="8"/>
        <v>0</v>
      </c>
      <c r="AZ81" s="66">
        <f t="shared" si="9"/>
        <v>0</v>
      </c>
      <c r="BA81" s="66">
        <f t="shared" si="10"/>
        <v>0</v>
      </c>
      <c r="BB81" s="66">
        <f t="shared" si="11"/>
        <v>0</v>
      </c>
    </row>
    <row r="82" spans="4:54" x14ac:dyDescent="0.25">
      <c r="D82" s="62">
        <f>калькулятор!C86</f>
        <v>0</v>
      </c>
      <c r="E82" s="62">
        <f>калькулятор!F86</f>
        <v>0</v>
      </c>
      <c r="F82" s="62">
        <f>калькулятор!G86</f>
        <v>0</v>
      </c>
      <c r="G82" s="62">
        <f>калькулятор!H86</f>
        <v>0</v>
      </c>
      <c r="H82" s="62">
        <f>калькулятор!I86</f>
        <v>0</v>
      </c>
      <c r="I82" s="63">
        <f>S82*SUMPRODUCT(($B$2=Таблица2[Филиал])*($B$3=Таблица2[ФЕР/ТЕР])*(F82=Таблица2[Наименование работ])*(G82=Таблица2[ТПиР/НСиР])*Таблица2[ПИР2010])</f>
        <v>0</v>
      </c>
      <c r="J82" s="63">
        <f>T82*SUMPRODUCT(($B$2=Таблица2[Филиал])*($B$3=Таблица2[ФЕР/ТЕР])*(F82=Таблица2[Наименование работ])*(G82=Таблица2[ТПиР/НСиР])*Таблица2[СМР2010])</f>
        <v>0</v>
      </c>
      <c r="K82" s="63">
        <f>U82*SUMPRODUCT(($B$2=Таблица2[Филиал])*($B$3=Таблица2[ФЕР/ТЕР])*(F82=Таблица2[Наименование работ])*(G82=Таблица2[ТПиР/НСиР])*Таблица2[ПНР2010])</f>
        <v>0</v>
      </c>
      <c r="L82" s="63">
        <f>V82*SUMPRODUCT(($B$2=Таблица2[Филиал])*($B$3=Таблица2[ФЕР/ТЕР])*(F82=Таблица2[Наименование работ])*(G82=Таблица2[ТПиР/НСиР])*Таблица2[Оборудование2010])</f>
        <v>0</v>
      </c>
      <c r="M82" s="63">
        <f>W82*SUMPRODUCT(($B$2=Таблица2[Филиал])*($B$3=Таблица2[ФЕР/ТЕР])*(F82=Таблица2[Наименование работ])*(G82=Таблица2[ТПиР/НСиР])*Таблица2[Прочие2010])</f>
        <v>0</v>
      </c>
      <c r="N82" s="63">
        <f>S82*SUMPRODUCT(($B$2=Таблица2[Филиал])*($B$3=Таблица2[ФЕР/ТЕР])*(F82=Таблица2[Наименование работ])*(G82=Таблица2[ТПиР/НСиР])*Таблица2[ПИР2013-10])</f>
        <v>0</v>
      </c>
      <c r="O82" s="63">
        <f>T82*SUMPRODUCT(($B$2=Таблица2[Филиал])*($B$3=Таблица2[ФЕР/ТЕР])*(F82=Таблица2[Наименование работ])*(G82=Таблица2[ТПиР/НСиР])*Таблица2[СМР2013-10])</f>
        <v>0</v>
      </c>
      <c r="P82" s="63">
        <f>U82*SUMPRODUCT(($B$2=Таблица2[Филиал])*($B$3=Таблица2[ФЕР/ТЕР])*(F82=Таблица2[Наименование работ])*(G82=Таблица2[ТПиР/НСиР])*Таблица2[ПНР2013-10])</f>
        <v>0</v>
      </c>
      <c r="Q82" s="63">
        <f>V82*SUMPRODUCT(($B$2=Таблица2[Филиал])*($B$3=Таблица2[ФЕР/ТЕР])*(F82=Таблица2[Наименование работ])*(G82=Таблица2[ТПиР/НСиР])*Таблица2[Оборудование2013-10])</f>
        <v>0</v>
      </c>
      <c r="R82" s="63">
        <f>W82*SUMPRODUCT(($B$2=Таблица2[Филиал])*($B$3=Таблица2[ФЕР/ТЕР])*(F82=Таблица2[Наименование работ])*(G82=Таблица2[ТПиР/НСиР])*Таблица2[Прочие2013-10])</f>
        <v>0</v>
      </c>
      <c r="S82" s="63">
        <f>IF($B$4="в базовых ценах",калькулятор!J86,X82*SUMPRODUCT(($B$2=Таблица2[Филиал])*($B$3=Таблица2[ФЕР/ТЕР])*(F82=Таблица2[Наименование работ])*(G82=Таблица2[ТПиР/НСиР])/Таблица2[ПИР2013]))</f>
        <v>0</v>
      </c>
      <c r="T82" s="63">
        <f>IF($B$4="в базовых ценах",калькулятор!K86,Y82*SUMPRODUCT(($B$2=Таблица2[Филиал])*($B$3=Таблица2[ФЕР/ТЕР])*(F82=Таблица2[Наименование работ])*(G82=Таблица2[ТПиР/НСиР])/Таблица2[СМР2013]))</f>
        <v>0</v>
      </c>
      <c r="U82" s="63">
        <f>IF($B$4="в базовых ценах",калькулятор!L86,Z82*SUMPRODUCT(($B$2=Таблица2[Филиал])*($B$3=Таблица2[ФЕР/ТЕР])*(F82=Таблица2[Наименование работ])*(G82=Таблица2[ТПиР/НСиР])/Таблица2[ПНР2013]))</f>
        <v>0</v>
      </c>
      <c r="V82" s="63">
        <f>IF($B$4="в базовых ценах",калькулятор!M86,AA82*SUMPRODUCT(($B$2=Таблица2[Филиал])*($B$3=Таблица2[ФЕР/ТЕР])*(F82=Таблица2[Наименование работ])*(G82=Таблица2[ТПиР/НСиР])/Таблица2[Оборудование2013]))</f>
        <v>0</v>
      </c>
      <c r="W82" s="63">
        <f>IF($B$4="в базовых ценах",калькулятор!N86,AB82*SUMPRODUCT(($B$2=Таблица2[Филиал])*($B$3=Таблица2[ФЕР/ТЕР])*(F82=Таблица2[Наименование работ])*(G82=Таблица2[ТПиР/НСиР])/Таблица2[Прочие3]))</f>
        <v>0</v>
      </c>
      <c r="X82" s="63">
        <f>IF($B$4="в текущих ценах",калькулятор!J86,S82*SUMPRODUCT(($B$2=Таблица2[Филиал])*($B$3=Таблица2[ФЕР/ТЕР])*(F82=Таблица2[Наименование работ])*(G82=Таблица2[ТПиР/НСиР])*Таблица2[ПИР2013]))</f>
        <v>0</v>
      </c>
      <c r="Y82" s="63">
        <f>IF($B$4="в текущих ценах",калькулятор!K86,T82*SUMPRODUCT(($B$2=Таблица2[Филиал])*($B$3=Таблица2[ФЕР/ТЕР])*(F82=Таблица2[Наименование работ])*(G82=Таблица2[ТПиР/НСиР])*Таблица2[СМР2013]))</f>
        <v>0</v>
      </c>
      <c r="Z82" s="63">
        <f>IF($B$4="в текущих ценах",калькулятор!L86,U82*SUMPRODUCT(($B$2=Таблица2[Филиал])*($B$3=Таблица2[ФЕР/ТЕР])*(F82=Таблица2[Наименование работ])*(G82=Таблица2[ТПиР/НСиР])*Таблица2[ПНР2013]))</f>
        <v>0</v>
      </c>
      <c r="AA82" s="63">
        <f>IF($B$4="в текущих ценах",калькулятор!M86,V82*SUMPRODUCT(($B$2=Таблица2[Филиал])*($B$3=Таблица2[ФЕР/ТЕР])*(F82=Таблица2[Наименование работ])*(G82=Таблица2[ТПиР/НСиР])*Таблица2[Оборудование2013]))</f>
        <v>0</v>
      </c>
      <c r="AB82" s="63">
        <f>IF($B$4="в текущих ценах",калькулятор!N86,W82*SUMPRODUCT(($B$2=Таблица2[Филиал])*($B$3=Таблица2[ФЕР/ТЕР])*(F82=Таблица2[Наименование работ])*(G82=Таблица2[ТПиР/НСиР])*Таблица2[Прочие3]))</f>
        <v>0</v>
      </c>
      <c r="AC82" s="63">
        <f>SUM(данные!$I82:$M82)</f>
        <v>0</v>
      </c>
      <c r="AD82" s="63">
        <f>IF(SUM(данные!$N82:$R82)&gt;данные!$AF82,данные!$AF82*0.9*1.058,SUM(данные!$N82:$R82))</f>
        <v>0</v>
      </c>
      <c r="AE82" s="63">
        <f>SUM(данные!$S82:$W82)</f>
        <v>0</v>
      </c>
      <c r="AF82" s="63">
        <f>SUM(данные!$X82:$AB82)</f>
        <v>0</v>
      </c>
      <c r="AG82" s="63">
        <f>IF($B$4="в текущих ценах",S82*SUMPRODUCT(($B$2=Таблица2[Филиал])*($B$3=Таблица2[ФЕР/ТЕР])*(F82=Таблица2[Наименование работ])*(G82=Таблица2[ТПиР/НСиР])*Таблица2[ПИР2012]),S82*SUMPRODUCT(($B$2=Таблица2[Филиал])*($B$3=Таблица2[ФЕР/ТЕР])*(F82=Таблица2[Наименование работ])*(G82=Таблица2[ТПиР/НСиР])*Таблица2[ПИР2012]))</f>
        <v>0</v>
      </c>
      <c r="AH82" s="63">
        <f>IF($B$4="в текущих ценах",T82*SUMPRODUCT(($B$2=Таблица2[Филиал])*($B$3=Таблица2[ФЕР/ТЕР])*(F82=Таблица2[Наименование работ])*(G82=Таблица2[ТПиР/НСиР])*Таблица2[СМР2012]),T82*SUMPRODUCT(($B$2=Таблица2[Филиал])*($B$3=Таблица2[ФЕР/ТЕР])*(F82=Таблица2[Наименование работ])*(G82=Таблица2[ТПиР/НСиР])*Таблица2[СМР2012]))</f>
        <v>0</v>
      </c>
      <c r="AI82" s="63">
        <f>IF($B$4="в текущих ценах",U82*SUMPRODUCT(($B$2=Таблица2[Филиал])*($B$3=Таблица2[ФЕР/ТЕР])*(F82=Таблица2[Наименование работ])*(G82=Таблица2[ТПиР/НСиР])*Таблица2[ПНР2012]),U82*SUMPRODUCT(($B$2=Таблица2[Филиал])*($B$3=Таблица2[ФЕР/ТЕР])*(F82=Таблица2[Наименование работ])*(G82=Таблица2[ТПиР/НСиР])*Таблица2[ПНР2012]))</f>
        <v>0</v>
      </c>
      <c r="AJ82" s="63">
        <f>IF($B$4="в текущих ценах",V82*SUMPRODUCT(($B$2=Таблица2[Филиал])*($B$3=Таблица2[ФЕР/ТЕР])*(F82=Таблица2[Наименование работ])*(G82=Таблица2[ТПиР/НСиР])*Таблица2[Оборудование2012]),V82*SUMPRODUCT(($B$2=Таблица2[Филиал])*($B$3=Таблица2[ФЕР/ТЕР])*(F82=Таблица2[Наименование работ])*(G82=Таблица2[ТПиР/НСиР])*Таблица2[Оборудование2012]))</f>
        <v>0</v>
      </c>
      <c r="AK82" s="63">
        <f>IF($B$4="в текущих ценах",W82*SUMPRODUCT(($B$2=Таблица2[Филиал])*($B$3=Таблица2[ФЕР/ТЕР])*(F82=Таблица2[Наименование работ])*(G82=Таблица2[ТПиР/НСиР])*Таблица2[Прочее2012]),W82*SUMPRODUCT(($B$2=Таблица2[Филиал])*($B$3=Таблица2[ФЕР/ТЕР])*(F82=Таблица2[Наименование работ])*(G82=Таблица2[ТПиР/НСиР])*Таблица2[Прочее2012]))</f>
        <v>0</v>
      </c>
      <c r="AL82" s="63">
        <f>данные!$X82+данные!$Y82+данные!$Z82+данные!$AA82+данные!$AB82</f>
        <v>0</v>
      </c>
      <c r="AM82" s="63">
        <v>1.03639035</v>
      </c>
      <c r="AN82" s="63">
        <v>1.0114049394</v>
      </c>
      <c r="AO82" s="63">
        <v>0.98210394336149998</v>
      </c>
      <c r="AP82" s="63">
        <v>0.93762413895893393</v>
      </c>
      <c r="AQ82" s="63"/>
      <c r="AR82" s="63"/>
      <c r="AS82" s="64"/>
      <c r="AU82" s="66">
        <f t="shared" si="6"/>
        <v>0</v>
      </c>
      <c r="AX82" s="66">
        <f t="shared" si="7"/>
        <v>0</v>
      </c>
      <c r="AY82" s="66">
        <f t="shared" si="8"/>
        <v>0</v>
      </c>
      <c r="AZ82" s="66">
        <f t="shared" si="9"/>
        <v>0</v>
      </c>
      <c r="BA82" s="66">
        <f t="shared" si="10"/>
        <v>0</v>
      </c>
      <c r="BB82" s="66">
        <f t="shared" si="11"/>
        <v>0</v>
      </c>
    </row>
    <row r="83" spans="4:54" x14ac:dyDescent="0.25">
      <c r="D83" s="62">
        <f>калькулятор!C87</f>
        <v>0</v>
      </c>
      <c r="E83" s="62">
        <f>калькулятор!F87</f>
        <v>0</v>
      </c>
      <c r="F83" s="62">
        <f>калькулятор!G87</f>
        <v>0</v>
      </c>
      <c r="G83" s="62">
        <f>калькулятор!H87</f>
        <v>0</v>
      </c>
      <c r="H83" s="62">
        <f>калькулятор!I87</f>
        <v>0</v>
      </c>
      <c r="I83" s="63">
        <f>S83*SUMPRODUCT(($B$2=Таблица2[Филиал])*($B$3=Таблица2[ФЕР/ТЕР])*(F83=Таблица2[Наименование работ])*(G83=Таблица2[ТПиР/НСиР])*Таблица2[ПИР2010])</f>
        <v>0</v>
      </c>
      <c r="J83" s="63">
        <f>T83*SUMPRODUCT(($B$2=Таблица2[Филиал])*($B$3=Таблица2[ФЕР/ТЕР])*(F83=Таблица2[Наименование работ])*(G83=Таблица2[ТПиР/НСиР])*Таблица2[СМР2010])</f>
        <v>0</v>
      </c>
      <c r="K83" s="63">
        <f>U83*SUMPRODUCT(($B$2=Таблица2[Филиал])*($B$3=Таблица2[ФЕР/ТЕР])*(F83=Таблица2[Наименование работ])*(G83=Таблица2[ТПиР/НСиР])*Таблица2[ПНР2010])</f>
        <v>0</v>
      </c>
      <c r="L83" s="63">
        <f>V83*SUMPRODUCT(($B$2=Таблица2[Филиал])*($B$3=Таблица2[ФЕР/ТЕР])*(F83=Таблица2[Наименование работ])*(G83=Таблица2[ТПиР/НСиР])*Таблица2[Оборудование2010])</f>
        <v>0</v>
      </c>
      <c r="M83" s="63">
        <f>W83*SUMPRODUCT(($B$2=Таблица2[Филиал])*($B$3=Таблица2[ФЕР/ТЕР])*(F83=Таблица2[Наименование работ])*(G83=Таблица2[ТПиР/НСиР])*Таблица2[Прочие2010])</f>
        <v>0</v>
      </c>
      <c r="N83" s="63">
        <f>S83*SUMPRODUCT(($B$2=Таблица2[Филиал])*($B$3=Таблица2[ФЕР/ТЕР])*(F83=Таблица2[Наименование работ])*(G83=Таблица2[ТПиР/НСиР])*Таблица2[ПИР2013-10])</f>
        <v>0</v>
      </c>
      <c r="O83" s="63">
        <f>T83*SUMPRODUCT(($B$2=Таблица2[Филиал])*($B$3=Таблица2[ФЕР/ТЕР])*(F83=Таблица2[Наименование работ])*(G83=Таблица2[ТПиР/НСиР])*Таблица2[СМР2013-10])</f>
        <v>0</v>
      </c>
      <c r="P83" s="63">
        <f>U83*SUMPRODUCT(($B$2=Таблица2[Филиал])*($B$3=Таблица2[ФЕР/ТЕР])*(F83=Таблица2[Наименование работ])*(G83=Таблица2[ТПиР/НСиР])*Таблица2[ПНР2013-10])</f>
        <v>0</v>
      </c>
      <c r="Q83" s="63">
        <f>V83*SUMPRODUCT(($B$2=Таблица2[Филиал])*($B$3=Таблица2[ФЕР/ТЕР])*(F83=Таблица2[Наименование работ])*(G83=Таблица2[ТПиР/НСиР])*Таблица2[Оборудование2013-10])</f>
        <v>0</v>
      </c>
      <c r="R83" s="63">
        <f>W83*SUMPRODUCT(($B$2=Таблица2[Филиал])*($B$3=Таблица2[ФЕР/ТЕР])*(F83=Таблица2[Наименование работ])*(G83=Таблица2[ТПиР/НСиР])*Таблица2[Прочие2013-10])</f>
        <v>0</v>
      </c>
      <c r="S83" s="63">
        <f>IF($B$4="в базовых ценах",калькулятор!J87,X83*SUMPRODUCT(($B$2=Таблица2[Филиал])*($B$3=Таблица2[ФЕР/ТЕР])*(F83=Таблица2[Наименование работ])*(G83=Таблица2[ТПиР/НСиР])/Таблица2[ПИР2013]))</f>
        <v>0</v>
      </c>
      <c r="T83" s="63">
        <f>IF($B$4="в базовых ценах",калькулятор!K87,Y83*SUMPRODUCT(($B$2=Таблица2[Филиал])*($B$3=Таблица2[ФЕР/ТЕР])*(F83=Таблица2[Наименование работ])*(G83=Таблица2[ТПиР/НСиР])/Таблица2[СМР2013]))</f>
        <v>0</v>
      </c>
      <c r="U83" s="63">
        <f>IF($B$4="в базовых ценах",калькулятор!L87,Z83*SUMPRODUCT(($B$2=Таблица2[Филиал])*($B$3=Таблица2[ФЕР/ТЕР])*(F83=Таблица2[Наименование работ])*(G83=Таблица2[ТПиР/НСиР])/Таблица2[ПНР2013]))</f>
        <v>0</v>
      </c>
      <c r="V83" s="63">
        <f>IF($B$4="в базовых ценах",калькулятор!M87,AA83*SUMPRODUCT(($B$2=Таблица2[Филиал])*($B$3=Таблица2[ФЕР/ТЕР])*(F83=Таблица2[Наименование работ])*(G83=Таблица2[ТПиР/НСиР])/Таблица2[Оборудование2013]))</f>
        <v>0</v>
      </c>
      <c r="W83" s="63">
        <f>IF($B$4="в базовых ценах",калькулятор!N87,AB83*SUMPRODUCT(($B$2=Таблица2[Филиал])*($B$3=Таблица2[ФЕР/ТЕР])*(F83=Таблица2[Наименование работ])*(G83=Таблица2[ТПиР/НСиР])/Таблица2[Прочие3]))</f>
        <v>0</v>
      </c>
      <c r="X83" s="63">
        <f>IF($B$4="в текущих ценах",калькулятор!J87,S83*SUMPRODUCT(($B$2=Таблица2[Филиал])*($B$3=Таблица2[ФЕР/ТЕР])*(F83=Таблица2[Наименование работ])*(G83=Таблица2[ТПиР/НСиР])*Таблица2[ПИР2013]))</f>
        <v>0</v>
      </c>
      <c r="Y83" s="63">
        <f>IF($B$4="в текущих ценах",калькулятор!K87,T83*SUMPRODUCT(($B$2=Таблица2[Филиал])*($B$3=Таблица2[ФЕР/ТЕР])*(F83=Таблица2[Наименование работ])*(G83=Таблица2[ТПиР/НСиР])*Таблица2[СМР2013]))</f>
        <v>0</v>
      </c>
      <c r="Z83" s="63">
        <f>IF($B$4="в текущих ценах",калькулятор!L87,U83*SUMPRODUCT(($B$2=Таблица2[Филиал])*($B$3=Таблица2[ФЕР/ТЕР])*(F83=Таблица2[Наименование работ])*(G83=Таблица2[ТПиР/НСиР])*Таблица2[ПНР2013]))</f>
        <v>0</v>
      </c>
      <c r="AA83" s="63">
        <f>IF($B$4="в текущих ценах",калькулятор!M87,V83*SUMPRODUCT(($B$2=Таблица2[Филиал])*($B$3=Таблица2[ФЕР/ТЕР])*(F83=Таблица2[Наименование работ])*(G83=Таблица2[ТПиР/НСиР])*Таблица2[Оборудование2013]))</f>
        <v>0</v>
      </c>
      <c r="AB83" s="63">
        <f>IF($B$4="в текущих ценах",калькулятор!N87,W83*SUMPRODUCT(($B$2=Таблица2[Филиал])*($B$3=Таблица2[ФЕР/ТЕР])*(F83=Таблица2[Наименование работ])*(G83=Таблица2[ТПиР/НСиР])*Таблица2[Прочие3]))</f>
        <v>0</v>
      </c>
      <c r="AC83" s="63">
        <f>SUM(данные!$I83:$M83)</f>
        <v>0</v>
      </c>
      <c r="AD83" s="63">
        <f>IF(SUM(данные!$N83:$R83)&gt;данные!$AF83,данные!$AF83*0.9*1.058,SUM(данные!$N83:$R83))</f>
        <v>0</v>
      </c>
      <c r="AE83" s="63">
        <f>SUM(данные!$S83:$W83)</f>
        <v>0</v>
      </c>
      <c r="AF83" s="63">
        <f>SUM(данные!$X83:$AB83)</f>
        <v>0</v>
      </c>
      <c r="AG83" s="63">
        <f>IF($B$4="в текущих ценах",S83*SUMPRODUCT(($B$2=Таблица2[Филиал])*($B$3=Таблица2[ФЕР/ТЕР])*(F83=Таблица2[Наименование работ])*(G83=Таблица2[ТПиР/НСиР])*Таблица2[ПИР2012]),S83*SUMPRODUCT(($B$2=Таблица2[Филиал])*($B$3=Таблица2[ФЕР/ТЕР])*(F83=Таблица2[Наименование работ])*(G83=Таблица2[ТПиР/НСиР])*Таблица2[ПИР2012]))</f>
        <v>0</v>
      </c>
      <c r="AH83" s="63">
        <f>IF($B$4="в текущих ценах",T83*SUMPRODUCT(($B$2=Таблица2[Филиал])*($B$3=Таблица2[ФЕР/ТЕР])*(F83=Таблица2[Наименование работ])*(G83=Таблица2[ТПиР/НСиР])*Таблица2[СМР2012]),T83*SUMPRODUCT(($B$2=Таблица2[Филиал])*($B$3=Таблица2[ФЕР/ТЕР])*(F83=Таблица2[Наименование работ])*(G83=Таблица2[ТПиР/НСиР])*Таблица2[СМР2012]))</f>
        <v>0</v>
      </c>
      <c r="AI83" s="63">
        <f>IF($B$4="в текущих ценах",U83*SUMPRODUCT(($B$2=Таблица2[Филиал])*($B$3=Таблица2[ФЕР/ТЕР])*(F83=Таблица2[Наименование работ])*(G83=Таблица2[ТПиР/НСиР])*Таблица2[ПНР2012]),U83*SUMPRODUCT(($B$2=Таблица2[Филиал])*($B$3=Таблица2[ФЕР/ТЕР])*(F83=Таблица2[Наименование работ])*(G83=Таблица2[ТПиР/НСиР])*Таблица2[ПНР2012]))</f>
        <v>0</v>
      </c>
      <c r="AJ83" s="63">
        <f>IF($B$4="в текущих ценах",V83*SUMPRODUCT(($B$2=Таблица2[Филиал])*($B$3=Таблица2[ФЕР/ТЕР])*(F83=Таблица2[Наименование работ])*(G83=Таблица2[ТПиР/НСиР])*Таблица2[Оборудование2012]),V83*SUMPRODUCT(($B$2=Таблица2[Филиал])*($B$3=Таблица2[ФЕР/ТЕР])*(F83=Таблица2[Наименование работ])*(G83=Таблица2[ТПиР/НСиР])*Таблица2[Оборудование2012]))</f>
        <v>0</v>
      </c>
      <c r="AK83" s="63">
        <f>IF($B$4="в текущих ценах",W83*SUMPRODUCT(($B$2=Таблица2[Филиал])*($B$3=Таблица2[ФЕР/ТЕР])*(F83=Таблица2[Наименование работ])*(G83=Таблица2[ТПиР/НСиР])*Таблица2[Прочее2012]),W83*SUMPRODUCT(($B$2=Таблица2[Филиал])*($B$3=Таблица2[ФЕР/ТЕР])*(F83=Таблица2[Наименование работ])*(G83=Таблица2[ТПиР/НСиР])*Таблица2[Прочее2012]))</f>
        <v>0</v>
      </c>
      <c r="AL83" s="63">
        <f>данные!$X83+данные!$Y83+данные!$Z83+данные!$AA83+данные!$AB83</f>
        <v>0</v>
      </c>
      <c r="AM83" s="63">
        <v>1.03639035</v>
      </c>
      <c r="AN83" s="63">
        <v>1.0114049394</v>
      </c>
      <c r="AO83" s="63">
        <v>0.98210394336149998</v>
      </c>
      <c r="AP83" s="63">
        <v>0.93762413895893393</v>
      </c>
      <c r="AQ83" s="63"/>
      <c r="AR83" s="63"/>
      <c r="AS83" s="64"/>
      <c r="AU83" s="66">
        <f t="shared" si="6"/>
        <v>0</v>
      </c>
      <c r="AX83" s="66">
        <f t="shared" si="7"/>
        <v>0</v>
      </c>
      <c r="AY83" s="66">
        <f t="shared" si="8"/>
        <v>0</v>
      </c>
      <c r="AZ83" s="66">
        <f t="shared" si="9"/>
        <v>0</v>
      </c>
      <c r="BA83" s="66">
        <f t="shared" si="10"/>
        <v>0</v>
      </c>
      <c r="BB83" s="66">
        <f t="shared" si="11"/>
        <v>0</v>
      </c>
    </row>
    <row r="84" spans="4:54" x14ac:dyDescent="0.25">
      <c r="D84" s="62">
        <f>калькулятор!C88</f>
        <v>0</v>
      </c>
      <c r="E84" s="62">
        <f>калькулятор!F88</f>
        <v>0</v>
      </c>
      <c r="F84" s="62">
        <f>калькулятор!G88</f>
        <v>0</v>
      </c>
      <c r="G84" s="62">
        <f>калькулятор!H88</f>
        <v>0</v>
      </c>
      <c r="H84" s="62">
        <f>калькулятор!I88</f>
        <v>0</v>
      </c>
      <c r="I84" s="63">
        <f>S84*SUMPRODUCT(($B$2=Таблица2[Филиал])*($B$3=Таблица2[ФЕР/ТЕР])*(F84=Таблица2[Наименование работ])*(G84=Таблица2[ТПиР/НСиР])*Таблица2[ПИР2010])</f>
        <v>0</v>
      </c>
      <c r="J84" s="63">
        <f>T84*SUMPRODUCT(($B$2=Таблица2[Филиал])*($B$3=Таблица2[ФЕР/ТЕР])*(F84=Таблица2[Наименование работ])*(G84=Таблица2[ТПиР/НСиР])*Таблица2[СМР2010])</f>
        <v>0</v>
      </c>
      <c r="K84" s="63">
        <f>U84*SUMPRODUCT(($B$2=Таблица2[Филиал])*($B$3=Таблица2[ФЕР/ТЕР])*(F84=Таблица2[Наименование работ])*(G84=Таблица2[ТПиР/НСиР])*Таблица2[ПНР2010])</f>
        <v>0</v>
      </c>
      <c r="L84" s="63">
        <f>V84*SUMPRODUCT(($B$2=Таблица2[Филиал])*($B$3=Таблица2[ФЕР/ТЕР])*(F84=Таблица2[Наименование работ])*(G84=Таблица2[ТПиР/НСиР])*Таблица2[Оборудование2010])</f>
        <v>0</v>
      </c>
      <c r="M84" s="63">
        <f>W84*SUMPRODUCT(($B$2=Таблица2[Филиал])*($B$3=Таблица2[ФЕР/ТЕР])*(F84=Таблица2[Наименование работ])*(G84=Таблица2[ТПиР/НСиР])*Таблица2[Прочие2010])</f>
        <v>0</v>
      </c>
      <c r="N84" s="63">
        <f>S84*SUMPRODUCT(($B$2=Таблица2[Филиал])*($B$3=Таблица2[ФЕР/ТЕР])*(F84=Таблица2[Наименование работ])*(G84=Таблица2[ТПиР/НСиР])*Таблица2[ПИР2013-10])</f>
        <v>0</v>
      </c>
      <c r="O84" s="63">
        <f>T84*SUMPRODUCT(($B$2=Таблица2[Филиал])*($B$3=Таблица2[ФЕР/ТЕР])*(F84=Таблица2[Наименование работ])*(G84=Таблица2[ТПиР/НСиР])*Таблица2[СМР2013-10])</f>
        <v>0</v>
      </c>
      <c r="P84" s="63">
        <f>U84*SUMPRODUCT(($B$2=Таблица2[Филиал])*($B$3=Таблица2[ФЕР/ТЕР])*(F84=Таблица2[Наименование работ])*(G84=Таблица2[ТПиР/НСиР])*Таблица2[ПНР2013-10])</f>
        <v>0</v>
      </c>
      <c r="Q84" s="63">
        <f>V84*SUMPRODUCT(($B$2=Таблица2[Филиал])*($B$3=Таблица2[ФЕР/ТЕР])*(F84=Таблица2[Наименование работ])*(G84=Таблица2[ТПиР/НСиР])*Таблица2[Оборудование2013-10])</f>
        <v>0</v>
      </c>
      <c r="R84" s="63">
        <f>W84*SUMPRODUCT(($B$2=Таблица2[Филиал])*($B$3=Таблица2[ФЕР/ТЕР])*(F84=Таблица2[Наименование работ])*(G84=Таблица2[ТПиР/НСиР])*Таблица2[Прочие2013-10])</f>
        <v>0</v>
      </c>
      <c r="S84" s="63">
        <f>IF($B$4="в базовых ценах",калькулятор!J88,X84*SUMPRODUCT(($B$2=Таблица2[Филиал])*($B$3=Таблица2[ФЕР/ТЕР])*(F84=Таблица2[Наименование работ])*(G84=Таблица2[ТПиР/НСиР])/Таблица2[ПИР2013]))</f>
        <v>0</v>
      </c>
      <c r="T84" s="63">
        <f>IF($B$4="в базовых ценах",калькулятор!K88,Y84*SUMPRODUCT(($B$2=Таблица2[Филиал])*($B$3=Таблица2[ФЕР/ТЕР])*(F84=Таблица2[Наименование работ])*(G84=Таблица2[ТПиР/НСиР])/Таблица2[СМР2013]))</f>
        <v>0</v>
      </c>
      <c r="U84" s="63">
        <f>IF($B$4="в базовых ценах",калькулятор!L88,Z84*SUMPRODUCT(($B$2=Таблица2[Филиал])*($B$3=Таблица2[ФЕР/ТЕР])*(F84=Таблица2[Наименование работ])*(G84=Таблица2[ТПиР/НСиР])/Таблица2[ПНР2013]))</f>
        <v>0</v>
      </c>
      <c r="V84" s="63">
        <f>IF($B$4="в базовых ценах",калькулятор!M88,AA84*SUMPRODUCT(($B$2=Таблица2[Филиал])*($B$3=Таблица2[ФЕР/ТЕР])*(F84=Таблица2[Наименование работ])*(G84=Таблица2[ТПиР/НСиР])/Таблица2[Оборудование2013]))</f>
        <v>0</v>
      </c>
      <c r="W84" s="63">
        <f>IF($B$4="в базовых ценах",калькулятор!N88,AB84*SUMPRODUCT(($B$2=Таблица2[Филиал])*($B$3=Таблица2[ФЕР/ТЕР])*(F84=Таблица2[Наименование работ])*(G84=Таблица2[ТПиР/НСиР])/Таблица2[Прочие3]))</f>
        <v>0</v>
      </c>
      <c r="X84" s="63">
        <f>IF($B$4="в текущих ценах",калькулятор!J88,S84*SUMPRODUCT(($B$2=Таблица2[Филиал])*($B$3=Таблица2[ФЕР/ТЕР])*(F84=Таблица2[Наименование работ])*(G84=Таблица2[ТПиР/НСиР])*Таблица2[ПИР2013]))</f>
        <v>0</v>
      </c>
      <c r="Y84" s="63">
        <f>IF($B$4="в текущих ценах",калькулятор!K88,T84*SUMPRODUCT(($B$2=Таблица2[Филиал])*($B$3=Таблица2[ФЕР/ТЕР])*(F84=Таблица2[Наименование работ])*(G84=Таблица2[ТПиР/НСиР])*Таблица2[СМР2013]))</f>
        <v>0</v>
      </c>
      <c r="Z84" s="63">
        <f>IF($B$4="в текущих ценах",калькулятор!L88,U84*SUMPRODUCT(($B$2=Таблица2[Филиал])*($B$3=Таблица2[ФЕР/ТЕР])*(F84=Таблица2[Наименование работ])*(G84=Таблица2[ТПиР/НСиР])*Таблица2[ПНР2013]))</f>
        <v>0</v>
      </c>
      <c r="AA84" s="63">
        <f>IF($B$4="в текущих ценах",калькулятор!M88,V84*SUMPRODUCT(($B$2=Таблица2[Филиал])*($B$3=Таблица2[ФЕР/ТЕР])*(F84=Таблица2[Наименование работ])*(G84=Таблица2[ТПиР/НСиР])*Таблица2[Оборудование2013]))</f>
        <v>0</v>
      </c>
      <c r="AB84" s="63">
        <f>IF($B$4="в текущих ценах",калькулятор!N88,W84*SUMPRODUCT(($B$2=Таблица2[Филиал])*($B$3=Таблица2[ФЕР/ТЕР])*(F84=Таблица2[Наименование работ])*(G84=Таблица2[ТПиР/НСиР])*Таблица2[Прочие3]))</f>
        <v>0</v>
      </c>
      <c r="AC84" s="63">
        <f>SUM(данные!$I84:$M84)</f>
        <v>0</v>
      </c>
      <c r="AD84" s="63">
        <f>IF(SUM(данные!$N84:$R84)&gt;данные!$AF84,данные!$AF84*0.9*1.058,SUM(данные!$N84:$R84))</f>
        <v>0</v>
      </c>
      <c r="AE84" s="63">
        <f>SUM(данные!$S84:$W84)</f>
        <v>0</v>
      </c>
      <c r="AF84" s="63">
        <f>SUM(данные!$X84:$AB84)</f>
        <v>0</v>
      </c>
      <c r="AG84" s="63">
        <f>IF($B$4="в текущих ценах",S84*SUMPRODUCT(($B$2=Таблица2[Филиал])*($B$3=Таблица2[ФЕР/ТЕР])*(F84=Таблица2[Наименование работ])*(G84=Таблица2[ТПиР/НСиР])*Таблица2[ПИР2012]),S84*SUMPRODUCT(($B$2=Таблица2[Филиал])*($B$3=Таблица2[ФЕР/ТЕР])*(F84=Таблица2[Наименование работ])*(G84=Таблица2[ТПиР/НСиР])*Таблица2[ПИР2012]))</f>
        <v>0</v>
      </c>
      <c r="AH84" s="63">
        <f>IF($B$4="в текущих ценах",T84*SUMPRODUCT(($B$2=Таблица2[Филиал])*($B$3=Таблица2[ФЕР/ТЕР])*(F84=Таблица2[Наименование работ])*(G84=Таблица2[ТПиР/НСиР])*Таблица2[СМР2012]),T84*SUMPRODUCT(($B$2=Таблица2[Филиал])*($B$3=Таблица2[ФЕР/ТЕР])*(F84=Таблица2[Наименование работ])*(G84=Таблица2[ТПиР/НСиР])*Таблица2[СМР2012]))</f>
        <v>0</v>
      </c>
      <c r="AI84" s="63">
        <f>IF($B$4="в текущих ценах",U84*SUMPRODUCT(($B$2=Таблица2[Филиал])*($B$3=Таблица2[ФЕР/ТЕР])*(F84=Таблица2[Наименование работ])*(G84=Таблица2[ТПиР/НСиР])*Таблица2[ПНР2012]),U84*SUMPRODUCT(($B$2=Таблица2[Филиал])*($B$3=Таблица2[ФЕР/ТЕР])*(F84=Таблица2[Наименование работ])*(G84=Таблица2[ТПиР/НСиР])*Таблица2[ПНР2012]))</f>
        <v>0</v>
      </c>
      <c r="AJ84" s="63">
        <f>IF($B$4="в текущих ценах",V84*SUMPRODUCT(($B$2=Таблица2[Филиал])*($B$3=Таблица2[ФЕР/ТЕР])*(F84=Таблица2[Наименование работ])*(G84=Таблица2[ТПиР/НСиР])*Таблица2[Оборудование2012]),V84*SUMPRODUCT(($B$2=Таблица2[Филиал])*($B$3=Таблица2[ФЕР/ТЕР])*(F84=Таблица2[Наименование работ])*(G84=Таблица2[ТПиР/НСиР])*Таблица2[Оборудование2012]))</f>
        <v>0</v>
      </c>
      <c r="AK84" s="63">
        <f>IF($B$4="в текущих ценах",W84*SUMPRODUCT(($B$2=Таблица2[Филиал])*($B$3=Таблица2[ФЕР/ТЕР])*(F84=Таблица2[Наименование работ])*(G84=Таблица2[ТПиР/НСиР])*Таблица2[Прочее2012]),W84*SUMPRODUCT(($B$2=Таблица2[Филиал])*($B$3=Таблица2[ФЕР/ТЕР])*(F84=Таблица2[Наименование работ])*(G84=Таблица2[ТПиР/НСиР])*Таблица2[Прочее2012]))</f>
        <v>0</v>
      </c>
      <c r="AL84" s="63">
        <f>данные!$X84+данные!$Y84+данные!$Z84+данные!$AA84+данные!$AB84</f>
        <v>0</v>
      </c>
      <c r="AM84" s="63">
        <v>1.03639035</v>
      </c>
      <c r="AN84" s="63">
        <v>1.0114049394</v>
      </c>
      <c r="AO84" s="63">
        <v>0.98210394336149998</v>
      </c>
      <c r="AP84" s="63">
        <v>0.93762413895893393</v>
      </c>
      <c r="AQ84" s="63"/>
      <c r="AR84" s="63"/>
      <c r="AS84" s="64"/>
      <c r="AU84" s="66">
        <f t="shared" si="6"/>
        <v>0</v>
      </c>
      <c r="AX84" s="66">
        <f t="shared" si="7"/>
        <v>0</v>
      </c>
      <c r="AY84" s="66">
        <f t="shared" si="8"/>
        <v>0</v>
      </c>
      <c r="AZ84" s="66">
        <f t="shared" si="9"/>
        <v>0</v>
      </c>
      <c r="BA84" s="66">
        <f t="shared" si="10"/>
        <v>0</v>
      </c>
      <c r="BB84" s="66">
        <f t="shared" si="11"/>
        <v>0</v>
      </c>
    </row>
    <row r="85" spans="4:54" x14ac:dyDescent="0.25">
      <c r="D85" s="62">
        <f>калькулятор!C89</f>
        <v>0</v>
      </c>
      <c r="E85" s="62">
        <f>калькулятор!F89</f>
        <v>0</v>
      </c>
      <c r="F85" s="62">
        <f>калькулятор!G89</f>
        <v>0</v>
      </c>
      <c r="G85" s="62">
        <f>калькулятор!H89</f>
        <v>0</v>
      </c>
      <c r="H85" s="62">
        <f>калькулятор!I89</f>
        <v>0</v>
      </c>
      <c r="I85" s="63">
        <f>S85*SUMPRODUCT(($B$2=Таблица2[Филиал])*($B$3=Таблица2[ФЕР/ТЕР])*(F85=Таблица2[Наименование работ])*(G85=Таблица2[ТПиР/НСиР])*Таблица2[ПИР2010])</f>
        <v>0</v>
      </c>
      <c r="J85" s="63">
        <f>T85*SUMPRODUCT(($B$2=Таблица2[Филиал])*($B$3=Таблица2[ФЕР/ТЕР])*(F85=Таблица2[Наименование работ])*(G85=Таблица2[ТПиР/НСиР])*Таблица2[СМР2010])</f>
        <v>0</v>
      </c>
      <c r="K85" s="63">
        <f>U85*SUMPRODUCT(($B$2=Таблица2[Филиал])*($B$3=Таблица2[ФЕР/ТЕР])*(F85=Таблица2[Наименование работ])*(G85=Таблица2[ТПиР/НСиР])*Таблица2[ПНР2010])</f>
        <v>0</v>
      </c>
      <c r="L85" s="63">
        <f>V85*SUMPRODUCT(($B$2=Таблица2[Филиал])*($B$3=Таблица2[ФЕР/ТЕР])*(F85=Таблица2[Наименование работ])*(G85=Таблица2[ТПиР/НСиР])*Таблица2[Оборудование2010])</f>
        <v>0</v>
      </c>
      <c r="M85" s="63">
        <f>W85*SUMPRODUCT(($B$2=Таблица2[Филиал])*($B$3=Таблица2[ФЕР/ТЕР])*(F85=Таблица2[Наименование работ])*(G85=Таблица2[ТПиР/НСиР])*Таблица2[Прочие2010])</f>
        <v>0</v>
      </c>
      <c r="N85" s="63">
        <f>S85*SUMPRODUCT(($B$2=Таблица2[Филиал])*($B$3=Таблица2[ФЕР/ТЕР])*(F85=Таблица2[Наименование работ])*(G85=Таблица2[ТПиР/НСиР])*Таблица2[ПИР2013-10])</f>
        <v>0</v>
      </c>
      <c r="O85" s="63">
        <f>T85*SUMPRODUCT(($B$2=Таблица2[Филиал])*($B$3=Таблица2[ФЕР/ТЕР])*(F85=Таблица2[Наименование работ])*(G85=Таблица2[ТПиР/НСиР])*Таблица2[СМР2013-10])</f>
        <v>0</v>
      </c>
      <c r="P85" s="63">
        <f>U85*SUMPRODUCT(($B$2=Таблица2[Филиал])*($B$3=Таблица2[ФЕР/ТЕР])*(F85=Таблица2[Наименование работ])*(G85=Таблица2[ТПиР/НСиР])*Таблица2[ПНР2013-10])</f>
        <v>0</v>
      </c>
      <c r="Q85" s="63">
        <f>V85*SUMPRODUCT(($B$2=Таблица2[Филиал])*($B$3=Таблица2[ФЕР/ТЕР])*(F85=Таблица2[Наименование работ])*(G85=Таблица2[ТПиР/НСиР])*Таблица2[Оборудование2013-10])</f>
        <v>0</v>
      </c>
      <c r="R85" s="63">
        <f>W85*SUMPRODUCT(($B$2=Таблица2[Филиал])*($B$3=Таблица2[ФЕР/ТЕР])*(F85=Таблица2[Наименование работ])*(G85=Таблица2[ТПиР/НСиР])*Таблица2[Прочие2013-10])</f>
        <v>0</v>
      </c>
      <c r="S85" s="63">
        <f>IF($B$4="в базовых ценах",калькулятор!J89,X85*SUMPRODUCT(($B$2=Таблица2[Филиал])*($B$3=Таблица2[ФЕР/ТЕР])*(F85=Таблица2[Наименование работ])*(G85=Таблица2[ТПиР/НСиР])/Таблица2[ПИР2013]))</f>
        <v>0</v>
      </c>
      <c r="T85" s="63">
        <f>IF($B$4="в базовых ценах",калькулятор!K89,Y85*SUMPRODUCT(($B$2=Таблица2[Филиал])*($B$3=Таблица2[ФЕР/ТЕР])*(F85=Таблица2[Наименование работ])*(G85=Таблица2[ТПиР/НСиР])/Таблица2[СМР2013]))</f>
        <v>0</v>
      </c>
      <c r="U85" s="63">
        <f>IF($B$4="в базовых ценах",калькулятор!L89,Z85*SUMPRODUCT(($B$2=Таблица2[Филиал])*($B$3=Таблица2[ФЕР/ТЕР])*(F85=Таблица2[Наименование работ])*(G85=Таблица2[ТПиР/НСиР])/Таблица2[ПНР2013]))</f>
        <v>0</v>
      </c>
      <c r="V85" s="63">
        <f>IF($B$4="в базовых ценах",калькулятор!M89,AA85*SUMPRODUCT(($B$2=Таблица2[Филиал])*($B$3=Таблица2[ФЕР/ТЕР])*(F85=Таблица2[Наименование работ])*(G85=Таблица2[ТПиР/НСиР])/Таблица2[Оборудование2013]))</f>
        <v>0</v>
      </c>
      <c r="W85" s="63">
        <f>IF($B$4="в базовых ценах",калькулятор!N89,AB85*SUMPRODUCT(($B$2=Таблица2[Филиал])*($B$3=Таблица2[ФЕР/ТЕР])*(F85=Таблица2[Наименование работ])*(G85=Таблица2[ТПиР/НСиР])/Таблица2[Прочие3]))</f>
        <v>0</v>
      </c>
      <c r="X85" s="63">
        <f>IF($B$4="в текущих ценах",калькулятор!J89,S85*SUMPRODUCT(($B$2=Таблица2[Филиал])*($B$3=Таблица2[ФЕР/ТЕР])*(F85=Таблица2[Наименование работ])*(G85=Таблица2[ТПиР/НСиР])*Таблица2[ПИР2013]))</f>
        <v>0</v>
      </c>
      <c r="Y85" s="63">
        <f>IF($B$4="в текущих ценах",калькулятор!K89,T85*SUMPRODUCT(($B$2=Таблица2[Филиал])*($B$3=Таблица2[ФЕР/ТЕР])*(F85=Таблица2[Наименование работ])*(G85=Таблица2[ТПиР/НСиР])*Таблица2[СМР2013]))</f>
        <v>0</v>
      </c>
      <c r="Z85" s="63">
        <f>IF($B$4="в текущих ценах",калькулятор!L89,U85*SUMPRODUCT(($B$2=Таблица2[Филиал])*($B$3=Таблица2[ФЕР/ТЕР])*(F85=Таблица2[Наименование работ])*(G85=Таблица2[ТПиР/НСиР])*Таблица2[ПНР2013]))</f>
        <v>0</v>
      </c>
      <c r="AA85" s="63">
        <f>IF($B$4="в текущих ценах",калькулятор!M89,V85*SUMPRODUCT(($B$2=Таблица2[Филиал])*($B$3=Таблица2[ФЕР/ТЕР])*(F85=Таблица2[Наименование работ])*(G85=Таблица2[ТПиР/НСиР])*Таблица2[Оборудование2013]))</f>
        <v>0</v>
      </c>
      <c r="AB85" s="63">
        <f>IF($B$4="в текущих ценах",калькулятор!N89,W85*SUMPRODUCT(($B$2=Таблица2[Филиал])*($B$3=Таблица2[ФЕР/ТЕР])*(F85=Таблица2[Наименование работ])*(G85=Таблица2[ТПиР/НСиР])*Таблица2[Прочие3]))</f>
        <v>0</v>
      </c>
      <c r="AC85" s="63">
        <f>SUM(данные!$I85:$M85)</f>
        <v>0</v>
      </c>
      <c r="AD85" s="63">
        <f>IF(SUM(данные!$N85:$R85)&gt;данные!$AF85,данные!$AF85*0.9*1.058,SUM(данные!$N85:$R85))</f>
        <v>0</v>
      </c>
      <c r="AE85" s="63">
        <f>SUM(данные!$S85:$W85)</f>
        <v>0</v>
      </c>
      <c r="AF85" s="63">
        <f>SUM(данные!$X85:$AB85)</f>
        <v>0</v>
      </c>
      <c r="AG85" s="63">
        <f>IF($B$4="в текущих ценах",S85*SUMPRODUCT(($B$2=Таблица2[Филиал])*($B$3=Таблица2[ФЕР/ТЕР])*(F85=Таблица2[Наименование работ])*(G85=Таблица2[ТПиР/НСиР])*Таблица2[ПИР2012]),S85*SUMPRODUCT(($B$2=Таблица2[Филиал])*($B$3=Таблица2[ФЕР/ТЕР])*(F85=Таблица2[Наименование работ])*(G85=Таблица2[ТПиР/НСиР])*Таблица2[ПИР2012]))</f>
        <v>0</v>
      </c>
      <c r="AH85" s="63">
        <f>IF($B$4="в текущих ценах",T85*SUMPRODUCT(($B$2=Таблица2[Филиал])*($B$3=Таблица2[ФЕР/ТЕР])*(F85=Таблица2[Наименование работ])*(G85=Таблица2[ТПиР/НСиР])*Таблица2[СМР2012]),T85*SUMPRODUCT(($B$2=Таблица2[Филиал])*($B$3=Таблица2[ФЕР/ТЕР])*(F85=Таблица2[Наименование работ])*(G85=Таблица2[ТПиР/НСиР])*Таблица2[СМР2012]))</f>
        <v>0</v>
      </c>
      <c r="AI85" s="63">
        <f>IF($B$4="в текущих ценах",U85*SUMPRODUCT(($B$2=Таблица2[Филиал])*($B$3=Таблица2[ФЕР/ТЕР])*(F85=Таблица2[Наименование работ])*(G85=Таблица2[ТПиР/НСиР])*Таблица2[ПНР2012]),U85*SUMPRODUCT(($B$2=Таблица2[Филиал])*($B$3=Таблица2[ФЕР/ТЕР])*(F85=Таблица2[Наименование работ])*(G85=Таблица2[ТПиР/НСиР])*Таблица2[ПНР2012]))</f>
        <v>0</v>
      </c>
      <c r="AJ85" s="63">
        <f>IF($B$4="в текущих ценах",V85*SUMPRODUCT(($B$2=Таблица2[Филиал])*($B$3=Таблица2[ФЕР/ТЕР])*(F85=Таблица2[Наименование работ])*(G85=Таблица2[ТПиР/НСиР])*Таблица2[Оборудование2012]),V85*SUMPRODUCT(($B$2=Таблица2[Филиал])*($B$3=Таблица2[ФЕР/ТЕР])*(F85=Таблица2[Наименование работ])*(G85=Таблица2[ТПиР/НСиР])*Таблица2[Оборудование2012]))</f>
        <v>0</v>
      </c>
      <c r="AK85" s="63">
        <f>IF($B$4="в текущих ценах",W85*SUMPRODUCT(($B$2=Таблица2[Филиал])*($B$3=Таблица2[ФЕР/ТЕР])*(F85=Таблица2[Наименование работ])*(G85=Таблица2[ТПиР/НСиР])*Таблица2[Прочее2012]),W85*SUMPRODUCT(($B$2=Таблица2[Филиал])*($B$3=Таблица2[ФЕР/ТЕР])*(F85=Таблица2[Наименование работ])*(G85=Таблица2[ТПиР/НСиР])*Таблица2[Прочее2012]))</f>
        <v>0</v>
      </c>
      <c r="AL85" s="63">
        <f>данные!$X85+данные!$Y85+данные!$Z85+данные!$AA85+данные!$AB85</f>
        <v>0</v>
      </c>
      <c r="AM85" s="63">
        <v>1.03639035</v>
      </c>
      <c r="AN85" s="63">
        <v>1.0114049394</v>
      </c>
      <c r="AO85" s="63">
        <v>0.98210394336149998</v>
      </c>
      <c r="AP85" s="63">
        <v>0.93762413895893393</v>
      </c>
      <c r="AQ85" s="63"/>
      <c r="AR85" s="63"/>
      <c r="AS85" s="64"/>
      <c r="AU85" s="66">
        <f t="shared" si="6"/>
        <v>0</v>
      </c>
      <c r="AX85" s="66">
        <f t="shared" si="7"/>
        <v>0</v>
      </c>
      <c r="AY85" s="66">
        <f t="shared" si="8"/>
        <v>0</v>
      </c>
      <c r="AZ85" s="66">
        <f t="shared" si="9"/>
        <v>0</v>
      </c>
      <c r="BA85" s="66">
        <f t="shared" si="10"/>
        <v>0</v>
      </c>
      <c r="BB85" s="66">
        <f t="shared" si="11"/>
        <v>0</v>
      </c>
    </row>
    <row r="86" spans="4:54" x14ac:dyDescent="0.25">
      <c r="D86" s="62">
        <f>калькулятор!C90</f>
        <v>0</v>
      </c>
      <c r="E86" s="62">
        <f>калькулятор!F90</f>
        <v>0</v>
      </c>
      <c r="F86" s="62">
        <f>калькулятор!G90</f>
        <v>0</v>
      </c>
      <c r="G86" s="62">
        <f>калькулятор!H90</f>
        <v>0</v>
      </c>
      <c r="H86" s="62">
        <f>калькулятор!I90</f>
        <v>0</v>
      </c>
      <c r="I86" s="63">
        <f>S86*SUMPRODUCT(($B$2=Таблица2[Филиал])*($B$3=Таблица2[ФЕР/ТЕР])*(F86=Таблица2[Наименование работ])*(G86=Таблица2[ТПиР/НСиР])*Таблица2[ПИР2010])</f>
        <v>0</v>
      </c>
      <c r="J86" s="63">
        <f>T86*SUMPRODUCT(($B$2=Таблица2[Филиал])*($B$3=Таблица2[ФЕР/ТЕР])*(F86=Таблица2[Наименование работ])*(G86=Таблица2[ТПиР/НСиР])*Таблица2[СМР2010])</f>
        <v>0</v>
      </c>
      <c r="K86" s="63">
        <f>U86*SUMPRODUCT(($B$2=Таблица2[Филиал])*($B$3=Таблица2[ФЕР/ТЕР])*(F86=Таблица2[Наименование работ])*(G86=Таблица2[ТПиР/НСиР])*Таблица2[ПНР2010])</f>
        <v>0</v>
      </c>
      <c r="L86" s="63">
        <f>V86*SUMPRODUCT(($B$2=Таблица2[Филиал])*($B$3=Таблица2[ФЕР/ТЕР])*(F86=Таблица2[Наименование работ])*(G86=Таблица2[ТПиР/НСиР])*Таблица2[Оборудование2010])</f>
        <v>0</v>
      </c>
      <c r="M86" s="63">
        <f>W86*SUMPRODUCT(($B$2=Таблица2[Филиал])*($B$3=Таблица2[ФЕР/ТЕР])*(F86=Таблица2[Наименование работ])*(G86=Таблица2[ТПиР/НСиР])*Таблица2[Прочие2010])</f>
        <v>0</v>
      </c>
      <c r="N86" s="63">
        <f>S86*SUMPRODUCT(($B$2=Таблица2[Филиал])*($B$3=Таблица2[ФЕР/ТЕР])*(F86=Таблица2[Наименование работ])*(G86=Таблица2[ТПиР/НСиР])*Таблица2[ПИР2013-10])</f>
        <v>0</v>
      </c>
      <c r="O86" s="63">
        <f>T86*SUMPRODUCT(($B$2=Таблица2[Филиал])*($B$3=Таблица2[ФЕР/ТЕР])*(F86=Таблица2[Наименование работ])*(G86=Таблица2[ТПиР/НСиР])*Таблица2[СМР2013-10])</f>
        <v>0</v>
      </c>
      <c r="P86" s="63">
        <f>U86*SUMPRODUCT(($B$2=Таблица2[Филиал])*($B$3=Таблица2[ФЕР/ТЕР])*(F86=Таблица2[Наименование работ])*(G86=Таблица2[ТПиР/НСиР])*Таблица2[ПНР2013-10])</f>
        <v>0</v>
      </c>
      <c r="Q86" s="63">
        <f>V86*SUMPRODUCT(($B$2=Таблица2[Филиал])*($B$3=Таблица2[ФЕР/ТЕР])*(F86=Таблица2[Наименование работ])*(G86=Таблица2[ТПиР/НСиР])*Таблица2[Оборудование2013-10])</f>
        <v>0</v>
      </c>
      <c r="R86" s="63">
        <f>W86*SUMPRODUCT(($B$2=Таблица2[Филиал])*($B$3=Таблица2[ФЕР/ТЕР])*(F86=Таблица2[Наименование работ])*(G86=Таблица2[ТПиР/НСиР])*Таблица2[Прочие2013-10])</f>
        <v>0</v>
      </c>
      <c r="S86" s="63">
        <f>IF($B$4="в базовых ценах",калькулятор!J90,X86*SUMPRODUCT(($B$2=Таблица2[Филиал])*($B$3=Таблица2[ФЕР/ТЕР])*(F86=Таблица2[Наименование работ])*(G86=Таблица2[ТПиР/НСиР])/Таблица2[ПИР2013]))</f>
        <v>0</v>
      </c>
      <c r="T86" s="63">
        <f>IF($B$4="в базовых ценах",калькулятор!K90,Y86*SUMPRODUCT(($B$2=Таблица2[Филиал])*($B$3=Таблица2[ФЕР/ТЕР])*(F86=Таблица2[Наименование работ])*(G86=Таблица2[ТПиР/НСиР])/Таблица2[СМР2013]))</f>
        <v>0</v>
      </c>
      <c r="U86" s="63">
        <f>IF($B$4="в базовых ценах",калькулятор!L90,Z86*SUMPRODUCT(($B$2=Таблица2[Филиал])*($B$3=Таблица2[ФЕР/ТЕР])*(F86=Таблица2[Наименование работ])*(G86=Таблица2[ТПиР/НСиР])/Таблица2[ПНР2013]))</f>
        <v>0</v>
      </c>
      <c r="V86" s="63">
        <f>IF($B$4="в базовых ценах",калькулятор!M90,AA86*SUMPRODUCT(($B$2=Таблица2[Филиал])*($B$3=Таблица2[ФЕР/ТЕР])*(F86=Таблица2[Наименование работ])*(G86=Таблица2[ТПиР/НСиР])/Таблица2[Оборудование2013]))</f>
        <v>0</v>
      </c>
      <c r="W86" s="63">
        <f>IF($B$4="в базовых ценах",калькулятор!N90,AB86*SUMPRODUCT(($B$2=Таблица2[Филиал])*($B$3=Таблица2[ФЕР/ТЕР])*(F86=Таблица2[Наименование работ])*(G86=Таблица2[ТПиР/НСиР])/Таблица2[Прочие3]))</f>
        <v>0</v>
      </c>
      <c r="X86" s="63">
        <f>IF($B$4="в текущих ценах",калькулятор!J90,S86*SUMPRODUCT(($B$2=Таблица2[Филиал])*($B$3=Таблица2[ФЕР/ТЕР])*(F86=Таблица2[Наименование работ])*(G86=Таблица2[ТПиР/НСиР])*Таблица2[ПИР2013]))</f>
        <v>0</v>
      </c>
      <c r="Y86" s="63">
        <f>IF($B$4="в текущих ценах",калькулятор!K90,T86*SUMPRODUCT(($B$2=Таблица2[Филиал])*($B$3=Таблица2[ФЕР/ТЕР])*(F86=Таблица2[Наименование работ])*(G86=Таблица2[ТПиР/НСиР])*Таблица2[СМР2013]))</f>
        <v>0</v>
      </c>
      <c r="Z86" s="63">
        <f>IF($B$4="в текущих ценах",калькулятор!L90,U86*SUMPRODUCT(($B$2=Таблица2[Филиал])*($B$3=Таблица2[ФЕР/ТЕР])*(F86=Таблица2[Наименование работ])*(G86=Таблица2[ТПиР/НСиР])*Таблица2[ПНР2013]))</f>
        <v>0</v>
      </c>
      <c r="AA86" s="63">
        <f>IF($B$4="в текущих ценах",калькулятор!M90,V86*SUMPRODUCT(($B$2=Таблица2[Филиал])*($B$3=Таблица2[ФЕР/ТЕР])*(F86=Таблица2[Наименование работ])*(G86=Таблица2[ТПиР/НСиР])*Таблица2[Оборудование2013]))</f>
        <v>0</v>
      </c>
      <c r="AB86" s="63">
        <f>IF($B$4="в текущих ценах",калькулятор!N90,W86*SUMPRODUCT(($B$2=Таблица2[Филиал])*($B$3=Таблица2[ФЕР/ТЕР])*(F86=Таблица2[Наименование работ])*(G86=Таблица2[ТПиР/НСиР])*Таблица2[Прочие3]))</f>
        <v>0</v>
      </c>
      <c r="AC86" s="63">
        <f>SUM(данные!$I86:$M86)</f>
        <v>0</v>
      </c>
      <c r="AD86" s="63">
        <f>IF(SUM(данные!$N86:$R86)&gt;данные!$AF86,данные!$AF86*0.9*1.058,SUM(данные!$N86:$R86))</f>
        <v>0</v>
      </c>
      <c r="AE86" s="63">
        <f>SUM(данные!$S86:$W86)</f>
        <v>0</v>
      </c>
      <c r="AF86" s="63">
        <f>SUM(данные!$X86:$AB86)</f>
        <v>0</v>
      </c>
      <c r="AG86" s="63">
        <f>IF($B$4="в текущих ценах",S86*SUMPRODUCT(($B$2=Таблица2[Филиал])*($B$3=Таблица2[ФЕР/ТЕР])*(F86=Таблица2[Наименование работ])*(G86=Таблица2[ТПиР/НСиР])*Таблица2[ПИР2012]),S86*SUMPRODUCT(($B$2=Таблица2[Филиал])*($B$3=Таблица2[ФЕР/ТЕР])*(F86=Таблица2[Наименование работ])*(G86=Таблица2[ТПиР/НСиР])*Таблица2[ПИР2012]))</f>
        <v>0</v>
      </c>
      <c r="AH86" s="63">
        <f>IF($B$4="в текущих ценах",T86*SUMPRODUCT(($B$2=Таблица2[Филиал])*($B$3=Таблица2[ФЕР/ТЕР])*(F86=Таблица2[Наименование работ])*(G86=Таблица2[ТПиР/НСиР])*Таблица2[СМР2012]),T86*SUMPRODUCT(($B$2=Таблица2[Филиал])*($B$3=Таблица2[ФЕР/ТЕР])*(F86=Таблица2[Наименование работ])*(G86=Таблица2[ТПиР/НСиР])*Таблица2[СМР2012]))</f>
        <v>0</v>
      </c>
      <c r="AI86" s="63">
        <f>IF($B$4="в текущих ценах",U86*SUMPRODUCT(($B$2=Таблица2[Филиал])*($B$3=Таблица2[ФЕР/ТЕР])*(F86=Таблица2[Наименование работ])*(G86=Таблица2[ТПиР/НСиР])*Таблица2[ПНР2012]),U86*SUMPRODUCT(($B$2=Таблица2[Филиал])*($B$3=Таблица2[ФЕР/ТЕР])*(F86=Таблица2[Наименование работ])*(G86=Таблица2[ТПиР/НСиР])*Таблица2[ПНР2012]))</f>
        <v>0</v>
      </c>
      <c r="AJ86" s="63">
        <f>IF($B$4="в текущих ценах",V86*SUMPRODUCT(($B$2=Таблица2[Филиал])*($B$3=Таблица2[ФЕР/ТЕР])*(F86=Таблица2[Наименование работ])*(G86=Таблица2[ТПиР/НСиР])*Таблица2[Оборудование2012]),V86*SUMPRODUCT(($B$2=Таблица2[Филиал])*($B$3=Таблица2[ФЕР/ТЕР])*(F86=Таблица2[Наименование работ])*(G86=Таблица2[ТПиР/НСиР])*Таблица2[Оборудование2012]))</f>
        <v>0</v>
      </c>
      <c r="AK86" s="63">
        <f>IF($B$4="в текущих ценах",W86*SUMPRODUCT(($B$2=Таблица2[Филиал])*($B$3=Таблица2[ФЕР/ТЕР])*(F86=Таблица2[Наименование работ])*(G86=Таблица2[ТПиР/НСиР])*Таблица2[Прочее2012]),W86*SUMPRODUCT(($B$2=Таблица2[Филиал])*($B$3=Таблица2[ФЕР/ТЕР])*(F86=Таблица2[Наименование работ])*(G86=Таблица2[ТПиР/НСиР])*Таблица2[Прочее2012]))</f>
        <v>0</v>
      </c>
      <c r="AL86" s="63">
        <f>данные!$X86+данные!$Y86+данные!$Z86+данные!$AA86+данные!$AB86</f>
        <v>0</v>
      </c>
      <c r="AM86" s="63">
        <v>1.03639035</v>
      </c>
      <c r="AN86" s="63">
        <v>1.0114049394</v>
      </c>
      <c r="AO86" s="63">
        <v>0.98210394336149998</v>
      </c>
      <c r="AP86" s="63">
        <v>0.93762413895893393</v>
      </c>
      <c r="AQ86" s="63"/>
      <c r="AR86" s="63"/>
      <c r="AS86" s="64"/>
      <c r="AU86" s="66">
        <f t="shared" si="6"/>
        <v>0</v>
      </c>
      <c r="AX86" s="66">
        <f t="shared" si="7"/>
        <v>0</v>
      </c>
      <c r="AY86" s="66">
        <f t="shared" si="8"/>
        <v>0</v>
      </c>
      <c r="AZ86" s="66">
        <f t="shared" si="9"/>
        <v>0</v>
      </c>
      <c r="BA86" s="66">
        <f t="shared" si="10"/>
        <v>0</v>
      </c>
      <c r="BB86" s="66">
        <f t="shared" si="11"/>
        <v>0</v>
      </c>
    </row>
    <row r="87" spans="4:54" x14ac:dyDescent="0.25">
      <c r="D87" s="62">
        <f>калькулятор!C91</f>
        <v>0</v>
      </c>
      <c r="E87" s="62">
        <f>калькулятор!F91</f>
        <v>0</v>
      </c>
      <c r="F87" s="62">
        <f>калькулятор!G91</f>
        <v>0</v>
      </c>
      <c r="G87" s="62">
        <f>калькулятор!H91</f>
        <v>0</v>
      </c>
      <c r="H87" s="62">
        <f>калькулятор!I91</f>
        <v>0</v>
      </c>
      <c r="I87" s="63">
        <f>S87*SUMPRODUCT(($B$2=Таблица2[Филиал])*($B$3=Таблица2[ФЕР/ТЕР])*(F87=Таблица2[Наименование работ])*(G87=Таблица2[ТПиР/НСиР])*Таблица2[ПИР2010])</f>
        <v>0</v>
      </c>
      <c r="J87" s="63">
        <f>T87*SUMPRODUCT(($B$2=Таблица2[Филиал])*($B$3=Таблица2[ФЕР/ТЕР])*(F87=Таблица2[Наименование работ])*(G87=Таблица2[ТПиР/НСиР])*Таблица2[СМР2010])</f>
        <v>0</v>
      </c>
      <c r="K87" s="63">
        <f>U87*SUMPRODUCT(($B$2=Таблица2[Филиал])*($B$3=Таблица2[ФЕР/ТЕР])*(F87=Таблица2[Наименование работ])*(G87=Таблица2[ТПиР/НСиР])*Таблица2[ПНР2010])</f>
        <v>0</v>
      </c>
      <c r="L87" s="63">
        <f>V87*SUMPRODUCT(($B$2=Таблица2[Филиал])*($B$3=Таблица2[ФЕР/ТЕР])*(F87=Таблица2[Наименование работ])*(G87=Таблица2[ТПиР/НСиР])*Таблица2[Оборудование2010])</f>
        <v>0</v>
      </c>
      <c r="M87" s="63">
        <f>W87*SUMPRODUCT(($B$2=Таблица2[Филиал])*($B$3=Таблица2[ФЕР/ТЕР])*(F87=Таблица2[Наименование работ])*(G87=Таблица2[ТПиР/НСиР])*Таблица2[Прочие2010])</f>
        <v>0</v>
      </c>
      <c r="N87" s="63">
        <f>S87*SUMPRODUCT(($B$2=Таблица2[Филиал])*($B$3=Таблица2[ФЕР/ТЕР])*(F87=Таблица2[Наименование работ])*(G87=Таблица2[ТПиР/НСиР])*Таблица2[ПИР2013-10])</f>
        <v>0</v>
      </c>
      <c r="O87" s="63">
        <f>T87*SUMPRODUCT(($B$2=Таблица2[Филиал])*($B$3=Таблица2[ФЕР/ТЕР])*(F87=Таблица2[Наименование работ])*(G87=Таблица2[ТПиР/НСиР])*Таблица2[СМР2013-10])</f>
        <v>0</v>
      </c>
      <c r="P87" s="63">
        <f>U87*SUMPRODUCT(($B$2=Таблица2[Филиал])*($B$3=Таблица2[ФЕР/ТЕР])*(F87=Таблица2[Наименование работ])*(G87=Таблица2[ТПиР/НСиР])*Таблица2[ПНР2013-10])</f>
        <v>0</v>
      </c>
      <c r="Q87" s="63">
        <f>V87*SUMPRODUCT(($B$2=Таблица2[Филиал])*($B$3=Таблица2[ФЕР/ТЕР])*(F87=Таблица2[Наименование работ])*(G87=Таблица2[ТПиР/НСиР])*Таблица2[Оборудование2013-10])</f>
        <v>0</v>
      </c>
      <c r="R87" s="63">
        <f>W87*SUMPRODUCT(($B$2=Таблица2[Филиал])*($B$3=Таблица2[ФЕР/ТЕР])*(F87=Таблица2[Наименование работ])*(G87=Таблица2[ТПиР/НСиР])*Таблица2[Прочие2013-10])</f>
        <v>0</v>
      </c>
      <c r="S87" s="63">
        <f>IF($B$4="в базовых ценах",калькулятор!J91,X87*SUMPRODUCT(($B$2=Таблица2[Филиал])*($B$3=Таблица2[ФЕР/ТЕР])*(F87=Таблица2[Наименование работ])*(G87=Таблица2[ТПиР/НСиР])/Таблица2[ПИР2013]))</f>
        <v>0</v>
      </c>
      <c r="T87" s="63">
        <f>IF($B$4="в базовых ценах",калькулятор!K91,Y87*SUMPRODUCT(($B$2=Таблица2[Филиал])*($B$3=Таблица2[ФЕР/ТЕР])*(F87=Таблица2[Наименование работ])*(G87=Таблица2[ТПиР/НСиР])/Таблица2[СМР2013]))</f>
        <v>0</v>
      </c>
      <c r="U87" s="63">
        <f>IF($B$4="в базовых ценах",калькулятор!L91,Z87*SUMPRODUCT(($B$2=Таблица2[Филиал])*($B$3=Таблица2[ФЕР/ТЕР])*(F87=Таблица2[Наименование работ])*(G87=Таблица2[ТПиР/НСиР])/Таблица2[ПНР2013]))</f>
        <v>0</v>
      </c>
      <c r="V87" s="63">
        <f>IF($B$4="в базовых ценах",калькулятор!M91,AA87*SUMPRODUCT(($B$2=Таблица2[Филиал])*($B$3=Таблица2[ФЕР/ТЕР])*(F87=Таблица2[Наименование работ])*(G87=Таблица2[ТПиР/НСиР])/Таблица2[Оборудование2013]))</f>
        <v>0</v>
      </c>
      <c r="W87" s="63">
        <f>IF($B$4="в базовых ценах",калькулятор!N91,AB87*SUMPRODUCT(($B$2=Таблица2[Филиал])*($B$3=Таблица2[ФЕР/ТЕР])*(F87=Таблица2[Наименование работ])*(G87=Таблица2[ТПиР/НСиР])/Таблица2[Прочие3]))</f>
        <v>0</v>
      </c>
      <c r="X87" s="63">
        <f>IF($B$4="в текущих ценах",калькулятор!J91,S87*SUMPRODUCT(($B$2=Таблица2[Филиал])*($B$3=Таблица2[ФЕР/ТЕР])*(F87=Таблица2[Наименование работ])*(G87=Таблица2[ТПиР/НСиР])*Таблица2[ПИР2013]))</f>
        <v>0</v>
      </c>
      <c r="Y87" s="63">
        <f>IF($B$4="в текущих ценах",калькулятор!K91,T87*SUMPRODUCT(($B$2=Таблица2[Филиал])*($B$3=Таблица2[ФЕР/ТЕР])*(F87=Таблица2[Наименование работ])*(G87=Таблица2[ТПиР/НСиР])*Таблица2[СМР2013]))</f>
        <v>0</v>
      </c>
      <c r="Z87" s="63">
        <f>IF($B$4="в текущих ценах",калькулятор!L91,U87*SUMPRODUCT(($B$2=Таблица2[Филиал])*($B$3=Таблица2[ФЕР/ТЕР])*(F87=Таблица2[Наименование работ])*(G87=Таблица2[ТПиР/НСиР])*Таблица2[ПНР2013]))</f>
        <v>0</v>
      </c>
      <c r="AA87" s="63">
        <f>IF($B$4="в текущих ценах",калькулятор!M91,V87*SUMPRODUCT(($B$2=Таблица2[Филиал])*($B$3=Таблица2[ФЕР/ТЕР])*(F87=Таблица2[Наименование работ])*(G87=Таблица2[ТПиР/НСиР])*Таблица2[Оборудование2013]))</f>
        <v>0</v>
      </c>
      <c r="AB87" s="63">
        <f>IF($B$4="в текущих ценах",калькулятор!N91,W87*SUMPRODUCT(($B$2=Таблица2[Филиал])*($B$3=Таблица2[ФЕР/ТЕР])*(F87=Таблица2[Наименование работ])*(G87=Таблица2[ТПиР/НСиР])*Таблица2[Прочие3]))</f>
        <v>0</v>
      </c>
      <c r="AC87" s="63">
        <f>SUM(данные!$I87:$M87)</f>
        <v>0</v>
      </c>
      <c r="AD87" s="63">
        <f>IF(SUM(данные!$N87:$R87)&gt;данные!$AF87,данные!$AF87*0.9*1.058,SUM(данные!$N87:$R87))</f>
        <v>0</v>
      </c>
      <c r="AE87" s="63">
        <f>SUM(данные!$S87:$W87)</f>
        <v>0</v>
      </c>
      <c r="AF87" s="63">
        <f>SUM(данные!$X87:$AB87)</f>
        <v>0</v>
      </c>
      <c r="AG87" s="63">
        <f>IF($B$4="в текущих ценах",S87*SUMPRODUCT(($B$2=Таблица2[Филиал])*($B$3=Таблица2[ФЕР/ТЕР])*(F87=Таблица2[Наименование работ])*(G87=Таблица2[ТПиР/НСиР])*Таблица2[ПИР2012]),S87*SUMPRODUCT(($B$2=Таблица2[Филиал])*($B$3=Таблица2[ФЕР/ТЕР])*(F87=Таблица2[Наименование работ])*(G87=Таблица2[ТПиР/НСиР])*Таблица2[ПИР2012]))</f>
        <v>0</v>
      </c>
      <c r="AH87" s="63">
        <f>IF($B$4="в текущих ценах",T87*SUMPRODUCT(($B$2=Таблица2[Филиал])*($B$3=Таблица2[ФЕР/ТЕР])*(F87=Таблица2[Наименование работ])*(G87=Таблица2[ТПиР/НСиР])*Таблица2[СМР2012]),T87*SUMPRODUCT(($B$2=Таблица2[Филиал])*($B$3=Таблица2[ФЕР/ТЕР])*(F87=Таблица2[Наименование работ])*(G87=Таблица2[ТПиР/НСиР])*Таблица2[СМР2012]))</f>
        <v>0</v>
      </c>
      <c r="AI87" s="63">
        <f>IF($B$4="в текущих ценах",U87*SUMPRODUCT(($B$2=Таблица2[Филиал])*($B$3=Таблица2[ФЕР/ТЕР])*(F87=Таблица2[Наименование работ])*(G87=Таблица2[ТПиР/НСиР])*Таблица2[ПНР2012]),U87*SUMPRODUCT(($B$2=Таблица2[Филиал])*($B$3=Таблица2[ФЕР/ТЕР])*(F87=Таблица2[Наименование работ])*(G87=Таблица2[ТПиР/НСиР])*Таблица2[ПНР2012]))</f>
        <v>0</v>
      </c>
      <c r="AJ87" s="63">
        <f>IF($B$4="в текущих ценах",V87*SUMPRODUCT(($B$2=Таблица2[Филиал])*($B$3=Таблица2[ФЕР/ТЕР])*(F87=Таблица2[Наименование работ])*(G87=Таблица2[ТПиР/НСиР])*Таблица2[Оборудование2012]),V87*SUMPRODUCT(($B$2=Таблица2[Филиал])*($B$3=Таблица2[ФЕР/ТЕР])*(F87=Таблица2[Наименование работ])*(G87=Таблица2[ТПиР/НСиР])*Таблица2[Оборудование2012]))</f>
        <v>0</v>
      </c>
      <c r="AK87" s="63">
        <f>IF($B$4="в текущих ценах",W87*SUMPRODUCT(($B$2=Таблица2[Филиал])*($B$3=Таблица2[ФЕР/ТЕР])*(F87=Таблица2[Наименование работ])*(G87=Таблица2[ТПиР/НСиР])*Таблица2[Прочее2012]),W87*SUMPRODUCT(($B$2=Таблица2[Филиал])*($B$3=Таблица2[ФЕР/ТЕР])*(F87=Таблица2[Наименование работ])*(G87=Таблица2[ТПиР/НСиР])*Таблица2[Прочее2012]))</f>
        <v>0</v>
      </c>
      <c r="AL87" s="63">
        <f>данные!$X87+данные!$Y87+данные!$Z87+данные!$AA87+данные!$AB87</f>
        <v>0</v>
      </c>
      <c r="AM87" s="63">
        <v>1.03639035</v>
      </c>
      <c r="AN87" s="63">
        <v>1.0114049394</v>
      </c>
      <c r="AO87" s="63">
        <v>0.98210394336149998</v>
      </c>
      <c r="AP87" s="63">
        <v>0.93762413895893393</v>
      </c>
      <c r="AQ87" s="63"/>
      <c r="AR87" s="63"/>
      <c r="AS87" s="64"/>
      <c r="AU87" s="66">
        <f t="shared" si="6"/>
        <v>0</v>
      </c>
      <c r="AX87" s="66">
        <f t="shared" si="7"/>
        <v>0</v>
      </c>
      <c r="AY87" s="66">
        <f t="shared" si="8"/>
        <v>0</v>
      </c>
      <c r="AZ87" s="66">
        <f t="shared" si="9"/>
        <v>0</v>
      </c>
      <c r="BA87" s="66">
        <f t="shared" si="10"/>
        <v>0</v>
      </c>
      <c r="BB87" s="66">
        <f t="shared" si="11"/>
        <v>0</v>
      </c>
    </row>
    <row r="88" spans="4:54" x14ac:dyDescent="0.25">
      <c r="D88" s="62">
        <f>калькулятор!C92</f>
        <v>0</v>
      </c>
      <c r="E88" s="62">
        <f>калькулятор!F92</f>
        <v>0</v>
      </c>
      <c r="F88" s="62">
        <f>калькулятор!G92</f>
        <v>0</v>
      </c>
      <c r="G88" s="62">
        <f>калькулятор!H92</f>
        <v>0</v>
      </c>
      <c r="H88" s="62">
        <f>калькулятор!I92</f>
        <v>0</v>
      </c>
      <c r="I88" s="63">
        <f>S88*SUMPRODUCT(($B$2=Таблица2[Филиал])*($B$3=Таблица2[ФЕР/ТЕР])*(F88=Таблица2[Наименование работ])*(G88=Таблица2[ТПиР/НСиР])*Таблица2[ПИР2010])</f>
        <v>0</v>
      </c>
      <c r="J88" s="63">
        <f>T88*SUMPRODUCT(($B$2=Таблица2[Филиал])*($B$3=Таблица2[ФЕР/ТЕР])*(F88=Таблица2[Наименование работ])*(G88=Таблица2[ТПиР/НСиР])*Таблица2[СМР2010])</f>
        <v>0</v>
      </c>
      <c r="K88" s="63">
        <f>U88*SUMPRODUCT(($B$2=Таблица2[Филиал])*($B$3=Таблица2[ФЕР/ТЕР])*(F88=Таблица2[Наименование работ])*(G88=Таблица2[ТПиР/НСиР])*Таблица2[ПНР2010])</f>
        <v>0</v>
      </c>
      <c r="L88" s="63">
        <f>V88*SUMPRODUCT(($B$2=Таблица2[Филиал])*($B$3=Таблица2[ФЕР/ТЕР])*(F88=Таблица2[Наименование работ])*(G88=Таблица2[ТПиР/НСиР])*Таблица2[Оборудование2010])</f>
        <v>0</v>
      </c>
      <c r="M88" s="63">
        <f>W88*SUMPRODUCT(($B$2=Таблица2[Филиал])*($B$3=Таблица2[ФЕР/ТЕР])*(F88=Таблица2[Наименование работ])*(G88=Таблица2[ТПиР/НСиР])*Таблица2[Прочие2010])</f>
        <v>0</v>
      </c>
      <c r="N88" s="63">
        <f>S88*SUMPRODUCT(($B$2=Таблица2[Филиал])*($B$3=Таблица2[ФЕР/ТЕР])*(F88=Таблица2[Наименование работ])*(G88=Таблица2[ТПиР/НСиР])*Таблица2[ПИР2013-10])</f>
        <v>0</v>
      </c>
      <c r="O88" s="63">
        <f>T88*SUMPRODUCT(($B$2=Таблица2[Филиал])*($B$3=Таблица2[ФЕР/ТЕР])*(F88=Таблица2[Наименование работ])*(G88=Таблица2[ТПиР/НСиР])*Таблица2[СМР2013-10])</f>
        <v>0</v>
      </c>
      <c r="P88" s="63">
        <f>U88*SUMPRODUCT(($B$2=Таблица2[Филиал])*($B$3=Таблица2[ФЕР/ТЕР])*(F88=Таблица2[Наименование работ])*(G88=Таблица2[ТПиР/НСиР])*Таблица2[ПНР2013-10])</f>
        <v>0</v>
      </c>
      <c r="Q88" s="63">
        <f>V88*SUMPRODUCT(($B$2=Таблица2[Филиал])*($B$3=Таблица2[ФЕР/ТЕР])*(F88=Таблица2[Наименование работ])*(G88=Таблица2[ТПиР/НСиР])*Таблица2[Оборудование2013-10])</f>
        <v>0</v>
      </c>
      <c r="R88" s="63">
        <f>W88*SUMPRODUCT(($B$2=Таблица2[Филиал])*($B$3=Таблица2[ФЕР/ТЕР])*(F88=Таблица2[Наименование работ])*(G88=Таблица2[ТПиР/НСиР])*Таблица2[Прочие2013-10])</f>
        <v>0</v>
      </c>
      <c r="S88" s="63">
        <f>IF($B$4="в базовых ценах",калькулятор!J92,X88*SUMPRODUCT(($B$2=Таблица2[Филиал])*($B$3=Таблица2[ФЕР/ТЕР])*(F88=Таблица2[Наименование работ])*(G88=Таблица2[ТПиР/НСиР])/Таблица2[ПИР2013]))</f>
        <v>0</v>
      </c>
      <c r="T88" s="63">
        <f>IF($B$4="в базовых ценах",калькулятор!K92,Y88*SUMPRODUCT(($B$2=Таблица2[Филиал])*($B$3=Таблица2[ФЕР/ТЕР])*(F88=Таблица2[Наименование работ])*(G88=Таблица2[ТПиР/НСиР])/Таблица2[СМР2013]))</f>
        <v>0</v>
      </c>
      <c r="U88" s="63">
        <f>IF($B$4="в базовых ценах",калькулятор!L92,Z88*SUMPRODUCT(($B$2=Таблица2[Филиал])*($B$3=Таблица2[ФЕР/ТЕР])*(F88=Таблица2[Наименование работ])*(G88=Таблица2[ТПиР/НСиР])/Таблица2[ПНР2013]))</f>
        <v>0</v>
      </c>
      <c r="V88" s="63">
        <f>IF($B$4="в базовых ценах",калькулятор!M92,AA88*SUMPRODUCT(($B$2=Таблица2[Филиал])*($B$3=Таблица2[ФЕР/ТЕР])*(F88=Таблица2[Наименование работ])*(G88=Таблица2[ТПиР/НСиР])/Таблица2[Оборудование2013]))</f>
        <v>0</v>
      </c>
      <c r="W88" s="63">
        <f>IF($B$4="в базовых ценах",калькулятор!N92,AB88*SUMPRODUCT(($B$2=Таблица2[Филиал])*($B$3=Таблица2[ФЕР/ТЕР])*(F88=Таблица2[Наименование работ])*(G88=Таблица2[ТПиР/НСиР])/Таблица2[Прочие3]))</f>
        <v>0</v>
      </c>
      <c r="X88" s="63">
        <f>IF($B$4="в текущих ценах",калькулятор!J92,S88*SUMPRODUCT(($B$2=Таблица2[Филиал])*($B$3=Таблица2[ФЕР/ТЕР])*(F88=Таблица2[Наименование работ])*(G88=Таблица2[ТПиР/НСиР])*Таблица2[ПИР2013]))</f>
        <v>0</v>
      </c>
      <c r="Y88" s="63">
        <f>IF($B$4="в текущих ценах",калькулятор!K92,T88*SUMPRODUCT(($B$2=Таблица2[Филиал])*($B$3=Таблица2[ФЕР/ТЕР])*(F88=Таблица2[Наименование работ])*(G88=Таблица2[ТПиР/НСиР])*Таблица2[СМР2013]))</f>
        <v>0</v>
      </c>
      <c r="Z88" s="63">
        <f>IF($B$4="в текущих ценах",калькулятор!L92,U88*SUMPRODUCT(($B$2=Таблица2[Филиал])*($B$3=Таблица2[ФЕР/ТЕР])*(F88=Таблица2[Наименование работ])*(G88=Таблица2[ТПиР/НСиР])*Таблица2[ПНР2013]))</f>
        <v>0</v>
      </c>
      <c r="AA88" s="63">
        <f>IF($B$4="в текущих ценах",калькулятор!M92,V88*SUMPRODUCT(($B$2=Таблица2[Филиал])*($B$3=Таблица2[ФЕР/ТЕР])*(F88=Таблица2[Наименование работ])*(G88=Таблица2[ТПиР/НСиР])*Таблица2[Оборудование2013]))</f>
        <v>0</v>
      </c>
      <c r="AB88" s="63">
        <f>IF($B$4="в текущих ценах",калькулятор!N92,W88*SUMPRODUCT(($B$2=Таблица2[Филиал])*($B$3=Таблица2[ФЕР/ТЕР])*(F88=Таблица2[Наименование работ])*(G88=Таблица2[ТПиР/НСиР])*Таблица2[Прочие3]))</f>
        <v>0</v>
      </c>
      <c r="AC88" s="63">
        <f>SUM(данные!$I88:$M88)</f>
        <v>0</v>
      </c>
      <c r="AD88" s="63">
        <f>IF(SUM(данные!$N88:$R88)&gt;данные!$AF88,данные!$AF88*0.9*1.058,SUM(данные!$N88:$R88))</f>
        <v>0</v>
      </c>
      <c r="AE88" s="63">
        <f>SUM(данные!$S88:$W88)</f>
        <v>0</v>
      </c>
      <c r="AF88" s="63">
        <f>SUM(данные!$X88:$AB88)</f>
        <v>0</v>
      </c>
      <c r="AG88" s="63">
        <f>IF($B$4="в текущих ценах",S88*SUMPRODUCT(($B$2=Таблица2[Филиал])*($B$3=Таблица2[ФЕР/ТЕР])*(F88=Таблица2[Наименование работ])*(G88=Таблица2[ТПиР/НСиР])*Таблица2[ПИР2012]),S88*SUMPRODUCT(($B$2=Таблица2[Филиал])*($B$3=Таблица2[ФЕР/ТЕР])*(F88=Таблица2[Наименование работ])*(G88=Таблица2[ТПиР/НСиР])*Таблица2[ПИР2012]))</f>
        <v>0</v>
      </c>
      <c r="AH88" s="63">
        <f>IF($B$4="в текущих ценах",T88*SUMPRODUCT(($B$2=Таблица2[Филиал])*($B$3=Таблица2[ФЕР/ТЕР])*(F88=Таблица2[Наименование работ])*(G88=Таблица2[ТПиР/НСиР])*Таблица2[СМР2012]),T88*SUMPRODUCT(($B$2=Таблица2[Филиал])*($B$3=Таблица2[ФЕР/ТЕР])*(F88=Таблица2[Наименование работ])*(G88=Таблица2[ТПиР/НСиР])*Таблица2[СМР2012]))</f>
        <v>0</v>
      </c>
      <c r="AI88" s="63">
        <f>IF($B$4="в текущих ценах",U88*SUMPRODUCT(($B$2=Таблица2[Филиал])*($B$3=Таблица2[ФЕР/ТЕР])*(F88=Таблица2[Наименование работ])*(G88=Таблица2[ТПиР/НСиР])*Таблица2[ПНР2012]),U88*SUMPRODUCT(($B$2=Таблица2[Филиал])*($B$3=Таблица2[ФЕР/ТЕР])*(F88=Таблица2[Наименование работ])*(G88=Таблица2[ТПиР/НСиР])*Таблица2[ПНР2012]))</f>
        <v>0</v>
      </c>
      <c r="AJ88" s="63">
        <f>IF($B$4="в текущих ценах",V88*SUMPRODUCT(($B$2=Таблица2[Филиал])*($B$3=Таблица2[ФЕР/ТЕР])*(F88=Таблица2[Наименование работ])*(G88=Таблица2[ТПиР/НСиР])*Таблица2[Оборудование2012]),V88*SUMPRODUCT(($B$2=Таблица2[Филиал])*($B$3=Таблица2[ФЕР/ТЕР])*(F88=Таблица2[Наименование работ])*(G88=Таблица2[ТПиР/НСиР])*Таблица2[Оборудование2012]))</f>
        <v>0</v>
      </c>
      <c r="AK88" s="63">
        <f>IF($B$4="в текущих ценах",W88*SUMPRODUCT(($B$2=Таблица2[Филиал])*($B$3=Таблица2[ФЕР/ТЕР])*(F88=Таблица2[Наименование работ])*(G88=Таблица2[ТПиР/НСиР])*Таблица2[Прочее2012]),W88*SUMPRODUCT(($B$2=Таблица2[Филиал])*($B$3=Таблица2[ФЕР/ТЕР])*(F88=Таблица2[Наименование работ])*(G88=Таблица2[ТПиР/НСиР])*Таблица2[Прочее2012]))</f>
        <v>0</v>
      </c>
      <c r="AL88" s="63">
        <f>данные!$X88+данные!$Y88+данные!$Z88+данные!$AA88+данные!$AB88</f>
        <v>0</v>
      </c>
      <c r="AM88" s="63">
        <v>1.03639035</v>
      </c>
      <c r="AN88" s="63">
        <v>1.0114049394</v>
      </c>
      <c r="AO88" s="63">
        <v>0.98210394336149998</v>
      </c>
      <c r="AP88" s="63">
        <v>0.93762413895893393</v>
      </c>
      <c r="AQ88" s="63"/>
      <c r="AR88" s="63"/>
      <c r="AS88" s="64"/>
      <c r="AU88" s="66">
        <f t="shared" si="6"/>
        <v>0</v>
      </c>
      <c r="AX88" s="66">
        <f t="shared" si="7"/>
        <v>0</v>
      </c>
      <c r="AY88" s="66">
        <f t="shared" si="8"/>
        <v>0</v>
      </c>
      <c r="AZ88" s="66">
        <f t="shared" si="9"/>
        <v>0</v>
      </c>
      <c r="BA88" s="66">
        <f t="shared" si="10"/>
        <v>0</v>
      </c>
      <c r="BB88" s="66">
        <f t="shared" si="11"/>
        <v>0</v>
      </c>
    </row>
    <row r="89" spans="4:54" x14ac:dyDescent="0.25">
      <c r="D89" s="62">
        <f>калькулятор!C93</f>
        <v>0</v>
      </c>
      <c r="E89" s="62">
        <f>калькулятор!F93</f>
        <v>0</v>
      </c>
      <c r="F89" s="62">
        <f>калькулятор!G93</f>
        <v>0</v>
      </c>
      <c r="G89" s="62">
        <f>калькулятор!H93</f>
        <v>0</v>
      </c>
      <c r="H89" s="62">
        <f>калькулятор!I93</f>
        <v>0</v>
      </c>
      <c r="I89" s="63">
        <f>S89*SUMPRODUCT(($B$2=Таблица2[Филиал])*($B$3=Таблица2[ФЕР/ТЕР])*(F89=Таблица2[Наименование работ])*(G89=Таблица2[ТПиР/НСиР])*Таблица2[ПИР2010])</f>
        <v>0</v>
      </c>
      <c r="J89" s="63">
        <f>T89*SUMPRODUCT(($B$2=Таблица2[Филиал])*($B$3=Таблица2[ФЕР/ТЕР])*(F89=Таблица2[Наименование работ])*(G89=Таблица2[ТПиР/НСиР])*Таблица2[СМР2010])</f>
        <v>0</v>
      </c>
      <c r="K89" s="63">
        <f>U89*SUMPRODUCT(($B$2=Таблица2[Филиал])*($B$3=Таблица2[ФЕР/ТЕР])*(F89=Таблица2[Наименование работ])*(G89=Таблица2[ТПиР/НСиР])*Таблица2[ПНР2010])</f>
        <v>0</v>
      </c>
      <c r="L89" s="63">
        <f>V89*SUMPRODUCT(($B$2=Таблица2[Филиал])*($B$3=Таблица2[ФЕР/ТЕР])*(F89=Таблица2[Наименование работ])*(G89=Таблица2[ТПиР/НСиР])*Таблица2[Оборудование2010])</f>
        <v>0</v>
      </c>
      <c r="M89" s="63">
        <f>W89*SUMPRODUCT(($B$2=Таблица2[Филиал])*($B$3=Таблица2[ФЕР/ТЕР])*(F89=Таблица2[Наименование работ])*(G89=Таблица2[ТПиР/НСиР])*Таблица2[Прочие2010])</f>
        <v>0</v>
      </c>
      <c r="N89" s="63">
        <f>S89*SUMPRODUCT(($B$2=Таблица2[Филиал])*($B$3=Таблица2[ФЕР/ТЕР])*(F89=Таблица2[Наименование работ])*(G89=Таблица2[ТПиР/НСиР])*Таблица2[ПИР2013-10])</f>
        <v>0</v>
      </c>
      <c r="O89" s="63">
        <f>T89*SUMPRODUCT(($B$2=Таблица2[Филиал])*($B$3=Таблица2[ФЕР/ТЕР])*(F89=Таблица2[Наименование работ])*(G89=Таблица2[ТПиР/НСиР])*Таблица2[СМР2013-10])</f>
        <v>0</v>
      </c>
      <c r="P89" s="63">
        <f>U89*SUMPRODUCT(($B$2=Таблица2[Филиал])*($B$3=Таблица2[ФЕР/ТЕР])*(F89=Таблица2[Наименование работ])*(G89=Таблица2[ТПиР/НСиР])*Таблица2[ПНР2013-10])</f>
        <v>0</v>
      </c>
      <c r="Q89" s="63">
        <f>V89*SUMPRODUCT(($B$2=Таблица2[Филиал])*($B$3=Таблица2[ФЕР/ТЕР])*(F89=Таблица2[Наименование работ])*(G89=Таблица2[ТПиР/НСиР])*Таблица2[Оборудование2013-10])</f>
        <v>0</v>
      </c>
      <c r="R89" s="63">
        <f>W89*SUMPRODUCT(($B$2=Таблица2[Филиал])*($B$3=Таблица2[ФЕР/ТЕР])*(F89=Таблица2[Наименование работ])*(G89=Таблица2[ТПиР/НСиР])*Таблица2[Прочие2013-10])</f>
        <v>0</v>
      </c>
      <c r="S89" s="63">
        <f>IF($B$4="в базовых ценах",калькулятор!J93,X89*SUMPRODUCT(($B$2=Таблица2[Филиал])*($B$3=Таблица2[ФЕР/ТЕР])*(F89=Таблица2[Наименование работ])*(G89=Таблица2[ТПиР/НСиР])/Таблица2[ПИР2013]))</f>
        <v>0</v>
      </c>
      <c r="T89" s="63">
        <f>IF($B$4="в базовых ценах",калькулятор!K93,Y89*SUMPRODUCT(($B$2=Таблица2[Филиал])*($B$3=Таблица2[ФЕР/ТЕР])*(F89=Таблица2[Наименование работ])*(G89=Таблица2[ТПиР/НСиР])/Таблица2[СМР2013]))</f>
        <v>0</v>
      </c>
      <c r="U89" s="63">
        <f>IF($B$4="в базовых ценах",калькулятор!L93,Z89*SUMPRODUCT(($B$2=Таблица2[Филиал])*($B$3=Таблица2[ФЕР/ТЕР])*(F89=Таблица2[Наименование работ])*(G89=Таблица2[ТПиР/НСиР])/Таблица2[ПНР2013]))</f>
        <v>0</v>
      </c>
      <c r="V89" s="63">
        <f>IF($B$4="в базовых ценах",калькулятор!M93,AA89*SUMPRODUCT(($B$2=Таблица2[Филиал])*($B$3=Таблица2[ФЕР/ТЕР])*(F89=Таблица2[Наименование работ])*(G89=Таблица2[ТПиР/НСиР])/Таблица2[Оборудование2013]))</f>
        <v>0</v>
      </c>
      <c r="W89" s="63">
        <f>IF($B$4="в базовых ценах",калькулятор!N93,AB89*SUMPRODUCT(($B$2=Таблица2[Филиал])*($B$3=Таблица2[ФЕР/ТЕР])*(F89=Таблица2[Наименование работ])*(G89=Таблица2[ТПиР/НСиР])/Таблица2[Прочие3]))</f>
        <v>0</v>
      </c>
      <c r="X89" s="63">
        <f>IF($B$4="в текущих ценах",калькулятор!J93,S89*SUMPRODUCT(($B$2=Таблица2[Филиал])*($B$3=Таблица2[ФЕР/ТЕР])*(F89=Таблица2[Наименование работ])*(G89=Таблица2[ТПиР/НСиР])*Таблица2[ПИР2013]))</f>
        <v>0</v>
      </c>
      <c r="Y89" s="63">
        <f>IF($B$4="в текущих ценах",калькулятор!K93,T89*SUMPRODUCT(($B$2=Таблица2[Филиал])*($B$3=Таблица2[ФЕР/ТЕР])*(F89=Таблица2[Наименование работ])*(G89=Таблица2[ТПиР/НСиР])*Таблица2[СМР2013]))</f>
        <v>0</v>
      </c>
      <c r="Z89" s="63">
        <f>IF($B$4="в текущих ценах",калькулятор!L93,U89*SUMPRODUCT(($B$2=Таблица2[Филиал])*($B$3=Таблица2[ФЕР/ТЕР])*(F89=Таблица2[Наименование работ])*(G89=Таблица2[ТПиР/НСиР])*Таблица2[ПНР2013]))</f>
        <v>0</v>
      </c>
      <c r="AA89" s="63">
        <f>IF($B$4="в текущих ценах",калькулятор!M93,V89*SUMPRODUCT(($B$2=Таблица2[Филиал])*($B$3=Таблица2[ФЕР/ТЕР])*(F89=Таблица2[Наименование работ])*(G89=Таблица2[ТПиР/НСиР])*Таблица2[Оборудование2013]))</f>
        <v>0</v>
      </c>
      <c r="AB89" s="63">
        <f>IF($B$4="в текущих ценах",калькулятор!N93,W89*SUMPRODUCT(($B$2=Таблица2[Филиал])*($B$3=Таблица2[ФЕР/ТЕР])*(F89=Таблица2[Наименование работ])*(G89=Таблица2[ТПиР/НСиР])*Таблица2[Прочие3]))</f>
        <v>0</v>
      </c>
      <c r="AC89" s="63">
        <f>SUM(данные!$I89:$M89)</f>
        <v>0</v>
      </c>
      <c r="AD89" s="63">
        <f>IF(SUM(данные!$N89:$R89)&gt;данные!$AF89,данные!$AF89*0.9*1.058,SUM(данные!$N89:$R89))</f>
        <v>0</v>
      </c>
      <c r="AE89" s="63">
        <f>SUM(данные!$S89:$W89)</f>
        <v>0</v>
      </c>
      <c r="AF89" s="63">
        <f>SUM(данные!$X89:$AB89)</f>
        <v>0</v>
      </c>
      <c r="AG89" s="63">
        <f>IF($B$4="в текущих ценах",S89*SUMPRODUCT(($B$2=Таблица2[Филиал])*($B$3=Таблица2[ФЕР/ТЕР])*(F89=Таблица2[Наименование работ])*(G89=Таблица2[ТПиР/НСиР])*Таблица2[ПИР2012]),S89*SUMPRODUCT(($B$2=Таблица2[Филиал])*($B$3=Таблица2[ФЕР/ТЕР])*(F89=Таблица2[Наименование работ])*(G89=Таблица2[ТПиР/НСиР])*Таблица2[ПИР2012]))</f>
        <v>0</v>
      </c>
      <c r="AH89" s="63">
        <f>IF($B$4="в текущих ценах",T89*SUMPRODUCT(($B$2=Таблица2[Филиал])*($B$3=Таблица2[ФЕР/ТЕР])*(F89=Таблица2[Наименование работ])*(G89=Таблица2[ТПиР/НСиР])*Таблица2[СМР2012]),T89*SUMPRODUCT(($B$2=Таблица2[Филиал])*($B$3=Таблица2[ФЕР/ТЕР])*(F89=Таблица2[Наименование работ])*(G89=Таблица2[ТПиР/НСиР])*Таблица2[СМР2012]))</f>
        <v>0</v>
      </c>
      <c r="AI89" s="63">
        <f>IF($B$4="в текущих ценах",U89*SUMPRODUCT(($B$2=Таблица2[Филиал])*($B$3=Таблица2[ФЕР/ТЕР])*(F89=Таблица2[Наименование работ])*(G89=Таблица2[ТПиР/НСиР])*Таблица2[ПНР2012]),U89*SUMPRODUCT(($B$2=Таблица2[Филиал])*($B$3=Таблица2[ФЕР/ТЕР])*(F89=Таблица2[Наименование работ])*(G89=Таблица2[ТПиР/НСиР])*Таблица2[ПНР2012]))</f>
        <v>0</v>
      </c>
      <c r="AJ89" s="63">
        <f>IF($B$4="в текущих ценах",V89*SUMPRODUCT(($B$2=Таблица2[Филиал])*($B$3=Таблица2[ФЕР/ТЕР])*(F89=Таблица2[Наименование работ])*(G89=Таблица2[ТПиР/НСиР])*Таблица2[Оборудование2012]),V89*SUMPRODUCT(($B$2=Таблица2[Филиал])*($B$3=Таблица2[ФЕР/ТЕР])*(F89=Таблица2[Наименование работ])*(G89=Таблица2[ТПиР/НСиР])*Таблица2[Оборудование2012]))</f>
        <v>0</v>
      </c>
      <c r="AK89" s="63">
        <f>IF($B$4="в текущих ценах",W89*SUMPRODUCT(($B$2=Таблица2[Филиал])*($B$3=Таблица2[ФЕР/ТЕР])*(F89=Таблица2[Наименование работ])*(G89=Таблица2[ТПиР/НСиР])*Таблица2[Прочее2012]),W89*SUMPRODUCT(($B$2=Таблица2[Филиал])*($B$3=Таблица2[ФЕР/ТЕР])*(F89=Таблица2[Наименование работ])*(G89=Таблица2[ТПиР/НСиР])*Таблица2[Прочее2012]))</f>
        <v>0</v>
      </c>
      <c r="AL89" s="63">
        <f>данные!$X89+данные!$Y89+данные!$Z89+данные!$AA89+данные!$AB89</f>
        <v>0</v>
      </c>
      <c r="AM89" s="63">
        <v>1.03639035</v>
      </c>
      <c r="AN89" s="63">
        <v>1.0114049394</v>
      </c>
      <c r="AO89" s="63">
        <v>0.98210394336149998</v>
      </c>
      <c r="AP89" s="63">
        <v>0.93762413895893393</v>
      </c>
      <c r="AQ89" s="63"/>
      <c r="AR89" s="63"/>
      <c r="AS89" s="64"/>
      <c r="AU89" s="66">
        <f t="shared" si="6"/>
        <v>0</v>
      </c>
      <c r="AX89" s="66">
        <f t="shared" si="7"/>
        <v>0</v>
      </c>
      <c r="AY89" s="66">
        <f t="shared" si="8"/>
        <v>0</v>
      </c>
      <c r="AZ89" s="66">
        <f t="shared" si="9"/>
        <v>0</v>
      </c>
      <c r="BA89" s="66">
        <f t="shared" si="10"/>
        <v>0</v>
      </c>
      <c r="BB89" s="66">
        <f t="shared" si="11"/>
        <v>0</v>
      </c>
    </row>
    <row r="90" spans="4:54" x14ac:dyDescent="0.25">
      <c r="D90" s="62">
        <f>калькулятор!C94</f>
        <v>0</v>
      </c>
      <c r="E90" s="62">
        <f>калькулятор!F94</f>
        <v>0</v>
      </c>
      <c r="F90" s="62">
        <f>калькулятор!G94</f>
        <v>0</v>
      </c>
      <c r="G90" s="62">
        <f>калькулятор!H94</f>
        <v>0</v>
      </c>
      <c r="H90" s="62">
        <f>калькулятор!I94</f>
        <v>0</v>
      </c>
      <c r="I90" s="63">
        <f>S90*SUMPRODUCT(($B$2=Таблица2[Филиал])*($B$3=Таблица2[ФЕР/ТЕР])*(F90=Таблица2[Наименование работ])*(G90=Таблица2[ТПиР/НСиР])*Таблица2[ПИР2010])</f>
        <v>0</v>
      </c>
      <c r="J90" s="63">
        <f>T90*SUMPRODUCT(($B$2=Таблица2[Филиал])*($B$3=Таблица2[ФЕР/ТЕР])*(F90=Таблица2[Наименование работ])*(G90=Таблица2[ТПиР/НСиР])*Таблица2[СМР2010])</f>
        <v>0</v>
      </c>
      <c r="K90" s="63">
        <f>U90*SUMPRODUCT(($B$2=Таблица2[Филиал])*($B$3=Таблица2[ФЕР/ТЕР])*(F90=Таблица2[Наименование работ])*(G90=Таблица2[ТПиР/НСиР])*Таблица2[ПНР2010])</f>
        <v>0</v>
      </c>
      <c r="L90" s="63">
        <f>V90*SUMPRODUCT(($B$2=Таблица2[Филиал])*($B$3=Таблица2[ФЕР/ТЕР])*(F90=Таблица2[Наименование работ])*(G90=Таблица2[ТПиР/НСиР])*Таблица2[Оборудование2010])</f>
        <v>0</v>
      </c>
      <c r="M90" s="63">
        <f>W90*SUMPRODUCT(($B$2=Таблица2[Филиал])*($B$3=Таблица2[ФЕР/ТЕР])*(F90=Таблица2[Наименование работ])*(G90=Таблица2[ТПиР/НСиР])*Таблица2[Прочие2010])</f>
        <v>0</v>
      </c>
      <c r="N90" s="63">
        <f>S90*SUMPRODUCT(($B$2=Таблица2[Филиал])*($B$3=Таблица2[ФЕР/ТЕР])*(F90=Таблица2[Наименование работ])*(G90=Таблица2[ТПиР/НСиР])*Таблица2[ПИР2013-10])</f>
        <v>0</v>
      </c>
      <c r="O90" s="63">
        <f>T90*SUMPRODUCT(($B$2=Таблица2[Филиал])*($B$3=Таблица2[ФЕР/ТЕР])*(F90=Таблица2[Наименование работ])*(G90=Таблица2[ТПиР/НСиР])*Таблица2[СМР2013-10])</f>
        <v>0</v>
      </c>
      <c r="P90" s="63">
        <f>U90*SUMPRODUCT(($B$2=Таблица2[Филиал])*($B$3=Таблица2[ФЕР/ТЕР])*(F90=Таблица2[Наименование работ])*(G90=Таблица2[ТПиР/НСиР])*Таблица2[ПНР2013-10])</f>
        <v>0</v>
      </c>
      <c r="Q90" s="63">
        <f>V90*SUMPRODUCT(($B$2=Таблица2[Филиал])*($B$3=Таблица2[ФЕР/ТЕР])*(F90=Таблица2[Наименование работ])*(G90=Таблица2[ТПиР/НСиР])*Таблица2[Оборудование2013-10])</f>
        <v>0</v>
      </c>
      <c r="R90" s="63">
        <f>W90*SUMPRODUCT(($B$2=Таблица2[Филиал])*($B$3=Таблица2[ФЕР/ТЕР])*(F90=Таблица2[Наименование работ])*(G90=Таблица2[ТПиР/НСиР])*Таблица2[Прочие2013-10])</f>
        <v>0</v>
      </c>
      <c r="S90" s="63">
        <f>IF($B$4="в базовых ценах",калькулятор!J94,X90*SUMPRODUCT(($B$2=Таблица2[Филиал])*($B$3=Таблица2[ФЕР/ТЕР])*(F90=Таблица2[Наименование работ])*(G90=Таблица2[ТПиР/НСиР])/Таблица2[ПИР2013]))</f>
        <v>0</v>
      </c>
      <c r="T90" s="63">
        <f>IF($B$4="в базовых ценах",калькулятор!K94,Y90*SUMPRODUCT(($B$2=Таблица2[Филиал])*($B$3=Таблица2[ФЕР/ТЕР])*(F90=Таблица2[Наименование работ])*(G90=Таблица2[ТПиР/НСиР])/Таблица2[СМР2013]))</f>
        <v>0</v>
      </c>
      <c r="U90" s="63">
        <f>IF($B$4="в базовых ценах",калькулятор!L94,Z90*SUMPRODUCT(($B$2=Таблица2[Филиал])*($B$3=Таблица2[ФЕР/ТЕР])*(F90=Таблица2[Наименование работ])*(G90=Таблица2[ТПиР/НСиР])/Таблица2[ПНР2013]))</f>
        <v>0</v>
      </c>
      <c r="V90" s="63">
        <f>IF($B$4="в базовых ценах",калькулятор!M94,AA90*SUMPRODUCT(($B$2=Таблица2[Филиал])*($B$3=Таблица2[ФЕР/ТЕР])*(F90=Таблица2[Наименование работ])*(G90=Таблица2[ТПиР/НСиР])/Таблица2[Оборудование2013]))</f>
        <v>0</v>
      </c>
      <c r="W90" s="63">
        <f>IF($B$4="в базовых ценах",калькулятор!N94,AB90*SUMPRODUCT(($B$2=Таблица2[Филиал])*($B$3=Таблица2[ФЕР/ТЕР])*(F90=Таблица2[Наименование работ])*(G90=Таблица2[ТПиР/НСиР])/Таблица2[Прочие3]))</f>
        <v>0</v>
      </c>
      <c r="X90" s="63">
        <f>IF($B$4="в текущих ценах",калькулятор!J94,S90*SUMPRODUCT(($B$2=Таблица2[Филиал])*($B$3=Таблица2[ФЕР/ТЕР])*(F90=Таблица2[Наименование работ])*(G90=Таблица2[ТПиР/НСиР])*Таблица2[ПИР2013]))</f>
        <v>0</v>
      </c>
      <c r="Y90" s="63">
        <f>IF($B$4="в текущих ценах",калькулятор!K94,T90*SUMPRODUCT(($B$2=Таблица2[Филиал])*($B$3=Таблица2[ФЕР/ТЕР])*(F90=Таблица2[Наименование работ])*(G90=Таблица2[ТПиР/НСиР])*Таблица2[СМР2013]))</f>
        <v>0</v>
      </c>
      <c r="Z90" s="63">
        <f>IF($B$4="в текущих ценах",калькулятор!L94,U90*SUMPRODUCT(($B$2=Таблица2[Филиал])*($B$3=Таблица2[ФЕР/ТЕР])*(F90=Таблица2[Наименование работ])*(G90=Таблица2[ТПиР/НСиР])*Таблица2[ПНР2013]))</f>
        <v>0</v>
      </c>
      <c r="AA90" s="63">
        <f>IF($B$4="в текущих ценах",калькулятор!M94,V90*SUMPRODUCT(($B$2=Таблица2[Филиал])*($B$3=Таблица2[ФЕР/ТЕР])*(F90=Таблица2[Наименование работ])*(G90=Таблица2[ТПиР/НСиР])*Таблица2[Оборудование2013]))</f>
        <v>0</v>
      </c>
      <c r="AB90" s="63">
        <f>IF($B$4="в текущих ценах",калькулятор!N94,W90*SUMPRODUCT(($B$2=Таблица2[Филиал])*($B$3=Таблица2[ФЕР/ТЕР])*(F90=Таблица2[Наименование работ])*(G90=Таблица2[ТПиР/НСиР])*Таблица2[Прочие3]))</f>
        <v>0</v>
      </c>
      <c r="AC90" s="63">
        <f>SUM(данные!$I90:$M90)</f>
        <v>0</v>
      </c>
      <c r="AD90" s="63">
        <f>IF(SUM(данные!$N90:$R90)&gt;данные!$AF90,данные!$AF90*0.9*1.058,SUM(данные!$N90:$R90))</f>
        <v>0</v>
      </c>
      <c r="AE90" s="63">
        <f>SUM(данные!$S90:$W90)</f>
        <v>0</v>
      </c>
      <c r="AF90" s="63">
        <f>SUM(данные!$X90:$AB90)</f>
        <v>0</v>
      </c>
      <c r="AG90" s="63">
        <f>IF($B$4="в текущих ценах",S90*SUMPRODUCT(($B$2=Таблица2[Филиал])*($B$3=Таблица2[ФЕР/ТЕР])*(F90=Таблица2[Наименование работ])*(G90=Таблица2[ТПиР/НСиР])*Таблица2[ПИР2012]),S90*SUMPRODUCT(($B$2=Таблица2[Филиал])*($B$3=Таблица2[ФЕР/ТЕР])*(F90=Таблица2[Наименование работ])*(G90=Таблица2[ТПиР/НСиР])*Таблица2[ПИР2012]))</f>
        <v>0</v>
      </c>
      <c r="AH90" s="63">
        <f>IF($B$4="в текущих ценах",T90*SUMPRODUCT(($B$2=Таблица2[Филиал])*($B$3=Таблица2[ФЕР/ТЕР])*(F90=Таблица2[Наименование работ])*(G90=Таблица2[ТПиР/НСиР])*Таблица2[СМР2012]),T90*SUMPRODUCT(($B$2=Таблица2[Филиал])*($B$3=Таблица2[ФЕР/ТЕР])*(F90=Таблица2[Наименование работ])*(G90=Таблица2[ТПиР/НСиР])*Таблица2[СМР2012]))</f>
        <v>0</v>
      </c>
      <c r="AI90" s="63">
        <f>IF($B$4="в текущих ценах",U90*SUMPRODUCT(($B$2=Таблица2[Филиал])*($B$3=Таблица2[ФЕР/ТЕР])*(F90=Таблица2[Наименование работ])*(G90=Таблица2[ТПиР/НСиР])*Таблица2[ПНР2012]),U90*SUMPRODUCT(($B$2=Таблица2[Филиал])*($B$3=Таблица2[ФЕР/ТЕР])*(F90=Таблица2[Наименование работ])*(G90=Таблица2[ТПиР/НСиР])*Таблица2[ПНР2012]))</f>
        <v>0</v>
      </c>
      <c r="AJ90" s="63">
        <f>IF($B$4="в текущих ценах",V90*SUMPRODUCT(($B$2=Таблица2[Филиал])*($B$3=Таблица2[ФЕР/ТЕР])*(F90=Таблица2[Наименование работ])*(G90=Таблица2[ТПиР/НСиР])*Таблица2[Оборудование2012]),V90*SUMPRODUCT(($B$2=Таблица2[Филиал])*($B$3=Таблица2[ФЕР/ТЕР])*(F90=Таблица2[Наименование работ])*(G90=Таблица2[ТПиР/НСиР])*Таблица2[Оборудование2012]))</f>
        <v>0</v>
      </c>
      <c r="AK90" s="63">
        <f>IF($B$4="в текущих ценах",W90*SUMPRODUCT(($B$2=Таблица2[Филиал])*($B$3=Таблица2[ФЕР/ТЕР])*(F90=Таблица2[Наименование работ])*(G90=Таблица2[ТПиР/НСиР])*Таблица2[Прочее2012]),W90*SUMPRODUCT(($B$2=Таблица2[Филиал])*($B$3=Таблица2[ФЕР/ТЕР])*(F90=Таблица2[Наименование работ])*(G90=Таблица2[ТПиР/НСиР])*Таблица2[Прочее2012]))</f>
        <v>0</v>
      </c>
      <c r="AL90" s="63">
        <f>данные!$X90+данные!$Y90+данные!$Z90+данные!$AA90+данные!$AB90</f>
        <v>0</v>
      </c>
      <c r="AM90" s="63">
        <v>1.03639035</v>
      </c>
      <c r="AN90" s="63">
        <v>1.0114049394</v>
      </c>
      <c r="AO90" s="63">
        <v>0.98210394336149998</v>
      </c>
      <c r="AP90" s="63">
        <v>0.93762413895893393</v>
      </c>
      <c r="AQ90" s="63"/>
      <c r="AR90" s="63"/>
      <c r="AS90" s="64"/>
      <c r="AU90" s="66">
        <f t="shared" si="6"/>
        <v>0</v>
      </c>
      <c r="AX90" s="66">
        <f t="shared" si="7"/>
        <v>0</v>
      </c>
      <c r="AY90" s="66">
        <f t="shared" si="8"/>
        <v>0</v>
      </c>
      <c r="AZ90" s="66">
        <f t="shared" si="9"/>
        <v>0</v>
      </c>
      <c r="BA90" s="66">
        <f t="shared" si="10"/>
        <v>0</v>
      </c>
      <c r="BB90" s="66">
        <f t="shared" si="11"/>
        <v>0</v>
      </c>
    </row>
    <row r="91" spans="4:54" x14ac:dyDescent="0.25">
      <c r="D91" s="62">
        <f>калькулятор!C95</f>
        <v>0</v>
      </c>
      <c r="E91" s="62">
        <f>калькулятор!F95</f>
        <v>0</v>
      </c>
      <c r="F91" s="62">
        <f>калькулятор!G95</f>
        <v>0</v>
      </c>
      <c r="G91" s="62">
        <f>калькулятор!H95</f>
        <v>0</v>
      </c>
      <c r="H91" s="62">
        <f>калькулятор!I95</f>
        <v>0</v>
      </c>
      <c r="I91" s="63">
        <f>S91*SUMPRODUCT(($B$2=Таблица2[Филиал])*($B$3=Таблица2[ФЕР/ТЕР])*(F91=Таблица2[Наименование работ])*(G91=Таблица2[ТПиР/НСиР])*Таблица2[ПИР2010])</f>
        <v>0</v>
      </c>
      <c r="J91" s="63">
        <f>T91*SUMPRODUCT(($B$2=Таблица2[Филиал])*($B$3=Таблица2[ФЕР/ТЕР])*(F91=Таблица2[Наименование работ])*(G91=Таблица2[ТПиР/НСиР])*Таблица2[СМР2010])</f>
        <v>0</v>
      </c>
      <c r="K91" s="63">
        <f>U91*SUMPRODUCT(($B$2=Таблица2[Филиал])*($B$3=Таблица2[ФЕР/ТЕР])*(F91=Таблица2[Наименование работ])*(G91=Таблица2[ТПиР/НСиР])*Таблица2[ПНР2010])</f>
        <v>0</v>
      </c>
      <c r="L91" s="63">
        <f>V91*SUMPRODUCT(($B$2=Таблица2[Филиал])*($B$3=Таблица2[ФЕР/ТЕР])*(F91=Таблица2[Наименование работ])*(G91=Таблица2[ТПиР/НСиР])*Таблица2[Оборудование2010])</f>
        <v>0</v>
      </c>
      <c r="M91" s="63">
        <f>W91*SUMPRODUCT(($B$2=Таблица2[Филиал])*($B$3=Таблица2[ФЕР/ТЕР])*(F91=Таблица2[Наименование работ])*(G91=Таблица2[ТПиР/НСиР])*Таблица2[Прочие2010])</f>
        <v>0</v>
      </c>
      <c r="N91" s="63">
        <f>S91*SUMPRODUCT(($B$2=Таблица2[Филиал])*($B$3=Таблица2[ФЕР/ТЕР])*(F91=Таблица2[Наименование работ])*(G91=Таблица2[ТПиР/НСиР])*Таблица2[ПИР2013-10])</f>
        <v>0</v>
      </c>
      <c r="O91" s="63">
        <f>T91*SUMPRODUCT(($B$2=Таблица2[Филиал])*($B$3=Таблица2[ФЕР/ТЕР])*(F91=Таблица2[Наименование работ])*(G91=Таблица2[ТПиР/НСиР])*Таблица2[СМР2013-10])</f>
        <v>0</v>
      </c>
      <c r="P91" s="63">
        <f>U91*SUMPRODUCT(($B$2=Таблица2[Филиал])*($B$3=Таблица2[ФЕР/ТЕР])*(F91=Таблица2[Наименование работ])*(G91=Таблица2[ТПиР/НСиР])*Таблица2[ПНР2013-10])</f>
        <v>0</v>
      </c>
      <c r="Q91" s="63">
        <f>V91*SUMPRODUCT(($B$2=Таблица2[Филиал])*($B$3=Таблица2[ФЕР/ТЕР])*(F91=Таблица2[Наименование работ])*(G91=Таблица2[ТПиР/НСиР])*Таблица2[Оборудование2013-10])</f>
        <v>0</v>
      </c>
      <c r="R91" s="63">
        <f>W91*SUMPRODUCT(($B$2=Таблица2[Филиал])*($B$3=Таблица2[ФЕР/ТЕР])*(F91=Таблица2[Наименование работ])*(G91=Таблица2[ТПиР/НСиР])*Таблица2[Прочие2013-10])</f>
        <v>0</v>
      </c>
      <c r="S91" s="63">
        <f>IF($B$4="в базовых ценах",калькулятор!J95,X91*SUMPRODUCT(($B$2=Таблица2[Филиал])*($B$3=Таблица2[ФЕР/ТЕР])*(F91=Таблица2[Наименование работ])*(G91=Таблица2[ТПиР/НСиР])/Таблица2[ПИР2013]))</f>
        <v>0</v>
      </c>
      <c r="T91" s="63">
        <f>IF($B$4="в базовых ценах",калькулятор!K95,Y91*SUMPRODUCT(($B$2=Таблица2[Филиал])*($B$3=Таблица2[ФЕР/ТЕР])*(F91=Таблица2[Наименование работ])*(G91=Таблица2[ТПиР/НСиР])/Таблица2[СМР2013]))</f>
        <v>0</v>
      </c>
      <c r="U91" s="63">
        <f>IF($B$4="в базовых ценах",калькулятор!L95,Z91*SUMPRODUCT(($B$2=Таблица2[Филиал])*($B$3=Таблица2[ФЕР/ТЕР])*(F91=Таблица2[Наименование работ])*(G91=Таблица2[ТПиР/НСиР])/Таблица2[ПНР2013]))</f>
        <v>0</v>
      </c>
      <c r="V91" s="63">
        <f>IF($B$4="в базовых ценах",калькулятор!M95,AA91*SUMPRODUCT(($B$2=Таблица2[Филиал])*($B$3=Таблица2[ФЕР/ТЕР])*(F91=Таблица2[Наименование работ])*(G91=Таблица2[ТПиР/НСиР])/Таблица2[Оборудование2013]))</f>
        <v>0</v>
      </c>
      <c r="W91" s="63">
        <f>IF($B$4="в базовых ценах",калькулятор!N95,AB91*SUMPRODUCT(($B$2=Таблица2[Филиал])*($B$3=Таблица2[ФЕР/ТЕР])*(F91=Таблица2[Наименование работ])*(G91=Таблица2[ТПиР/НСиР])/Таблица2[Прочие3]))</f>
        <v>0</v>
      </c>
      <c r="X91" s="63">
        <f>IF($B$4="в текущих ценах",калькулятор!J95,S91*SUMPRODUCT(($B$2=Таблица2[Филиал])*($B$3=Таблица2[ФЕР/ТЕР])*(F91=Таблица2[Наименование работ])*(G91=Таблица2[ТПиР/НСиР])*Таблица2[ПИР2013]))</f>
        <v>0</v>
      </c>
      <c r="Y91" s="63">
        <f>IF($B$4="в текущих ценах",калькулятор!K95,T91*SUMPRODUCT(($B$2=Таблица2[Филиал])*($B$3=Таблица2[ФЕР/ТЕР])*(F91=Таблица2[Наименование работ])*(G91=Таблица2[ТПиР/НСиР])*Таблица2[СМР2013]))</f>
        <v>0</v>
      </c>
      <c r="Z91" s="63">
        <f>IF($B$4="в текущих ценах",калькулятор!L95,U91*SUMPRODUCT(($B$2=Таблица2[Филиал])*($B$3=Таблица2[ФЕР/ТЕР])*(F91=Таблица2[Наименование работ])*(G91=Таблица2[ТПиР/НСиР])*Таблица2[ПНР2013]))</f>
        <v>0</v>
      </c>
      <c r="AA91" s="63">
        <f>IF($B$4="в текущих ценах",калькулятор!M95,V91*SUMPRODUCT(($B$2=Таблица2[Филиал])*($B$3=Таблица2[ФЕР/ТЕР])*(F91=Таблица2[Наименование работ])*(G91=Таблица2[ТПиР/НСиР])*Таблица2[Оборудование2013]))</f>
        <v>0</v>
      </c>
      <c r="AB91" s="63">
        <f>IF($B$4="в текущих ценах",калькулятор!N95,W91*SUMPRODUCT(($B$2=Таблица2[Филиал])*($B$3=Таблица2[ФЕР/ТЕР])*(F91=Таблица2[Наименование работ])*(G91=Таблица2[ТПиР/НСиР])*Таблица2[Прочие3]))</f>
        <v>0</v>
      </c>
      <c r="AC91" s="63">
        <f>SUM(данные!$I91:$M91)</f>
        <v>0</v>
      </c>
      <c r="AD91" s="63">
        <f>IF(SUM(данные!$N91:$R91)&gt;данные!$AF91,данные!$AF91*0.9*1.058,SUM(данные!$N91:$R91))</f>
        <v>0</v>
      </c>
      <c r="AE91" s="63">
        <f>SUM(данные!$S91:$W91)</f>
        <v>0</v>
      </c>
      <c r="AF91" s="63">
        <f>SUM(данные!$X91:$AB91)</f>
        <v>0</v>
      </c>
      <c r="AG91" s="63">
        <f>IF($B$4="в текущих ценах",S91*SUMPRODUCT(($B$2=Таблица2[Филиал])*($B$3=Таблица2[ФЕР/ТЕР])*(F91=Таблица2[Наименование работ])*(G91=Таблица2[ТПиР/НСиР])*Таблица2[ПИР2012]),S91*SUMPRODUCT(($B$2=Таблица2[Филиал])*($B$3=Таблица2[ФЕР/ТЕР])*(F91=Таблица2[Наименование работ])*(G91=Таблица2[ТПиР/НСиР])*Таблица2[ПИР2012]))</f>
        <v>0</v>
      </c>
      <c r="AH91" s="63">
        <f>IF($B$4="в текущих ценах",T91*SUMPRODUCT(($B$2=Таблица2[Филиал])*($B$3=Таблица2[ФЕР/ТЕР])*(F91=Таблица2[Наименование работ])*(G91=Таблица2[ТПиР/НСиР])*Таблица2[СМР2012]),T91*SUMPRODUCT(($B$2=Таблица2[Филиал])*($B$3=Таблица2[ФЕР/ТЕР])*(F91=Таблица2[Наименование работ])*(G91=Таблица2[ТПиР/НСиР])*Таблица2[СМР2012]))</f>
        <v>0</v>
      </c>
      <c r="AI91" s="63">
        <f>IF($B$4="в текущих ценах",U91*SUMPRODUCT(($B$2=Таблица2[Филиал])*($B$3=Таблица2[ФЕР/ТЕР])*(F91=Таблица2[Наименование работ])*(G91=Таблица2[ТПиР/НСиР])*Таблица2[ПНР2012]),U91*SUMPRODUCT(($B$2=Таблица2[Филиал])*($B$3=Таблица2[ФЕР/ТЕР])*(F91=Таблица2[Наименование работ])*(G91=Таблица2[ТПиР/НСиР])*Таблица2[ПНР2012]))</f>
        <v>0</v>
      </c>
      <c r="AJ91" s="63">
        <f>IF($B$4="в текущих ценах",V91*SUMPRODUCT(($B$2=Таблица2[Филиал])*($B$3=Таблица2[ФЕР/ТЕР])*(F91=Таблица2[Наименование работ])*(G91=Таблица2[ТПиР/НСиР])*Таблица2[Оборудование2012]),V91*SUMPRODUCT(($B$2=Таблица2[Филиал])*($B$3=Таблица2[ФЕР/ТЕР])*(F91=Таблица2[Наименование работ])*(G91=Таблица2[ТПиР/НСиР])*Таблица2[Оборудование2012]))</f>
        <v>0</v>
      </c>
      <c r="AK91" s="63">
        <f>IF($B$4="в текущих ценах",W91*SUMPRODUCT(($B$2=Таблица2[Филиал])*($B$3=Таблица2[ФЕР/ТЕР])*(F91=Таблица2[Наименование работ])*(G91=Таблица2[ТПиР/НСиР])*Таблица2[Прочее2012]),W91*SUMPRODUCT(($B$2=Таблица2[Филиал])*($B$3=Таблица2[ФЕР/ТЕР])*(F91=Таблица2[Наименование работ])*(G91=Таблица2[ТПиР/НСиР])*Таблица2[Прочее2012]))</f>
        <v>0</v>
      </c>
      <c r="AL91" s="63">
        <f>данные!$X91+данные!$Y91+данные!$Z91+данные!$AA91+данные!$AB91</f>
        <v>0</v>
      </c>
      <c r="AM91" s="63">
        <v>1.03639035</v>
      </c>
      <c r="AN91" s="63">
        <v>1.0114049394</v>
      </c>
      <c r="AO91" s="63">
        <v>0.98210394336149998</v>
      </c>
      <c r="AP91" s="63">
        <v>0.93762413895893393</v>
      </c>
      <c r="AQ91" s="63"/>
      <c r="AR91" s="63"/>
      <c r="AS91" s="64"/>
      <c r="AU91" s="66">
        <f t="shared" si="6"/>
        <v>0</v>
      </c>
      <c r="AX91" s="66">
        <f t="shared" si="7"/>
        <v>0</v>
      </c>
      <c r="AY91" s="66">
        <f t="shared" si="8"/>
        <v>0</v>
      </c>
      <c r="AZ91" s="66">
        <f t="shared" si="9"/>
        <v>0</v>
      </c>
      <c r="BA91" s="66">
        <f t="shared" si="10"/>
        <v>0</v>
      </c>
      <c r="BB91" s="66">
        <f t="shared" si="11"/>
        <v>0</v>
      </c>
    </row>
    <row r="92" spans="4:54" x14ac:dyDescent="0.25">
      <c r="D92" s="62">
        <f>калькулятор!C96</f>
        <v>0</v>
      </c>
      <c r="E92" s="62">
        <f>калькулятор!F96</f>
        <v>0</v>
      </c>
      <c r="F92" s="62">
        <f>калькулятор!G96</f>
        <v>0</v>
      </c>
      <c r="G92" s="62">
        <f>калькулятор!H96</f>
        <v>0</v>
      </c>
      <c r="H92" s="62">
        <f>калькулятор!I96</f>
        <v>0</v>
      </c>
      <c r="I92" s="63">
        <f>S92*SUMPRODUCT(($B$2=Таблица2[Филиал])*($B$3=Таблица2[ФЕР/ТЕР])*(F92=Таблица2[Наименование работ])*(G92=Таблица2[ТПиР/НСиР])*Таблица2[ПИР2010])</f>
        <v>0</v>
      </c>
      <c r="J92" s="63">
        <f>T92*SUMPRODUCT(($B$2=Таблица2[Филиал])*($B$3=Таблица2[ФЕР/ТЕР])*(F92=Таблица2[Наименование работ])*(G92=Таблица2[ТПиР/НСиР])*Таблица2[СМР2010])</f>
        <v>0</v>
      </c>
      <c r="K92" s="63">
        <f>U92*SUMPRODUCT(($B$2=Таблица2[Филиал])*($B$3=Таблица2[ФЕР/ТЕР])*(F92=Таблица2[Наименование работ])*(G92=Таблица2[ТПиР/НСиР])*Таблица2[ПНР2010])</f>
        <v>0</v>
      </c>
      <c r="L92" s="63">
        <f>V92*SUMPRODUCT(($B$2=Таблица2[Филиал])*($B$3=Таблица2[ФЕР/ТЕР])*(F92=Таблица2[Наименование работ])*(G92=Таблица2[ТПиР/НСиР])*Таблица2[Оборудование2010])</f>
        <v>0</v>
      </c>
      <c r="M92" s="63">
        <f>W92*SUMPRODUCT(($B$2=Таблица2[Филиал])*($B$3=Таблица2[ФЕР/ТЕР])*(F92=Таблица2[Наименование работ])*(G92=Таблица2[ТПиР/НСиР])*Таблица2[Прочие2010])</f>
        <v>0</v>
      </c>
      <c r="N92" s="63">
        <f>S92*SUMPRODUCT(($B$2=Таблица2[Филиал])*($B$3=Таблица2[ФЕР/ТЕР])*(F92=Таблица2[Наименование работ])*(G92=Таблица2[ТПиР/НСиР])*Таблица2[ПИР2013-10])</f>
        <v>0</v>
      </c>
      <c r="O92" s="63">
        <f>T92*SUMPRODUCT(($B$2=Таблица2[Филиал])*($B$3=Таблица2[ФЕР/ТЕР])*(F92=Таблица2[Наименование работ])*(G92=Таблица2[ТПиР/НСиР])*Таблица2[СМР2013-10])</f>
        <v>0</v>
      </c>
      <c r="P92" s="63">
        <f>U92*SUMPRODUCT(($B$2=Таблица2[Филиал])*($B$3=Таблица2[ФЕР/ТЕР])*(F92=Таблица2[Наименование работ])*(G92=Таблица2[ТПиР/НСиР])*Таблица2[ПНР2013-10])</f>
        <v>0</v>
      </c>
      <c r="Q92" s="63">
        <f>V92*SUMPRODUCT(($B$2=Таблица2[Филиал])*($B$3=Таблица2[ФЕР/ТЕР])*(F92=Таблица2[Наименование работ])*(G92=Таблица2[ТПиР/НСиР])*Таблица2[Оборудование2013-10])</f>
        <v>0</v>
      </c>
      <c r="R92" s="63">
        <f>W92*SUMPRODUCT(($B$2=Таблица2[Филиал])*($B$3=Таблица2[ФЕР/ТЕР])*(F92=Таблица2[Наименование работ])*(G92=Таблица2[ТПиР/НСиР])*Таблица2[Прочие2013-10])</f>
        <v>0</v>
      </c>
      <c r="S92" s="63">
        <f>IF($B$4="в базовых ценах",калькулятор!J96,X92*SUMPRODUCT(($B$2=Таблица2[Филиал])*($B$3=Таблица2[ФЕР/ТЕР])*(F92=Таблица2[Наименование работ])*(G92=Таблица2[ТПиР/НСиР])/Таблица2[ПИР2013]))</f>
        <v>0</v>
      </c>
      <c r="T92" s="63">
        <f>IF($B$4="в базовых ценах",калькулятор!K96,Y92*SUMPRODUCT(($B$2=Таблица2[Филиал])*($B$3=Таблица2[ФЕР/ТЕР])*(F92=Таблица2[Наименование работ])*(G92=Таблица2[ТПиР/НСиР])/Таблица2[СМР2013]))</f>
        <v>0</v>
      </c>
      <c r="U92" s="63">
        <f>IF($B$4="в базовых ценах",калькулятор!L96,Z92*SUMPRODUCT(($B$2=Таблица2[Филиал])*($B$3=Таблица2[ФЕР/ТЕР])*(F92=Таблица2[Наименование работ])*(G92=Таблица2[ТПиР/НСиР])/Таблица2[ПНР2013]))</f>
        <v>0</v>
      </c>
      <c r="V92" s="63">
        <f>IF($B$4="в базовых ценах",калькулятор!M96,AA92*SUMPRODUCT(($B$2=Таблица2[Филиал])*($B$3=Таблица2[ФЕР/ТЕР])*(F92=Таблица2[Наименование работ])*(G92=Таблица2[ТПиР/НСиР])/Таблица2[Оборудование2013]))</f>
        <v>0</v>
      </c>
      <c r="W92" s="63">
        <f>IF($B$4="в базовых ценах",калькулятор!N96,AB92*SUMPRODUCT(($B$2=Таблица2[Филиал])*($B$3=Таблица2[ФЕР/ТЕР])*(F92=Таблица2[Наименование работ])*(G92=Таблица2[ТПиР/НСиР])/Таблица2[Прочие3]))</f>
        <v>0</v>
      </c>
      <c r="X92" s="63">
        <f>IF($B$4="в текущих ценах",калькулятор!J96,S92*SUMPRODUCT(($B$2=Таблица2[Филиал])*($B$3=Таблица2[ФЕР/ТЕР])*(F92=Таблица2[Наименование работ])*(G92=Таблица2[ТПиР/НСиР])*Таблица2[ПИР2013]))</f>
        <v>0</v>
      </c>
      <c r="Y92" s="63">
        <f>IF($B$4="в текущих ценах",калькулятор!K96,T92*SUMPRODUCT(($B$2=Таблица2[Филиал])*($B$3=Таблица2[ФЕР/ТЕР])*(F92=Таблица2[Наименование работ])*(G92=Таблица2[ТПиР/НСиР])*Таблица2[СМР2013]))</f>
        <v>0</v>
      </c>
      <c r="Z92" s="63">
        <f>IF($B$4="в текущих ценах",калькулятор!L96,U92*SUMPRODUCT(($B$2=Таблица2[Филиал])*($B$3=Таблица2[ФЕР/ТЕР])*(F92=Таблица2[Наименование работ])*(G92=Таблица2[ТПиР/НСиР])*Таблица2[ПНР2013]))</f>
        <v>0</v>
      </c>
      <c r="AA92" s="63">
        <f>IF($B$4="в текущих ценах",калькулятор!M96,V92*SUMPRODUCT(($B$2=Таблица2[Филиал])*($B$3=Таблица2[ФЕР/ТЕР])*(F92=Таблица2[Наименование работ])*(G92=Таблица2[ТПиР/НСиР])*Таблица2[Оборудование2013]))</f>
        <v>0</v>
      </c>
      <c r="AB92" s="63">
        <f>IF($B$4="в текущих ценах",калькулятор!N96,W92*SUMPRODUCT(($B$2=Таблица2[Филиал])*($B$3=Таблица2[ФЕР/ТЕР])*(F92=Таблица2[Наименование работ])*(G92=Таблица2[ТПиР/НСиР])*Таблица2[Прочие3]))</f>
        <v>0</v>
      </c>
      <c r="AC92" s="63">
        <f>SUM(данные!$I92:$M92)</f>
        <v>0</v>
      </c>
      <c r="AD92" s="63">
        <f>IF(SUM(данные!$N92:$R92)&gt;данные!$AF92,данные!$AF92*0.9*1.058,SUM(данные!$N92:$R92))</f>
        <v>0</v>
      </c>
      <c r="AE92" s="63">
        <f>SUM(данные!$S92:$W92)</f>
        <v>0</v>
      </c>
      <c r="AF92" s="63">
        <f>SUM(данные!$X92:$AB92)</f>
        <v>0</v>
      </c>
      <c r="AG92" s="63">
        <f>IF($B$4="в текущих ценах",S92*SUMPRODUCT(($B$2=Таблица2[Филиал])*($B$3=Таблица2[ФЕР/ТЕР])*(F92=Таблица2[Наименование работ])*(G92=Таблица2[ТПиР/НСиР])*Таблица2[ПИР2012]),S92*SUMPRODUCT(($B$2=Таблица2[Филиал])*($B$3=Таблица2[ФЕР/ТЕР])*(F92=Таблица2[Наименование работ])*(G92=Таблица2[ТПиР/НСиР])*Таблица2[ПИР2012]))</f>
        <v>0</v>
      </c>
      <c r="AH92" s="63">
        <f>IF($B$4="в текущих ценах",T92*SUMPRODUCT(($B$2=Таблица2[Филиал])*($B$3=Таблица2[ФЕР/ТЕР])*(F92=Таблица2[Наименование работ])*(G92=Таблица2[ТПиР/НСиР])*Таблица2[СМР2012]),T92*SUMPRODUCT(($B$2=Таблица2[Филиал])*($B$3=Таблица2[ФЕР/ТЕР])*(F92=Таблица2[Наименование работ])*(G92=Таблица2[ТПиР/НСиР])*Таблица2[СМР2012]))</f>
        <v>0</v>
      </c>
      <c r="AI92" s="63">
        <f>IF($B$4="в текущих ценах",U92*SUMPRODUCT(($B$2=Таблица2[Филиал])*($B$3=Таблица2[ФЕР/ТЕР])*(F92=Таблица2[Наименование работ])*(G92=Таблица2[ТПиР/НСиР])*Таблица2[ПНР2012]),U92*SUMPRODUCT(($B$2=Таблица2[Филиал])*($B$3=Таблица2[ФЕР/ТЕР])*(F92=Таблица2[Наименование работ])*(G92=Таблица2[ТПиР/НСиР])*Таблица2[ПНР2012]))</f>
        <v>0</v>
      </c>
      <c r="AJ92" s="63">
        <f>IF($B$4="в текущих ценах",V92*SUMPRODUCT(($B$2=Таблица2[Филиал])*($B$3=Таблица2[ФЕР/ТЕР])*(F92=Таблица2[Наименование работ])*(G92=Таблица2[ТПиР/НСиР])*Таблица2[Оборудование2012]),V92*SUMPRODUCT(($B$2=Таблица2[Филиал])*($B$3=Таблица2[ФЕР/ТЕР])*(F92=Таблица2[Наименование работ])*(G92=Таблица2[ТПиР/НСиР])*Таблица2[Оборудование2012]))</f>
        <v>0</v>
      </c>
      <c r="AK92" s="63">
        <f>IF($B$4="в текущих ценах",W92*SUMPRODUCT(($B$2=Таблица2[Филиал])*($B$3=Таблица2[ФЕР/ТЕР])*(F92=Таблица2[Наименование работ])*(G92=Таблица2[ТПиР/НСиР])*Таблица2[Прочее2012]),W92*SUMPRODUCT(($B$2=Таблица2[Филиал])*($B$3=Таблица2[ФЕР/ТЕР])*(F92=Таблица2[Наименование работ])*(G92=Таблица2[ТПиР/НСиР])*Таблица2[Прочее2012]))</f>
        <v>0</v>
      </c>
      <c r="AL92" s="63">
        <f>данные!$X92+данные!$Y92+данные!$Z92+данные!$AA92+данные!$AB92</f>
        <v>0</v>
      </c>
      <c r="AM92" s="63">
        <v>1.03639035</v>
      </c>
      <c r="AN92" s="63">
        <v>1.0114049394</v>
      </c>
      <c r="AO92" s="63">
        <v>0.98210394336149998</v>
      </c>
      <c r="AP92" s="63">
        <v>0.93762413895893393</v>
      </c>
      <c r="AQ92" s="63"/>
      <c r="AR92" s="63"/>
      <c r="AS92" s="64"/>
      <c r="AU92" s="66">
        <f t="shared" si="6"/>
        <v>0</v>
      </c>
      <c r="AX92" s="66">
        <f t="shared" si="7"/>
        <v>0</v>
      </c>
      <c r="AY92" s="66">
        <f t="shared" si="8"/>
        <v>0</v>
      </c>
      <c r="AZ92" s="66">
        <f t="shared" si="9"/>
        <v>0</v>
      </c>
      <c r="BA92" s="66">
        <f t="shared" si="10"/>
        <v>0</v>
      </c>
      <c r="BB92" s="66">
        <f t="shared" si="11"/>
        <v>0</v>
      </c>
    </row>
    <row r="93" spans="4:54" x14ac:dyDescent="0.25">
      <c r="D93" s="62">
        <f>калькулятор!C97</f>
        <v>0</v>
      </c>
      <c r="E93" s="62">
        <f>калькулятор!F97</f>
        <v>0</v>
      </c>
      <c r="F93" s="62">
        <f>калькулятор!G97</f>
        <v>0</v>
      </c>
      <c r="G93" s="62">
        <f>калькулятор!H97</f>
        <v>0</v>
      </c>
      <c r="H93" s="62">
        <f>калькулятор!I97</f>
        <v>0</v>
      </c>
      <c r="I93" s="63">
        <f>S93*SUMPRODUCT(($B$2=Таблица2[Филиал])*($B$3=Таблица2[ФЕР/ТЕР])*(F93=Таблица2[Наименование работ])*(G93=Таблица2[ТПиР/НСиР])*Таблица2[ПИР2010])</f>
        <v>0</v>
      </c>
      <c r="J93" s="63">
        <f>T93*SUMPRODUCT(($B$2=Таблица2[Филиал])*($B$3=Таблица2[ФЕР/ТЕР])*(F93=Таблица2[Наименование работ])*(G93=Таблица2[ТПиР/НСиР])*Таблица2[СМР2010])</f>
        <v>0</v>
      </c>
      <c r="K93" s="63">
        <f>U93*SUMPRODUCT(($B$2=Таблица2[Филиал])*($B$3=Таблица2[ФЕР/ТЕР])*(F93=Таблица2[Наименование работ])*(G93=Таблица2[ТПиР/НСиР])*Таблица2[ПНР2010])</f>
        <v>0</v>
      </c>
      <c r="L93" s="63">
        <f>V93*SUMPRODUCT(($B$2=Таблица2[Филиал])*($B$3=Таблица2[ФЕР/ТЕР])*(F93=Таблица2[Наименование работ])*(G93=Таблица2[ТПиР/НСиР])*Таблица2[Оборудование2010])</f>
        <v>0</v>
      </c>
      <c r="M93" s="63">
        <f>W93*SUMPRODUCT(($B$2=Таблица2[Филиал])*($B$3=Таблица2[ФЕР/ТЕР])*(F93=Таблица2[Наименование работ])*(G93=Таблица2[ТПиР/НСиР])*Таблица2[Прочие2010])</f>
        <v>0</v>
      </c>
      <c r="N93" s="63">
        <f>S93*SUMPRODUCT(($B$2=Таблица2[Филиал])*($B$3=Таблица2[ФЕР/ТЕР])*(F93=Таблица2[Наименование работ])*(G93=Таблица2[ТПиР/НСиР])*Таблица2[ПИР2013-10])</f>
        <v>0</v>
      </c>
      <c r="O93" s="63">
        <f>T93*SUMPRODUCT(($B$2=Таблица2[Филиал])*($B$3=Таблица2[ФЕР/ТЕР])*(F93=Таблица2[Наименование работ])*(G93=Таблица2[ТПиР/НСиР])*Таблица2[СМР2013-10])</f>
        <v>0</v>
      </c>
      <c r="P93" s="63">
        <f>U93*SUMPRODUCT(($B$2=Таблица2[Филиал])*($B$3=Таблица2[ФЕР/ТЕР])*(F93=Таблица2[Наименование работ])*(G93=Таблица2[ТПиР/НСиР])*Таблица2[ПНР2013-10])</f>
        <v>0</v>
      </c>
      <c r="Q93" s="63">
        <f>V93*SUMPRODUCT(($B$2=Таблица2[Филиал])*($B$3=Таблица2[ФЕР/ТЕР])*(F93=Таблица2[Наименование работ])*(G93=Таблица2[ТПиР/НСиР])*Таблица2[Оборудование2013-10])</f>
        <v>0</v>
      </c>
      <c r="R93" s="63">
        <f>W93*SUMPRODUCT(($B$2=Таблица2[Филиал])*($B$3=Таблица2[ФЕР/ТЕР])*(F93=Таблица2[Наименование работ])*(G93=Таблица2[ТПиР/НСиР])*Таблица2[Прочие2013-10])</f>
        <v>0</v>
      </c>
      <c r="S93" s="63">
        <f>IF($B$4="в базовых ценах",калькулятор!J97,X93*SUMPRODUCT(($B$2=Таблица2[Филиал])*($B$3=Таблица2[ФЕР/ТЕР])*(F93=Таблица2[Наименование работ])*(G93=Таблица2[ТПиР/НСиР])/Таблица2[ПИР2013]))</f>
        <v>0</v>
      </c>
      <c r="T93" s="63">
        <f>IF($B$4="в базовых ценах",калькулятор!K97,Y93*SUMPRODUCT(($B$2=Таблица2[Филиал])*($B$3=Таблица2[ФЕР/ТЕР])*(F93=Таблица2[Наименование работ])*(G93=Таблица2[ТПиР/НСиР])/Таблица2[СМР2013]))</f>
        <v>0</v>
      </c>
      <c r="U93" s="63">
        <f>IF($B$4="в базовых ценах",калькулятор!L97,Z93*SUMPRODUCT(($B$2=Таблица2[Филиал])*($B$3=Таблица2[ФЕР/ТЕР])*(F93=Таблица2[Наименование работ])*(G93=Таблица2[ТПиР/НСиР])/Таблица2[ПНР2013]))</f>
        <v>0</v>
      </c>
      <c r="V93" s="63">
        <f>IF($B$4="в базовых ценах",калькулятор!M97,AA93*SUMPRODUCT(($B$2=Таблица2[Филиал])*($B$3=Таблица2[ФЕР/ТЕР])*(F93=Таблица2[Наименование работ])*(G93=Таблица2[ТПиР/НСиР])/Таблица2[Оборудование2013]))</f>
        <v>0</v>
      </c>
      <c r="W93" s="63">
        <f>IF($B$4="в базовых ценах",калькулятор!N97,AB93*SUMPRODUCT(($B$2=Таблица2[Филиал])*($B$3=Таблица2[ФЕР/ТЕР])*(F93=Таблица2[Наименование работ])*(G93=Таблица2[ТПиР/НСиР])/Таблица2[Прочие3]))</f>
        <v>0</v>
      </c>
      <c r="X93" s="63">
        <f>IF($B$4="в текущих ценах",калькулятор!J97,S93*SUMPRODUCT(($B$2=Таблица2[Филиал])*($B$3=Таблица2[ФЕР/ТЕР])*(F93=Таблица2[Наименование работ])*(G93=Таблица2[ТПиР/НСиР])*Таблица2[ПИР2013]))</f>
        <v>0</v>
      </c>
      <c r="Y93" s="63">
        <f>IF($B$4="в текущих ценах",калькулятор!K97,T93*SUMPRODUCT(($B$2=Таблица2[Филиал])*($B$3=Таблица2[ФЕР/ТЕР])*(F93=Таблица2[Наименование работ])*(G93=Таблица2[ТПиР/НСиР])*Таблица2[СМР2013]))</f>
        <v>0</v>
      </c>
      <c r="Z93" s="63">
        <f>IF($B$4="в текущих ценах",калькулятор!L97,U93*SUMPRODUCT(($B$2=Таблица2[Филиал])*($B$3=Таблица2[ФЕР/ТЕР])*(F93=Таблица2[Наименование работ])*(G93=Таблица2[ТПиР/НСиР])*Таблица2[ПНР2013]))</f>
        <v>0</v>
      </c>
      <c r="AA93" s="63">
        <f>IF($B$4="в текущих ценах",калькулятор!M97,V93*SUMPRODUCT(($B$2=Таблица2[Филиал])*($B$3=Таблица2[ФЕР/ТЕР])*(F93=Таблица2[Наименование работ])*(G93=Таблица2[ТПиР/НСиР])*Таблица2[Оборудование2013]))</f>
        <v>0</v>
      </c>
      <c r="AB93" s="63">
        <f>IF($B$4="в текущих ценах",калькулятор!N97,W93*SUMPRODUCT(($B$2=Таблица2[Филиал])*($B$3=Таблица2[ФЕР/ТЕР])*(F93=Таблица2[Наименование работ])*(G93=Таблица2[ТПиР/НСиР])*Таблица2[Прочие3]))</f>
        <v>0</v>
      </c>
      <c r="AC93" s="63">
        <f>SUM(данные!$I93:$M93)</f>
        <v>0</v>
      </c>
      <c r="AD93" s="63">
        <f>IF(SUM(данные!$N93:$R93)&gt;данные!$AF93,данные!$AF93*0.9*1.058,SUM(данные!$N93:$R93))</f>
        <v>0</v>
      </c>
      <c r="AE93" s="63">
        <f>SUM(данные!$S93:$W93)</f>
        <v>0</v>
      </c>
      <c r="AF93" s="63">
        <f>SUM(данные!$X93:$AB93)</f>
        <v>0</v>
      </c>
      <c r="AG93" s="63">
        <f>IF($B$4="в текущих ценах",S93*SUMPRODUCT(($B$2=Таблица2[Филиал])*($B$3=Таблица2[ФЕР/ТЕР])*(F93=Таблица2[Наименование работ])*(G93=Таблица2[ТПиР/НСиР])*Таблица2[ПИР2012]),S93*SUMPRODUCT(($B$2=Таблица2[Филиал])*($B$3=Таблица2[ФЕР/ТЕР])*(F93=Таблица2[Наименование работ])*(G93=Таблица2[ТПиР/НСиР])*Таблица2[ПИР2012]))</f>
        <v>0</v>
      </c>
      <c r="AH93" s="63">
        <f>IF($B$4="в текущих ценах",T93*SUMPRODUCT(($B$2=Таблица2[Филиал])*($B$3=Таблица2[ФЕР/ТЕР])*(F93=Таблица2[Наименование работ])*(G93=Таблица2[ТПиР/НСиР])*Таблица2[СМР2012]),T93*SUMPRODUCT(($B$2=Таблица2[Филиал])*($B$3=Таблица2[ФЕР/ТЕР])*(F93=Таблица2[Наименование работ])*(G93=Таблица2[ТПиР/НСиР])*Таблица2[СМР2012]))</f>
        <v>0</v>
      </c>
      <c r="AI93" s="63">
        <f>IF($B$4="в текущих ценах",U93*SUMPRODUCT(($B$2=Таблица2[Филиал])*($B$3=Таблица2[ФЕР/ТЕР])*(F93=Таблица2[Наименование работ])*(G93=Таблица2[ТПиР/НСиР])*Таблица2[ПНР2012]),U93*SUMPRODUCT(($B$2=Таблица2[Филиал])*($B$3=Таблица2[ФЕР/ТЕР])*(F93=Таблица2[Наименование работ])*(G93=Таблица2[ТПиР/НСиР])*Таблица2[ПНР2012]))</f>
        <v>0</v>
      </c>
      <c r="AJ93" s="63">
        <f>IF($B$4="в текущих ценах",V93*SUMPRODUCT(($B$2=Таблица2[Филиал])*($B$3=Таблица2[ФЕР/ТЕР])*(F93=Таблица2[Наименование работ])*(G93=Таблица2[ТПиР/НСиР])*Таблица2[Оборудование2012]),V93*SUMPRODUCT(($B$2=Таблица2[Филиал])*($B$3=Таблица2[ФЕР/ТЕР])*(F93=Таблица2[Наименование работ])*(G93=Таблица2[ТПиР/НСиР])*Таблица2[Оборудование2012]))</f>
        <v>0</v>
      </c>
      <c r="AK93" s="63">
        <f>IF($B$4="в текущих ценах",W93*SUMPRODUCT(($B$2=Таблица2[Филиал])*($B$3=Таблица2[ФЕР/ТЕР])*(F93=Таблица2[Наименование работ])*(G93=Таблица2[ТПиР/НСиР])*Таблица2[Прочее2012]),W93*SUMPRODUCT(($B$2=Таблица2[Филиал])*($B$3=Таблица2[ФЕР/ТЕР])*(F93=Таблица2[Наименование работ])*(G93=Таблица2[ТПиР/НСиР])*Таблица2[Прочее2012]))</f>
        <v>0</v>
      </c>
      <c r="AL93" s="63">
        <f>данные!$X93+данные!$Y93+данные!$Z93+данные!$AA93+данные!$AB93</f>
        <v>0</v>
      </c>
      <c r="AM93" s="63">
        <v>1.03639035</v>
      </c>
      <c r="AN93" s="63">
        <v>1.0114049394</v>
      </c>
      <c r="AO93" s="63">
        <v>0.98210394336149998</v>
      </c>
      <c r="AP93" s="63">
        <v>0.93762413895893393</v>
      </c>
      <c r="AQ93" s="63"/>
      <c r="AR93" s="63"/>
      <c r="AS93" s="64"/>
      <c r="AU93" s="66">
        <f t="shared" si="6"/>
        <v>0</v>
      </c>
      <c r="AX93" s="66">
        <f t="shared" si="7"/>
        <v>0</v>
      </c>
      <c r="AY93" s="66">
        <f t="shared" si="8"/>
        <v>0</v>
      </c>
      <c r="AZ93" s="66">
        <f t="shared" si="9"/>
        <v>0</v>
      </c>
      <c r="BA93" s="66">
        <f t="shared" si="10"/>
        <v>0</v>
      </c>
      <c r="BB93" s="66">
        <f t="shared" si="11"/>
        <v>0</v>
      </c>
    </row>
    <row r="94" spans="4:54" x14ac:dyDescent="0.25">
      <c r="D94" s="62">
        <f>калькулятор!C98</f>
        <v>0</v>
      </c>
      <c r="E94" s="62">
        <f>калькулятор!F98</f>
        <v>0</v>
      </c>
      <c r="F94" s="62">
        <f>калькулятор!G98</f>
        <v>0</v>
      </c>
      <c r="G94" s="62">
        <f>калькулятор!H98</f>
        <v>0</v>
      </c>
      <c r="H94" s="62">
        <f>калькулятор!I98</f>
        <v>0</v>
      </c>
      <c r="I94" s="63">
        <f>S94*SUMPRODUCT(($B$2=Таблица2[Филиал])*($B$3=Таблица2[ФЕР/ТЕР])*(F94=Таблица2[Наименование работ])*(G94=Таблица2[ТПиР/НСиР])*Таблица2[ПИР2010])</f>
        <v>0</v>
      </c>
      <c r="J94" s="63">
        <f>T94*SUMPRODUCT(($B$2=Таблица2[Филиал])*($B$3=Таблица2[ФЕР/ТЕР])*(F94=Таблица2[Наименование работ])*(G94=Таблица2[ТПиР/НСиР])*Таблица2[СМР2010])</f>
        <v>0</v>
      </c>
      <c r="K94" s="63">
        <f>U94*SUMPRODUCT(($B$2=Таблица2[Филиал])*($B$3=Таблица2[ФЕР/ТЕР])*(F94=Таблица2[Наименование работ])*(G94=Таблица2[ТПиР/НСиР])*Таблица2[ПНР2010])</f>
        <v>0</v>
      </c>
      <c r="L94" s="63">
        <f>V94*SUMPRODUCT(($B$2=Таблица2[Филиал])*($B$3=Таблица2[ФЕР/ТЕР])*(F94=Таблица2[Наименование работ])*(G94=Таблица2[ТПиР/НСиР])*Таблица2[Оборудование2010])</f>
        <v>0</v>
      </c>
      <c r="M94" s="63">
        <f>W94*SUMPRODUCT(($B$2=Таблица2[Филиал])*($B$3=Таблица2[ФЕР/ТЕР])*(F94=Таблица2[Наименование работ])*(G94=Таблица2[ТПиР/НСиР])*Таблица2[Прочие2010])</f>
        <v>0</v>
      </c>
      <c r="N94" s="63">
        <f>S94*SUMPRODUCT(($B$2=Таблица2[Филиал])*($B$3=Таблица2[ФЕР/ТЕР])*(F94=Таблица2[Наименование работ])*(G94=Таблица2[ТПиР/НСиР])*Таблица2[ПИР2013-10])</f>
        <v>0</v>
      </c>
      <c r="O94" s="63">
        <f>T94*SUMPRODUCT(($B$2=Таблица2[Филиал])*($B$3=Таблица2[ФЕР/ТЕР])*(F94=Таблица2[Наименование работ])*(G94=Таблица2[ТПиР/НСиР])*Таблица2[СМР2013-10])</f>
        <v>0</v>
      </c>
      <c r="P94" s="63">
        <f>U94*SUMPRODUCT(($B$2=Таблица2[Филиал])*($B$3=Таблица2[ФЕР/ТЕР])*(F94=Таблица2[Наименование работ])*(G94=Таблица2[ТПиР/НСиР])*Таблица2[ПНР2013-10])</f>
        <v>0</v>
      </c>
      <c r="Q94" s="63">
        <f>V94*SUMPRODUCT(($B$2=Таблица2[Филиал])*($B$3=Таблица2[ФЕР/ТЕР])*(F94=Таблица2[Наименование работ])*(G94=Таблица2[ТПиР/НСиР])*Таблица2[Оборудование2013-10])</f>
        <v>0</v>
      </c>
      <c r="R94" s="63">
        <f>W94*SUMPRODUCT(($B$2=Таблица2[Филиал])*($B$3=Таблица2[ФЕР/ТЕР])*(F94=Таблица2[Наименование работ])*(G94=Таблица2[ТПиР/НСиР])*Таблица2[Прочие2013-10])</f>
        <v>0</v>
      </c>
      <c r="S94" s="63">
        <f>IF($B$4="в базовых ценах",калькулятор!J98,X94*SUMPRODUCT(($B$2=Таблица2[Филиал])*($B$3=Таблица2[ФЕР/ТЕР])*(F94=Таблица2[Наименование работ])*(G94=Таблица2[ТПиР/НСиР])/Таблица2[ПИР2013]))</f>
        <v>0</v>
      </c>
      <c r="T94" s="63">
        <f>IF($B$4="в базовых ценах",калькулятор!K98,Y94*SUMPRODUCT(($B$2=Таблица2[Филиал])*($B$3=Таблица2[ФЕР/ТЕР])*(F94=Таблица2[Наименование работ])*(G94=Таблица2[ТПиР/НСиР])/Таблица2[СМР2013]))</f>
        <v>0</v>
      </c>
      <c r="U94" s="63">
        <f>IF($B$4="в базовых ценах",калькулятор!L98,Z94*SUMPRODUCT(($B$2=Таблица2[Филиал])*($B$3=Таблица2[ФЕР/ТЕР])*(F94=Таблица2[Наименование работ])*(G94=Таблица2[ТПиР/НСиР])/Таблица2[ПНР2013]))</f>
        <v>0</v>
      </c>
      <c r="V94" s="63">
        <f>IF($B$4="в базовых ценах",калькулятор!M98,AA94*SUMPRODUCT(($B$2=Таблица2[Филиал])*($B$3=Таблица2[ФЕР/ТЕР])*(F94=Таблица2[Наименование работ])*(G94=Таблица2[ТПиР/НСиР])/Таблица2[Оборудование2013]))</f>
        <v>0</v>
      </c>
      <c r="W94" s="63">
        <f>IF($B$4="в базовых ценах",калькулятор!N98,AB94*SUMPRODUCT(($B$2=Таблица2[Филиал])*($B$3=Таблица2[ФЕР/ТЕР])*(F94=Таблица2[Наименование работ])*(G94=Таблица2[ТПиР/НСиР])/Таблица2[Прочие3]))</f>
        <v>0</v>
      </c>
      <c r="X94" s="63">
        <f>IF($B$4="в текущих ценах",калькулятор!J98,S94*SUMPRODUCT(($B$2=Таблица2[Филиал])*($B$3=Таблица2[ФЕР/ТЕР])*(F94=Таблица2[Наименование работ])*(G94=Таблица2[ТПиР/НСиР])*Таблица2[ПИР2013]))</f>
        <v>0</v>
      </c>
      <c r="Y94" s="63">
        <f>IF($B$4="в текущих ценах",калькулятор!K98,T94*SUMPRODUCT(($B$2=Таблица2[Филиал])*($B$3=Таблица2[ФЕР/ТЕР])*(F94=Таблица2[Наименование работ])*(G94=Таблица2[ТПиР/НСиР])*Таблица2[СМР2013]))</f>
        <v>0</v>
      </c>
      <c r="Z94" s="63">
        <f>IF($B$4="в текущих ценах",калькулятор!L98,U94*SUMPRODUCT(($B$2=Таблица2[Филиал])*($B$3=Таблица2[ФЕР/ТЕР])*(F94=Таблица2[Наименование работ])*(G94=Таблица2[ТПиР/НСиР])*Таблица2[ПНР2013]))</f>
        <v>0</v>
      </c>
      <c r="AA94" s="63">
        <f>IF($B$4="в текущих ценах",калькулятор!M98,V94*SUMPRODUCT(($B$2=Таблица2[Филиал])*($B$3=Таблица2[ФЕР/ТЕР])*(F94=Таблица2[Наименование работ])*(G94=Таблица2[ТПиР/НСиР])*Таблица2[Оборудование2013]))</f>
        <v>0</v>
      </c>
      <c r="AB94" s="63">
        <f>IF($B$4="в текущих ценах",калькулятор!N98,W94*SUMPRODUCT(($B$2=Таблица2[Филиал])*($B$3=Таблица2[ФЕР/ТЕР])*(F94=Таблица2[Наименование работ])*(G94=Таблица2[ТПиР/НСиР])*Таблица2[Прочие3]))</f>
        <v>0</v>
      </c>
      <c r="AC94" s="63">
        <f>SUM(данные!$I94:$M94)</f>
        <v>0</v>
      </c>
      <c r="AD94" s="63">
        <f>IF(SUM(данные!$N94:$R94)&gt;данные!$AF94,данные!$AF94*0.9*1.058,SUM(данные!$N94:$R94))</f>
        <v>0</v>
      </c>
      <c r="AE94" s="63">
        <f>SUM(данные!$S94:$W94)</f>
        <v>0</v>
      </c>
      <c r="AF94" s="63">
        <f>SUM(данные!$X94:$AB94)</f>
        <v>0</v>
      </c>
      <c r="AG94" s="63">
        <f>IF($B$4="в текущих ценах",S94*SUMPRODUCT(($B$2=Таблица2[Филиал])*($B$3=Таблица2[ФЕР/ТЕР])*(F94=Таблица2[Наименование работ])*(G94=Таблица2[ТПиР/НСиР])*Таблица2[ПИР2012]),S94*SUMPRODUCT(($B$2=Таблица2[Филиал])*($B$3=Таблица2[ФЕР/ТЕР])*(F94=Таблица2[Наименование работ])*(G94=Таблица2[ТПиР/НСиР])*Таблица2[ПИР2012]))</f>
        <v>0</v>
      </c>
      <c r="AH94" s="63">
        <f>IF($B$4="в текущих ценах",T94*SUMPRODUCT(($B$2=Таблица2[Филиал])*($B$3=Таблица2[ФЕР/ТЕР])*(F94=Таблица2[Наименование работ])*(G94=Таблица2[ТПиР/НСиР])*Таблица2[СМР2012]),T94*SUMPRODUCT(($B$2=Таблица2[Филиал])*($B$3=Таблица2[ФЕР/ТЕР])*(F94=Таблица2[Наименование работ])*(G94=Таблица2[ТПиР/НСиР])*Таблица2[СМР2012]))</f>
        <v>0</v>
      </c>
      <c r="AI94" s="63">
        <f>IF($B$4="в текущих ценах",U94*SUMPRODUCT(($B$2=Таблица2[Филиал])*($B$3=Таблица2[ФЕР/ТЕР])*(F94=Таблица2[Наименование работ])*(G94=Таблица2[ТПиР/НСиР])*Таблица2[ПНР2012]),U94*SUMPRODUCT(($B$2=Таблица2[Филиал])*($B$3=Таблица2[ФЕР/ТЕР])*(F94=Таблица2[Наименование работ])*(G94=Таблица2[ТПиР/НСиР])*Таблица2[ПНР2012]))</f>
        <v>0</v>
      </c>
      <c r="AJ94" s="63">
        <f>IF($B$4="в текущих ценах",V94*SUMPRODUCT(($B$2=Таблица2[Филиал])*($B$3=Таблица2[ФЕР/ТЕР])*(F94=Таблица2[Наименование работ])*(G94=Таблица2[ТПиР/НСиР])*Таблица2[Оборудование2012]),V94*SUMPRODUCT(($B$2=Таблица2[Филиал])*($B$3=Таблица2[ФЕР/ТЕР])*(F94=Таблица2[Наименование работ])*(G94=Таблица2[ТПиР/НСиР])*Таблица2[Оборудование2012]))</f>
        <v>0</v>
      </c>
      <c r="AK94" s="63">
        <f>IF($B$4="в текущих ценах",W94*SUMPRODUCT(($B$2=Таблица2[Филиал])*($B$3=Таблица2[ФЕР/ТЕР])*(F94=Таблица2[Наименование работ])*(G94=Таблица2[ТПиР/НСиР])*Таблица2[Прочее2012]),W94*SUMPRODUCT(($B$2=Таблица2[Филиал])*($B$3=Таблица2[ФЕР/ТЕР])*(F94=Таблица2[Наименование работ])*(G94=Таблица2[ТПиР/НСиР])*Таблица2[Прочее2012]))</f>
        <v>0</v>
      </c>
      <c r="AL94" s="63">
        <f>данные!$X94+данные!$Y94+данные!$Z94+данные!$AA94+данные!$AB94</f>
        <v>0</v>
      </c>
      <c r="AM94" s="63">
        <v>1.03639035</v>
      </c>
      <c r="AN94" s="63">
        <v>1.0114049394</v>
      </c>
      <c r="AO94" s="63">
        <v>0.98210394336149998</v>
      </c>
      <c r="AP94" s="63">
        <v>0.93762413895893393</v>
      </c>
      <c r="AQ94" s="63"/>
      <c r="AR94" s="63"/>
      <c r="AS94" s="64"/>
      <c r="AU94" s="66">
        <f t="shared" si="6"/>
        <v>0</v>
      </c>
      <c r="AX94" s="66">
        <f t="shared" si="7"/>
        <v>0</v>
      </c>
      <c r="AY94" s="66">
        <f t="shared" si="8"/>
        <v>0</v>
      </c>
      <c r="AZ94" s="66">
        <f t="shared" si="9"/>
        <v>0</v>
      </c>
      <c r="BA94" s="66">
        <f t="shared" si="10"/>
        <v>0</v>
      </c>
      <c r="BB94" s="66">
        <f t="shared" si="11"/>
        <v>0</v>
      </c>
    </row>
    <row r="95" spans="4:54" x14ac:dyDescent="0.25">
      <c r="D95" s="62">
        <f>калькулятор!C99</f>
        <v>0</v>
      </c>
      <c r="E95" s="62">
        <f>калькулятор!F99</f>
        <v>0</v>
      </c>
      <c r="F95" s="62">
        <f>калькулятор!G99</f>
        <v>0</v>
      </c>
      <c r="G95" s="62">
        <f>калькулятор!H99</f>
        <v>0</v>
      </c>
      <c r="H95" s="62">
        <f>калькулятор!I99</f>
        <v>0</v>
      </c>
      <c r="I95" s="63">
        <f>S95*SUMPRODUCT(($B$2=Таблица2[Филиал])*($B$3=Таблица2[ФЕР/ТЕР])*(F95=Таблица2[Наименование работ])*(G95=Таблица2[ТПиР/НСиР])*Таблица2[ПИР2010])</f>
        <v>0</v>
      </c>
      <c r="J95" s="63">
        <f>T95*SUMPRODUCT(($B$2=Таблица2[Филиал])*($B$3=Таблица2[ФЕР/ТЕР])*(F95=Таблица2[Наименование работ])*(G95=Таблица2[ТПиР/НСиР])*Таблица2[СМР2010])</f>
        <v>0</v>
      </c>
      <c r="K95" s="63">
        <f>U95*SUMPRODUCT(($B$2=Таблица2[Филиал])*($B$3=Таблица2[ФЕР/ТЕР])*(F95=Таблица2[Наименование работ])*(G95=Таблица2[ТПиР/НСиР])*Таблица2[ПНР2010])</f>
        <v>0</v>
      </c>
      <c r="L95" s="63">
        <f>V95*SUMPRODUCT(($B$2=Таблица2[Филиал])*($B$3=Таблица2[ФЕР/ТЕР])*(F95=Таблица2[Наименование работ])*(G95=Таблица2[ТПиР/НСиР])*Таблица2[Оборудование2010])</f>
        <v>0</v>
      </c>
      <c r="M95" s="63">
        <f>W95*SUMPRODUCT(($B$2=Таблица2[Филиал])*($B$3=Таблица2[ФЕР/ТЕР])*(F95=Таблица2[Наименование работ])*(G95=Таблица2[ТПиР/НСиР])*Таблица2[Прочие2010])</f>
        <v>0</v>
      </c>
      <c r="N95" s="63">
        <f>S95*SUMPRODUCT(($B$2=Таблица2[Филиал])*($B$3=Таблица2[ФЕР/ТЕР])*(F95=Таблица2[Наименование работ])*(G95=Таблица2[ТПиР/НСиР])*Таблица2[ПИР2013-10])</f>
        <v>0</v>
      </c>
      <c r="O95" s="63">
        <f>T95*SUMPRODUCT(($B$2=Таблица2[Филиал])*($B$3=Таблица2[ФЕР/ТЕР])*(F95=Таблица2[Наименование работ])*(G95=Таблица2[ТПиР/НСиР])*Таблица2[СМР2013-10])</f>
        <v>0</v>
      </c>
      <c r="P95" s="63">
        <f>U95*SUMPRODUCT(($B$2=Таблица2[Филиал])*($B$3=Таблица2[ФЕР/ТЕР])*(F95=Таблица2[Наименование работ])*(G95=Таблица2[ТПиР/НСиР])*Таблица2[ПНР2013-10])</f>
        <v>0</v>
      </c>
      <c r="Q95" s="63">
        <f>V95*SUMPRODUCT(($B$2=Таблица2[Филиал])*($B$3=Таблица2[ФЕР/ТЕР])*(F95=Таблица2[Наименование работ])*(G95=Таблица2[ТПиР/НСиР])*Таблица2[Оборудование2013-10])</f>
        <v>0</v>
      </c>
      <c r="R95" s="63">
        <f>W95*SUMPRODUCT(($B$2=Таблица2[Филиал])*($B$3=Таблица2[ФЕР/ТЕР])*(F95=Таблица2[Наименование работ])*(G95=Таблица2[ТПиР/НСиР])*Таблица2[Прочие2013-10])</f>
        <v>0</v>
      </c>
      <c r="S95" s="63">
        <f>IF($B$4="в базовых ценах",калькулятор!J99,X95*SUMPRODUCT(($B$2=Таблица2[Филиал])*($B$3=Таблица2[ФЕР/ТЕР])*(F95=Таблица2[Наименование работ])*(G95=Таблица2[ТПиР/НСиР])/Таблица2[ПИР2013]))</f>
        <v>0</v>
      </c>
      <c r="T95" s="63">
        <f>IF($B$4="в базовых ценах",калькулятор!K99,Y95*SUMPRODUCT(($B$2=Таблица2[Филиал])*($B$3=Таблица2[ФЕР/ТЕР])*(F95=Таблица2[Наименование работ])*(G95=Таблица2[ТПиР/НСиР])/Таблица2[СМР2013]))</f>
        <v>0</v>
      </c>
      <c r="U95" s="63">
        <f>IF($B$4="в базовых ценах",калькулятор!L99,Z95*SUMPRODUCT(($B$2=Таблица2[Филиал])*($B$3=Таблица2[ФЕР/ТЕР])*(F95=Таблица2[Наименование работ])*(G95=Таблица2[ТПиР/НСиР])/Таблица2[ПНР2013]))</f>
        <v>0</v>
      </c>
      <c r="V95" s="63">
        <f>IF($B$4="в базовых ценах",калькулятор!M99,AA95*SUMPRODUCT(($B$2=Таблица2[Филиал])*($B$3=Таблица2[ФЕР/ТЕР])*(F95=Таблица2[Наименование работ])*(G95=Таблица2[ТПиР/НСиР])/Таблица2[Оборудование2013]))</f>
        <v>0</v>
      </c>
      <c r="W95" s="63">
        <f>IF($B$4="в базовых ценах",калькулятор!N99,AB95*SUMPRODUCT(($B$2=Таблица2[Филиал])*($B$3=Таблица2[ФЕР/ТЕР])*(F95=Таблица2[Наименование работ])*(G95=Таблица2[ТПиР/НСиР])/Таблица2[Прочие3]))</f>
        <v>0</v>
      </c>
      <c r="X95" s="63">
        <f>IF($B$4="в текущих ценах",калькулятор!J99,S95*SUMPRODUCT(($B$2=Таблица2[Филиал])*($B$3=Таблица2[ФЕР/ТЕР])*(F95=Таблица2[Наименование работ])*(G95=Таблица2[ТПиР/НСиР])*Таблица2[ПИР2013]))</f>
        <v>0</v>
      </c>
      <c r="Y95" s="63">
        <f>IF($B$4="в текущих ценах",калькулятор!K99,T95*SUMPRODUCT(($B$2=Таблица2[Филиал])*($B$3=Таблица2[ФЕР/ТЕР])*(F95=Таблица2[Наименование работ])*(G95=Таблица2[ТПиР/НСиР])*Таблица2[СМР2013]))</f>
        <v>0</v>
      </c>
      <c r="Z95" s="63">
        <f>IF($B$4="в текущих ценах",калькулятор!L99,U95*SUMPRODUCT(($B$2=Таблица2[Филиал])*($B$3=Таблица2[ФЕР/ТЕР])*(F95=Таблица2[Наименование работ])*(G95=Таблица2[ТПиР/НСиР])*Таблица2[ПНР2013]))</f>
        <v>0</v>
      </c>
      <c r="AA95" s="63">
        <f>IF($B$4="в текущих ценах",калькулятор!M99,V95*SUMPRODUCT(($B$2=Таблица2[Филиал])*($B$3=Таблица2[ФЕР/ТЕР])*(F95=Таблица2[Наименование работ])*(G95=Таблица2[ТПиР/НСиР])*Таблица2[Оборудование2013]))</f>
        <v>0</v>
      </c>
      <c r="AB95" s="63">
        <f>IF($B$4="в текущих ценах",калькулятор!N99,W95*SUMPRODUCT(($B$2=Таблица2[Филиал])*($B$3=Таблица2[ФЕР/ТЕР])*(F95=Таблица2[Наименование работ])*(G95=Таблица2[ТПиР/НСиР])*Таблица2[Прочие3]))</f>
        <v>0</v>
      </c>
      <c r="AC95" s="63">
        <f>SUM(данные!$I95:$M95)</f>
        <v>0</v>
      </c>
      <c r="AD95" s="63">
        <f>IF(SUM(данные!$N95:$R95)&gt;данные!$AF95,данные!$AF95*0.9*1.058,SUM(данные!$N95:$R95))</f>
        <v>0</v>
      </c>
      <c r="AE95" s="63">
        <f>SUM(данные!$S95:$W95)</f>
        <v>0</v>
      </c>
      <c r="AF95" s="63">
        <f>SUM(данные!$X95:$AB95)</f>
        <v>0</v>
      </c>
      <c r="AG95" s="63">
        <f>IF($B$4="в текущих ценах",S95*SUMPRODUCT(($B$2=Таблица2[Филиал])*($B$3=Таблица2[ФЕР/ТЕР])*(F95=Таблица2[Наименование работ])*(G95=Таблица2[ТПиР/НСиР])*Таблица2[ПИР2012]),S95*SUMPRODUCT(($B$2=Таблица2[Филиал])*($B$3=Таблица2[ФЕР/ТЕР])*(F95=Таблица2[Наименование работ])*(G95=Таблица2[ТПиР/НСиР])*Таблица2[ПИР2012]))</f>
        <v>0</v>
      </c>
      <c r="AH95" s="63">
        <f>IF($B$4="в текущих ценах",T95*SUMPRODUCT(($B$2=Таблица2[Филиал])*($B$3=Таблица2[ФЕР/ТЕР])*(F95=Таблица2[Наименование работ])*(G95=Таблица2[ТПиР/НСиР])*Таблица2[СМР2012]),T95*SUMPRODUCT(($B$2=Таблица2[Филиал])*($B$3=Таблица2[ФЕР/ТЕР])*(F95=Таблица2[Наименование работ])*(G95=Таблица2[ТПиР/НСиР])*Таблица2[СМР2012]))</f>
        <v>0</v>
      </c>
      <c r="AI95" s="63">
        <f>IF($B$4="в текущих ценах",U95*SUMPRODUCT(($B$2=Таблица2[Филиал])*($B$3=Таблица2[ФЕР/ТЕР])*(F95=Таблица2[Наименование работ])*(G95=Таблица2[ТПиР/НСиР])*Таблица2[ПНР2012]),U95*SUMPRODUCT(($B$2=Таблица2[Филиал])*($B$3=Таблица2[ФЕР/ТЕР])*(F95=Таблица2[Наименование работ])*(G95=Таблица2[ТПиР/НСиР])*Таблица2[ПНР2012]))</f>
        <v>0</v>
      </c>
      <c r="AJ95" s="63">
        <f>IF($B$4="в текущих ценах",V95*SUMPRODUCT(($B$2=Таблица2[Филиал])*($B$3=Таблица2[ФЕР/ТЕР])*(F95=Таблица2[Наименование работ])*(G95=Таблица2[ТПиР/НСиР])*Таблица2[Оборудование2012]),V95*SUMPRODUCT(($B$2=Таблица2[Филиал])*($B$3=Таблица2[ФЕР/ТЕР])*(F95=Таблица2[Наименование работ])*(G95=Таблица2[ТПиР/НСиР])*Таблица2[Оборудование2012]))</f>
        <v>0</v>
      </c>
      <c r="AK95" s="63">
        <f>IF($B$4="в текущих ценах",W95*SUMPRODUCT(($B$2=Таблица2[Филиал])*($B$3=Таблица2[ФЕР/ТЕР])*(F95=Таблица2[Наименование работ])*(G95=Таблица2[ТПиР/НСиР])*Таблица2[Прочее2012]),W95*SUMPRODUCT(($B$2=Таблица2[Филиал])*($B$3=Таблица2[ФЕР/ТЕР])*(F95=Таблица2[Наименование работ])*(G95=Таблица2[ТПиР/НСиР])*Таблица2[Прочее2012]))</f>
        <v>0</v>
      </c>
      <c r="AL95" s="63">
        <f>данные!$X95+данные!$Y95+данные!$Z95+данные!$AA95+данные!$AB95</f>
        <v>0</v>
      </c>
      <c r="AM95" s="63">
        <v>1.03639035</v>
      </c>
      <c r="AN95" s="63">
        <v>1.0114049394</v>
      </c>
      <c r="AO95" s="63">
        <v>0.98210394336149998</v>
      </c>
      <c r="AP95" s="63">
        <v>0.93762413895893393</v>
      </c>
      <c r="AQ95" s="63"/>
      <c r="AR95" s="63"/>
      <c r="AS95" s="64"/>
      <c r="AU95" s="66">
        <f t="shared" si="6"/>
        <v>0</v>
      </c>
      <c r="AX95" s="66">
        <f t="shared" si="7"/>
        <v>0</v>
      </c>
      <c r="AY95" s="66">
        <f t="shared" si="8"/>
        <v>0</v>
      </c>
      <c r="AZ95" s="66">
        <f t="shared" si="9"/>
        <v>0</v>
      </c>
      <c r="BA95" s="66">
        <f t="shared" si="10"/>
        <v>0</v>
      </c>
      <c r="BB95" s="66">
        <f t="shared" si="11"/>
        <v>0</v>
      </c>
    </row>
    <row r="96" spans="4:54" x14ac:dyDescent="0.25">
      <c r="D96" s="62">
        <f>калькулятор!C100</f>
        <v>0</v>
      </c>
      <c r="E96" s="62">
        <f>калькулятор!F100</f>
        <v>0</v>
      </c>
      <c r="F96" s="62">
        <f>калькулятор!G100</f>
        <v>0</v>
      </c>
      <c r="G96" s="62">
        <f>калькулятор!H100</f>
        <v>0</v>
      </c>
      <c r="H96" s="62">
        <f>калькулятор!I100</f>
        <v>0</v>
      </c>
      <c r="I96" s="63">
        <f>S96*SUMPRODUCT(($B$2=Таблица2[Филиал])*($B$3=Таблица2[ФЕР/ТЕР])*(F96=Таблица2[Наименование работ])*(G96=Таблица2[ТПиР/НСиР])*Таблица2[ПИР2010])</f>
        <v>0</v>
      </c>
      <c r="J96" s="63">
        <f>T96*SUMPRODUCT(($B$2=Таблица2[Филиал])*($B$3=Таблица2[ФЕР/ТЕР])*(F96=Таблица2[Наименование работ])*(G96=Таблица2[ТПиР/НСиР])*Таблица2[СМР2010])</f>
        <v>0</v>
      </c>
      <c r="K96" s="63">
        <f>U96*SUMPRODUCT(($B$2=Таблица2[Филиал])*($B$3=Таблица2[ФЕР/ТЕР])*(F96=Таблица2[Наименование работ])*(G96=Таблица2[ТПиР/НСиР])*Таблица2[ПНР2010])</f>
        <v>0</v>
      </c>
      <c r="L96" s="63">
        <f>V96*SUMPRODUCT(($B$2=Таблица2[Филиал])*($B$3=Таблица2[ФЕР/ТЕР])*(F96=Таблица2[Наименование работ])*(G96=Таблица2[ТПиР/НСиР])*Таблица2[Оборудование2010])</f>
        <v>0</v>
      </c>
      <c r="M96" s="63">
        <f>W96*SUMPRODUCT(($B$2=Таблица2[Филиал])*($B$3=Таблица2[ФЕР/ТЕР])*(F96=Таблица2[Наименование работ])*(G96=Таблица2[ТПиР/НСиР])*Таблица2[Прочие2010])</f>
        <v>0</v>
      </c>
      <c r="N96" s="63">
        <f>S96*SUMPRODUCT(($B$2=Таблица2[Филиал])*($B$3=Таблица2[ФЕР/ТЕР])*(F96=Таблица2[Наименование работ])*(G96=Таблица2[ТПиР/НСиР])*Таблица2[ПИР2013-10])</f>
        <v>0</v>
      </c>
      <c r="O96" s="63">
        <f>T96*SUMPRODUCT(($B$2=Таблица2[Филиал])*($B$3=Таблица2[ФЕР/ТЕР])*(F96=Таблица2[Наименование работ])*(G96=Таблица2[ТПиР/НСиР])*Таблица2[СМР2013-10])</f>
        <v>0</v>
      </c>
      <c r="P96" s="63">
        <f>U96*SUMPRODUCT(($B$2=Таблица2[Филиал])*($B$3=Таблица2[ФЕР/ТЕР])*(F96=Таблица2[Наименование работ])*(G96=Таблица2[ТПиР/НСиР])*Таблица2[ПНР2013-10])</f>
        <v>0</v>
      </c>
      <c r="Q96" s="63">
        <f>V96*SUMPRODUCT(($B$2=Таблица2[Филиал])*($B$3=Таблица2[ФЕР/ТЕР])*(F96=Таблица2[Наименование работ])*(G96=Таблица2[ТПиР/НСиР])*Таблица2[Оборудование2013-10])</f>
        <v>0</v>
      </c>
      <c r="R96" s="63">
        <f>W96*SUMPRODUCT(($B$2=Таблица2[Филиал])*($B$3=Таблица2[ФЕР/ТЕР])*(F96=Таблица2[Наименование работ])*(G96=Таблица2[ТПиР/НСиР])*Таблица2[Прочие2013-10])</f>
        <v>0</v>
      </c>
      <c r="S96" s="63">
        <f>IF($B$4="в базовых ценах",калькулятор!J100,X96*SUMPRODUCT(($B$2=Таблица2[Филиал])*($B$3=Таблица2[ФЕР/ТЕР])*(F96=Таблица2[Наименование работ])*(G96=Таблица2[ТПиР/НСиР])/Таблица2[ПИР2013]))</f>
        <v>0</v>
      </c>
      <c r="T96" s="63">
        <f>IF($B$4="в базовых ценах",калькулятор!K100,Y96*SUMPRODUCT(($B$2=Таблица2[Филиал])*($B$3=Таблица2[ФЕР/ТЕР])*(F96=Таблица2[Наименование работ])*(G96=Таблица2[ТПиР/НСиР])/Таблица2[СМР2013]))</f>
        <v>0</v>
      </c>
      <c r="U96" s="63">
        <f>IF($B$4="в базовых ценах",калькулятор!L100,Z96*SUMPRODUCT(($B$2=Таблица2[Филиал])*($B$3=Таблица2[ФЕР/ТЕР])*(F96=Таблица2[Наименование работ])*(G96=Таблица2[ТПиР/НСиР])/Таблица2[ПНР2013]))</f>
        <v>0</v>
      </c>
      <c r="V96" s="63">
        <f>IF($B$4="в базовых ценах",калькулятор!M100,AA96*SUMPRODUCT(($B$2=Таблица2[Филиал])*($B$3=Таблица2[ФЕР/ТЕР])*(F96=Таблица2[Наименование работ])*(G96=Таблица2[ТПиР/НСиР])/Таблица2[Оборудование2013]))</f>
        <v>0</v>
      </c>
      <c r="W96" s="63">
        <f>IF($B$4="в базовых ценах",калькулятор!N100,AB96*SUMPRODUCT(($B$2=Таблица2[Филиал])*($B$3=Таблица2[ФЕР/ТЕР])*(F96=Таблица2[Наименование работ])*(G96=Таблица2[ТПиР/НСиР])/Таблица2[Прочие3]))</f>
        <v>0</v>
      </c>
      <c r="X96" s="63">
        <f>IF($B$4="в текущих ценах",калькулятор!J100,S96*SUMPRODUCT(($B$2=Таблица2[Филиал])*($B$3=Таблица2[ФЕР/ТЕР])*(F96=Таблица2[Наименование работ])*(G96=Таблица2[ТПиР/НСиР])*Таблица2[ПИР2013]))</f>
        <v>0</v>
      </c>
      <c r="Y96" s="63">
        <f>IF($B$4="в текущих ценах",калькулятор!K100,T96*SUMPRODUCT(($B$2=Таблица2[Филиал])*($B$3=Таблица2[ФЕР/ТЕР])*(F96=Таблица2[Наименование работ])*(G96=Таблица2[ТПиР/НСиР])*Таблица2[СМР2013]))</f>
        <v>0</v>
      </c>
      <c r="Z96" s="63">
        <f>IF($B$4="в текущих ценах",калькулятор!L100,U96*SUMPRODUCT(($B$2=Таблица2[Филиал])*($B$3=Таблица2[ФЕР/ТЕР])*(F96=Таблица2[Наименование работ])*(G96=Таблица2[ТПиР/НСиР])*Таблица2[ПНР2013]))</f>
        <v>0</v>
      </c>
      <c r="AA96" s="63">
        <f>IF($B$4="в текущих ценах",калькулятор!M100,V96*SUMPRODUCT(($B$2=Таблица2[Филиал])*($B$3=Таблица2[ФЕР/ТЕР])*(F96=Таблица2[Наименование работ])*(G96=Таблица2[ТПиР/НСиР])*Таблица2[Оборудование2013]))</f>
        <v>0</v>
      </c>
      <c r="AB96" s="63">
        <f>IF($B$4="в текущих ценах",калькулятор!N100,W96*SUMPRODUCT(($B$2=Таблица2[Филиал])*($B$3=Таблица2[ФЕР/ТЕР])*(F96=Таблица2[Наименование работ])*(G96=Таблица2[ТПиР/НСиР])*Таблица2[Прочие3]))</f>
        <v>0</v>
      </c>
      <c r="AC96" s="63">
        <f>SUM(данные!$I96:$M96)</f>
        <v>0</v>
      </c>
      <c r="AD96" s="63">
        <f>IF(SUM(данные!$N96:$R96)&gt;данные!$AF96,данные!$AF96*0.9*1.058,SUM(данные!$N96:$R96))</f>
        <v>0</v>
      </c>
      <c r="AE96" s="63">
        <f>SUM(данные!$S96:$W96)</f>
        <v>0</v>
      </c>
      <c r="AF96" s="63">
        <f>SUM(данные!$X96:$AB96)</f>
        <v>0</v>
      </c>
      <c r="AG96" s="63">
        <f>IF($B$4="в текущих ценах",S96*SUMPRODUCT(($B$2=Таблица2[Филиал])*($B$3=Таблица2[ФЕР/ТЕР])*(F96=Таблица2[Наименование работ])*(G96=Таблица2[ТПиР/НСиР])*Таблица2[ПИР2012]),S96*SUMPRODUCT(($B$2=Таблица2[Филиал])*($B$3=Таблица2[ФЕР/ТЕР])*(F96=Таблица2[Наименование работ])*(G96=Таблица2[ТПиР/НСиР])*Таблица2[ПИР2012]))</f>
        <v>0</v>
      </c>
      <c r="AH96" s="63">
        <f>IF($B$4="в текущих ценах",T96*SUMPRODUCT(($B$2=Таблица2[Филиал])*($B$3=Таблица2[ФЕР/ТЕР])*(F96=Таблица2[Наименование работ])*(G96=Таблица2[ТПиР/НСиР])*Таблица2[СМР2012]),T96*SUMPRODUCT(($B$2=Таблица2[Филиал])*($B$3=Таблица2[ФЕР/ТЕР])*(F96=Таблица2[Наименование работ])*(G96=Таблица2[ТПиР/НСиР])*Таблица2[СМР2012]))</f>
        <v>0</v>
      </c>
      <c r="AI96" s="63">
        <f>IF($B$4="в текущих ценах",U96*SUMPRODUCT(($B$2=Таблица2[Филиал])*($B$3=Таблица2[ФЕР/ТЕР])*(F96=Таблица2[Наименование работ])*(G96=Таблица2[ТПиР/НСиР])*Таблица2[ПНР2012]),U96*SUMPRODUCT(($B$2=Таблица2[Филиал])*($B$3=Таблица2[ФЕР/ТЕР])*(F96=Таблица2[Наименование работ])*(G96=Таблица2[ТПиР/НСиР])*Таблица2[ПНР2012]))</f>
        <v>0</v>
      </c>
      <c r="AJ96" s="63">
        <f>IF($B$4="в текущих ценах",V96*SUMPRODUCT(($B$2=Таблица2[Филиал])*($B$3=Таблица2[ФЕР/ТЕР])*(F96=Таблица2[Наименование работ])*(G96=Таблица2[ТПиР/НСиР])*Таблица2[Оборудование2012]),V96*SUMPRODUCT(($B$2=Таблица2[Филиал])*($B$3=Таблица2[ФЕР/ТЕР])*(F96=Таблица2[Наименование работ])*(G96=Таблица2[ТПиР/НСиР])*Таблица2[Оборудование2012]))</f>
        <v>0</v>
      </c>
      <c r="AK96" s="63">
        <f>IF($B$4="в текущих ценах",W96*SUMPRODUCT(($B$2=Таблица2[Филиал])*($B$3=Таблица2[ФЕР/ТЕР])*(F96=Таблица2[Наименование работ])*(G96=Таблица2[ТПиР/НСиР])*Таблица2[Прочее2012]),W96*SUMPRODUCT(($B$2=Таблица2[Филиал])*($B$3=Таблица2[ФЕР/ТЕР])*(F96=Таблица2[Наименование работ])*(G96=Таблица2[ТПиР/НСиР])*Таблица2[Прочее2012]))</f>
        <v>0</v>
      </c>
      <c r="AL96" s="63">
        <f>данные!$X96+данные!$Y96+данные!$Z96+данные!$AA96+данные!$AB96</f>
        <v>0</v>
      </c>
      <c r="AM96" s="63">
        <v>1.03639035</v>
      </c>
      <c r="AN96" s="63">
        <v>1.0114049394</v>
      </c>
      <c r="AO96" s="63">
        <v>0.98210394336149998</v>
      </c>
      <c r="AP96" s="63">
        <v>0.93762413895893393</v>
      </c>
      <c r="AQ96" s="63"/>
      <c r="AR96" s="63"/>
      <c r="AS96" s="64"/>
      <c r="AU96" s="66">
        <f t="shared" si="6"/>
        <v>0</v>
      </c>
      <c r="AX96" s="66">
        <f t="shared" si="7"/>
        <v>0</v>
      </c>
      <c r="AY96" s="66">
        <f t="shared" si="8"/>
        <v>0</v>
      </c>
      <c r="AZ96" s="66">
        <f t="shared" si="9"/>
        <v>0</v>
      </c>
      <c r="BA96" s="66">
        <f t="shared" si="10"/>
        <v>0</v>
      </c>
      <c r="BB96" s="66">
        <f t="shared" si="11"/>
        <v>0</v>
      </c>
    </row>
    <row r="97" spans="4:54" x14ac:dyDescent="0.25">
      <c r="D97" s="62">
        <f>калькулятор!C101</f>
        <v>0</v>
      </c>
      <c r="E97" s="62">
        <f>калькулятор!F101</f>
        <v>0</v>
      </c>
      <c r="F97" s="62">
        <f>калькулятор!G101</f>
        <v>0</v>
      </c>
      <c r="G97" s="62">
        <f>калькулятор!H101</f>
        <v>0</v>
      </c>
      <c r="H97" s="62">
        <f>калькулятор!I101</f>
        <v>0</v>
      </c>
      <c r="I97" s="63">
        <f>S97*SUMPRODUCT(($B$2=Таблица2[Филиал])*($B$3=Таблица2[ФЕР/ТЕР])*(F97=Таблица2[Наименование работ])*(G97=Таблица2[ТПиР/НСиР])*Таблица2[ПИР2010])</f>
        <v>0</v>
      </c>
      <c r="J97" s="63">
        <f>T97*SUMPRODUCT(($B$2=Таблица2[Филиал])*($B$3=Таблица2[ФЕР/ТЕР])*(F97=Таблица2[Наименование работ])*(G97=Таблица2[ТПиР/НСиР])*Таблица2[СМР2010])</f>
        <v>0</v>
      </c>
      <c r="K97" s="63">
        <f>U97*SUMPRODUCT(($B$2=Таблица2[Филиал])*($B$3=Таблица2[ФЕР/ТЕР])*(F97=Таблица2[Наименование работ])*(G97=Таблица2[ТПиР/НСиР])*Таблица2[ПНР2010])</f>
        <v>0</v>
      </c>
      <c r="L97" s="63">
        <f>V97*SUMPRODUCT(($B$2=Таблица2[Филиал])*($B$3=Таблица2[ФЕР/ТЕР])*(F97=Таблица2[Наименование работ])*(G97=Таблица2[ТПиР/НСиР])*Таблица2[Оборудование2010])</f>
        <v>0</v>
      </c>
      <c r="M97" s="63">
        <f>W97*SUMPRODUCT(($B$2=Таблица2[Филиал])*($B$3=Таблица2[ФЕР/ТЕР])*(F97=Таблица2[Наименование работ])*(G97=Таблица2[ТПиР/НСиР])*Таблица2[Прочие2010])</f>
        <v>0</v>
      </c>
      <c r="N97" s="63">
        <f>S97*SUMPRODUCT(($B$2=Таблица2[Филиал])*($B$3=Таблица2[ФЕР/ТЕР])*(F97=Таблица2[Наименование работ])*(G97=Таблица2[ТПиР/НСиР])*Таблица2[ПИР2013-10])</f>
        <v>0</v>
      </c>
      <c r="O97" s="63">
        <f>T97*SUMPRODUCT(($B$2=Таблица2[Филиал])*($B$3=Таблица2[ФЕР/ТЕР])*(F97=Таблица2[Наименование работ])*(G97=Таблица2[ТПиР/НСиР])*Таблица2[СМР2013-10])</f>
        <v>0</v>
      </c>
      <c r="P97" s="63">
        <f>U97*SUMPRODUCT(($B$2=Таблица2[Филиал])*($B$3=Таблица2[ФЕР/ТЕР])*(F97=Таблица2[Наименование работ])*(G97=Таблица2[ТПиР/НСиР])*Таблица2[ПНР2013-10])</f>
        <v>0</v>
      </c>
      <c r="Q97" s="63">
        <f>V97*SUMPRODUCT(($B$2=Таблица2[Филиал])*($B$3=Таблица2[ФЕР/ТЕР])*(F97=Таблица2[Наименование работ])*(G97=Таблица2[ТПиР/НСиР])*Таблица2[Оборудование2013-10])</f>
        <v>0</v>
      </c>
      <c r="R97" s="63">
        <f>W97*SUMPRODUCT(($B$2=Таблица2[Филиал])*($B$3=Таблица2[ФЕР/ТЕР])*(F97=Таблица2[Наименование работ])*(G97=Таблица2[ТПиР/НСиР])*Таблица2[Прочие2013-10])</f>
        <v>0</v>
      </c>
      <c r="S97" s="63">
        <f>IF($B$4="в базовых ценах",калькулятор!J101,X97*SUMPRODUCT(($B$2=Таблица2[Филиал])*($B$3=Таблица2[ФЕР/ТЕР])*(F97=Таблица2[Наименование работ])*(G97=Таблица2[ТПиР/НСиР])/Таблица2[ПИР2013]))</f>
        <v>0</v>
      </c>
      <c r="T97" s="63">
        <f>IF($B$4="в базовых ценах",калькулятор!K101,Y97*SUMPRODUCT(($B$2=Таблица2[Филиал])*($B$3=Таблица2[ФЕР/ТЕР])*(F97=Таблица2[Наименование работ])*(G97=Таблица2[ТПиР/НСиР])/Таблица2[СМР2013]))</f>
        <v>0</v>
      </c>
      <c r="U97" s="63">
        <f>IF($B$4="в базовых ценах",калькулятор!L101,Z97*SUMPRODUCT(($B$2=Таблица2[Филиал])*($B$3=Таблица2[ФЕР/ТЕР])*(F97=Таблица2[Наименование работ])*(G97=Таблица2[ТПиР/НСиР])/Таблица2[ПНР2013]))</f>
        <v>0</v>
      </c>
      <c r="V97" s="63">
        <f>IF($B$4="в базовых ценах",калькулятор!M101,AA97*SUMPRODUCT(($B$2=Таблица2[Филиал])*($B$3=Таблица2[ФЕР/ТЕР])*(F97=Таблица2[Наименование работ])*(G97=Таблица2[ТПиР/НСиР])/Таблица2[Оборудование2013]))</f>
        <v>0</v>
      </c>
      <c r="W97" s="63">
        <f>IF($B$4="в базовых ценах",калькулятор!N101,AB97*SUMPRODUCT(($B$2=Таблица2[Филиал])*($B$3=Таблица2[ФЕР/ТЕР])*(F97=Таблица2[Наименование работ])*(G97=Таблица2[ТПиР/НСиР])/Таблица2[Прочие3]))</f>
        <v>0</v>
      </c>
      <c r="X97" s="63">
        <f>IF($B$4="в текущих ценах",калькулятор!J101,S97*SUMPRODUCT(($B$2=Таблица2[Филиал])*($B$3=Таблица2[ФЕР/ТЕР])*(F97=Таблица2[Наименование работ])*(G97=Таблица2[ТПиР/НСиР])*Таблица2[ПИР2013]))</f>
        <v>0</v>
      </c>
      <c r="Y97" s="63">
        <f>IF($B$4="в текущих ценах",калькулятор!K101,T97*SUMPRODUCT(($B$2=Таблица2[Филиал])*($B$3=Таблица2[ФЕР/ТЕР])*(F97=Таблица2[Наименование работ])*(G97=Таблица2[ТПиР/НСиР])*Таблица2[СМР2013]))</f>
        <v>0</v>
      </c>
      <c r="Z97" s="63">
        <f>IF($B$4="в текущих ценах",калькулятор!L101,U97*SUMPRODUCT(($B$2=Таблица2[Филиал])*($B$3=Таблица2[ФЕР/ТЕР])*(F97=Таблица2[Наименование работ])*(G97=Таблица2[ТПиР/НСиР])*Таблица2[ПНР2013]))</f>
        <v>0</v>
      </c>
      <c r="AA97" s="63">
        <f>IF($B$4="в текущих ценах",калькулятор!M101,V97*SUMPRODUCT(($B$2=Таблица2[Филиал])*($B$3=Таблица2[ФЕР/ТЕР])*(F97=Таблица2[Наименование работ])*(G97=Таблица2[ТПиР/НСиР])*Таблица2[Оборудование2013]))</f>
        <v>0</v>
      </c>
      <c r="AB97" s="63">
        <f>IF($B$4="в текущих ценах",калькулятор!N101,W97*SUMPRODUCT(($B$2=Таблица2[Филиал])*($B$3=Таблица2[ФЕР/ТЕР])*(F97=Таблица2[Наименование работ])*(G97=Таблица2[ТПиР/НСиР])*Таблица2[Прочие3]))</f>
        <v>0</v>
      </c>
      <c r="AC97" s="63">
        <f>SUM(данные!$I97:$M97)</f>
        <v>0</v>
      </c>
      <c r="AD97" s="63">
        <f>IF(SUM(данные!$N97:$R97)&gt;данные!$AF97,данные!$AF97*0.9*1.058,SUM(данные!$N97:$R97))</f>
        <v>0</v>
      </c>
      <c r="AE97" s="63">
        <f>SUM(данные!$S97:$W97)</f>
        <v>0</v>
      </c>
      <c r="AF97" s="63">
        <f>SUM(данные!$X97:$AB97)</f>
        <v>0</v>
      </c>
      <c r="AG97" s="63">
        <f>IF($B$4="в текущих ценах",S97*SUMPRODUCT(($B$2=Таблица2[Филиал])*($B$3=Таблица2[ФЕР/ТЕР])*(F97=Таблица2[Наименование работ])*(G97=Таблица2[ТПиР/НСиР])*Таблица2[ПИР2012]),S97*SUMPRODUCT(($B$2=Таблица2[Филиал])*($B$3=Таблица2[ФЕР/ТЕР])*(F97=Таблица2[Наименование работ])*(G97=Таблица2[ТПиР/НСиР])*Таблица2[ПИР2012]))</f>
        <v>0</v>
      </c>
      <c r="AH97" s="63">
        <f>IF($B$4="в текущих ценах",T97*SUMPRODUCT(($B$2=Таблица2[Филиал])*($B$3=Таблица2[ФЕР/ТЕР])*(F97=Таблица2[Наименование работ])*(G97=Таблица2[ТПиР/НСиР])*Таблица2[СМР2012]),T97*SUMPRODUCT(($B$2=Таблица2[Филиал])*($B$3=Таблица2[ФЕР/ТЕР])*(F97=Таблица2[Наименование работ])*(G97=Таблица2[ТПиР/НСиР])*Таблица2[СМР2012]))</f>
        <v>0</v>
      </c>
      <c r="AI97" s="63">
        <f>IF($B$4="в текущих ценах",U97*SUMPRODUCT(($B$2=Таблица2[Филиал])*($B$3=Таблица2[ФЕР/ТЕР])*(F97=Таблица2[Наименование работ])*(G97=Таблица2[ТПиР/НСиР])*Таблица2[ПНР2012]),U97*SUMPRODUCT(($B$2=Таблица2[Филиал])*($B$3=Таблица2[ФЕР/ТЕР])*(F97=Таблица2[Наименование работ])*(G97=Таблица2[ТПиР/НСиР])*Таблица2[ПНР2012]))</f>
        <v>0</v>
      </c>
      <c r="AJ97" s="63">
        <f>IF($B$4="в текущих ценах",V97*SUMPRODUCT(($B$2=Таблица2[Филиал])*($B$3=Таблица2[ФЕР/ТЕР])*(F97=Таблица2[Наименование работ])*(G97=Таблица2[ТПиР/НСиР])*Таблица2[Оборудование2012]),V97*SUMPRODUCT(($B$2=Таблица2[Филиал])*($B$3=Таблица2[ФЕР/ТЕР])*(F97=Таблица2[Наименование работ])*(G97=Таблица2[ТПиР/НСиР])*Таблица2[Оборудование2012]))</f>
        <v>0</v>
      </c>
      <c r="AK97" s="63">
        <f>IF($B$4="в текущих ценах",W97*SUMPRODUCT(($B$2=Таблица2[Филиал])*($B$3=Таблица2[ФЕР/ТЕР])*(F97=Таблица2[Наименование работ])*(G97=Таблица2[ТПиР/НСиР])*Таблица2[Прочее2012]),W97*SUMPRODUCT(($B$2=Таблица2[Филиал])*($B$3=Таблица2[ФЕР/ТЕР])*(F97=Таблица2[Наименование работ])*(G97=Таблица2[ТПиР/НСиР])*Таблица2[Прочее2012]))</f>
        <v>0</v>
      </c>
      <c r="AL97" s="63">
        <f>данные!$X97+данные!$Y97+данные!$Z97+данные!$AA97+данные!$AB97</f>
        <v>0</v>
      </c>
      <c r="AM97" s="63">
        <v>1.03639035</v>
      </c>
      <c r="AN97" s="63">
        <v>1.0114049394</v>
      </c>
      <c r="AO97" s="63">
        <v>0.98210394336149998</v>
      </c>
      <c r="AP97" s="63">
        <v>0.93762413895893393</v>
      </c>
      <c r="AQ97" s="63"/>
      <c r="AR97" s="63"/>
      <c r="AS97" s="64"/>
      <c r="AU97" s="66">
        <f t="shared" si="6"/>
        <v>0</v>
      </c>
      <c r="AX97" s="66">
        <f t="shared" si="7"/>
        <v>0</v>
      </c>
      <c r="AY97" s="66">
        <f t="shared" si="8"/>
        <v>0</v>
      </c>
      <c r="AZ97" s="66">
        <f t="shared" si="9"/>
        <v>0</v>
      </c>
      <c r="BA97" s="66">
        <f t="shared" si="10"/>
        <v>0</v>
      </c>
      <c r="BB97" s="66">
        <f t="shared" si="11"/>
        <v>0</v>
      </c>
    </row>
    <row r="98" spans="4:54" x14ac:dyDescent="0.25">
      <c r="D98" s="62">
        <f>калькулятор!C102</f>
        <v>0</v>
      </c>
      <c r="E98" s="62">
        <f>калькулятор!F102</f>
        <v>0</v>
      </c>
      <c r="F98" s="62">
        <f>калькулятор!G102</f>
        <v>0</v>
      </c>
      <c r="G98" s="62">
        <f>калькулятор!H102</f>
        <v>0</v>
      </c>
      <c r="H98" s="62">
        <f>калькулятор!I102</f>
        <v>0</v>
      </c>
      <c r="I98" s="63">
        <f>S98*SUMPRODUCT(($B$2=Таблица2[Филиал])*($B$3=Таблица2[ФЕР/ТЕР])*(F98=Таблица2[Наименование работ])*(G98=Таблица2[ТПиР/НСиР])*Таблица2[ПИР2010])</f>
        <v>0</v>
      </c>
      <c r="J98" s="63">
        <f>T98*SUMPRODUCT(($B$2=Таблица2[Филиал])*($B$3=Таблица2[ФЕР/ТЕР])*(F98=Таблица2[Наименование работ])*(G98=Таблица2[ТПиР/НСиР])*Таблица2[СМР2010])</f>
        <v>0</v>
      </c>
      <c r="K98" s="63">
        <f>U98*SUMPRODUCT(($B$2=Таблица2[Филиал])*($B$3=Таблица2[ФЕР/ТЕР])*(F98=Таблица2[Наименование работ])*(G98=Таблица2[ТПиР/НСиР])*Таблица2[ПНР2010])</f>
        <v>0</v>
      </c>
      <c r="L98" s="63">
        <f>V98*SUMPRODUCT(($B$2=Таблица2[Филиал])*($B$3=Таблица2[ФЕР/ТЕР])*(F98=Таблица2[Наименование работ])*(G98=Таблица2[ТПиР/НСиР])*Таблица2[Оборудование2010])</f>
        <v>0</v>
      </c>
      <c r="M98" s="63">
        <f>W98*SUMPRODUCT(($B$2=Таблица2[Филиал])*($B$3=Таблица2[ФЕР/ТЕР])*(F98=Таблица2[Наименование работ])*(G98=Таблица2[ТПиР/НСиР])*Таблица2[Прочие2010])</f>
        <v>0</v>
      </c>
      <c r="N98" s="63">
        <f>S98*SUMPRODUCT(($B$2=Таблица2[Филиал])*($B$3=Таблица2[ФЕР/ТЕР])*(F98=Таблица2[Наименование работ])*(G98=Таблица2[ТПиР/НСиР])*Таблица2[ПИР2013-10])</f>
        <v>0</v>
      </c>
      <c r="O98" s="63">
        <f>T98*SUMPRODUCT(($B$2=Таблица2[Филиал])*($B$3=Таблица2[ФЕР/ТЕР])*(F98=Таблица2[Наименование работ])*(G98=Таблица2[ТПиР/НСиР])*Таблица2[СМР2013-10])</f>
        <v>0</v>
      </c>
      <c r="P98" s="63">
        <f>U98*SUMPRODUCT(($B$2=Таблица2[Филиал])*($B$3=Таблица2[ФЕР/ТЕР])*(F98=Таблица2[Наименование работ])*(G98=Таблица2[ТПиР/НСиР])*Таблица2[ПНР2013-10])</f>
        <v>0</v>
      </c>
      <c r="Q98" s="63">
        <f>V98*SUMPRODUCT(($B$2=Таблица2[Филиал])*($B$3=Таблица2[ФЕР/ТЕР])*(F98=Таблица2[Наименование работ])*(G98=Таблица2[ТПиР/НСиР])*Таблица2[Оборудование2013-10])</f>
        <v>0</v>
      </c>
      <c r="R98" s="63">
        <f>W98*SUMPRODUCT(($B$2=Таблица2[Филиал])*($B$3=Таблица2[ФЕР/ТЕР])*(F98=Таблица2[Наименование работ])*(G98=Таблица2[ТПиР/НСиР])*Таблица2[Прочие2013-10])</f>
        <v>0</v>
      </c>
      <c r="S98" s="63">
        <f>IF($B$4="в базовых ценах",калькулятор!J102,X98*SUMPRODUCT(($B$2=Таблица2[Филиал])*($B$3=Таблица2[ФЕР/ТЕР])*(F98=Таблица2[Наименование работ])*(G98=Таблица2[ТПиР/НСиР])/Таблица2[ПИР2013]))</f>
        <v>0</v>
      </c>
      <c r="T98" s="63">
        <f>IF($B$4="в базовых ценах",калькулятор!K102,Y98*SUMPRODUCT(($B$2=Таблица2[Филиал])*($B$3=Таблица2[ФЕР/ТЕР])*(F98=Таблица2[Наименование работ])*(G98=Таблица2[ТПиР/НСиР])/Таблица2[СМР2013]))</f>
        <v>0</v>
      </c>
      <c r="U98" s="63">
        <f>IF($B$4="в базовых ценах",калькулятор!L102,Z98*SUMPRODUCT(($B$2=Таблица2[Филиал])*($B$3=Таблица2[ФЕР/ТЕР])*(F98=Таблица2[Наименование работ])*(G98=Таблица2[ТПиР/НСиР])/Таблица2[ПНР2013]))</f>
        <v>0</v>
      </c>
      <c r="V98" s="63">
        <f>IF($B$4="в базовых ценах",калькулятор!M102,AA98*SUMPRODUCT(($B$2=Таблица2[Филиал])*($B$3=Таблица2[ФЕР/ТЕР])*(F98=Таблица2[Наименование работ])*(G98=Таблица2[ТПиР/НСиР])/Таблица2[Оборудование2013]))</f>
        <v>0</v>
      </c>
      <c r="W98" s="63">
        <f>IF($B$4="в базовых ценах",калькулятор!N102,AB98*SUMPRODUCT(($B$2=Таблица2[Филиал])*($B$3=Таблица2[ФЕР/ТЕР])*(F98=Таблица2[Наименование работ])*(G98=Таблица2[ТПиР/НСиР])/Таблица2[Прочие3]))</f>
        <v>0</v>
      </c>
      <c r="X98" s="63">
        <f>IF($B$4="в текущих ценах",калькулятор!J102,S98*SUMPRODUCT(($B$2=Таблица2[Филиал])*($B$3=Таблица2[ФЕР/ТЕР])*(F98=Таблица2[Наименование работ])*(G98=Таблица2[ТПиР/НСиР])*Таблица2[ПИР2013]))</f>
        <v>0</v>
      </c>
      <c r="Y98" s="63">
        <f>IF($B$4="в текущих ценах",калькулятор!K102,T98*SUMPRODUCT(($B$2=Таблица2[Филиал])*($B$3=Таблица2[ФЕР/ТЕР])*(F98=Таблица2[Наименование работ])*(G98=Таблица2[ТПиР/НСиР])*Таблица2[СМР2013]))</f>
        <v>0</v>
      </c>
      <c r="Z98" s="63">
        <f>IF($B$4="в текущих ценах",калькулятор!L102,U98*SUMPRODUCT(($B$2=Таблица2[Филиал])*($B$3=Таблица2[ФЕР/ТЕР])*(F98=Таблица2[Наименование работ])*(G98=Таблица2[ТПиР/НСиР])*Таблица2[ПНР2013]))</f>
        <v>0</v>
      </c>
      <c r="AA98" s="63">
        <f>IF($B$4="в текущих ценах",калькулятор!M102,V98*SUMPRODUCT(($B$2=Таблица2[Филиал])*($B$3=Таблица2[ФЕР/ТЕР])*(F98=Таблица2[Наименование работ])*(G98=Таблица2[ТПиР/НСиР])*Таблица2[Оборудование2013]))</f>
        <v>0</v>
      </c>
      <c r="AB98" s="63">
        <f>IF($B$4="в текущих ценах",калькулятор!N102,W98*SUMPRODUCT(($B$2=Таблица2[Филиал])*($B$3=Таблица2[ФЕР/ТЕР])*(F98=Таблица2[Наименование работ])*(G98=Таблица2[ТПиР/НСиР])*Таблица2[Прочие3]))</f>
        <v>0</v>
      </c>
      <c r="AC98" s="63">
        <f>SUM(данные!$I98:$M98)</f>
        <v>0</v>
      </c>
      <c r="AD98" s="63">
        <f>IF(SUM(данные!$N98:$R98)&gt;данные!$AF98,данные!$AF98*0.9*1.058,SUM(данные!$N98:$R98))</f>
        <v>0</v>
      </c>
      <c r="AE98" s="63">
        <f>SUM(данные!$S98:$W98)</f>
        <v>0</v>
      </c>
      <c r="AF98" s="63">
        <f>SUM(данные!$X98:$AB98)</f>
        <v>0</v>
      </c>
      <c r="AG98" s="63">
        <f>IF($B$4="в текущих ценах",S98*SUMPRODUCT(($B$2=Таблица2[Филиал])*($B$3=Таблица2[ФЕР/ТЕР])*(F98=Таблица2[Наименование работ])*(G98=Таблица2[ТПиР/НСиР])*Таблица2[ПИР2012]),S98*SUMPRODUCT(($B$2=Таблица2[Филиал])*($B$3=Таблица2[ФЕР/ТЕР])*(F98=Таблица2[Наименование работ])*(G98=Таблица2[ТПиР/НСиР])*Таблица2[ПИР2012]))</f>
        <v>0</v>
      </c>
      <c r="AH98" s="63">
        <f>IF($B$4="в текущих ценах",T98*SUMPRODUCT(($B$2=Таблица2[Филиал])*($B$3=Таблица2[ФЕР/ТЕР])*(F98=Таблица2[Наименование работ])*(G98=Таблица2[ТПиР/НСиР])*Таблица2[СМР2012]),T98*SUMPRODUCT(($B$2=Таблица2[Филиал])*($B$3=Таблица2[ФЕР/ТЕР])*(F98=Таблица2[Наименование работ])*(G98=Таблица2[ТПиР/НСиР])*Таблица2[СМР2012]))</f>
        <v>0</v>
      </c>
      <c r="AI98" s="63">
        <f>IF($B$4="в текущих ценах",U98*SUMPRODUCT(($B$2=Таблица2[Филиал])*($B$3=Таблица2[ФЕР/ТЕР])*(F98=Таблица2[Наименование работ])*(G98=Таблица2[ТПиР/НСиР])*Таблица2[ПНР2012]),U98*SUMPRODUCT(($B$2=Таблица2[Филиал])*($B$3=Таблица2[ФЕР/ТЕР])*(F98=Таблица2[Наименование работ])*(G98=Таблица2[ТПиР/НСиР])*Таблица2[ПНР2012]))</f>
        <v>0</v>
      </c>
      <c r="AJ98" s="63">
        <f>IF($B$4="в текущих ценах",V98*SUMPRODUCT(($B$2=Таблица2[Филиал])*($B$3=Таблица2[ФЕР/ТЕР])*(F98=Таблица2[Наименование работ])*(G98=Таблица2[ТПиР/НСиР])*Таблица2[Оборудование2012]),V98*SUMPRODUCT(($B$2=Таблица2[Филиал])*($B$3=Таблица2[ФЕР/ТЕР])*(F98=Таблица2[Наименование работ])*(G98=Таблица2[ТПиР/НСиР])*Таблица2[Оборудование2012]))</f>
        <v>0</v>
      </c>
      <c r="AK98" s="63">
        <f>IF($B$4="в текущих ценах",W98*SUMPRODUCT(($B$2=Таблица2[Филиал])*($B$3=Таблица2[ФЕР/ТЕР])*(F98=Таблица2[Наименование работ])*(G98=Таблица2[ТПиР/НСиР])*Таблица2[Прочее2012]),W98*SUMPRODUCT(($B$2=Таблица2[Филиал])*($B$3=Таблица2[ФЕР/ТЕР])*(F98=Таблица2[Наименование работ])*(G98=Таблица2[ТПиР/НСиР])*Таблица2[Прочее2012]))</f>
        <v>0</v>
      </c>
      <c r="AL98" s="63">
        <f>данные!$X98+данные!$Y98+данные!$Z98+данные!$AA98+данные!$AB98</f>
        <v>0</v>
      </c>
      <c r="AM98" s="63">
        <v>1.03639035</v>
      </c>
      <c r="AN98" s="63">
        <v>1.0114049394</v>
      </c>
      <c r="AO98" s="63">
        <v>0.98210394336149998</v>
      </c>
      <c r="AP98" s="63">
        <v>0.93762413895893393</v>
      </c>
      <c r="AQ98" s="63"/>
      <c r="AR98" s="63"/>
      <c r="AS98" s="64"/>
      <c r="AU98" s="66">
        <f t="shared" si="6"/>
        <v>0</v>
      </c>
      <c r="AX98" s="66">
        <f t="shared" si="7"/>
        <v>0</v>
      </c>
      <c r="AY98" s="66">
        <f t="shared" si="8"/>
        <v>0</v>
      </c>
      <c r="AZ98" s="66">
        <f t="shared" si="9"/>
        <v>0</v>
      </c>
      <c r="BA98" s="66">
        <f t="shared" si="10"/>
        <v>0</v>
      </c>
      <c r="BB98" s="66">
        <f t="shared" si="11"/>
        <v>0</v>
      </c>
    </row>
    <row r="99" spans="4:54" x14ac:dyDescent="0.25">
      <c r="D99" s="62">
        <f>калькулятор!C103</f>
        <v>0</v>
      </c>
      <c r="E99" s="62">
        <f>калькулятор!F103</f>
        <v>0</v>
      </c>
      <c r="F99" s="62">
        <f>калькулятор!G103</f>
        <v>0</v>
      </c>
      <c r="G99" s="62">
        <f>калькулятор!H103</f>
        <v>0</v>
      </c>
      <c r="H99" s="62">
        <f>калькулятор!I103</f>
        <v>0</v>
      </c>
      <c r="I99" s="63">
        <f>S99*SUMPRODUCT(($B$2=Таблица2[Филиал])*($B$3=Таблица2[ФЕР/ТЕР])*(F99=Таблица2[Наименование работ])*(G99=Таблица2[ТПиР/НСиР])*Таблица2[ПИР2010])</f>
        <v>0</v>
      </c>
      <c r="J99" s="63">
        <f>T99*SUMPRODUCT(($B$2=Таблица2[Филиал])*($B$3=Таблица2[ФЕР/ТЕР])*(F99=Таблица2[Наименование работ])*(G99=Таблица2[ТПиР/НСиР])*Таблица2[СМР2010])</f>
        <v>0</v>
      </c>
      <c r="K99" s="63">
        <f>U99*SUMPRODUCT(($B$2=Таблица2[Филиал])*($B$3=Таблица2[ФЕР/ТЕР])*(F99=Таблица2[Наименование работ])*(G99=Таблица2[ТПиР/НСиР])*Таблица2[ПНР2010])</f>
        <v>0</v>
      </c>
      <c r="L99" s="63">
        <f>V99*SUMPRODUCT(($B$2=Таблица2[Филиал])*($B$3=Таблица2[ФЕР/ТЕР])*(F99=Таблица2[Наименование работ])*(G99=Таблица2[ТПиР/НСиР])*Таблица2[Оборудование2010])</f>
        <v>0</v>
      </c>
      <c r="M99" s="63">
        <f>W99*SUMPRODUCT(($B$2=Таблица2[Филиал])*($B$3=Таблица2[ФЕР/ТЕР])*(F99=Таблица2[Наименование работ])*(G99=Таблица2[ТПиР/НСиР])*Таблица2[Прочие2010])</f>
        <v>0</v>
      </c>
      <c r="N99" s="63">
        <f>S99*SUMPRODUCT(($B$2=Таблица2[Филиал])*($B$3=Таблица2[ФЕР/ТЕР])*(F99=Таблица2[Наименование работ])*(G99=Таблица2[ТПиР/НСиР])*Таблица2[ПИР2013-10])</f>
        <v>0</v>
      </c>
      <c r="O99" s="63">
        <f>T99*SUMPRODUCT(($B$2=Таблица2[Филиал])*($B$3=Таблица2[ФЕР/ТЕР])*(F99=Таблица2[Наименование работ])*(G99=Таблица2[ТПиР/НСиР])*Таблица2[СМР2013-10])</f>
        <v>0</v>
      </c>
      <c r="P99" s="63">
        <f>U99*SUMPRODUCT(($B$2=Таблица2[Филиал])*($B$3=Таблица2[ФЕР/ТЕР])*(F99=Таблица2[Наименование работ])*(G99=Таблица2[ТПиР/НСиР])*Таблица2[ПНР2013-10])</f>
        <v>0</v>
      </c>
      <c r="Q99" s="63">
        <f>V99*SUMPRODUCT(($B$2=Таблица2[Филиал])*($B$3=Таблица2[ФЕР/ТЕР])*(F99=Таблица2[Наименование работ])*(G99=Таблица2[ТПиР/НСиР])*Таблица2[Оборудование2013-10])</f>
        <v>0</v>
      </c>
      <c r="R99" s="63">
        <f>W99*SUMPRODUCT(($B$2=Таблица2[Филиал])*($B$3=Таблица2[ФЕР/ТЕР])*(F99=Таблица2[Наименование работ])*(G99=Таблица2[ТПиР/НСиР])*Таблица2[Прочие2013-10])</f>
        <v>0</v>
      </c>
      <c r="S99" s="63">
        <f>IF($B$4="в базовых ценах",калькулятор!J103,X99*SUMPRODUCT(($B$2=Таблица2[Филиал])*($B$3=Таблица2[ФЕР/ТЕР])*(F99=Таблица2[Наименование работ])*(G99=Таблица2[ТПиР/НСиР])/Таблица2[ПИР2013]))</f>
        <v>0</v>
      </c>
      <c r="T99" s="63">
        <f>IF($B$4="в базовых ценах",калькулятор!K103,Y99*SUMPRODUCT(($B$2=Таблица2[Филиал])*($B$3=Таблица2[ФЕР/ТЕР])*(F99=Таблица2[Наименование работ])*(G99=Таблица2[ТПиР/НСиР])/Таблица2[СМР2013]))</f>
        <v>0</v>
      </c>
      <c r="U99" s="63">
        <f>IF($B$4="в базовых ценах",калькулятор!L103,Z99*SUMPRODUCT(($B$2=Таблица2[Филиал])*($B$3=Таблица2[ФЕР/ТЕР])*(F99=Таблица2[Наименование работ])*(G99=Таблица2[ТПиР/НСиР])/Таблица2[ПНР2013]))</f>
        <v>0</v>
      </c>
      <c r="V99" s="63">
        <f>IF($B$4="в базовых ценах",калькулятор!M103,AA99*SUMPRODUCT(($B$2=Таблица2[Филиал])*($B$3=Таблица2[ФЕР/ТЕР])*(F99=Таблица2[Наименование работ])*(G99=Таблица2[ТПиР/НСиР])/Таблица2[Оборудование2013]))</f>
        <v>0</v>
      </c>
      <c r="W99" s="63">
        <f>IF($B$4="в базовых ценах",калькулятор!N103,AB99*SUMPRODUCT(($B$2=Таблица2[Филиал])*($B$3=Таблица2[ФЕР/ТЕР])*(F99=Таблица2[Наименование работ])*(G99=Таблица2[ТПиР/НСиР])/Таблица2[Прочие3]))</f>
        <v>0</v>
      </c>
      <c r="X99" s="63">
        <f>IF($B$4="в текущих ценах",калькулятор!J103,S99*SUMPRODUCT(($B$2=Таблица2[Филиал])*($B$3=Таблица2[ФЕР/ТЕР])*(F99=Таблица2[Наименование работ])*(G99=Таблица2[ТПиР/НСиР])*Таблица2[ПИР2013]))</f>
        <v>0</v>
      </c>
      <c r="Y99" s="63">
        <f>IF($B$4="в текущих ценах",калькулятор!K103,T99*SUMPRODUCT(($B$2=Таблица2[Филиал])*($B$3=Таблица2[ФЕР/ТЕР])*(F99=Таблица2[Наименование работ])*(G99=Таблица2[ТПиР/НСиР])*Таблица2[СМР2013]))</f>
        <v>0</v>
      </c>
      <c r="Z99" s="63">
        <f>IF($B$4="в текущих ценах",калькулятор!L103,U99*SUMPRODUCT(($B$2=Таблица2[Филиал])*($B$3=Таблица2[ФЕР/ТЕР])*(F99=Таблица2[Наименование работ])*(G99=Таблица2[ТПиР/НСиР])*Таблица2[ПНР2013]))</f>
        <v>0</v>
      </c>
      <c r="AA99" s="63">
        <f>IF($B$4="в текущих ценах",калькулятор!M103,V99*SUMPRODUCT(($B$2=Таблица2[Филиал])*($B$3=Таблица2[ФЕР/ТЕР])*(F99=Таблица2[Наименование работ])*(G99=Таблица2[ТПиР/НСиР])*Таблица2[Оборудование2013]))</f>
        <v>0</v>
      </c>
      <c r="AB99" s="63">
        <f>IF($B$4="в текущих ценах",калькулятор!N103,W99*SUMPRODUCT(($B$2=Таблица2[Филиал])*($B$3=Таблица2[ФЕР/ТЕР])*(F99=Таблица2[Наименование работ])*(G99=Таблица2[ТПиР/НСиР])*Таблица2[Прочие3]))</f>
        <v>0</v>
      </c>
      <c r="AC99" s="63">
        <f>SUM(данные!$I99:$M99)</f>
        <v>0</v>
      </c>
      <c r="AD99" s="63">
        <f>IF(SUM(данные!$N99:$R99)&gt;данные!$AF99,данные!$AF99*0.9*1.058,SUM(данные!$N99:$R99))</f>
        <v>0</v>
      </c>
      <c r="AE99" s="63">
        <f>SUM(данные!$S99:$W99)</f>
        <v>0</v>
      </c>
      <c r="AF99" s="63">
        <f>SUM(данные!$X99:$AB99)</f>
        <v>0</v>
      </c>
      <c r="AG99" s="63">
        <f>IF($B$4="в текущих ценах",S99*SUMPRODUCT(($B$2=Таблица2[Филиал])*($B$3=Таблица2[ФЕР/ТЕР])*(F99=Таблица2[Наименование работ])*(G99=Таблица2[ТПиР/НСиР])*Таблица2[ПИР2012]),S99*SUMPRODUCT(($B$2=Таблица2[Филиал])*($B$3=Таблица2[ФЕР/ТЕР])*(F99=Таблица2[Наименование работ])*(G99=Таблица2[ТПиР/НСиР])*Таблица2[ПИР2012]))</f>
        <v>0</v>
      </c>
      <c r="AH99" s="63">
        <f>IF($B$4="в текущих ценах",T99*SUMPRODUCT(($B$2=Таблица2[Филиал])*($B$3=Таблица2[ФЕР/ТЕР])*(F99=Таблица2[Наименование работ])*(G99=Таблица2[ТПиР/НСиР])*Таблица2[СМР2012]),T99*SUMPRODUCT(($B$2=Таблица2[Филиал])*($B$3=Таблица2[ФЕР/ТЕР])*(F99=Таблица2[Наименование работ])*(G99=Таблица2[ТПиР/НСиР])*Таблица2[СМР2012]))</f>
        <v>0</v>
      </c>
      <c r="AI99" s="63">
        <f>IF($B$4="в текущих ценах",U99*SUMPRODUCT(($B$2=Таблица2[Филиал])*($B$3=Таблица2[ФЕР/ТЕР])*(F99=Таблица2[Наименование работ])*(G99=Таблица2[ТПиР/НСиР])*Таблица2[ПНР2012]),U99*SUMPRODUCT(($B$2=Таблица2[Филиал])*($B$3=Таблица2[ФЕР/ТЕР])*(F99=Таблица2[Наименование работ])*(G99=Таблица2[ТПиР/НСиР])*Таблица2[ПНР2012]))</f>
        <v>0</v>
      </c>
      <c r="AJ99" s="63">
        <f>IF($B$4="в текущих ценах",V99*SUMPRODUCT(($B$2=Таблица2[Филиал])*($B$3=Таблица2[ФЕР/ТЕР])*(F99=Таблица2[Наименование работ])*(G99=Таблица2[ТПиР/НСиР])*Таблица2[Оборудование2012]),V99*SUMPRODUCT(($B$2=Таблица2[Филиал])*($B$3=Таблица2[ФЕР/ТЕР])*(F99=Таблица2[Наименование работ])*(G99=Таблица2[ТПиР/НСиР])*Таблица2[Оборудование2012]))</f>
        <v>0</v>
      </c>
      <c r="AK99" s="63">
        <f>IF($B$4="в текущих ценах",W99*SUMPRODUCT(($B$2=Таблица2[Филиал])*($B$3=Таблица2[ФЕР/ТЕР])*(F99=Таблица2[Наименование работ])*(G99=Таблица2[ТПиР/НСиР])*Таблица2[Прочее2012]),W99*SUMPRODUCT(($B$2=Таблица2[Филиал])*($B$3=Таблица2[ФЕР/ТЕР])*(F99=Таблица2[Наименование работ])*(G99=Таблица2[ТПиР/НСиР])*Таблица2[Прочее2012]))</f>
        <v>0</v>
      </c>
      <c r="AL99" s="63">
        <f>данные!$X99+данные!$Y99+данные!$Z99+данные!$AA99+данные!$AB99</f>
        <v>0</v>
      </c>
      <c r="AM99" s="63">
        <v>1.03639035</v>
      </c>
      <c r="AN99" s="63">
        <v>1.0114049394</v>
      </c>
      <c r="AO99" s="63">
        <v>0.98210394336149998</v>
      </c>
      <c r="AP99" s="63">
        <v>0.93762413895893393</v>
      </c>
      <c r="AQ99" s="63"/>
      <c r="AR99" s="63"/>
      <c r="AS99" s="64"/>
      <c r="AU99" s="66">
        <f t="shared" si="6"/>
        <v>0</v>
      </c>
      <c r="AX99" s="66">
        <f t="shared" si="7"/>
        <v>0</v>
      </c>
      <c r="AY99" s="66">
        <f t="shared" si="8"/>
        <v>0</v>
      </c>
      <c r="AZ99" s="66">
        <f t="shared" si="9"/>
        <v>0</v>
      </c>
      <c r="BA99" s="66">
        <f t="shared" si="10"/>
        <v>0</v>
      </c>
      <c r="BB99" s="66">
        <f t="shared" si="11"/>
        <v>0</v>
      </c>
    </row>
    <row r="100" spans="4:54" x14ac:dyDescent="0.25">
      <c r="D100" s="62">
        <f>калькулятор!C104</f>
        <v>0</v>
      </c>
      <c r="E100" s="62">
        <f>калькулятор!F104</f>
        <v>0</v>
      </c>
      <c r="F100" s="62">
        <f>калькулятор!G104</f>
        <v>0</v>
      </c>
      <c r="G100" s="62">
        <f>калькулятор!H104</f>
        <v>0</v>
      </c>
      <c r="H100" s="62">
        <f>калькулятор!I104</f>
        <v>0</v>
      </c>
      <c r="I100" s="63">
        <f>S100*SUMPRODUCT(($B$2=Таблица2[Филиал])*($B$3=Таблица2[ФЕР/ТЕР])*(F100=Таблица2[Наименование работ])*(G100=Таблица2[ТПиР/НСиР])*Таблица2[ПИР2010])</f>
        <v>0</v>
      </c>
      <c r="J100" s="63">
        <f>T100*SUMPRODUCT(($B$2=Таблица2[Филиал])*($B$3=Таблица2[ФЕР/ТЕР])*(F100=Таблица2[Наименование работ])*(G100=Таблица2[ТПиР/НСиР])*Таблица2[СМР2010])</f>
        <v>0</v>
      </c>
      <c r="K100" s="63">
        <f>U100*SUMPRODUCT(($B$2=Таблица2[Филиал])*($B$3=Таблица2[ФЕР/ТЕР])*(F100=Таблица2[Наименование работ])*(G100=Таблица2[ТПиР/НСиР])*Таблица2[ПНР2010])</f>
        <v>0</v>
      </c>
      <c r="L100" s="63">
        <f>V100*SUMPRODUCT(($B$2=Таблица2[Филиал])*($B$3=Таблица2[ФЕР/ТЕР])*(F100=Таблица2[Наименование работ])*(G100=Таблица2[ТПиР/НСиР])*Таблица2[Оборудование2010])</f>
        <v>0</v>
      </c>
      <c r="M100" s="63">
        <f>W100*SUMPRODUCT(($B$2=Таблица2[Филиал])*($B$3=Таблица2[ФЕР/ТЕР])*(F100=Таблица2[Наименование работ])*(G100=Таблица2[ТПиР/НСиР])*Таблица2[Прочие2010])</f>
        <v>0</v>
      </c>
      <c r="N100" s="63">
        <f>S100*SUMPRODUCT(($B$2=Таблица2[Филиал])*($B$3=Таблица2[ФЕР/ТЕР])*(F100=Таблица2[Наименование работ])*(G100=Таблица2[ТПиР/НСиР])*Таблица2[ПИР2013-10])</f>
        <v>0</v>
      </c>
      <c r="O100" s="63">
        <f>T100*SUMPRODUCT(($B$2=Таблица2[Филиал])*($B$3=Таблица2[ФЕР/ТЕР])*(F100=Таблица2[Наименование работ])*(G100=Таблица2[ТПиР/НСиР])*Таблица2[СМР2013-10])</f>
        <v>0</v>
      </c>
      <c r="P100" s="63">
        <f>U100*SUMPRODUCT(($B$2=Таблица2[Филиал])*($B$3=Таблица2[ФЕР/ТЕР])*(F100=Таблица2[Наименование работ])*(G100=Таблица2[ТПиР/НСиР])*Таблица2[ПНР2013-10])</f>
        <v>0</v>
      </c>
      <c r="Q100" s="63">
        <f>V100*SUMPRODUCT(($B$2=Таблица2[Филиал])*($B$3=Таблица2[ФЕР/ТЕР])*(F100=Таблица2[Наименование работ])*(G100=Таблица2[ТПиР/НСиР])*Таблица2[Оборудование2013-10])</f>
        <v>0</v>
      </c>
      <c r="R100" s="63">
        <f>W100*SUMPRODUCT(($B$2=Таблица2[Филиал])*($B$3=Таблица2[ФЕР/ТЕР])*(F100=Таблица2[Наименование работ])*(G100=Таблица2[ТПиР/НСиР])*Таблица2[Прочие2013-10])</f>
        <v>0</v>
      </c>
      <c r="S100" s="63">
        <f>IF($B$4="в базовых ценах",калькулятор!J104,X100*SUMPRODUCT(($B$2=Таблица2[Филиал])*($B$3=Таблица2[ФЕР/ТЕР])*(F100=Таблица2[Наименование работ])*(G100=Таблица2[ТПиР/НСиР])/Таблица2[ПИР2013]))</f>
        <v>0</v>
      </c>
      <c r="T100" s="63">
        <f>IF($B$4="в базовых ценах",калькулятор!K104,Y100*SUMPRODUCT(($B$2=Таблица2[Филиал])*($B$3=Таблица2[ФЕР/ТЕР])*(F100=Таблица2[Наименование работ])*(G100=Таблица2[ТПиР/НСиР])/Таблица2[СМР2013]))</f>
        <v>0</v>
      </c>
      <c r="U100" s="63">
        <f>IF($B$4="в базовых ценах",калькулятор!L104,Z100*SUMPRODUCT(($B$2=Таблица2[Филиал])*($B$3=Таблица2[ФЕР/ТЕР])*(F100=Таблица2[Наименование работ])*(G100=Таблица2[ТПиР/НСиР])/Таблица2[ПНР2013]))</f>
        <v>0</v>
      </c>
      <c r="V100" s="63">
        <f>IF($B$4="в базовых ценах",калькулятор!M104,AA100*SUMPRODUCT(($B$2=Таблица2[Филиал])*($B$3=Таблица2[ФЕР/ТЕР])*(F100=Таблица2[Наименование работ])*(G100=Таблица2[ТПиР/НСиР])/Таблица2[Оборудование2013]))</f>
        <v>0</v>
      </c>
      <c r="W100" s="63">
        <f>IF($B$4="в базовых ценах",калькулятор!N104,AB100*SUMPRODUCT(($B$2=Таблица2[Филиал])*($B$3=Таблица2[ФЕР/ТЕР])*(F100=Таблица2[Наименование работ])*(G100=Таблица2[ТПиР/НСиР])/Таблица2[Прочие3]))</f>
        <v>0</v>
      </c>
      <c r="X100" s="63">
        <f>IF($B$4="в текущих ценах",калькулятор!J104,S100*SUMPRODUCT(($B$2=Таблица2[Филиал])*($B$3=Таблица2[ФЕР/ТЕР])*(F100=Таблица2[Наименование работ])*(G100=Таблица2[ТПиР/НСиР])*Таблица2[ПИР2013]))</f>
        <v>0</v>
      </c>
      <c r="Y100" s="63">
        <f>IF($B$4="в текущих ценах",калькулятор!K104,T100*SUMPRODUCT(($B$2=Таблица2[Филиал])*($B$3=Таблица2[ФЕР/ТЕР])*(F100=Таблица2[Наименование работ])*(G100=Таблица2[ТПиР/НСиР])*Таблица2[СМР2013]))</f>
        <v>0</v>
      </c>
      <c r="Z100" s="63">
        <f>IF($B$4="в текущих ценах",калькулятор!L104,U100*SUMPRODUCT(($B$2=Таблица2[Филиал])*($B$3=Таблица2[ФЕР/ТЕР])*(F100=Таблица2[Наименование работ])*(G100=Таблица2[ТПиР/НСиР])*Таблица2[ПНР2013]))</f>
        <v>0</v>
      </c>
      <c r="AA100" s="63">
        <f>IF($B$4="в текущих ценах",калькулятор!M104,V100*SUMPRODUCT(($B$2=Таблица2[Филиал])*($B$3=Таблица2[ФЕР/ТЕР])*(F100=Таблица2[Наименование работ])*(G100=Таблица2[ТПиР/НСиР])*Таблица2[Оборудование2013]))</f>
        <v>0</v>
      </c>
      <c r="AB100" s="63">
        <f>IF($B$4="в текущих ценах",калькулятор!N104,W100*SUMPRODUCT(($B$2=Таблица2[Филиал])*($B$3=Таблица2[ФЕР/ТЕР])*(F100=Таблица2[Наименование работ])*(G100=Таблица2[ТПиР/НСиР])*Таблица2[Прочие3]))</f>
        <v>0</v>
      </c>
      <c r="AC100" s="63">
        <f>SUM(данные!$I100:$M100)</f>
        <v>0</v>
      </c>
      <c r="AD100" s="63">
        <f>IF(SUM(данные!$N100:$R100)&gt;данные!$AF100,данные!$AF100*0.9*1.058,SUM(данные!$N100:$R100))</f>
        <v>0</v>
      </c>
      <c r="AE100" s="63">
        <f>SUM(данные!$S100:$W100)</f>
        <v>0</v>
      </c>
      <c r="AF100" s="63">
        <f>SUM(данные!$X100:$AB100)</f>
        <v>0</v>
      </c>
      <c r="AG100" s="63">
        <f>IF($B$4="в текущих ценах",S100*SUMPRODUCT(($B$2=Таблица2[Филиал])*($B$3=Таблица2[ФЕР/ТЕР])*(F100=Таблица2[Наименование работ])*(G100=Таблица2[ТПиР/НСиР])*Таблица2[ПИР2012]),S100*SUMPRODUCT(($B$2=Таблица2[Филиал])*($B$3=Таблица2[ФЕР/ТЕР])*(F100=Таблица2[Наименование работ])*(G100=Таблица2[ТПиР/НСиР])*Таблица2[ПИР2012]))</f>
        <v>0</v>
      </c>
      <c r="AH100" s="63">
        <f>IF($B$4="в текущих ценах",T100*SUMPRODUCT(($B$2=Таблица2[Филиал])*($B$3=Таблица2[ФЕР/ТЕР])*(F100=Таблица2[Наименование работ])*(G100=Таблица2[ТПиР/НСиР])*Таблица2[СМР2012]),T100*SUMPRODUCT(($B$2=Таблица2[Филиал])*($B$3=Таблица2[ФЕР/ТЕР])*(F100=Таблица2[Наименование работ])*(G100=Таблица2[ТПиР/НСиР])*Таблица2[СМР2012]))</f>
        <v>0</v>
      </c>
      <c r="AI100" s="63">
        <f>IF($B$4="в текущих ценах",U100*SUMPRODUCT(($B$2=Таблица2[Филиал])*($B$3=Таблица2[ФЕР/ТЕР])*(F100=Таблица2[Наименование работ])*(G100=Таблица2[ТПиР/НСиР])*Таблица2[ПНР2012]),U100*SUMPRODUCT(($B$2=Таблица2[Филиал])*($B$3=Таблица2[ФЕР/ТЕР])*(F100=Таблица2[Наименование работ])*(G100=Таблица2[ТПиР/НСиР])*Таблица2[ПНР2012]))</f>
        <v>0</v>
      </c>
      <c r="AJ100" s="63">
        <f>IF($B$4="в текущих ценах",V100*SUMPRODUCT(($B$2=Таблица2[Филиал])*($B$3=Таблица2[ФЕР/ТЕР])*(F100=Таблица2[Наименование работ])*(G100=Таблица2[ТПиР/НСиР])*Таблица2[Оборудование2012]),V100*SUMPRODUCT(($B$2=Таблица2[Филиал])*($B$3=Таблица2[ФЕР/ТЕР])*(F100=Таблица2[Наименование работ])*(G100=Таблица2[ТПиР/НСиР])*Таблица2[Оборудование2012]))</f>
        <v>0</v>
      </c>
      <c r="AK100" s="63">
        <f>IF($B$4="в текущих ценах",W100*SUMPRODUCT(($B$2=Таблица2[Филиал])*($B$3=Таблица2[ФЕР/ТЕР])*(F100=Таблица2[Наименование работ])*(G100=Таблица2[ТПиР/НСиР])*Таблица2[Прочее2012]),W100*SUMPRODUCT(($B$2=Таблица2[Филиал])*($B$3=Таблица2[ФЕР/ТЕР])*(F100=Таблица2[Наименование работ])*(G100=Таблица2[ТПиР/НСиР])*Таблица2[Прочее2012]))</f>
        <v>0</v>
      </c>
      <c r="AL100" s="63">
        <f>данные!$X100+данные!$Y100+данные!$Z100+данные!$AA100+данные!$AB100</f>
        <v>0</v>
      </c>
      <c r="AM100" s="63">
        <v>1.03639035</v>
      </c>
      <c r="AN100" s="63">
        <v>1.0114049394</v>
      </c>
      <c r="AO100" s="63">
        <v>0.98210394336149998</v>
      </c>
      <c r="AP100" s="63">
        <v>0.93762413895893393</v>
      </c>
      <c r="AQ100" s="63"/>
      <c r="AR100" s="63"/>
      <c r="AS100" s="64"/>
      <c r="AU100" s="66">
        <f t="shared" si="6"/>
        <v>0</v>
      </c>
      <c r="AX100" s="66">
        <f t="shared" si="7"/>
        <v>0</v>
      </c>
      <c r="AY100" s="66">
        <f t="shared" si="8"/>
        <v>0</v>
      </c>
      <c r="AZ100" s="66">
        <f t="shared" si="9"/>
        <v>0</v>
      </c>
      <c r="BA100" s="66">
        <f t="shared" si="10"/>
        <v>0</v>
      </c>
      <c r="BB100" s="66">
        <f t="shared" si="11"/>
        <v>0</v>
      </c>
    </row>
    <row r="101" spans="4:54" x14ac:dyDescent="0.25">
      <c r="D101" s="62">
        <f>калькулятор!C105</f>
        <v>0</v>
      </c>
      <c r="E101" s="62">
        <f>калькулятор!F105</f>
        <v>0</v>
      </c>
      <c r="F101" s="62">
        <f>калькулятор!G105</f>
        <v>0</v>
      </c>
      <c r="G101" s="62">
        <f>калькулятор!H105</f>
        <v>0</v>
      </c>
      <c r="H101" s="62">
        <f>калькулятор!I105</f>
        <v>0</v>
      </c>
      <c r="I101" s="63">
        <f>S101*SUMPRODUCT(($B$2=Таблица2[Филиал])*($B$3=Таблица2[ФЕР/ТЕР])*(F101=Таблица2[Наименование работ])*(G101=Таблица2[ТПиР/НСиР])*Таблица2[ПИР2010])</f>
        <v>0</v>
      </c>
      <c r="J101" s="63">
        <f>T101*SUMPRODUCT(($B$2=Таблица2[Филиал])*($B$3=Таблица2[ФЕР/ТЕР])*(F101=Таблица2[Наименование работ])*(G101=Таблица2[ТПиР/НСиР])*Таблица2[СМР2010])</f>
        <v>0</v>
      </c>
      <c r="K101" s="63">
        <f>U101*SUMPRODUCT(($B$2=Таблица2[Филиал])*($B$3=Таблица2[ФЕР/ТЕР])*(F101=Таблица2[Наименование работ])*(G101=Таблица2[ТПиР/НСиР])*Таблица2[ПНР2010])</f>
        <v>0</v>
      </c>
      <c r="L101" s="63">
        <f>V101*SUMPRODUCT(($B$2=Таблица2[Филиал])*($B$3=Таблица2[ФЕР/ТЕР])*(F101=Таблица2[Наименование работ])*(G101=Таблица2[ТПиР/НСиР])*Таблица2[Оборудование2010])</f>
        <v>0</v>
      </c>
      <c r="M101" s="63">
        <f>W101*SUMPRODUCT(($B$2=Таблица2[Филиал])*($B$3=Таблица2[ФЕР/ТЕР])*(F101=Таблица2[Наименование работ])*(G101=Таблица2[ТПиР/НСиР])*Таблица2[Прочие2010])</f>
        <v>0</v>
      </c>
      <c r="N101" s="63">
        <f>S101*SUMPRODUCT(($B$2=Таблица2[Филиал])*($B$3=Таблица2[ФЕР/ТЕР])*(F101=Таблица2[Наименование работ])*(G101=Таблица2[ТПиР/НСиР])*Таблица2[ПИР2013-10])</f>
        <v>0</v>
      </c>
      <c r="O101" s="63">
        <f>T101*SUMPRODUCT(($B$2=Таблица2[Филиал])*($B$3=Таблица2[ФЕР/ТЕР])*(F101=Таблица2[Наименование работ])*(G101=Таблица2[ТПиР/НСиР])*Таблица2[СМР2013-10])</f>
        <v>0</v>
      </c>
      <c r="P101" s="63">
        <f>U101*SUMPRODUCT(($B$2=Таблица2[Филиал])*($B$3=Таблица2[ФЕР/ТЕР])*(F101=Таблица2[Наименование работ])*(G101=Таблица2[ТПиР/НСиР])*Таблица2[ПНР2013-10])</f>
        <v>0</v>
      </c>
      <c r="Q101" s="63">
        <f>V101*SUMPRODUCT(($B$2=Таблица2[Филиал])*($B$3=Таблица2[ФЕР/ТЕР])*(F101=Таблица2[Наименование работ])*(G101=Таблица2[ТПиР/НСиР])*Таблица2[Оборудование2013-10])</f>
        <v>0</v>
      </c>
      <c r="R101" s="63">
        <f>W101*SUMPRODUCT(($B$2=Таблица2[Филиал])*($B$3=Таблица2[ФЕР/ТЕР])*(F101=Таблица2[Наименование работ])*(G101=Таблица2[ТПиР/НСиР])*Таблица2[Прочие2013-10])</f>
        <v>0</v>
      </c>
      <c r="S101" s="63">
        <f>IF($B$4="в базовых ценах",калькулятор!J105,X101*SUMPRODUCT(($B$2=Таблица2[Филиал])*($B$3=Таблица2[ФЕР/ТЕР])*(F101=Таблица2[Наименование работ])*(G101=Таблица2[ТПиР/НСиР])/Таблица2[ПИР2013]))</f>
        <v>0</v>
      </c>
      <c r="T101" s="63">
        <f>IF($B$4="в базовых ценах",калькулятор!K105,Y101*SUMPRODUCT(($B$2=Таблица2[Филиал])*($B$3=Таблица2[ФЕР/ТЕР])*(F101=Таблица2[Наименование работ])*(G101=Таблица2[ТПиР/НСиР])/Таблица2[СМР2013]))</f>
        <v>0</v>
      </c>
      <c r="U101" s="63">
        <f>IF($B$4="в базовых ценах",калькулятор!L105,Z101*SUMPRODUCT(($B$2=Таблица2[Филиал])*($B$3=Таблица2[ФЕР/ТЕР])*(F101=Таблица2[Наименование работ])*(G101=Таблица2[ТПиР/НСиР])/Таблица2[ПНР2013]))</f>
        <v>0</v>
      </c>
      <c r="V101" s="63">
        <f>IF($B$4="в базовых ценах",калькулятор!M105,AA101*SUMPRODUCT(($B$2=Таблица2[Филиал])*($B$3=Таблица2[ФЕР/ТЕР])*(F101=Таблица2[Наименование работ])*(G101=Таблица2[ТПиР/НСиР])/Таблица2[Оборудование2013]))</f>
        <v>0</v>
      </c>
      <c r="W101" s="63">
        <f>IF($B$4="в базовых ценах",калькулятор!N105,AB101*SUMPRODUCT(($B$2=Таблица2[Филиал])*($B$3=Таблица2[ФЕР/ТЕР])*(F101=Таблица2[Наименование работ])*(G101=Таблица2[ТПиР/НСиР])/Таблица2[Прочие3]))</f>
        <v>0</v>
      </c>
      <c r="X101" s="63">
        <f>IF($B$4="в текущих ценах",калькулятор!J105,S101*SUMPRODUCT(($B$2=Таблица2[Филиал])*($B$3=Таблица2[ФЕР/ТЕР])*(F101=Таблица2[Наименование работ])*(G101=Таблица2[ТПиР/НСиР])*Таблица2[ПИР2013]))</f>
        <v>0</v>
      </c>
      <c r="Y101" s="63">
        <f>IF($B$4="в текущих ценах",калькулятор!K105,T101*SUMPRODUCT(($B$2=Таблица2[Филиал])*($B$3=Таблица2[ФЕР/ТЕР])*(F101=Таблица2[Наименование работ])*(G101=Таблица2[ТПиР/НСиР])*Таблица2[СМР2013]))</f>
        <v>0</v>
      </c>
      <c r="Z101" s="63">
        <f>IF($B$4="в текущих ценах",калькулятор!L105,U101*SUMPRODUCT(($B$2=Таблица2[Филиал])*($B$3=Таблица2[ФЕР/ТЕР])*(F101=Таблица2[Наименование работ])*(G101=Таблица2[ТПиР/НСиР])*Таблица2[ПНР2013]))</f>
        <v>0</v>
      </c>
      <c r="AA101" s="63">
        <f>IF($B$4="в текущих ценах",калькулятор!M105,V101*SUMPRODUCT(($B$2=Таблица2[Филиал])*($B$3=Таблица2[ФЕР/ТЕР])*(F101=Таблица2[Наименование работ])*(G101=Таблица2[ТПиР/НСиР])*Таблица2[Оборудование2013]))</f>
        <v>0</v>
      </c>
      <c r="AB101" s="63">
        <f>IF($B$4="в текущих ценах",калькулятор!N105,W101*SUMPRODUCT(($B$2=Таблица2[Филиал])*($B$3=Таблица2[ФЕР/ТЕР])*(F101=Таблица2[Наименование работ])*(G101=Таблица2[ТПиР/НСиР])*Таблица2[Прочие3]))</f>
        <v>0</v>
      </c>
      <c r="AC101" s="63">
        <f>SUM(данные!$I101:$M101)</f>
        <v>0</v>
      </c>
      <c r="AD101" s="63">
        <f>IF(SUM(данные!$N101:$R101)&gt;данные!$AF101,данные!$AF101*0.9*1.058,SUM(данные!$N101:$R101))</f>
        <v>0</v>
      </c>
      <c r="AE101" s="63">
        <f>SUM(данные!$S101:$W101)</f>
        <v>0</v>
      </c>
      <c r="AF101" s="63">
        <f>SUM(данные!$X101:$AB101)</f>
        <v>0</v>
      </c>
      <c r="AG101" s="63">
        <f>IF($B$4="в текущих ценах",S101*SUMPRODUCT(($B$2=Таблица2[Филиал])*($B$3=Таблица2[ФЕР/ТЕР])*(F101=Таблица2[Наименование работ])*(G101=Таблица2[ТПиР/НСиР])*Таблица2[ПИР2012]),S101*SUMPRODUCT(($B$2=Таблица2[Филиал])*($B$3=Таблица2[ФЕР/ТЕР])*(F101=Таблица2[Наименование работ])*(G101=Таблица2[ТПиР/НСиР])*Таблица2[ПИР2012]))</f>
        <v>0</v>
      </c>
      <c r="AH101" s="63">
        <f>IF($B$4="в текущих ценах",T101*SUMPRODUCT(($B$2=Таблица2[Филиал])*($B$3=Таблица2[ФЕР/ТЕР])*(F101=Таблица2[Наименование работ])*(G101=Таблица2[ТПиР/НСиР])*Таблица2[СМР2012]),T101*SUMPRODUCT(($B$2=Таблица2[Филиал])*($B$3=Таблица2[ФЕР/ТЕР])*(F101=Таблица2[Наименование работ])*(G101=Таблица2[ТПиР/НСиР])*Таблица2[СМР2012]))</f>
        <v>0</v>
      </c>
      <c r="AI101" s="63">
        <f>IF($B$4="в текущих ценах",U101*SUMPRODUCT(($B$2=Таблица2[Филиал])*($B$3=Таблица2[ФЕР/ТЕР])*(F101=Таблица2[Наименование работ])*(G101=Таблица2[ТПиР/НСиР])*Таблица2[ПНР2012]),U101*SUMPRODUCT(($B$2=Таблица2[Филиал])*($B$3=Таблица2[ФЕР/ТЕР])*(F101=Таблица2[Наименование работ])*(G101=Таблица2[ТПиР/НСиР])*Таблица2[ПНР2012]))</f>
        <v>0</v>
      </c>
      <c r="AJ101" s="63">
        <f>IF($B$4="в текущих ценах",V101*SUMPRODUCT(($B$2=Таблица2[Филиал])*($B$3=Таблица2[ФЕР/ТЕР])*(F101=Таблица2[Наименование работ])*(G101=Таблица2[ТПиР/НСиР])*Таблица2[Оборудование2012]),V101*SUMPRODUCT(($B$2=Таблица2[Филиал])*($B$3=Таблица2[ФЕР/ТЕР])*(F101=Таблица2[Наименование работ])*(G101=Таблица2[ТПиР/НСиР])*Таблица2[Оборудование2012]))</f>
        <v>0</v>
      </c>
      <c r="AK101" s="63">
        <f>IF($B$4="в текущих ценах",W101*SUMPRODUCT(($B$2=Таблица2[Филиал])*($B$3=Таблица2[ФЕР/ТЕР])*(F101=Таблица2[Наименование работ])*(G101=Таблица2[ТПиР/НСиР])*Таблица2[Прочее2012]),W101*SUMPRODUCT(($B$2=Таблица2[Филиал])*($B$3=Таблица2[ФЕР/ТЕР])*(F101=Таблица2[Наименование работ])*(G101=Таблица2[ТПиР/НСиР])*Таблица2[Прочее2012]))</f>
        <v>0</v>
      </c>
      <c r="AL101" s="63">
        <f>данные!$X101+данные!$Y101+данные!$Z101+данные!$AA101+данные!$AB101</f>
        <v>0</v>
      </c>
      <c r="AM101" s="63">
        <v>1.03639035</v>
      </c>
      <c r="AN101" s="63">
        <v>1.0114049394</v>
      </c>
      <c r="AO101" s="63">
        <v>0.98210394336149998</v>
      </c>
      <c r="AP101" s="63">
        <v>0.93762413895893393</v>
      </c>
      <c r="AQ101" s="63"/>
      <c r="AR101" s="63"/>
      <c r="AS101" s="64"/>
      <c r="AU101" s="66">
        <f t="shared" si="6"/>
        <v>0</v>
      </c>
      <c r="AX101" s="66">
        <f t="shared" si="7"/>
        <v>0</v>
      </c>
      <c r="AY101" s="66">
        <f t="shared" si="8"/>
        <v>0</v>
      </c>
      <c r="AZ101" s="66">
        <f t="shared" si="9"/>
        <v>0</v>
      </c>
      <c r="BA101" s="66">
        <f t="shared" si="10"/>
        <v>0</v>
      </c>
      <c r="BB101" s="66">
        <f t="shared" si="11"/>
        <v>0</v>
      </c>
    </row>
    <row r="102" spans="4:54" x14ac:dyDescent="0.25">
      <c r="D102" s="62">
        <f>калькулятор!C106</f>
        <v>0</v>
      </c>
      <c r="E102" s="62">
        <f>калькулятор!F106</f>
        <v>0</v>
      </c>
      <c r="F102" s="62">
        <f>калькулятор!G106</f>
        <v>0</v>
      </c>
      <c r="G102" s="62">
        <f>калькулятор!H106</f>
        <v>0</v>
      </c>
      <c r="H102" s="62">
        <f>калькулятор!I106</f>
        <v>0</v>
      </c>
      <c r="I102" s="63">
        <f>S102*SUMPRODUCT(($B$2=Таблица2[Филиал])*($B$3=Таблица2[ФЕР/ТЕР])*(F102=Таблица2[Наименование работ])*(G102=Таблица2[ТПиР/НСиР])*Таблица2[ПИР2010])</f>
        <v>0</v>
      </c>
      <c r="J102" s="63">
        <f>T102*SUMPRODUCT(($B$2=Таблица2[Филиал])*($B$3=Таблица2[ФЕР/ТЕР])*(F102=Таблица2[Наименование работ])*(G102=Таблица2[ТПиР/НСиР])*Таблица2[СМР2010])</f>
        <v>0</v>
      </c>
      <c r="K102" s="63">
        <f>U102*SUMPRODUCT(($B$2=Таблица2[Филиал])*($B$3=Таблица2[ФЕР/ТЕР])*(F102=Таблица2[Наименование работ])*(G102=Таблица2[ТПиР/НСиР])*Таблица2[ПНР2010])</f>
        <v>0</v>
      </c>
      <c r="L102" s="63">
        <f>V102*SUMPRODUCT(($B$2=Таблица2[Филиал])*($B$3=Таблица2[ФЕР/ТЕР])*(F102=Таблица2[Наименование работ])*(G102=Таблица2[ТПиР/НСиР])*Таблица2[Оборудование2010])</f>
        <v>0</v>
      </c>
      <c r="M102" s="63">
        <f>W102*SUMPRODUCT(($B$2=Таблица2[Филиал])*($B$3=Таблица2[ФЕР/ТЕР])*(F102=Таблица2[Наименование работ])*(G102=Таблица2[ТПиР/НСиР])*Таблица2[Прочие2010])</f>
        <v>0</v>
      </c>
      <c r="N102" s="63">
        <f>S102*SUMPRODUCT(($B$2=Таблица2[Филиал])*($B$3=Таблица2[ФЕР/ТЕР])*(F102=Таблица2[Наименование работ])*(G102=Таблица2[ТПиР/НСиР])*Таблица2[ПИР2013-10])</f>
        <v>0</v>
      </c>
      <c r="O102" s="63">
        <f>T102*SUMPRODUCT(($B$2=Таблица2[Филиал])*($B$3=Таблица2[ФЕР/ТЕР])*(F102=Таблица2[Наименование работ])*(G102=Таблица2[ТПиР/НСиР])*Таблица2[СМР2013-10])</f>
        <v>0</v>
      </c>
      <c r="P102" s="63">
        <f>U102*SUMPRODUCT(($B$2=Таблица2[Филиал])*($B$3=Таблица2[ФЕР/ТЕР])*(F102=Таблица2[Наименование работ])*(G102=Таблица2[ТПиР/НСиР])*Таблица2[ПНР2013-10])</f>
        <v>0</v>
      </c>
      <c r="Q102" s="63">
        <f>V102*SUMPRODUCT(($B$2=Таблица2[Филиал])*($B$3=Таблица2[ФЕР/ТЕР])*(F102=Таблица2[Наименование работ])*(G102=Таблица2[ТПиР/НСиР])*Таблица2[Оборудование2013-10])</f>
        <v>0</v>
      </c>
      <c r="R102" s="63">
        <f>W102*SUMPRODUCT(($B$2=Таблица2[Филиал])*($B$3=Таблица2[ФЕР/ТЕР])*(F102=Таблица2[Наименование работ])*(G102=Таблица2[ТПиР/НСиР])*Таблица2[Прочие2013-10])</f>
        <v>0</v>
      </c>
      <c r="S102" s="63">
        <f>IF($B$4="в базовых ценах",калькулятор!J106,X102*SUMPRODUCT(($B$2=Таблица2[Филиал])*($B$3=Таблица2[ФЕР/ТЕР])*(F102=Таблица2[Наименование работ])*(G102=Таблица2[ТПиР/НСиР])/Таблица2[ПИР2013]))</f>
        <v>0</v>
      </c>
      <c r="T102" s="63">
        <f>IF($B$4="в базовых ценах",калькулятор!K106,Y102*SUMPRODUCT(($B$2=Таблица2[Филиал])*($B$3=Таблица2[ФЕР/ТЕР])*(F102=Таблица2[Наименование работ])*(G102=Таблица2[ТПиР/НСиР])/Таблица2[СМР2013]))</f>
        <v>0</v>
      </c>
      <c r="U102" s="63">
        <f>IF($B$4="в базовых ценах",калькулятор!L106,Z102*SUMPRODUCT(($B$2=Таблица2[Филиал])*($B$3=Таблица2[ФЕР/ТЕР])*(F102=Таблица2[Наименование работ])*(G102=Таблица2[ТПиР/НСиР])/Таблица2[ПНР2013]))</f>
        <v>0</v>
      </c>
      <c r="V102" s="63">
        <f>IF($B$4="в базовых ценах",калькулятор!M106,AA102*SUMPRODUCT(($B$2=Таблица2[Филиал])*($B$3=Таблица2[ФЕР/ТЕР])*(F102=Таблица2[Наименование работ])*(G102=Таблица2[ТПиР/НСиР])/Таблица2[Оборудование2013]))</f>
        <v>0</v>
      </c>
      <c r="W102" s="63">
        <f>IF($B$4="в базовых ценах",калькулятор!N106,AB102*SUMPRODUCT(($B$2=Таблица2[Филиал])*($B$3=Таблица2[ФЕР/ТЕР])*(F102=Таблица2[Наименование работ])*(G102=Таблица2[ТПиР/НСиР])/Таблица2[Прочие3]))</f>
        <v>0</v>
      </c>
      <c r="X102" s="63">
        <f>IF($B$4="в текущих ценах",калькулятор!J106,S102*SUMPRODUCT(($B$2=Таблица2[Филиал])*($B$3=Таблица2[ФЕР/ТЕР])*(F102=Таблица2[Наименование работ])*(G102=Таблица2[ТПиР/НСиР])*Таблица2[ПИР2013]))</f>
        <v>0</v>
      </c>
      <c r="Y102" s="63">
        <f>IF($B$4="в текущих ценах",калькулятор!K106,T102*SUMPRODUCT(($B$2=Таблица2[Филиал])*($B$3=Таблица2[ФЕР/ТЕР])*(F102=Таблица2[Наименование работ])*(G102=Таблица2[ТПиР/НСиР])*Таблица2[СМР2013]))</f>
        <v>0</v>
      </c>
      <c r="Z102" s="63">
        <f>IF($B$4="в текущих ценах",калькулятор!L106,U102*SUMPRODUCT(($B$2=Таблица2[Филиал])*($B$3=Таблица2[ФЕР/ТЕР])*(F102=Таблица2[Наименование работ])*(G102=Таблица2[ТПиР/НСиР])*Таблица2[ПНР2013]))</f>
        <v>0</v>
      </c>
      <c r="AA102" s="63">
        <f>IF($B$4="в текущих ценах",калькулятор!M106,V102*SUMPRODUCT(($B$2=Таблица2[Филиал])*($B$3=Таблица2[ФЕР/ТЕР])*(F102=Таблица2[Наименование работ])*(G102=Таблица2[ТПиР/НСиР])*Таблица2[Оборудование2013]))</f>
        <v>0</v>
      </c>
      <c r="AB102" s="63">
        <f>IF($B$4="в текущих ценах",калькулятор!N106,W102*SUMPRODUCT(($B$2=Таблица2[Филиал])*($B$3=Таблица2[ФЕР/ТЕР])*(F102=Таблица2[Наименование работ])*(G102=Таблица2[ТПиР/НСиР])*Таблица2[Прочие3]))</f>
        <v>0</v>
      </c>
      <c r="AC102" s="63">
        <f>SUM(данные!$I102:$M102)</f>
        <v>0</v>
      </c>
      <c r="AD102" s="63">
        <f>IF(SUM(данные!$N102:$R102)&gt;данные!$AF102,данные!$AF102*0.9*1.058,SUM(данные!$N102:$R102))</f>
        <v>0</v>
      </c>
      <c r="AE102" s="63">
        <f>SUM(данные!$S102:$W102)</f>
        <v>0</v>
      </c>
      <c r="AF102" s="63">
        <f>SUM(данные!$X102:$AB102)</f>
        <v>0</v>
      </c>
      <c r="AG102" s="63">
        <f>IF($B$4="в текущих ценах",S102*SUMPRODUCT(($B$2=Таблица2[Филиал])*($B$3=Таблица2[ФЕР/ТЕР])*(F102=Таблица2[Наименование работ])*(G102=Таблица2[ТПиР/НСиР])*Таблица2[ПИР2012]),S102*SUMPRODUCT(($B$2=Таблица2[Филиал])*($B$3=Таблица2[ФЕР/ТЕР])*(F102=Таблица2[Наименование работ])*(G102=Таблица2[ТПиР/НСиР])*Таблица2[ПИР2012]))</f>
        <v>0</v>
      </c>
      <c r="AH102" s="63">
        <f>IF($B$4="в текущих ценах",T102*SUMPRODUCT(($B$2=Таблица2[Филиал])*($B$3=Таблица2[ФЕР/ТЕР])*(F102=Таблица2[Наименование работ])*(G102=Таблица2[ТПиР/НСиР])*Таблица2[СМР2012]),T102*SUMPRODUCT(($B$2=Таблица2[Филиал])*($B$3=Таблица2[ФЕР/ТЕР])*(F102=Таблица2[Наименование работ])*(G102=Таблица2[ТПиР/НСиР])*Таблица2[СМР2012]))</f>
        <v>0</v>
      </c>
      <c r="AI102" s="63">
        <f>IF($B$4="в текущих ценах",U102*SUMPRODUCT(($B$2=Таблица2[Филиал])*($B$3=Таблица2[ФЕР/ТЕР])*(F102=Таблица2[Наименование работ])*(G102=Таблица2[ТПиР/НСиР])*Таблица2[ПНР2012]),U102*SUMPRODUCT(($B$2=Таблица2[Филиал])*($B$3=Таблица2[ФЕР/ТЕР])*(F102=Таблица2[Наименование работ])*(G102=Таблица2[ТПиР/НСиР])*Таблица2[ПНР2012]))</f>
        <v>0</v>
      </c>
      <c r="AJ102" s="63">
        <f>IF($B$4="в текущих ценах",V102*SUMPRODUCT(($B$2=Таблица2[Филиал])*($B$3=Таблица2[ФЕР/ТЕР])*(F102=Таблица2[Наименование работ])*(G102=Таблица2[ТПиР/НСиР])*Таблица2[Оборудование2012]),V102*SUMPRODUCT(($B$2=Таблица2[Филиал])*($B$3=Таблица2[ФЕР/ТЕР])*(F102=Таблица2[Наименование работ])*(G102=Таблица2[ТПиР/НСиР])*Таблица2[Оборудование2012]))</f>
        <v>0</v>
      </c>
      <c r="AK102" s="63">
        <f>IF($B$4="в текущих ценах",W102*SUMPRODUCT(($B$2=Таблица2[Филиал])*($B$3=Таблица2[ФЕР/ТЕР])*(F102=Таблица2[Наименование работ])*(G102=Таблица2[ТПиР/НСиР])*Таблица2[Прочее2012]),W102*SUMPRODUCT(($B$2=Таблица2[Филиал])*($B$3=Таблица2[ФЕР/ТЕР])*(F102=Таблица2[Наименование работ])*(G102=Таблица2[ТПиР/НСиР])*Таблица2[Прочее2012]))</f>
        <v>0</v>
      </c>
      <c r="AL102" s="63">
        <f>данные!$X102+данные!$Y102+данные!$Z102+данные!$AA102+данные!$AB102</f>
        <v>0</v>
      </c>
      <c r="AM102" s="63">
        <v>1.03639035</v>
      </c>
      <c r="AN102" s="63">
        <v>1.0114049394</v>
      </c>
      <c r="AO102" s="63">
        <v>0.98210394336149998</v>
      </c>
      <c r="AP102" s="63">
        <v>0.93762413895893393</v>
      </c>
      <c r="AQ102" s="63"/>
      <c r="AR102" s="63"/>
      <c r="AS102" s="64"/>
      <c r="AU102" s="66">
        <f t="shared" si="6"/>
        <v>0</v>
      </c>
      <c r="AX102" s="66">
        <f t="shared" si="7"/>
        <v>0</v>
      </c>
      <c r="AY102" s="66">
        <f t="shared" si="8"/>
        <v>0</v>
      </c>
      <c r="AZ102" s="66">
        <f t="shared" si="9"/>
        <v>0</v>
      </c>
      <c r="BA102" s="66">
        <f t="shared" si="10"/>
        <v>0</v>
      </c>
      <c r="BB102" s="66">
        <f t="shared" si="11"/>
        <v>0</v>
      </c>
    </row>
    <row r="103" spans="4:54" x14ac:dyDescent="0.25">
      <c r="D103" s="62">
        <f>калькулятор!C108</f>
        <v>0</v>
      </c>
      <c r="E103" s="62">
        <f>калькулятор!F108</f>
        <v>0</v>
      </c>
      <c r="F103" s="62">
        <f>калькулятор!G108</f>
        <v>0</v>
      </c>
      <c r="G103" s="62">
        <f>калькулятор!H108</f>
        <v>0</v>
      </c>
      <c r="H103" s="62">
        <f>калькулятор!I108</f>
        <v>0</v>
      </c>
      <c r="I103" s="63">
        <f>S103*SUMPRODUCT(($B$2=Таблица2[Филиал])*($B$3=Таблица2[ФЕР/ТЕР])*(F103=Таблица2[Наименование работ])*(G103=Таблица2[ТПиР/НСиР])*Таблица2[ПИР2010])</f>
        <v>0</v>
      </c>
      <c r="J103" s="63">
        <f>T103*SUMPRODUCT(($B$2=Таблица2[Филиал])*($B$3=Таблица2[ФЕР/ТЕР])*(F103=Таблица2[Наименование работ])*(G103=Таблица2[ТПиР/НСиР])*Таблица2[СМР2010])</f>
        <v>0</v>
      </c>
      <c r="K103" s="63">
        <f>U103*SUMPRODUCT(($B$2=Таблица2[Филиал])*($B$3=Таблица2[ФЕР/ТЕР])*(F103=Таблица2[Наименование работ])*(G103=Таблица2[ТПиР/НСиР])*Таблица2[ПНР2010])</f>
        <v>0</v>
      </c>
      <c r="L103" s="63">
        <f>V103*SUMPRODUCT(($B$2=Таблица2[Филиал])*($B$3=Таблица2[ФЕР/ТЕР])*(F103=Таблица2[Наименование работ])*(G103=Таблица2[ТПиР/НСиР])*Таблица2[Оборудование2010])</f>
        <v>0</v>
      </c>
      <c r="M103" s="63">
        <f>W103*SUMPRODUCT(($B$2=Таблица2[Филиал])*($B$3=Таблица2[ФЕР/ТЕР])*(F103=Таблица2[Наименование работ])*(G103=Таблица2[ТПиР/НСиР])*Таблица2[Прочие2010])</f>
        <v>0</v>
      </c>
      <c r="N103" s="63">
        <f>S103*SUMPRODUCT(($B$2=Таблица2[Филиал])*($B$3=Таблица2[ФЕР/ТЕР])*(F103=Таблица2[Наименование работ])*(G103=Таблица2[ТПиР/НСиР])*Таблица2[ПИР2013-10])</f>
        <v>0</v>
      </c>
      <c r="O103" s="63">
        <f>T103*SUMPRODUCT(($B$2=Таблица2[Филиал])*($B$3=Таблица2[ФЕР/ТЕР])*(F103=Таблица2[Наименование работ])*(G103=Таблица2[ТПиР/НСиР])*Таблица2[СМР2013-10])</f>
        <v>0</v>
      </c>
      <c r="P103" s="63">
        <f>U103*SUMPRODUCT(($B$2=Таблица2[Филиал])*($B$3=Таблица2[ФЕР/ТЕР])*(F103=Таблица2[Наименование работ])*(G103=Таблица2[ТПиР/НСиР])*Таблица2[ПНР2013-10])</f>
        <v>0</v>
      </c>
      <c r="Q103" s="63">
        <f>V103*SUMPRODUCT(($B$2=Таблица2[Филиал])*($B$3=Таблица2[ФЕР/ТЕР])*(F103=Таблица2[Наименование работ])*(G103=Таблица2[ТПиР/НСиР])*Таблица2[Оборудование2013-10])</f>
        <v>0</v>
      </c>
      <c r="R103" s="63">
        <f>W103*SUMPRODUCT(($B$2=Таблица2[Филиал])*($B$3=Таблица2[ФЕР/ТЕР])*(F103=Таблица2[Наименование работ])*(G103=Таблица2[ТПиР/НСиР])*Таблица2[Прочие2013-10])</f>
        <v>0</v>
      </c>
      <c r="S103" s="63">
        <f>IF($B$4="в базовых ценах",калькулятор!J108,X103*SUMPRODUCT(($B$2=Таблица2[Филиал])*($B$3=Таблица2[ФЕР/ТЕР])*(F103=Таблица2[Наименование работ])*(G103=Таблица2[ТПиР/НСиР])/Таблица2[ПИР2013]))</f>
        <v>0</v>
      </c>
      <c r="T103" s="63">
        <f>IF($B$4="в базовых ценах",калькулятор!K108,Y103*SUMPRODUCT(($B$2=Таблица2[Филиал])*($B$3=Таблица2[ФЕР/ТЕР])*(F103=Таблица2[Наименование работ])*(G103=Таблица2[ТПиР/НСиР])/Таблица2[СМР2013]))</f>
        <v>0</v>
      </c>
      <c r="U103" s="63">
        <f>IF($B$4="в базовых ценах",калькулятор!L108,Z103*SUMPRODUCT(($B$2=Таблица2[Филиал])*($B$3=Таблица2[ФЕР/ТЕР])*(F103=Таблица2[Наименование работ])*(G103=Таблица2[ТПиР/НСиР])/Таблица2[ПНР2013]))</f>
        <v>0</v>
      </c>
      <c r="V103" s="63">
        <f>IF($B$4="в базовых ценах",калькулятор!M108,AA103*SUMPRODUCT(($B$2=Таблица2[Филиал])*($B$3=Таблица2[ФЕР/ТЕР])*(F103=Таблица2[Наименование работ])*(G103=Таблица2[ТПиР/НСиР])/Таблица2[Оборудование2013]))</f>
        <v>0</v>
      </c>
      <c r="W103" s="63">
        <f>IF($B$4="в базовых ценах",калькулятор!N108,AB103*SUMPRODUCT(($B$2=Таблица2[Филиал])*($B$3=Таблица2[ФЕР/ТЕР])*(F103=Таблица2[Наименование работ])*(G103=Таблица2[ТПиР/НСиР])/Таблица2[Прочие3]))</f>
        <v>0</v>
      </c>
      <c r="X103" s="63">
        <f>IF($B$4="в текущих ценах",калькулятор!J108,S103*SUMPRODUCT(($B$2=Таблица2[Филиал])*($B$3=Таблица2[ФЕР/ТЕР])*(F103=Таблица2[Наименование работ])*(G103=Таблица2[ТПиР/НСиР])*Таблица2[ПИР2013]))</f>
        <v>0</v>
      </c>
      <c r="Y103" s="63">
        <f>IF($B$4="в текущих ценах",калькулятор!K108,T103*SUMPRODUCT(($B$2=Таблица2[Филиал])*($B$3=Таблица2[ФЕР/ТЕР])*(F103=Таблица2[Наименование работ])*(G103=Таблица2[ТПиР/НСиР])*Таблица2[СМР2013]))</f>
        <v>0</v>
      </c>
      <c r="Z103" s="63">
        <f>IF($B$4="в текущих ценах",калькулятор!L108,U103*SUMPRODUCT(($B$2=Таблица2[Филиал])*($B$3=Таблица2[ФЕР/ТЕР])*(F103=Таблица2[Наименование работ])*(G103=Таблица2[ТПиР/НСиР])*Таблица2[ПНР2013]))</f>
        <v>0</v>
      </c>
      <c r="AA103" s="63">
        <f>IF($B$4="в текущих ценах",калькулятор!M108,V103*SUMPRODUCT(($B$2=Таблица2[Филиал])*($B$3=Таблица2[ФЕР/ТЕР])*(F103=Таблица2[Наименование работ])*(G103=Таблица2[ТПиР/НСиР])*Таблица2[Оборудование2013]))</f>
        <v>0</v>
      </c>
      <c r="AB103" s="63">
        <f>IF($B$4="в текущих ценах",калькулятор!N108,W103*SUMPRODUCT(($B$2=Таблица2[Филиал])*($B$3=Таблица2[ФЕР/ТЕР])*(F103=Таблица2[Наименование работ])*(G103=Таблица2[ТПиР/НСиР])*Таблица2[Прочие3]))</f>
        <v>0</v>
      </c>
      <c r="AC103" s="63">
        <f>SUM(данные!$I103:$M103)</f>
        <v>0</v>
      </c>
      <c r="AD103" s="63">
        <f>IF(SUM(данные!$N103:$R103)&gt;данные!$AF103,данные!$AF103*0.9*1.058,SUM(данные!$N103:$R103))</f>
        <v>0</v>
      </c>
      <c r="AE103" s="63">
        <f>SUM(данные!$S103:$W103)</f>
        <v>0</v>
      </c>
      <c r="AF103" s="63">
        <f>SUM(данные!$X103:$AB103)</f>
        <v>0</v>
      </c>
      <c r="AG103" s="63">
        <f>IF($B$4="в текущих ценах",S103*SUMPRODUCT(($B$2=Таблица2[Филиал])*($B$3=Таблица2[ФЕР/ТЕР])*(F103=Таблица2[Наименование работ])*(G103=Таблица2[ТПиР/НСиР])*Таблица2[ПИР2012]),S103*SUMPRODUCT(($B$2=Таблица2[Филиал])*($B$3=Таблица2[ФЕР/ТЕР])*(F103=Таблица2[Наименование работ])*(G103=Таблица2[ТПиР/НСиР])*Таблица2[ПИР2012]))</f>
        <v>0</v>
      </c>
      <c r="AH103" s="63">
        <f>IF($B$4="в текущих ценах",T103*SUMPRODUCT(($B$2=Таблица2[Филиал])*($B$3=Таблица2[ФЕР/ТЕР])*(F103=Таблица2[Наименование работ])*(G103=Таблица2[ТПиР/НСиР])*Таблица2[СМР2012]),T103*SUMPRODUCT(($B$2=Таблица2[Филиал])*($B$3=Таблица2[ФЕР/ТЕР])*(F103=Таблица2[Наименование работ])*(G103=Таблица2[ТПиР/НСиР])*Таблица2[СМР2012]))</f>
        <v>0</v>
      </c>
      <c r="AI103" s="63">
        <f>IF($B$4="в текущих ценах",U103*SUMPRODUCT(($B$2=Таблица2[Филиал])*($B$3=Таблица2[ФЕР/ТЕР])*(F103=Таблица2[Наименование работ])*(G103=Таблица2[ТПиР/НСиР])*Таблица2[ПНР2012]),U103*SUMPRODUCT(($B$2=Таблица2[Филиал])*($B$3=Таблица2[ФЕР/ТЕР])*(F103=Таблица2[Наименование работ])*(G103=Таблица2[ТПиР/НСиР])*Таблица2[ПНР2012]))</f>
        <v>0</v>
      </c>
      <c r="AJ103" s="63">
        <f>IF($B$4="в текущих ценах",V103*SUMPRODUCT(($B$2=Таблица2[Филиал])*($B$3=Таблица2[ФЕР/ТЕР])*(F103=Таблица2[Наименование работ])*(G103=Таблица2[ТПиР/НСиР])*Таблица2[Оборудование2012]),V103*SUMPRODUCT(($B$2=Таблица2[Филиал])*($B$3=Таблица2[ФЕР/ТЕР])*(F103=Таблица2[Наименование работ])*(G103=Таблица2[ТПиР/НСиР])*Таблица2[Оборудование2012]))</f>
        <v>0</v>
      </c>
      <c r="AK103" s="63">
        <f>IF($B$4="в текущих ценах",W103*SUMPRODUCT(($B$2=Таблица2[Филиал])*($B$3=Таблица2[ФЕР/ТЕР])*(F103=Таблица2[Наименование работ])*(G103=Таблица2[ТПиР/НСиР])*Таблица2[Прочее2012]),W103*SUMPRODUCT(($B$2=Таблица2[Филиал])*($B$3=Таблица2[ФЕР/ТЕР])*(F103=Таблица2[Наименование работ])*(G103=Таблица2[ТПиР/НСиР])*Таблица2[Прочее2012]))</f>
        <v>0</v>
      </c>
      <c r="AL103" s="63">
        <f>данные!$X103+данные!$Y103+данные!$Z103+данные!$AA103+данные!$AB103</f>
        <v>0</v>
      </c>
      <c r="AM103" s="63">
        <v>1.03639035</v>
      </c>
      <c r="AN103" s="63">
        <v>1.0114049394</v>
      </c>
      <c r="AO103" s="63">
        <v>0.98210394336149998</v>
      </c>
      <c r="AP103" s="63">
        <v>0.93762413895893393</v>
      </c>
      <c r="AQ103" s="63"/>
      <c r="AR103" s="63"/>
      <c r="AS103" s="64"/>
      <c r="AU103" s="66">
        <f t="shared" si="6"/>
        <v>0</v>
      </c>
      <c r="AX103" s="66">
        <f t="shared" si="7"/>
        <v>0</v>
      </c>
      <c r="AY103" s="66">
        <f t="shared" si="8"/>
        <v>0</v>
      </c>
      <c r="AZ103" s="66">
        <f t="shared" si="9"/>
        <v>0</v>
      </c>
      <c r="BA103" s="66">
        <f t="shared" si="10"/>
        <v>0</v>
      </c>
      <c r="BB103" s="66">
        <f t="shared" si="11"/>
        <v>0</v>
      </c>
    </row>
    <row r="104" spans="4:54" x14ac:dyDescent="0.25">
      <c r="D104" s="62">
        <f>калькулятор!C109</f>
        <v>0</v>
      </c>
      <c r="E104" s="62">
        <f>калькулятор!F109</f>
        <v>0</v>
      </c>
      <c r="F104" s="62">
        <f>калькулятор!G109</f>
        <v>0</v>
      </c>
      <c r="G104" s="62">
        <f>калькулятор!H109</f>
        <v>0</v>
      </c>
      <c r="H104" s="62">
        <f>калькулятор!I109</f>
        <v>0</v>
      </c>
      <c r="I104" s="63">
        <f>S104*SUMPRODUCT(($B$2=Таблица2[Филиал])*($B$3=Таблица2[ФЕР/ТЕР])*(F104=Таблица2[Наименование работ])*(G104=Таблица2[ТПиР/НСиР])*Таблица2[ПИР2010])</f>
        <v>0</v>
      </c>
      <c r="J104" s="63">
        <f>T104*SUMPRODUCT(($B$2=Таблица2[Филиал])*($B$3=Таблица2[ФЕР/ТЕР])*(F104=Таблица2[Наименование работ])*(G104=Таблица2[ТПиР/НСиР])*Таблица2[СМР2010])</f>
        <v>0</v>
      </c>
      <c r="K104" s="63">
        <f>U104*SUMPRODUCT(($B$2=Таблица2[Филиал])*($B$3=Таблица2[ФЕР/ТЕР])*(F104=Таблица2[Наименование работ])*(G104=Таблица2[ТПиР/НСиР])*Таблица2[ПНР2010])</f>
        <v>0</v>
      </c>
      <c r="L104" s="63">
        <f>V104*SUMPRODUCT(($B$2=Таблица2[Филиал])*($B$3=Таблица2[ФЕР/ТЕР])*(F104=Таблица2[Наименование работ])*(G104=Таблица2[ТПиР/НСиР])*Таблица2[Оборудование2010])</f>
        <v>0</v>
      </c>
      <c r="M104" s="63">
        <f>W104*SUMPRODUCT(($B$2=Таблица2[Филиал])*($B$3=Таблица2[ФЕР/ТЕР])*(F104=Таблица2[Наименование работ])*(G104=Таблица2[ТПиР/НСиР])*Таблица2[Прочие2010])</f>
        <v>0</v>
      </c>
      <c r="N104" s="63">
        <f>S104*SUMPRODUCT(($B$2=Таблица2[Филиал])*($B$3=Таблица2[ФЕР/ТЕР])*(F104=Таблица2[Наименование работ])*(G104=Таблица2[ТПиР/НСиР])*Таблица2[ПИР2013-10])</f>
        <v>0</v>
      </c>
      <c r="O104" s="63">
        <f>T104*SUMPRODUCT(($B$2=Таблица2[Филиал])*($B$3=Таблица2[ФЕР/ТЕР])*(F104=Таблица2[Наименование работ])*(G104=Таблица2[ТПиР/НСиР])*Таблица2[СМР2013-10])</f>
        <v>0</v>
      </c>
      <c r="P104" s="63">
        <f>U104*SUMPRODUCT(($B$2=Таблица2[Филиал])*($B$3=Таблица2[ФЕР/ТЕР])*(F104=Таблица2[Наименование работ])*(G104=Таблица2[ТПиР/НСиР])*Таблица2[ПНР2013-10])</f>
        <v>0</v>
      </c>
      <c r="Q104" s="63">
        <f>V104*SUMPRODUCT(($B$2=Таблица2[Филиал])*($B$3=Таблица2[ФЕР/ТЕР])*(F104=Таблица2[Наименование работ])*(G104=Таблица2[ТПиР/НСиР])*Таблица2[Оборудование2013-10])</f>
        <v>0</v>
      </c>
      <c r="R104" s="63">
        <f>W104*SUMPRODUCT(($B$2=Таблица2[Филиал])*($B$3=Таблица2[ФЕР/ТЕР])*(F104=Таблица2[Наименование работ])*(G104=Таблица2[ТПиР/НСиР])*Таблица2[Прочие2013-10])</f>
        <v>0</v>
      </c>
      <c r="S104" s="63">
        <f>IF($B$4="в базовых ценах",калькулятор!J109,X104*SUMPRODUCT(($B$2=Таблица2[Филиал])*($B$3=Таблица2[ФЕР/ТЕР])*(F104=Таблица2[Наименование работ])*(G104=Таблица2[ТПиР/НСиР])/Таблица2[ПИР2013]))</f>
        <v>0</v>
      </c>
      <c r="T104" s="63">
        <f>IF($B$4="в базовых ценах",калькулятор!K109,Y104*SUMPRODUCT(($B$2=Таблица2[Филиал])*($B$3=Таблица2[ФЕР/ТЕР])*(F104=Таблица2[Наименование работ])*(G104=Таблица2[ТПиР/НСиР])/Таблица2[СМР2013]))</f>
        <v>0</v>
      </c>
      <c r="U104" s="63">
        <f>IF($B$4="в базовых ценах",калькулятор!L109,Z104*SUMPRODUCT(($B$2=Таблица2[Филиал])*($B$3=Таблица2[ФЕР/ТЕР])*(F104=Таблица2[Наименование работ])*(G104=Таблица2[ТПиР/НСиР])/Таблица2[ПНР2013]))</f>
        <v>0</v>
      </c>
      <c r="V104" s="63">
        <f>IF($B$4="в базовых ценах",калькулятор!M109,AA104*SUMPRODUCT(($B$2=Таблица2[Филиал])*($B$3=Таблица2[ФЕР/ТЕР])*(F104=Таблица2[Наименование работ])*(G104=Таблица2[ТПиР/НСиР])/Таблица2[Оборудование2013]))</f>
        <v>0</v>
      </c>
      <c r="W104" s="63">
        <f>IF($B$4="в базовых ценах",калькулятор!N109,AB104*SUMPRODUCT(($B$2=Таблица2[Филиал])*($B$3=Таблица2[ФЕР/ТЕР])*(F104=Таблица2[Наименование работ])*(G104=Таблица2[ТПиР/НСиР])/Таблица2[Прочие3]))</f>
        <v>0</v>
      </c>
      <c r="X104" s="63">
        <f>IF($B$4="в текущих ценах",калькулятор!J109,S104*SUMPRODUCT(($B$2=Таблица2[Филиал])*($B$3=Таблица2[ФЕР/ТЕР])*(F104=Таблица2[Наименование работ])*(G104=Таблица2[ТПиР/НСиР])*Таблица2[ПИР2013]))</f>
        <v>0</v>
      </c>
      <c r="Y104" s="63">
        <f>IF($B$4="в текущих ценах",калькулятор!K109,T104*SUMPRODUCT(($B$2=Таблица2[Филиал])*($B$3=Таблица2[ФЕР/ТЕР])*(F104=Таблица2[Наименование работ])*(G104=Таблица2[ТПиР/НСиР])*Таблица2[СМР2013]))</f>
        <v>0</v>
      </c>
      <c r="Z104" s="63">
        <f>IF($B$4="в текущих ценах",калькулятор!L109,U104*SUMPRODUCT(($B$2=Таблица2[Филиал])*($B$3=Таблица2[ФЕР/ТЕР])*(F104=Таблица2[Наименование работ])*(G104=Таблица2[ТПиР/НСиР])*Таблица2[ПНР2013]))</f>
        <v>0</v>
      </c>
      <c r="AA104" s="63">
        <f>IF($B$4="в текущих ценах",калькулятор!M109,V104*SUMPRODUCT(($B$2=Таблица2[Филиал])*($B$3=Таблица2[ФЕР/ТЕР])*(F104=Таблица2[Наименование работ])*(G104=Таблица2[ТПиР/НСиР])*Таблица2[Оборудование2013]))</f>
        <v>0</v>
      </c>
      <c r="AB104" s="63">
        <f>IF($B$4="в текущих ценах",калькулятор!N109,W104*SUMPRODUCT(($B$2=Таблица2[Филиал])*($B$3=Таблица2[ФЕР/ТЕР])*(F104=Таблица2[Наименование работ])*(G104=Таблица2[ТПиР/НСиР])*Таблица2[Прочие3]))</f>
        <v>0</v>
      </c>
      <c r="AC104" s="63">
        <f>SUM(данные!$I104:$M104)</f>
        <v>0</v>
      </c>
      <c r="AD104" s="63">
        <f>IF(SUM(данные!$N104:$R104)&gt;данные!$AF104,данные!$AF104*0.9*1.058,SUM(данные!$N104:$R104))</f>
        <v>0</v>
      </c>
      <c r="AE104" s="63">
        <f>SUM(данные!$S104:$W104)</f>
        <v>0</v>
      </c>
      <c r="AF104" s="63">
        <f>SUM(данные!$X104:$AB104)</f>
        <v>0</v>
      </c>
      <c r="AG104" s="63">
        <f>IF($B$4="в текущих ценах",S104*SUMPRODUCT(($B$2=Таблица2[Филиал])*($B$3=Таблица2[ФЕР/ТЕР])*(F104=Таблица2[Наименование работ])*(G104=Таблица2[ТПиР/НСиР])*Таблица2[ПИР2012]),S104*SUMPRODUCT(($B$2=Таблица2[Филиал])*($B$3=Таблица2[ФЕР/ТЕР])*(F104=Таблица2[Наименование работ])*(G104=Таблица2[ТПиР/НСиР])*Таблица2[ПИР2012]))</f>
        <v>0</v>
      </c>
      <c r="AH104" s="63">
        <f>IF($B$4="в текущих ценах",T104*SUMPRODUCT(($B$2=Таблица2[Филиал])*($B$3=Таблица2[ФЕР/ТЕР])*(F104=Таблица2[Наименование работ])*(G104=Таблица2[ТПиР/НСиР])*Таблица2[СМР2012]),T104*SUMPRODUCT(($B$2=Таблица2[Филиал])*($B$3=Таблица2[ФЕР/ТЕР])*(F104=Таблица2[Наименование работ])*(G104=Таблица2[ТПиР/НСиР])*Таблица2[СМР2012]))</f>
        <v>0</v>
      </c>
      <c r="AI104" s="63">
        <f>IF($B$4="в текущих ценах",U104*SUMPRODUCT(($B$2=Таблица2[Филиал])*($B$3=Таблица2[ФЕР/ТЕР])*(F104=Таблица2[Наименование работ])*(G104=Таблица2[ТПиР/НСиР])*Таблица2[ПНР2012]),U104*SUMPRODUCT(($B$2=Таблица2[Филиал])*($B$3=Таблица2[ФЕР/ТЕР])*(F104=Таблица2[Наименование работ])*(G104=Таблица2[ТПиР/НСиР])*Таблица2[ПНР2012]))</f>
        <v>0</v>
      </c>
      <c r="AJ104" s="63">
        <f>IF($B$4="в текущих ценах",V104*SUMPRODUCT(($B$2=Таблица2[Филиал])*($B$3=Таблица2[ФЕР/ТЕР])*(F104=Таблица2[Наименование работ])*(G104=Таблица2[ТПиР/НСиР])*Таблица2[Оборудование2012]),V104*SUMPRODUCT(($B$2=Таблица2[Филиал])*($B$3=Таблица2[ФЕР/ТЕР])*(F104=Таблица2[Наименование работ])*(G104=Таблица2[ТПиР/НСиР])*Таблица2[Оборудование2012]))</f>
        <v>0</v>
      </c>
      <c r="AK104" s="63">
        <f>IF($B$4="в текущих ценах",W104*SUMPRODUCT(($B$2=Таблица2[Филиал])*($B$3=Таблица2[ФЕР/ТЕР])*(F104=Таблица2[Наименование работ])*(G104=Таблица2[ТПиР/НСиР])*Таблица2[Прочее2012]),W104*SUMPRODUCT(($B$2=Таблица2[Филиал])*($B$3=Таблица2[ФЕР/ТЕР])*(F104=Таблица2[Наименование работ])*(G104=Таблица2[ТПиР/НСиР])*Таблица2[Прочее2012]))</f>
        <v>0</v>
      </c>
      <c r="AL104" s="63">
        <f>данные!$X104+данные!$Y104+данные!$Z104+данные!$AA104+данные!$AB104</f>
        <v>0</v>
      </c>
      <c r="AM104" s="63">
        <v>1.03639035</v>
      </c>
      <c r="AN104" s="63">
        <v>1.0114049394</v>
      </c>
      <c r="AO104" s="63">
        <v>0.98210394336149998</v>
      </c>
      <c r="AP104" s="63">
        <v>0.93762413895893393</v>
      </c>
      <c r="AQ104" s="63"/>
      <c r="AR104" s="63"/>
      <c r="AS104" s="64"/>
      <c r="AU104" s="66">
        <f t="shared" si="6"/>
        <v>0</v>
      </c>
      <c r="AX104" s="66">
        <f t="shared" si="7"/>
        <v>0</v>
      </c>
      <c r="AY104" s="66">
        <f t="shared" si="8"/>
        <v>0</v>
      </c>
      <c r="AZ104" s="66">
        <f t="shared" si="9"/>
        <v>0</v>
      </c>
      <c r="BA104" s="66">
        <f t="shared" si="10"/>
        <v>0</v>
      </c>
      <c r="BB104" s="66">
        <f t="shared" si="11"/>
        <v>0</v>
      </c>
    </row>
    <row r="105" spans="4:54" x14ac:dyDescent="0.25">
      <c r="D105" s="62">
        <f>калькулятор!C110</f>
        <v>0</v>
      </c>
      <c r="E105" s="62">
        <f>калькулятор!F110</f>
        <v>0</v>
      </c>
      <c r="F105" s="62">
        <f>калькулятор!G110</f>
        <v>0</v>
      </c>
      <c r="G105" s="62" t="str">
        <f>калькулятор!H110</f>
        <v>Составил:</v>
      </c>
      <c r="H105" s="62">
        <f>калькулятор!I110</f>
        <v>0</v>
      </c>
      <c r="I105" s="63">
        <f>S105*SUMPRODUCT(($B$2=Таблица2[Филиал])*($B$3=Таблица2[ФЕР/ТЕР])*(F105=Таблица2[Наименование работ])*(G105=Таблица2[ТПиР/НСиР])*Таблица2[ПИР2010])</f>
        <v>0</v>
      </c>
      <c r="J105" s="63">
        <f>T105*SUMPRODUCT(($B$2=Таблица2[Филиал])*($B$3=Таблица2[ФЕР/ТЕР])*(F105=Таблица2[Наименование работ])*(G105=Таблица2[ТПиР/НСиР])*Таблица2[СМР2010])</f>
        <v>0</v>
      </c>
      <c r="K105" s="63">
        <f>U105*SUMPRODUCT(($B$2=Таблица2[Филиал])*($B$3=Таблица2[ФЕР/ТЕР])*(F105=Таблица2[Наименование работ])*(G105=Таблица2[ТПиР/НСиР])*Таблица2[ПНР2010])</f>
        <v>0</v>
      </c>
      <c r="L105" s="63">
        <f>V105*SUMPRODUCT(($B$2=Таблица2[Филиал])*($B$3=Таблица2[ФЕР/ТЕР])*(F105=Таблица2[Наименование работ])*(G105=Таблица2[ТПиР/НСиР])*Таблица2[Оборудование2010])</f>
        <v>0</v>
      </c>
      <c r="M105" s="63">
        <f>W105*SUMPRODUCT(($B$2=Таблица2[Филиал])*($B$3=Таблица2[ФЕР/ТЕР])*(F105=Таблица2[Наименование работ])*(G105=Таблица2[ТПиР/НСиР])*Таблица2[Прочие2010])</f>
        <v>0</v>
      </c>
      <c r="N105" s="63">
        <f>S105*SUMPRODUCT(($B$2=Таблица2[Филиал])*($B$3=Таблица2[ФЕР/ТЕР])*(F105=Таблица2[Наименование работ])*(G105=Таблица2[ТПиР/НСиР])*Таблица2[ПИР2013-10])</f>
        <v>0</v>
      </c>
      <c r="O105" s="63">
        <f>T105*SUMPRODUCT(($B$2=Таблица2[Филиал])*($B$3=Таблица2[ФЕР/ТЕР])*(F105=Таблица2[Наименование работ])*(G105=Таблица2[ТПиР/НСиР])*Таблица2[СМР2013-10])</f>
        <v>0</v>
      </c>
      <c r="P105" s="63">
        <f>U105*SUMPRODUCT(($B$2=Таблица2[Филиал])*($B$3=Таблица2[ФЕР/ТЕР])*(F105=Таблица2[Наименование работ])*(G105=Таблица2[ТПиР/НСиР])*Таблица2[ПНР2013-10])</f>
        <v>0</v>
      </c>
      <c r="Q105" s="63">
        <f>V105*SUMPRODUCT(($B$2=Таблица2[Филиал])*($B$3=Таблица2[ФЕР/ТЕР])*(F105=Таблица2[Наименование работ])*(G105=Таблица2[ТПиР/НСиР])*Таблица2[Оборудование2013-10])</f>
        <v>0</v>
      </c>
      <c r="R105" s="63">
        <f>W105*SUMPRODUCT(($B$2=Таблица2[Филиал])*($B$3=Таблица2[ФЕР/ТЕР])*(F105=Таблица2[Наименование работ])*(G105=Таблица2[ТПиР/НСиР])*Таблица2[Прочие2013-10])</f>
        <v>0</v>
      </c>
      <c r="S105" s="63">
        <f>IF($B$4="в базовых ценах",калькулятор!J110,X105*SUMPRODUCT(($B$2=Таблица2[Филиал])*($B$3=Таблица2[ФЕР/ТЕР])*(F105=Таблица2[Наименование работ])*(G105=Таблица2[ТПиР/НСиР])/Таблица2[ПИР2013]))</f>
        <v>0</v>
      </c>
      <c r="T105" s="63">
        <f>IF($B$4="в базовых ценах",калькулятор!K110,Y105*SUMPRODUCT(($B$2=Таблица2[Филиал])*($B$3=Таблица2[ФЕР/ТЕР])*(F105=Таблица2[Наименование работ])*(G105=Таблица2[ТПиР/НСиР])/Таблица2[СМР2013]))</f>
        <v>0</v>
      </c>
      <c r="U105" s="63">
        <f>IF($B$4="в базовых ценах",калькулятор!L110,Z105*SUMPRODUCT(($B$2=Таблица2[Филиал])*($B$3=Таблица2[ФЕР/ТЕР])*(F105=Таблица2[Наименование работ])*(G105=Таблица2[ТПиР/НСиР])/Таблица2[ПНР2013]))</f>
        <v>0</v>
      </c>
      <c r="V105" s="63">
        <f>IF($B$4="в базовых ценах",калькулятор!M110,AA105*SUMPRODUCT(($B$2=Таблица2[Филиал])*($B$3=Таблица2[ФЕР/ТЕР])*(F105=Таблица2[Наименование работ])*(G105=Таблица2[ТПиР/НСиР])/Таблица2[Оборудование2013]))</f>
        <v>0</v>
      </c>
      <c r="W105" s="63">
        <f>IF($B$4="в базовых ценах",калькулятор!N110,AB105*SUMPRODUCT(($B$2=Таблица2[Филиал])*($B$3=Таблица2[ФЕР/ТЕР])*(F105=Таблица2[Наименование работ])*(G105=Таблица2[ТПиР/НСиР])/Таблица2[Прочие3]))</f>
        <v>0</v>
      </c>
      <c r="X105" s="63">
        <f>IF($B$4="в текущих ценах",калькулятор!J110,S105*SUMPRODUCT(($B$2=Таблица2[Филиал])*($B$3=Таблица2[ФЕР/ТЕР])*(F105=Таблица2[Наименование работ])*(G105=Таблица2[ТПиР/НСиР])*Таблица2[ПИР2013]))</f>
        <v>0</v>
      </c>
      <c r="Y105" s="63">
        <f>IF($B$4="в текущих ценах",калькулятор!K110,T105*SUMPRODUCT(($B$2=Таблица2[Филиал])*($B$3=Таблица2[ФЕР/ТЕР])*(F105=Таблица2[Наименование работ])*(G105=Таблица2[ТПиР/НСиР])*Таблица2[СМР2013]))</f>
        <v>0</v>
      </c>
      <c r="Z105" s="63">
        <f>IF($B$4="в текущих ценах",калькулятор!L110,U105*SUMPRODUCT(($B$2=Таблица2[Филиал])*($B$3=Таблица2[ФЕР/ТЕР])*(F105=Таблица2[Наименование работ])*(G105=Таблица2[ТПиР/НСиР])*Таблица2[ПНР2013]))</f>
        <v>0</v>
      </c>
      <c r="AA105" s="63">
        <f>IF($B$4="в текущих ценах",калькулятор!M110,V105*SUMPRODUCT(($B$2=Таблица2[Филиал])*($B$3=Таблица2[ФЕР/ТЕР])*(F105=Таблица2[Наименование работ])*(G105=Таблица2[ТПиР/НСиР])*Таблица2[Оборудование2013]))</f>
        <v>0</v>
      </c>
      <c r="AB105" s="63">
        <f>IF($B$4="в текущих ценах",калькулятор!N110,W105*SUMPRODUCT(($B$2=Таблица2[Филиал])*($B$3=Таблица2[ФЕР/ТЕР])*(F105=Таблица2[Наименование работ])*(G105=Таблица2[ТПиР/НСиР])*Таблица2[Прочие3]))</f>
        <v>0</v>
      </c>
      <c r="AC105" s="63">
        <f>SUM(данные!$I105:$M105)</f>
        <v>0</v>
      </c>
      <c r="AD105" s="63">
        <f>IF(SUM(данные!$N105:$R105)&gt;данные!$AF105,данные!$AF105*0.9*1.058,SUM(данные!$N105:$R105))</f>
        <v>0</v>
      </c>
      <c r="AE105" s="63">
        <f>SUM(данные!$S105:$W105)</f>
        <v>0</v>
      </c>
      <c r="AF105" s="63">
        <f>SUM(данные!$X105:$AB105)</f>
        <v>0</v>
      </c>
      <c r="AG105" s="63">
        <f>IF($B$4="в текущих ценах",S105*SUMPRODUCT(($B$2=Таблица2[Филиал])*($B$3=Таблица2[ФЕР/ТЕР])*(F105=Таблица2[Наименование работ])*(G105=Таблица2[ТПиР/НСиР])*Таблица2[ПИР2012]),S105*SUMPRODUCT(($B$2=Таблица2[Филиал])*($B$3=Таблица2[ФЕР/ТЕР])*(F105=Таблица2[Наименование работ])*(G105=Таблица2[ТПиР/НСиР])*Таблица2[ПИР2012]))</f>
        <v>0</v>
      </c>
      <c r="AH105" s="63">
        <f>IF($B$4="в текущих ценах",T105*SUMPRODUCT(($B$2=Таблица2[Филиал])*($B$3=Таблица2[ФЕР/ТЕР])*(F105=Таблица2[Наименование работ])*(G105=Таблица2[ТПиР/НСиР])*Таблица2[СМР2012]),T105*SUMPRODUCT(($B$2=Таблица2[Филиал])*($B$3=Таблица2[ФЕР/ТЕР])*(F105=Таблица2[Наименование работ])*(G105=Таблица2[ТПиР/НСиР])*Таблица2[СМР2012]))</f>
        <v>0</v>
      </c>
      <c r="AI105" s="63">
        <f>IF($B$4="в текущих ценах",U105*SUMPRODUCT(($B$2=Таблица2[Филиал])*($B$3=Таблица2[ФЕР/ТЕР])*(F105=Таблица2[Наименование работ])*(G105=Таблица2[ТПиР/НСиР])*Таблица2[ПНР2012]),U105*SUMPRODUCT(($B$2=Таблица2[Филиал])*($B$3=Таблица2[ФЕР/ТЕР])*(F105=Таблица2[Наименование работ])*(G105=Таблица2[ТПиР/НСиР])*Таблица2[ПНР2012]))</f>
        <v>0</v>
      </c>
      <c r="AJ105" s="63">
        <f>IF($B$4="в текущих ценах",V105*SUMPRODUCT(($B$2=Таблица2[Филиал])*($B$3=Таблица2[ФЕР/ТЕР])*(F105=Таблица2[Наименование работ])*(G105=Таблица2[ТПиР/НСиР])*Таблица2[Оборудование2012]),V105*SUMPRODUCT(($B$2=Таблица2[Филиал])*($B$3=Таблица2[ФЕР/ТЕР])*(F105=Таблица2[Наименование работ])*(G105=Таблица2[ТПиР/НСиР])*Таблица2[Оборудование2012]))</f>
        <v>0</v>
      </c>
      <c r="AK105" s="63">
        <f>IF($B$4="в текущих ценах",W105*SUMPRODUCT(($B$2=Таблица2[Филиал])*($B$3=Таблица2[ФЕР/ТЕР])*(F105=Таблица2[Наименование работ])*(G105=Таблица2[ТПиР/НСиР])*Таблица2[Прочее2012]),W105*SUMPRODUCT(($B$2=Таблица2[Филиал])*($B$3=Таблица2[ФЕР/ТЕР])*(F105=Таблица2[Наименование работ])*(G105=Таблица2[ТПиР/НСиР])*Таблица2[Прочее2012]))</f>
        <v>0</v>
      </c>
      <c r="AL105" s="63">
        <f>данные!$X105+данные!$Y105+данные!$Z105+данные!$AA105+данные!$AB105</f>
        <v>0</v>
      </c>
      <c r="AM105" s="63">
        <v>1.03639035</v>
      </c>
      <c r="AN105" s="63">
        <v>1.0114049394</v>
      </c>
      <c r="AO105" s="63">
        <v>0.98210394336149998</v>
      </c>
      <c r="AP105" s="63">
        <v>0.93762413895893393</v>
      </c>
      <c r="AQ105" s="63"/>
      <c r="AR105" s="63"/>
      <c r="AS105" s="64"/>
      <c r="AU105" s="66">
        <f t="shared" si="6"/>
        <v>0</v>
      </c>
      <c r="AX105" s="66">
        <f t="shared" si="7"/>
        <v>0</v>
      </c>
      <c r="AY105" s="66">
        <f t="shared" si="8"/>
        <v>0</v>
      </c>
      <c r="AZ105" s="66">
        <f t="shared" si="9"/>
        <v>0</v>
      </c>
      <c r="BA105" s="66">
        <f t="shared" si="10"/>
        <v>0</v>
      </c>
      <c r="BB105" s="66">
        <f t="shared" si="11"/>
        <v>0</v>
      </c>
    </row>
    <row r="106" spans="4:54" x14ac:dyDescent="0.25">
      <c r="D106" s="62">
        <f>калькулятор!C111</f>
        <v>0</v>
      </c>
      <c r="E106" s="62">
        <f>калькулятор!F111</f>
        <v>0</v>
      </c>
      <c r="F106" s="62">
        <f>калькулятор!G111</f>
        <v>0</v>
      </c>
      <c r="G106" s="62">
        <f>калькулятор!H111</f>
        <v>0</v>
      </c>
      <c r="H106" s="62">
        <f>калькулятор!I111</f>
        <v>0</v>
      </c>
      <c r="I106" s="63">
        <f>S106*SUMPRODUCT(($B$2=Таблица2[Филиал])*($B$3=Таблица2[ФЕР/ТЕР])*(F106=Таблица2[Наименование работ])*(G106=Таблица2[ТПиР/НСиР])*Таблица2[ПИР2010])</f>
        <v>0</v>
      </c>
      <c r="J106" s="63">
        <f>T106*SUMPRODUCT(($B$2=Таблица2[Филиал])*($B$3=Таблица2[ФЕР/ТЕР])*(F106=Таблица2[Наименование работ])*(G106=Таблица2[ТПиР/НСиР])*Таблица2[СМР2010])</f>
        <v>0</v>
      </c>
      <c r="K106" s="63">
        <f>U106*SUMPRODUCT(($B$2=Таблица2[Филиал])*($B$3=Таблица2[ФЕР/ТЕР])*(F106=Таблица2[Наименование работ])*(G106=Таблица2[ТПиР/НСиР])*Таблица2[ПНР2010])</f>
        <v>0</v>
      </c>
      <c r="L106" s="63">
        <f>V106*SUMPRODUCT(($B$2=Таблица2[Филиал])*($B$3=Таблица2[ФЕР/ТЕР])*(F106=Таблица2[Наименование работ])*(G106=Таблица2[ТПиР/НСиР])*Таблица2[Оборудование2010])</f>
        <v>0</v>
      </c>
      <c r="M106" s="63">
        <f>W106*SUMPRODUCT(($B$2=Таблица2[Филиал])*($B$3=Таблица2[ФЕР/ТЕР])*(F106=Таблица2[Наименование работ])*(G106=Таблица2[ТПиР/НСиР])*Таблица2[Прочие2010])</f>
        <v>0</v>
      </c>
      <c r="N106" s="63">
        <f>S106*SUMPRODUCT(($B$2=Таблица2[Филиал])*($B$3=Таблица2[ФЕР/ТЕР])*(F106=Таблица2[Наименование работ])*(G106=Таблица2[ТПиР/НСиР])*Таблица2[ПИР2013-10])</f>
        <v>0</v>
      </c>
      <c r="O106" s="63">
        <f>T106*SUMPRODUCT(($B$2=Таблица2[Филиал])*($B$3=Таблица2[ФЕР/ТЕР])*(F106=Таблица2[Наименование работ])*(G106=Таблица2[ТПиР/НСиР])*Таблица2[СМР2013-10])</f>
        <v>0</v>
      </c>
      <c r="P106" s="63">
        <f>U106*SUMPRODUCT(($B$2=Таблица2[Филиал])*($B$3=Таблица2[ФЕР/ТЕР])*(F106=Таблица2[Наименование работ])*(G106=Таблица2[ТПиР/НСиР])*Таблица2[ПНР2013-10])</f>
        <v>0</v>
      </c>
      <c r="Q106" s="63">
        <f>V106*SUMPRODUCT(($B$2=Таблица2[Филиал])*($B$3=Таблица2[ФЕР/ТЕР])*(F106=Таблица2[Наименование работ])*(G106=Таблица2[ТПиР/НСиР])*Таблица2[Оборудование2013-10])</f>
        <v>0</v>
      </c>
      <c r="R106" s="63">
        <f>W106*SUMPRODUCT(($B$2=Таблица2[Филиал])*($B$3=Таблица2[ФЕР/ТЕР])*(F106=Таблица2[Наименование работ])*(G106=Таблица2[ТПиР/НСиР])*Таблица2[Прочие2013-10])</f>
        <v>0</v>
      </c>
      <c r="S106" s="63">
        <f>IF($B$4="в базовых ценах",калькулятор!J111,X106*SUMPRODUCT(($B$2=Таблица2[Филиал])*($B$3=Таблица2[ФЕР/ТЕР])*(F106=Таблица2[Наименование работ])*(G106=Таблица2[ТПиР/НСиР])/Таблица2[ПИР2013]))</f>
        <v>0</v>
      </c>
      <c r="T106" s="63">
        <f>IF($B$4="в базовых ценах",калькулятор!K111,Y106*SUMPRODUCT(($B$2=Таблица2[Филиал])*($B$3=Таблица2[ФЕР/ТЕР])*(F106=Таблица2[Наименование работ])*(G106=Таблица2[ТПиР/НСиР])/Таблица2[СМР2013]))</f>
        <v>0</v>
      </c>
      <c r="U106" s="63">
        <f>IF($B$4="в базовых ценах",калькулятор!L111,Z106*SUMPRODUCT(($B$2=Таблица2[Филиал])*($B$3=Таблица2[ФЕР/ТЕР])*(F106=Таблица2[Наименование работ])*(G106=Таблица2[ТПиР/НСиР])/Таблица2[ПНР2013]))</f>
        <v>0</v>
      </c>
      <c r="V106" s="63">
        <f>IF($B$4="в базовых ценах",калькулятор!M111,AA106*SUMPRODUCT(($B$2=Таблица2[Филиал])*($B$3=Таблица2[ФЕР/ТЕР])*(F106=Таблица2[Наименование работ])*(G106=Таблица2[ТПиР/НСиР])/Таблица2[Оборудование2013]))</f>
        <v>0</v>
      </c>
      <c r="W106" s="63">
        <f>IF($B$4="в базовых ценах",калькулятор!N111,AB106*SUMPRODUCT(($B$2=Таблица2[Филиал])*($B$3=Таблица2[ФЕР/ТЕР])*(F106=Таблица2[Наименование работ])*(G106=Таблица2[ТПиР/НСиР])/Таблица2[Прочие3]))</f>
        <v>0</v>
      </c>
      <c r="X106" s="63">
        <f>IF($B$4="в текущих ценах",калькулятор!J111,S106*SUMPRODUCT(($B$2=Таблица2[Филиал])*($B$3=Таблица2[ФЕР/ТЕР])*(F106=Таблица2[Наименование работ])*(G106=Таблица2[ТПиР/НСиР])*Таблица2[ПИР2013]))</f>
        <v>0</v>
      </c>
      <c r="Y106" s="63">
        <f>IF($B$4="в текущих ценах",калькулятор!K111,T106*SUMPRODUCT(($B$2=Таблица2[Филиал])*($B$3=Таблица2[ФЕР/ТЕР])*(F106=Таблица2[Наименование работ])*(G106=Таблица2[ТПиР/НСиР])*Таблица2[СМР2013]))</f>
        <v>0</v>
      </c>
      <c r="Z106" s="63">
        <f>IF($B$4="в текущих ценах",калькулятор!L111,U106*SUMPRODUCT(($B$2=Таблица2[Филиал])*($B$3=Таблица2[ФЕР/ТЕР])*(F106=Таблица2[Наименование работ])*(G106=Таблица2[ТПиР/НСиР])*Таблица2[ПНР2013]))</f>
        <v>0</v>
      </c>
      <c r="AA106" s="63">
        <f>IF($B$4="в текущих ценах",калькулятор!M111,V106*SUMPRODUCT(($B$2=Таблица2[Филиал])*($B$3=Таблица2[ФЕР/ТЕР])*(F106=Таблица2[Наименование работ])*(G106=Таблица2[ТПиР/НСиР])*Таблица2[Оборудование2013]))</f>
        <v>0</v>
      </c>
      <c r="AB106" s="63">
        <f>IF($B$4="в текущих ценах",калькулятор!N111,W106*SUMPRODUCT(($B$2=Таблица2[Филиал])*($B$3=Таблица2[ФЕР/ТЕР])*(F106=Таблица2[Наименование работ])*(G106=Таблица2[ТПиР/НСиР])*Таблица2[Прочие3]))</f>
        <v>0</v>
      </c>
      <c r="AC106" s="63">
        <f>SUM(данные!$I106:$M106)</f>
        <v>0</v>
      </c>
      <c r="AD106" s="63">
        <f>IF(SUM(данные!$N106:$R106)&gt;данные!$AF106,данные!$AF106*0.9*1.058,SUM(данные!$N106:$R106))</f>
        <v>0</v>
      </c>
      <c r="AE106" s="63">
        <f>SUM(данные!$S106:$W106)</f>
        <v>0</v>
      </c>
      <c r="AF106" s="63">
        <f>SUM(данные!$X106:$AB106)</f>
        <v>0</v>
      </c>
      <c r="AG106" s="63">
        <f>IF($B$4="в текущих ценах",S106*SUMPRODUCT(($B$2=Таблица2[Филиал])*($B$3=Таблица2[ФЕР/ТЕР])*(F106=Таблица2[Наименование работ])*(G106=Таблица2[ТПиР/НСиР])*Таблица2[ПИР2012]),S106*SUMPRODUCT(($B$2=Таблица2[Филиал])*($B$3=Таблица2[ФЕР/ТЕР])*(F106=Таблица2[Наименование работ])*(G106=Таблица2[ТПиР/НСиР])*Таблица2[ПИР2012]))</f>
        <v>0</v>
      </c>
      <c r="AH106" s="63">
        <f>IF($B$4="в текущих ценах",T106*SUMPRODUCT(($B$2=Таблица2[Филиал])*($B$3=Таблица2[ФЕР/ТЕР])*(F106=Таблица2[Наименование работ])*(G106=Таблица2[ТПиР/НСиР])*Таблица2[СМР2012]),T106*SUMPRODUCT(($B$2=Таблица2[Филиал])*($B$3=Таблица2[ФЕР/ТЕР])*(F106=Таблица2[Наименование работ])*(G106=Таблица2[ТПиР/НСиР])*Таблица2[СМР2012]))</f>
        <v>0</v>
      </c>
      <c r="AI106" s="63">
        <f>IF($B$4="в текущих ценах",U106*SUMPRODUCT(($B$2=Таблица2[Филиал])*($B$3=Таблица2[ФЕР/ТЕР])*(F106=Таблица2[Наименование работ])*(G106=Таблица2[ТПиР/НСиР])*Таблица2[ПНР2012]),U106*SUMPRODUCT(($B$2=Таблица2[Филиал])*($B$3=Таблица2[ФЕР/ТЕР])*(F106=Таблица2[Наименование работ])*(G106=Таблица2[ТПиР/НСиР])*Таблица2[ПНР2012]))</f>
        <v>0</v>
      </c>
      <c r="AJ106" s="63">
        <f>IF($B$4="в текущих ценах",V106*SUMPRODUCT(($B$2=Таблица2[Филиал])*($B$3=Таблица2[ФЕР/ТЕР])*(F106=Таблица2[Наименование работ])*(G106=Таблица2[ТПиР/НСиР])*Таблица2[Оборудование2012]),V106*SUMPRODUCT(($B$2=Таблица2[Филиал])*($B$3=Таблица2[ФЕР/ТЕР])*(F106=Таблица2[Наименование работ])*(G106=Таблица2[ТПиР/НСиР])*Таблица2[Оборудование2012]))</f>
        <v>0</v>
      </c>
      <c r="AK106" s="63">
        <f>IF($B$4="в текущих ценах",W106*SUMPRODUCT(($B$2=Таблица2[Филиал])*($B$3=Таблица2[ФЕР/ТЕР])*(F106=Таблица2[Наименование работ])*(G106=Таблица2[ТПиР/НСиР])*Таблица2[Прочее2012]),W106*SUMPRODUCT(($B$2=Таблица2[Филиал])*($B$3=Таблица2[ФЕР/ТЕР])*(F106=Таблица2[Наименование работ])*(G106=Таблица2[ТПиР/НСиР])*Таблица2[Прочее2012]))</f>
        <v>0</v>
      </c>
      <c r="AL106" s="63">
        <f>данные!$X106+данные!$Y106+данные!$Z106+данные!$AA106+данные!$AB106</f>
        <v>0</v>
      </c>
      <c r="AM106" s="63">
        <v>1.03639035</v>
      </c>
      <c r="AN106" s="63">
        <v>1.0114049394</v>
      </c>
      <c r="AO106" s="63">
        <v>0.98210394336149998</v>
      </c>
      <c r="AP106" s="63">
        <v>0.93762413895893393</v>
      </c>
      <c r="AQ106" s="63"/>
      <c r="AR106" s="63"/>
      <c r="AS106" s="64"/>
      <c r="AU106" s="66">
        <f t="shared" si="6"/>
        <v>0</v>
      </c>
      <c r="AX106" s="66">
        <f t="shared" si="7"/>
        <v>0</v>
      </c>
      <c r="AY106" s="66">
        <f t="shared" si="8"/>
        <v>0</v>
      </c>
      <c r="AZ106" s="66">
        <f t="shared" si="9"/>
        <v>0</v>
      </c>
      <c r="BA106" s="66">
        <f t="shared" si="10"/>
        <v>0</v>
      </c>
      <c r="BB106" s="66">
        <f t="shared" si="11"/>
        <v>0</v>
      </c>
    </row>
    <row r="107" spans="4:54" x14ac:dyDescent="0.25">
      <c r="D107" s="62">
        <f>калькулятор!C112</f>
        <v>0</v>
      </c>
      <c r="E107" s="62">
        <f>калькулятор!F112</f>
        <v>0</v>
      </c>
      <c r="F107" s="62">
        <f>калькулятор!G112</f>
        <v>0</v>
      </c>
      <c r="G107" s="62" t="str">
        <f>калькулятор!H112</f>
        <v>Проверил:</v>
      </c>
      <c r="H107" s="62">
        <f>калькулятор!I112</f>
        <v>0</v>
      </c>
      <c r="I107" s="63">
        <f>S107*SUMPRODUCT(($B$2=Таблица2[Филиал])*($B$3=Таблица2[ФЕР/ТЕР])*(F107=Таблица2[Наименование работ])*(G107=Таблица2[ТПиР/НСиР])*Таблица2[ПИР2010])</f>
        <v>0</v>
      </c>
      <c r="J107" s="63">
        <f>T107*SUMPRODUCT(($B$2=Таблица2[Филиал])*($B$3=Таблица2[ФЕР/ТЕР])*(F107=Таблица2[Наименование работ])*(G107=Таблица2[ТПиР/НСиР])*Таблица2[СМР2010])</f>
        <v>0</v>
      </c>
      <c r="K107" s="63">
        <f>U107*SUMPRODUCT(($B$2=Таблица2[Филиал])*($B$3=Таблица2[ФЕР/ТЕР])*(F107=Таблица2[Наименование работ])*(G107=Таблица2[ТПиР/НСиР])*Таблица2[ПНР2010])</f>
        <v>0</v>
      </c>
      <c r="L107" s="63">
        <f>V107*SUMPRODUCT(($B$2=Таблица2[Филиал])*($B$3=Таблица2[ФЕР/ТЕР])*(F107=Таблица2[Наименование работ])*(G107=Таблица2[ТПиР/НСиР])*Таблица2[Оборудование2010])</f>
        <v>0</v>
      </c>
      <c r="M107" s="63">
        <f>W107*SUMPRODUCT(($B$2=Таблица2[Филиал])*($B$3=Таблица2[ФЕР/ТЕР])*(F107=Таблица2[Наименование работ])*(G107=Таблица2[ТПиР/НСиР])*Таблица2[Прочие2010])</f>
        <v>0</v>
      </c>
      <c r="N107" s="63">
        <f>S107*SUMPRODUCT(($B$2=Таблица2[Филиал])*($B$3=Таблица2[ФЕР/ТЕР])*(F107=Таблица2[Наименование работ])*(G107=Таблица2[ТПиР/НСиР])*Таблица2[ПИР2013-10])</f>
        <v>0</v>
      </c>
      <c r="O107" s="63">
        <f>T107*SUMPRODUCT(($B$2=Таблица2[Филиал])*($B$3=Таблица2[ФЕР/ТЕР])*(F107=Таблица2[Наименование работ])*(G107=Таблица2[ТПиР/НСиР])*Таблица2[СМР2013-10])</f>
        <v>0</v>
      </c>
      <c r="P107" s="63">
        <f>U107*SUMPRODUCT(($B$2=Таблица2[Филиал])*($B$3=Таблица2[ФЕР/ТЕР])*(F107=Таблица2[Наименование работ])*(G107=Таблица2[ТПиР/НСиР])*Таблица2[ПНР2013-10])</f>
        <v>0</v>
      </c>
      <c r="Q107" s="63">
        <f>V107*SUMPRODUCT(($B$2=Таблица2[Филиал])*($B$3=Таблица2[ФЕР/ТЕР])*(F107=Таблица2[Наименование работ])*(G107=Таблица2[ТПиР/НСиР])*Таблица2[Оборудование2013-10])</f>
        <v>0</v>
      </c>
      <c r="R107" s="63">
        <f>W107*SUMPRODUCT(($B$2=Таблица2[Филиал])*($B$3=Таблица2[ФЕР/ТЕР])*(F107=Таблица2[Наименование работ])*(G107=Таблица2[ТПиР/НСиР])*Таблица2[Прочие2013-10])</f>
        <v>0</v>
      </c>
      <c r="S107" s="63">
        <f>IF($B$4="в базовых ценах",калькулятор!J112,X107*SUMPRODUCT(($B$2=Таблица2[Филиал])*($B$3=Таблица2[ФЕР/ТЕР])*(F107=Таблица2[Наименование работ])*(G107=Таблица2[ТПиР/НСиР])/Таблица2[ПИР2013]))</f>
        <v>0</v>
      </c>
      <c r="T107" s="63">
        <f>IF($B$4="в базовых ценах",калькулятор!K112,Y107*SUMPRODUCT(($B$2=Таблица2[Филиал])*($B$3=Таблица2[ФЕР/ТЕР])*(F107=Таблица2[Наименование работ])*(G107=Таблица2[ТПиР/НСиР])/Таблица2[СМР2013]))</f>
        <v>0</v>
      </c>
      <c r="U107" s="63">
        <f>IF($B$4="в базовых ценах",калькулятор!L112,Z107*SUMPRODUCT(($B$2=Таблица2[Филиал])*($B$3=Таблица2[ФЕР/ТЕР])*(F107=Таблица2[Наименование работ])*(G107=Таблица2[ТПиР/НСиР])/Таблица2[ПНР2013]))</f>
        <v>0</v>
      </c>
      <c r="V107" s="63">
        <f>IF($B$4="в базовых ценах",калькулятор!M112,AA107*SUMPRODUCT(($B$2=Таблица2[Филиал])*($B$3=Таблица2[ФЕР/ТЕР])*(F107=Таблица2[Наименование работ])*(G107=Таблица2[ТПиР/НСиР])/Таблица2[Оборудование2013]))</f>
        <v>0</v>
      </c>
      <c r="W107" s="63">
        <f>IF($B$4="в базовых ценах",калькулятор!N112,AB107*SUMPRODUCT(($B$2=Таблица2[Филиал])*($B$3=Таблица2[ФЕР/ТЕР])*(F107=Таблица2[Наименование работ])*(G107=Таблица2[ТПиР/НСиР])/Таблица2[Прочие3]))</f>
        <v>0</v>
      </c>
      <c r="X107" s="63">
        <f>IF($B$4="в текущих ценах",калькулятор!J112,S107*SUMPRODUCT(($B$2=Таблица2[Филиал])*($B$3=Таблица2[ФЕР/ТЕР])*(F107=Таблица2[Наименование работ])*(G107=Таблица2[ТПиР/НСиР])*Таблица2[ПИР2013]))</f>
        <v>0</v>
      </c>
      <c r="Y107" s="63">
        <f>IF($B$4="в текущих ценах",калькулятор!K112,T107*SUMPRODUCT(($B$2=Таблица2[Филиал])*($B$3=Таблица2[ФЕР/ТЕР])*(F107=Таблица2[Наименование работ])*(G107=Таблица2[ТПиР/НСиР])*Таблица2[СМР2013]))</f>
        <v>0</v>
      </c>
      <c r="Z107" s="63">
        <f>IF($B$4="в текущих ценах",калькулятор!L112,U107*SUMPRODUCT(($B$2=Таблица2[Филиал])*($B$3=Таблица2[ФЕР/ТЕР])*(F107=Таблица2[Наименование работ])*(G107=Таблица2[ТПиР/НСиР])*Таблица2[ПНР2013]))</f>
        <v>0</v>
      </c>
      <c r="AA107" s="63">
        <f>IF($B$4="в текущих ценах",калькулятор!M112,V107*SUMPRODUCT(($B$2=Таблица2[Филиал])*($B$3=Таблица2[ФЕР/ТЕР])*(F107=Таблица2[Наименование работ])*(G107=Таблица2[ТПиР/НСиР])*Таблица2[Оборудование2013]))</f>
        <v>0</v>
      </c>
      <c r="AB107" s="63">
        <f>IF($B$4="в текущих ценах",калькулятор!N112,W107*SUMPRODUCT(($B$2=Таблица2[Филиал])*($B$3=Таблица2[ФЕР/ТЕР])*(F107=Таблица2[Наименование работ])*(G107=Таблица2[ТПиР/НСиР])*Таблица2[Прочие3]))</f>
        <v>0</v>
      </c>
      <c r="AC107" s="63">
        <f>SUM(данные!$I107:$M107)</f>
        <v>0</v>
      </c>
      <c r="AD107" s="63">
        <f>IF(SUM(данные!$N107:$R107)&gt;данные!$AF107,данные!$AF107*0.9*1.058,SUM(данные!$N107:$R107))</f>
        <v>0</v>
      </c>
      <c r="AE107" s="63">
        <f>SUM(данные!$S107:$W107)</f>
        <v>0</v>
      </c>
      <c r="AF107" s="63">
        <f>SUM(данные!$X107:$AB107)</f>
        <v>0</v>
      </c>
      <c r="AG107" s="63">
        <f>IF($B$4="в текущих ценах",S107*SUMPRODUCT(($B$2=Таблица2[Филиал])*($B$3=Таблица2[ФЕР/ТЕР])*(F107=Таблица2[Наименование работ])*(G107=Таблица2[ТПиР/НСиР])*Таблица2[ПИР2012]),S107*SUMPRODUCT(($B$2=Таблица2[Филиал])*($B$3=Таблица2[ФЕР/ТЕР])*(F107=Таблица2[Наименование работ])*(G107=Таблица2[ТПиР/НСиР])*Таблица2[ПИР2012]))</f>
        <v>0</v>
      </c>
      <c r="AH107" s="63">
        <f>IF($B$4="в текущих ценах",T107*SUMPRODUCT(($B$2=Таблица2[Филиал])*($B$3=Таблица2[ФЕР/ТЕР])*(F107=Таблица2[Наименование работ])*(G107=Таблица2[ТПиР/НСиР])*Таблица2[СМР2012]),T107*SUMPRODUCT(($B$2=Таблица2[Филиал])*($B$3=Таблица2[ФЕР/ТЕР])*(F107=Таблица2[Наименование работ])*(G107=Таблица2[ТПиР/НСиР])*Таблица2[СМР2012]))</f>
        <v>0</v>
      </c>
      <c r="AI107" s="63">
        <f>IF($B$4="в текущих ценах",U107*SUMPRODUCT(($B$2=Таблица2[Филиал])*($B$3=Таблица2[ФЕР/ТЕР])*(F107=Таблица2[Наименование работ])*(G107=Таблица2[ТПиР/НСиР])*Таблица2[ПНР2012]),U107*SUMPRODUCT(($B$2=Таблица2[Филиал])*($B$3=Таблица2[ФЕР/ТЕР])*(F107=Таблица2[Наименование работ])*(G107=Таблица2[ТПиР/НСиР])*Таблица2[ПНР2012]))</f>
        <v>0</v>
      </c>
      <c r="AJ107" s="63">
        <f>IF($B$4="в текущих ценах",V107*SUMPRODUCT(($B$2=Таблица2[Филиал])*($B$3=Таблица2[ФЕР/ТЕР])*(F107=Таблица2[Наименование работ])*(G107=Таблица2[ТПиР/НСиР])*Таблица2[Оборудование2012]),V107*SUMPRODUCT(($B$2=Таблица2[Филиал])*($B$3=Таблица2[ФЕР/ТЕР])*(F107=Таблица2[Наименование работ])*(G107=Таблица2[ТПиР/НСиР])*Таблица2[Оборудование2012]))</f>
        <v>0</v>
      </c>
      <c r="AK107" s="63">
        <f>IF($B$4="в текущих ценах",W107*SUMPRODUCT(($B$2=Таблица2[Филиал])*($B$3=Таблица2[ФЕР/ТЕР])*(F107=Таблица2[Наименование работ])*(G107=Таблица2[ТПиР/НСиР])*Таблица2[Прочее2012]),W107*SUMPRODUCT(($B$2=Таблица2[Филиал])*($B$3=Таблица2[ФЕР/ТЕР])*(F107=Таблица2[Наименование работ])*(G107=Таблица2[ТПиР/НСиР])*Таблица2[Прочее2012]))</f>
        <v>0</v>
      </c>
      <c r="AL107" s="63">
        <f>данные!$X107+данные!$Y107+данные!$Z107+данные!$AA107+данные!$AB107</f>
        <v>0</v>
      </c>
      <c r="AM107" s="63">
        <v>1.03639035</v>
      </c>
      <c r="AN107" s="63">
        <v>1.0114049394</v>
      </c>
      <c r="AO107" s="63">
        <v>0.98210394336149998</v>
      </c>
      <c r="AP107" s="63">
        <v>0.93762413895893393</v>
      </c>
      <c r="AQ107" s="63"/>
      <c r="AR107" s="63"/>
      <c r="AS107" s="64"/>
      <c r="AU107" s="66">
        <f t="shared" si="6"/>
        <v>0</v>
      </c>
      <c r="AX107" s="66">
        <f t="shared" si="7"/>
        <v>0</v>
      </c>
      <c r="AY107" s="66">
        <f t="shared" si="8"/>
        <v>0</v>
      </c>
      <c r="AZ107" s="66">
        <f t="shared" si="9"/>
        <v>0</v>
      </c>
      <c r="BA107" s="66">
        <f t="shared" si="10"/>
        <v>0</v>
      </c>
      <c r="BB107" s="66">
        <f t="shared" si="11"/>
        <v>0</v>
      </c>
    </row>
    <row r="108" spans="4:54" x14ac:dyDescent="0.25">
      <c r="D108" s="62">
        <f>калькулятор!C113</f>
        <v>0</v>
      </c>
      <c r="E108" s="62">
        <f>калькулятор!F113</f>
        <v>0</v>
      </c>
      <c r="F108" s="62">
        <f>калькулятор!G113</f>
        <v>0</v>
      </c>
      <c r="G108" s="62">
        <f>калькулятор!H113</f>
        <v>0</v>
      </c>
      <c r="H108" s="62">
        <f>калькулятор!I113</f>
        <v>0</v>
      </c>
      <c r="I108" s="63">
        <f>S108*SUMPRODUCT(($B$2=Таблица2[Филиал])*($B$3=Таблица2[ФЕР/ТЕР])*(F108=Таблица2[Наименование работ])*(G108=Таблица2[ТПиР/НСиР])*Таблица2[ПИР2010])</f>
        <v>0</v>
      </c>
      <c r="J108" s="63">
        <f>T108*SUMPRODUCT(($B$2=Таблица2[Филиал])*($B$3=Таблица2[ФЕР/ТЕР])*(F108=Таблица2[Наименование работ])*(G108=Таблица2[ТПиР/НСиР])*Таблица2[СМР2010])</f>
        <v>0</v>
      </c>
      <c r="K108" s="63">
        <f>U108*SUMPRODUCT(($B$2=Таблица2[Филиал])*($B$3=Таблица2[ФЕР/ТЕР])*(F108=Таблица2[Наименование работ])*(G108=Таблица2[ТПиР/НСиР])*Таблица2[ПНР2010])</f>
        <v>0</v>
      </c>
      <c r="L108" s="63">
        <f>V108*SUMPRODUCT(($B$2=Таблица2[Филиал])*($B$3=Таблица2[ФЕР/ТЕР])*(F108=Таблица2[Наименование работ])*(G108=Таблица2[ТПиР/НСиР])*Таблица2[Оборудование2010])</f>
        <v>0</v>
      </c>
      <c r="M108" s="63">
        <f>W108*SUMPRODUCT(($B$2=Таблица2[Филиал])*($B$3=Таблица2[ФЕР/ТЕР])*(F108=Таблица2[Наименование работ])*(G108=Таблица2[ТПиР/НСиР])*Таблица2[Прочие2010])</f>
        <v>0</v>
      </c>
      <c r="N108" s="63">
        <f>S108*SUMPRODUCT(($B$2=Таблица2[Филиал])*($B$3=Таблица2[ФЕР/ТЕР])*(F108=Таблица2[Наименование работ])*(G108=Таблица2[ТПиР/НСиР])*Таблица2[ПИР2013-10])</f>
        <v>0</v>
      </c>
      <c r="O108" s="63">
        <f>T108*SUMPRODUCT(($B$2=Таблица2[Филиал])*($B$3=Таблица2[ФЕР/ТЕР])*(F108=Таблица2[Наименование работ])*(G108=Таблица2[ТПиР/НСиР])*Таблица2[СМР2013-10])</f>
        <v>0</v>
      </c>
      <c r="P108" s="63">
        <f>U108*SUMPRODUCT(($B$2=Таблица2[Филиал])*($B$3=Таблица2[ФЕР/ТЕР])*(F108=Таблица2[Наименование работ])*(G108=Таблица2[ТПиР/НСиР])*Таблица2[ПНР2013-10])</f>
        <v>0</v>
      </c>
      <c r="Q108" s="63">
        <f>V108*SUMPRODUCT(($B$2=Таблица2[Филиал])*($B$3=Таблица2[ФЕР/ТЕР])*(F108=Таблица2[Наименование работ])*(G108=Таблица2[ТПиР/НСиР])*Таблица2[Оборудование2013-10])</f>
        <v>0</v>
      </c>
      <c r="R108" s="63">
        <f>W108*SUMPRODUCT(($B$2=Таблица2[Филиал])*($B$3=Таблица2[ФЕР/ТЕР])*(F108=Таблица2[Наименование работ])*(G108=Таблица2[ТПиР/НСиР])*Таблица2[Прочие2013-10])</f>
        <v>0</v>
      </c>
      <c r="S108" s="63">
        <f>IF($B$4="в базовых ценах",калькулятор!J113,X108*SUMPRODUCT(($B$2=Таблица2[Филиал])*($B$3=Таблица2[ФЕР/ТЕР])*(F108=Таблица2[Наименование работ])*(G108=Таблица2[ТПиР/НСиР])/Таблица2[ПИР2013]))</f>
        <v>0</v>
      </c>
      <c r="T108" s="63">
        <f>IF($B$4="в базовых ценах",калькулятор!K113,Y108*SUMPRODUCT(($B$2=Таблица2[Филиал])*($B$3=Таблица2[ФЕР/ТЕР])*(F108=Таблица2[Наименование работ])*(G108=Таблица2[ТПиР/НСиР])/Таблица2[СМР2013]))</f>
        <v>0</v>
      </c>
      <c r="U108" s="63">
        <f>IF($B$4="в базовых ценах",калькулятор!L113,Z108*SUMPRODUCT(($B$2=Таблица2[Филиал])*($B$3=Таблица2[ФЕР/ТЕР])*(F108=Таблица2[Наименование работ])*(G108=Таблица2[ТПиР/НСиР])/Таблица2[ПНР2013]))</f>
        <v>0</v>
      </c>
      <c r="V108" s="63">
        <f>IF($B$4="в базовых ценах",калькулятор!M113,AA108*SUMPRODUCT(($B$2=Таблица2[Филиал])*($B$3=Таблица2[ФЕР/ТЕР])*(F108=Таблица2[Наименование работ])*(G108=Таблица2[ТПиР/НСиР])/Таблица2[Оборудование2013]))</f>
        <v>0</v>
      </c>
      <c r="W108" s="63">
        <f>IF($B$4="в базовых ценах",калькулятор!N113,AB108*SUMPRODUCT(($B$2=Таблица2[Филиал])*($B$3=Таблица2[ФЕР/ТЕР])*(F108=Таблица2[Наименование работ])*(G108=Таблица2[ТПиР/НСиР])/Таблица2[Прочие3]))</f>
        <v>0</v>
      </c>
      <c r="X108" s="63">
        <f>IF($B$4="в текущих ценах",калькулятор!J113,S108*SUMPRODUCT(($B$2=Таблица2[Филиал])*($B$3=Таблица2[ФЕР/ТЕР])*(F108=Таблица2[Наименование работ])*(G108=Таблица2[ТПиР/НСиР])*Таблица2[ПИР2013]))</f>
        <v>0</v>
      </c>
      <c r="Y108" s="63">
        <f>IF($B$4="в текущих ценах",калькулятор!K113,T108*SUMPRODUCT(($B$2=Таблица2[Филиал])*($B$3=Таблица2[ФЕР/ТЕР])*(F108=Таблица2[Наименование работ])*(G108=Таблица2[ТПиР/НСиР])*Таблица2[СМР2013]))</f>
        <v>0</v>
      </c>
      <c r="Z108" s="63">
        <f>IF($B$4="в текущих ценах",калькулятор!L113,U108*SUMPRODUCT(($B$2=Таблица2[Филиал])*($B$3=Таблица2[ФЕР/ТЕР])*(F108=Таблица2[Наименование работ])*(G108=Таблица2[ТПиР/НСиР])*Таблица2[ПНР2013]))</f>
        <v>0</v>
      </c>
      <c r="AA108" s="63">
        <f>IF($B$4="в текущих ценах",калькулятор!M113,V108*SUMPRODUCT(($B$2=Таблица2[Филиал])*($B$3=Таблица2[ФЕР/ТЕР])*(F108=Таблица2[Наименование работ])*(G108=Таблица2[ТПиР/НСиР])*Таблица2[Оборудование2013]))</f>
        <v>0</v>
      </c>
      <c r="AB108" s="63">
        <f>IF($B$4="в текущих ценах",калькулятор!N113,W108*SUMPRODUCT(($B$2=Таблица2[Филиал])*($B$3=Таблица2[ФЕР/ТЕР])*(F108=Таблица2[Наименование работ])*(G108=Таблица2[ТПиР/НСиР])*Таблица2[Прочие3]))</f>
        <v>0</v>
      </c>
      <c r="AC108" s="63">
        <f>SUM(данные!$I108:$M108)</f>
        <v>0</v>
      </c>
      <c r="AD108" s="63">
        <f>IF(SUM(данные!$N108:$R108)&gt;данные!$AF108,данные!$AF108*0.9*1.058,SUM(данные!$N108:$R108))</f>
        <v>0</v>
      </c>
      <c r="AE108" s="63">
        <f>SUM(данные!$S108:$W108)</f>
        <v>0</v>
      </c>
      <c r="AF108" s="63">
        <f>SUM(данные!$X108:$AB108)</f>
        <v>0</v>
      </c>
      <c r="AG108" s="63">
        <f>IF($B$4="в текущих ценах",S108*SUMPRODUCT(($B$2=Таблица2[Филиал])*($B$3=Таблица2[ФЕР/ТЕР])*(F108=Таблица2[Наименование работ])*(G108=Таблица2[ТПиР/НСиР])*Таблица2[ПИР2012]),S108*SUMPRODUCT(($B$2=Таблица2[Филиал])*($B$3=Таблица2[ФЕР/ТЕР])*(F108=Таблица2[Наименование работ])*(G108=Таблица2[ТПиР/НСиР])*Таблица2[ПИР2012]))</f>
        <v>0</v>
      </c>
      <c r="AH108" s="63">
        <f>IF($B$4="в текущих ценах",T108*SUMPRODUCT(($B$2=Таблица2[Филиал])*($B$3=Таблица2[ФЕР/ТЕР])*(F108=Таблица2[Наименование работ])*(G108=Таблица2[ТПиР/НСиР])*Таблица2[СМР2012]),T108*SUMPRODUCT(($B$2=Таблица2[Филиал])*($B$3=Таблица2[ФЕР/ТЕР])*(F108=Таблица2[Наименование работ])*(G108=Таблица2[ТПиР/НСиР])*Таблица2[СМР2012]))</f>
        <v>0</v>
      </c>
      <c r="AI108" s="63">
        <f>IF($B$4="в текущих ценах",U108*SUMPRODUCT(($B$2=Таблица2[Филиал])*($B$3=Таблица2[ФЕР/ТЕР])*(F108=Таблица2[Наименование работ])*(G108=Таблица2[ТПиР/НСиР])*Таблица2[ПНР2012]),U108*SUMPRODUCT(($B$2=Таблица2[Филиал])*($B$3=Таблица2[ФЕР/ТЕР])*(F108=Таблица2[Наименование работ])*(G108=Таблица2[ТПиР/НСиР])*Таблица2[ПНР2012]))</f>
        <v>0</v>
      </c>
      <c r="AJ108" s="63">
        <f>IF($B$4="в текущих ценах",V108*SUMPRODUCT(($B$2=Таблица2[Филиал])*($B$3=Таблица2[ФЕР/ТЕР])*(F108=Таблица2[Наименование работ])*(G108=Таблица2[ТПиР/НСиР])*Таблица2[Оборудование2012]),V108*SUMPRODUCT(($B$2=Таблица2[Филиал])*($B$3=Таблица2[ФЕР/ТЕР])*(F108=Таблица2[Наименование работ])*(G108=Таблица2[ТПиР/НСиР])*Таблица2[Оборудование2012]))</f>
        <v>0</v>
      </c>
      <c r="AK108" s="63">
        <f>IF($B$4="в текущих ценах",W108*SUMPRODUCT(($B$2=Таблица2[Филиал])*($B$3=Таблица2[ФЕР/ТЕР])*(F108=Таблица2[Наименование работ])*(G108=Таблица2[ТПиР/НСиР])*Таблица2[Прочее2012]),W108*SUMPRODUCT(($B$2=Таблица2[Филиал])*($B$3=Таблица2[ФЕР/ТЕР])*(F108=Таблица2[Наименование работ])*(G108=Таблица2[ТПиР/НСиР])*Таблица2[Прочее2012]))</f>
        <v>0</v>
      </c>
      <c r="AL108" s="63">
        <f>данные!$X108+данные!$Y108+данные!$Z108+данные!$AA108+данные!$AB108</f>
        <v>0</v>
      </c>
      <c r="AM108" s="63">
        <v>1.03639035</v>
      </c>
      <c r="AN108" s="63">
        <v>1.0114049394</v>
      </c>
      <c r="AO108" s="63">
        <v>0.98210394336149998</v>
      </c>
      <c r="AP108" s="63">
        <v>0.93762413895893393</v>
      </c>
      <c r="AQ108" s="63"/>
      <c r="AR108" s="63"/>
      <c r="AS108" s="64"/>
      <c r="AU108" s="66">
        <f t="shared" si="6"/>
        <v>0</v>
      </c>
      <c r="AX108" s="66">
        <f t="shared" si="7"/>
        <v>0</v>
      </c>
      <c r="AY108" s="66">
        <f t="shared" si="8"/>
        <v>0</v>
      </c>
      <c r="AZ108" s="66">
        <f t="shared" si="9"/>
        <v>0</v>
      </c>
      <c r="BA108" s="66">
        <f t="shared" si="10"/>
        <v>0</v>
      </c>
      <c r="BB108" s="66">
        <f t="shared" si="11"/>
        <v>0</v>
      </c>
    </row>
    <row r="109" spans="4:54" x14ac:dyDescent="0.25">
      <c r="D109" s="62">
        <f>калькулятор!C114</f>
        <v>0</v>
      </c>
      <c r="E109" s="62">
        <f>калькулятор!F114</f>
        <v>0</v>
      </c>
      <c r="F109" s="62">
        <f>калькулятор!G114</f>
        <v>0</v>
      </c>
      <c r="G109" s="62">
        <f>калькулятор!H114</f>
        <v>0</v>
      </c>
      <c r="H109" s="62">
        <f>калькулятор!I114</f>
        <v>0</v>
      </c>
      <c r="I109" s="63">
        <f>S109*SUMPRODUCT(($B$2=Таблица2[Филиал])*($B$3=Таблица2[ФЕР/ТЕР])*(F109=Таблица2[Наименование работ])*(G109=Таблица2[ТПиР/НСиР])*Таблица2[ПИР2010])</f>
        <v>0</v>
      </c>
      <c r="J109" s="63">
        <f>T109*SUMPRODUCT(($B$2=Таблица2[Филиал])*($B$3=Таблица2[ФЕР/ТЕР])*(F109=Таблица2[Наименование работ])*(G109=Таблица2[ТПиР/НСиР])*Таблица2[СМР2010])</f>
        <v>0</v>
      </c>
      <c r="K109" s="63">
        <f>U109*SUMPRODUCT(($B$2=Таблица2[Филиал])*($B$3=Таблица2[ФЕР/ТЕР])*(F109=Таблица2[Наименование работ])*(G109=Таблица2[ТПиР/НСиР])*Таблица2[ПНР2010])</f>
        <v>0</v>
      </c>
      <c r="L109" s="63">
        <f>V109*SUMPRODUCT(($B$2=Таблица2[Филиал])*($B$3=Таблица2[ФЕР/ТЕР])*(F109=Таблица2[Наименование работ])*(G109=Таблица2[ТПиР/НСиР])*Таблица2[Оборудование2010])</f>
        <v>0</v>
      </c>
      <c r="M109" s="63">
        <f>W109*SUMPRODUCT(($B$2=Таблица2[Филиал])*($B$3=Таблица2[ФЕР/ТЕР])*(F109=Таблица2[Наименование работ])*(G109=Таблица2[ТПиР/НСиР])*Таблица2[Прочие2010])</f>
        <v>0</v>
      </c>
      <c r="N109" s="63">
        <f>S109*SUMPRODUCT(($B$2=Таблица2[Филиал])*($B$3=Таблица2[ФЕР/ТЕР])*(F109=Таблица2[Наименование работ])*(G109=Таблица2[ТПиР/НСиР])*Таблица2[ПИР2013-10])</f>
        <v>0</v>
      </c>
      <c r="O109" s="63">
        <f>T109*SUMPRODUCT(($B$2=Таблица2[Филиал])*($B$3=Таблица2[ФЕР/ТЕР])*(F109=Таблица2[Наименование работ])*(G109=Таблица2[ТПиР/НСиР])*Таблица2[СМР2013-10])</f>
        <v>0</v>
      </c>
      <c r="P109" s="63">
        <f>U109*SUMPRODUCT(($B$2=Таблица2[Филиал])*($B$3=Таблица2[ФЕР/ТЕР])*(F109=Таблица2[Наименование работ])*(G109=Таблица2[ТПиР/НСиР])*Таблица2[ПНР2013-10])</f>
        <v>0</v>
      </c>
      <c r="Q109" s="63">
        <f>V109*SUMPRODUCT(($B$2=Таблица2[Филиал])*($B$3=Таблица2[ФЕР/ТЕР])*(F109=Таблица2[Наименование работ])*(G109=Таблица2[ТПиР/НСиР])*Таблица2[Оборудование2013-10])</f>
        <v>0</v>
      </c>
      <c r="R109" s="63">
        <f>W109*SUMPRODUCT(($B$2=Таблица2[Филиал])*($B$3=Таблица2[ФЕР/ТЕР])*(F109=Таблица2[Наименование работ])*(G109=Таблица2[ТПиР/НСиР])*Таблица2[Прочие2013-10])</f>
        <v>0</v>
      </c>
      <c r="S109" s="63">
        <f>IF($B$4="в базовых ценах",калькулятор!J114,X109*SUMPRODUCT(($B$2=Таблица2[Филиал])*($B$3=Таблица2[ФЕР/ТЕР])*(F109=Таблица2[Наименование работ])*(G109=Таблица2[ТПиР/НСиР])/Таблица2[ПИР2013]))</f>
        <v>0</v>
      </c>
      <c r="T109" s="63">
        <f>IF($B$4="в базовых ценах",калькулятор!K114,Y109*SUMPRODUCT(($B$2=Таблица2[Филиал])*($B$3=Таблица2[ФЕР/ТЕР])*(F109=Таблица2[Наименование работ])*(G109=Таблица2[ТПиР/НСиР])/Таблица2[СМР2013]))</f>
        <v>0</v>
      </c>
      <c r="U109" s="63">
        <f>IF($B$4="в базовых ценах",калькулятор!L114,Z109*SUMPRODUCT(($B$2=Таблица2[Филиал])*($B$3=Таблица2[ФЕР/ТЕР])*(F109=Таблица2[Наименование работ])*(G109=Таблица2[ТПиР/НСиР])/Таблица2[ПНР2013]))</f>
        <v>0</v>
      </c>
      <c r="V109" s="63">
        <f>IF($B$4="в базовых ценах",калькулятор!M114,AA109*SUMPRODUCT(($B$2=Таблица2[Филиал])*($B$3=Таблица2[ФЕР/ТЕР])*(F109=Таблица2[Наименование работ])*(G109=Таблица2[ТПиР/НСиР])/Таблица2[Оборудование2013]))</f>
        <v>0</v>
      </c>
      <c r="W109" s="63">
        <f>IF($B$4="в базовых ценах",калькулятор!N114,AB109*SUMPRODUCT(($B$2=Таблица2[Филиал])*($B$3=Таблица2[ФЕР/ТЕР])*(F109=Таблица2[Наименование работ])*(G109=Таблица2[ТПиР/НСиР])/Таблица2[Прочие3]))</f>
        <v>0</v>
      </c>
      <c r="X109" s="63">
        <f>IF($B$4="в текущих ценах",калькулятор!J114,S109*SUMPRODUCT(($B$2=Таблица2[Филиал])*($B$3=Таблица2[ФЕР/ТЕР])*(F109=Таблица2[Наименование работ])*(G109=Таблица2[ТПиР/НСиР])*Таблица2[ПИР2013]))</f>
        <v>0</v>
      </c>
      <c r="Y109" s="63">
        <f>IF($B$4="в текущих ценах",калькулятор!K114,T109*SUMPRODUCT(($B$2=Таблица2[Филиал])*($B$3=Таблица2[ФЕР/ТЕР])*(F109=Таблица2[Наименование работ])*(G109=Таблица2[ТПиР/НСиР])*Таблица2[СМР2013]))</f>
        <v>0</v>
      </c>
      <c r="Z109" s="63">
        <f>IF($B$4="в текущих ценах",калькулятор!L114,U109*SUMPRODUCT(($B$2=Таблица2[Филиал])*($B$3=Таблица2[ФЕР/ТЕР])*(F109=Таблица2[Наименование работ])*(G109=Таблица2[ТПиР/НСиР])*Таблица2[ПНР2013]))</f>
        <v>0</v>
      </c>
      <c r="AA109" s="63">
        <f>IF($B$4="в текущих ценах",калькулятор!M114,V109*SUMPRODUCT(($B$2=Таблица2[Филиал])*($B$3=Таблица2[ФЕР/ТЕР])*(F109=Таблица2[Наименование работ])*(G109=Таблица2[ТПиР/НСиР])*Таблица2[Оборудование2013]))</f>
        <v>0</v>
      </c>
      <c r="AB109" s="63">
        <f>IF($B$4="в текущих ценах",калькулятор!N114,W109*SUMPRODUCT(($B$2=Таблица2[Филиал])*($B$3=Таблица2[ФЕР/ТЕР])*(F109=Таблица2[Наименование работ])*(G109=Таблица2[ТПиР/НСиР])*Таблица2[Прочие3]))</f>
        <v>0</v>
      </c>
      <c r="AC109" s="63">
        <f>SUM(данные!$I109:$M109)</f>
        <v>0</v>
      </c>
      <c r="AD109" s="63">
        <f>IF(SUM(данные!$N109:$R109)&gt;данные!$AF109,данные!$AF109*0.9*1.058,SUM(данные!$N109:$R109))</f>
        <v>0</v>
      </c>
      <c r="AE109" s="63">
        <f>SUM(данные!$S109:$W109)</f>
        <v>0</v>
      </c>
      <c r="AF109" s="63">
        <f>SUM(данные!$X109:$AB109)</f>
        <v>0</v>
      </c>
      <c r="AG109" s="63">
        <f>IF($B$4="в текущих ценах",S109*SUMPRODUCT(($B$2=Таблица2[Филиал])*($B$3=Таблица2[ФЕР/ТЕР])*(F109=Таблица2[Наименование работ])*(G109=Таблица2[ТПиР/НСиР])*Таблица2[ПИР2012]),S109*SUMPRODUCT(($B$2=Таблица2[Филиал])*($B$3=Таблица2[ФЕР/ТЕР])*(F109=Таблица2[Наименование работ])*(G109=Таблица2[ТПиР/НСиР])*Таблица2[ПИР2012]))</f>
        <v>0</v>
      </c>
      <c r="AH109" s="63">
        <f>IF($B$4="в текущих ценах",T109*SUMPRODUCT(($B$2=Таблица2[Филиал])*($B$3=Таблица2[ФЕР/ТЕР])*(F109=Таблица2[Наименование работ])*(G109=Таблица2[ТПиР/НСиР])*Таблица2[СМР2012]),T109*SUMPRODUCT(($B$2=Таблица2[Филиал])*($B$3=Таблица2[ФЕР/ТЕР])*(F109=Таблица2[Наименование работ])*(G109=Таблица2[ТПиР/НСиР])*Таблица2[СМР2012]))</f>
        <v>0</v>
      </c>
      <c r="AI109" s="63">
        <f>IF($B$4="в текущих ценах",U109*SUMPRODUCT(($B$2=Таблица2[Филиал])*($B$3=Таблица2[ФЕР/ТЕР])*(F109=Таблица2[Наименование работ])*(G109=Таблица2[ТПиР/НСиР])*Таблица2[ПНР2012]),U109*SUMPRODUCT(($B$2=Таблица2[Филиал])*($B$3=Таблица2[ФЕР/ТЕР])*(F109=Таблица2[Наименование работ])*(G109=Таблица2[ТПиР/НСиР])*Таблица2[ПНР2012]))</f>
        <v>0</v>
      </c>
      <c r="AJ109" s="63">
        <f>IF($B$4="в текущих ценах",V109*SUMPRODUCT(($B$2=Таблица2[Филиал])*($B$3=Таблица2[ФЕР/ТЕР])*(F109=Таблица2[Наименование работ])*(G109=Таблица2[ТПиР/НСиР])*Таблица2[Оборудование2012]),V109*SUMPRODUCT(($B$2=Таблица2[Филиал])*($B$3=Таблица2[ФЕР/ТЕР])*(F109=Таблица2[Наименование работ])*(G109=Таблица2[ТПиР/НСиР])*Таблица2[Оборудование2012]))</f>
        <v>0</v>
      </c>
      <c r="AK109" s="63">
        <f>IF($B$4="в текущих ценах",W109*SUMPRODUCT(($B$2=Таблица2[Филиал])*($B$3=Таблица2[ФЕР/ТЕР])*(F109=Таблица2[Наименование работ])*(G109=Таблица2[ТПиР/НСиР])*Таблица2[Прочее2012]),W109*SUMPRODUCT(($B$2=Таблица2[Филиал])*($B$3=Таблица2[ФЕР/ТЕР])*(F109=Таблица2[Наименование работ])*(G109=Таблица2[ТПиР/НСиР])*Таблица2[Прочее2012]))</f>
        <v>0</v>
      </c>
      <c r="AL109" s="63">
        <f>данные!$X109+данные!$Y109+данные!$Z109+данные!$AA109+данные!$AB109</f>
        <v>0</v>
      </c>
      <c r="AM109" s="63">
        <v>1.03639035</v>
      </c>
      <c r="AN109" s="63">
        <v>1.0114049394</v>
      </c>
      <c r="AO109" s="63">
        <v>0.98210394336149998</v>
      </c>
      <c r="AP109" s="63">
        <v>0.93762413895893393</v>
      </c>
      <c r="AQ109" s="63"/>
      <c r="AR109" s="63"/>
      <c r="AS109" s="64"/>
      <c r="AU109" s="66">
        <f t="shared" si="6"/>
        <v>0</v>
      </c>
      <c r="AX109" s="66">
        <f t="shared" si="7"/>
        <v>0</v>
      </c>
      <c r="AY109" s="66">
        <f t="shared" si="8"/>
        <v>0</v>
      </c>
      <c r="AZ109" s="66">
        <f t="shared" si="9"/>
        <v>0</v>
      </c>
      <c r="BA109" s="66">
        <f t="shared" si="10"/>
        <v>0</v>
      </c>
      <c r="BB109" s="66">
        <f t="shared" si="11"/>
        <v>0</v>
      </c>
    </row>
    <row r="110" spans="4:54" x14ac:dyDescent="0.25">
      <c r="D110" s="62">
        <f>калькулятор!C115</f>
        <v>0</v>
      </c>
      <c r="E110" s="62">
        <f>калькулятор!F115</f>
        <v>0</v>
      </c>
      <c r="F110" s="62">
        <f>калькулятор!G115</f>
        <v>0</v>
      </c>
      <c r="G110" s="62">
        <f>калькулятор!H115</f>
        <v>0</v>
      </c>
      <c r="H110" s="62">
        <f>калькулятор!I115</f>
        <v>0</v>
      </c>
      <c r="I110" s="63">
        <f>S110*SUMPRODUCT(($B$2=Таблица2[Филиал])*($B$3=Таблица2[ФЕР/ТЕР])*(F110=Таблица2[Наименование работ])*(G110=Таблица2[ТПиР/НСиР])*Таблица2[ПИР2010])</f>
        <v>0</v>
      </c>
      <c r="J110" s="63">
        <f>T110*SUMPRODUCT(($B$2=Таблица2[Филиал])*($B$3=Таблица2[ФЕР/ТЕР])*(F110=Таблица2[Наименование работ])*(G110=Таблица2[ТПиР/НСиР])*Таблица2[СМР2010])</f>
        <v>0</v>
      </c>
      <c r="K110" s="63">
        <f>U110*SUMPRODUCT(($B$2=Таблица2[Филиал])*($B$3=Таблица2[ФЕР/ТЕР])*(F110=Таблица2[Наименование работ])*(G110=Таблица2[ТПиР/НСиР])*Таблица2[ПНР2010])</f>
        <v>0</v>
      </c>
      <c r="L110" s="63">
        <f>V110*SUMPRODUCT(($B$2=Таблица2[Филиал])*($B$3=Таблица2[ФЕР/ТЕР])*(F110=Таблица2[Наименование работ])*(G110=Таблица2[ТПиР/НСиР])*Таблица2[Оборудование2010])</f>
        <v>0</v>
      </c>
      <c r="M110" s="63">
        <f>W110*SUMPRODUCT(($B$2=Таблица2[Филиал])*($B$3=Таблица2[ФЕР/ТЕР])*(F110=Таблица2[Наименование работ])*(G110=Таблица2[ТПиР/НСиР])*Таблица2[Прочие2010])</f>
        <v>0</v>
      </c>
      <c r="N110" s="63">
        <f>S110*SUMPRODUCT(($B$2=Таблица2[Филиал])*($B$3=Таблица2[ФЕР/ТЕР])*(F110=Таблица2[Наименование работ])*(G110=Таблица2[ТПиР/НСиР])*Таблица2[ПИР2013-10])</f>
        <v>0</v>
      </c>
      <c r="O110" s="63">
        <f>T110*SUMPRODUCT(($B$2=Таблица2[Филиал])*($B$3=Таблица2[ФЕР/ТЕР])*(F110=Таблица2[Наименование работ])*(G110=Таблица2[ТПиР/НСиР])*Таблица2[СМР2013-10])</f>
        <v>0</v>
      </c>
      <c r="P110" s="63">
        <f>U110*SUMPRODUCT(($B$2=Таблица2[Филиал])*($B$3=Таблица2[ФЕР/ТЕР])*(F110=Таблица2[Наименование работ])*(G110=Таблица2[ТПиР/НСиР])*Таблица2[ПНР2013-10])</f>
        <v>0</v>
      </c>
      <c r="Q110" s="63">
        <f>V110*SUMPRODUCT(($B$2=Таблица2[Филиал])*($B$3=Таблица2[ФЕР/ТЕР])*(F110=Таблица2[Наименование работ])*(G110=Таблица2[ТПиР/НСиР])*Таблица2[Оборудование2013-10])</f>
        <v>0</v>
      </c>
      <c r="R110" s="63">
        <f>W110*SUMPRODUCT(($B$2=Таблица2[Филиал])*($B$3=Таблица2[ФЕР/ТЕР])*(F110=Таблица2[Наименование работ])*(G110=Таблица2[ТПиР/НСиР])*Таблица2[Прочие2013-10])</f>
        <v>0</v>
      </c>
      <c r="S110" s="63">
        <f>IF($B$4="в базовых ценах",калькулятор!J115,X110*SUMPRODUCT(($B$2=Таблица2[Филиал])*($B$3=Таблица2[ФЕР/ТЕР])*(F110=Таблица2[Наименование работ])*(G110=Таблица2[ТПиР/НСиР])/Таблица2[ПИР2013]))</f>
        <v>0</v>
      </c>
      <c r="T110" s="63">
        <f>IF($B$4="в базовых ценах",калькулятор!K115,Y110*SUMPRODUCT(($B$2=Таблица2[Филиал])*($B$3=Таблица2[ФЕР/ТЕР])*(F110=Таблица2[Наименование работ])*(G110=Таблица2[ТПиР/НСиР])/Таблица2[СМР2013]))</f>
        <v>0</v>
      </c>
      <c r="U110" s="63">
        <f>IF($B$4="в базовых ценах",калькулятор!L115,Z110*SUMPRODUCT(($B$2=Таблица2[Филиал])*($B$3=Таблица2[ФЕР/ТЕР])*(F110=Таблица2[Наименование работ])*(G110=Таблица2[ТПиР/НСиР])/Таблица2[ПНР2013]))</f>
        <v>0</v>
      </c>
      <c r="V110" s="63">
        <f>IF($B$4="в базовых ценах",калькулятор!M115,AA110*SUMPRODUCT(($B$2=Таблица2[Филиал])*($B$3=Таблица2[ФЕР/ТЕР])*(F110=Таблица2[Наименование работ])*(G110=Таблица2[ТПиР/НСиР])/Таблица2[Оборудование2013]))</f>
        <v>0</v>
      </c>
      <c r="W110" s="63">
        <f>IF($B$4="в базовых ценах",калькулятор!N115,AB110*SUMPRODUCT(($B$2=Таблица2[Филиал])*($B$3=Таблица2[ФЕР/ТЕР])*(F110=Таблица2[Наименование работ])*(G110=Таблица2[ТПиР/НСиР])/Таблица2[Прочие3]))</f>
        <v>0</v>
      </c>
      <c r="X110" s="63">
        <f>IF($B$4="в текущих ценах",калькулятор!J115,S110*SUMPRODUCT(($B$2=Таблица2[Филиал])*($B$3=Таблица2[ФЕР/ТЕР])*(F110=Таблица2[Наименование работ])*(G110=Таблица2[ТПиР/НСиР])*Таблица2[ПИР2013]))</f>
        <v>0</v>
      </c>
      <c r="Y110" s="63">
        <f>IF($B$4="в текущих ценах",калькулятор!K115,T110*SUMPRODUCT(($B$2=Таблица2[Филиал])*($B$3=Таблица2[ФЕР/ТЕР])*(F110=Таблица2[Наименование работ])*(G110=Таблица2[ТПиР/НСиР])*Таблица2[СМР2013]))</f>
        <v>0</v>
      </c>
      <c r="Z110" s="63">
        <f>IF($B$4="в текущих ценах",калькулятор!L115,U110*SUMPRODUCT(($B$2=Таблица2[Филиал])*($B$3=Таблица2[ФЕР/ТЕР])*(F110=Таблица2[Наименование работ])*(G110=Таблица2[ТПиР/НСиР])*Таблица2[ПНР2013]))</f>
        <v>0</v>
      </c>
      <c r="AA110" s="63">
        <f>IF($B$4="в текущих ценах",калькулятор!M115,V110*SUMPRODUCT(($B$2=Таблица2[Филиал])*($B$3=Таблица2[ФЕР/ТЕР])*(F110=Таблица2[Наименование работ])*(G110=Таблица2[ТПиР/НСиР])*Таблица2[Оборудование2013]))</f>
        <v>0</v>
      </c>
      <c r="AB110" s="63">
        <f>IF($B$4="в текущих ценах",калькулятор!N115,W110*SUMPRODUCT(($B$2=Таблица2[Филиал])*($B$3=Таблица2[ФЕР/ТЕР])*(F110=Таблица2[Наименование работ])*(G110=Таблица2[ТПиР/НСиР])*Таблица2[Прочие3]))</f>
        <v>0</v>
      </c>
      <c r="AC110" s="63">
        <f>SUM(данные!$I110:$M110)</f>
        <v>0</v>
      </c>
      <c r="AD110" s="63">
        <f>IF(SUM(данные!$N110:$R110)&gt;данные!$AF110,данные!$AF110*0.9*1.058,SUM(данные!$N110:$R110))</f>
        <v>0</v>
      </c>
      <c r="AE110" s="63">
        <f>SUM(данные!$S110:$W110)</f>
        <v>0</v>
      </c>
      <c r="AF110" s="63">
        <f>SUM(данные!$X110:$AB110)</f>
        <v>0</v>
      </c>
      <c r="AG110" s="63">
        <f>IF($B$4="в текущих ценах",S110*SUMPRODUCT(($B$2=Таблица2[Филиал])*($B$3=Таблица2[ФЕР/ТЕР])*(F110=Таблица2[Наименование работ])*(G110=Таблица2[ТПиР/НСиР])*Таблица2[ПИР2012]),S110*SUMPRODUCT(($B$2=Таблица2[Филиал])*($B$3=Таблица2[ФЕР/ТЕР])*(F110=Таблица2[Наименование работ])*(G110=Таблица2[ТПиР/НСиР])*Таблица2[ПИР2012]))</f>
        <v>0</v>
      </c>
      <c r="AH110" s="63">
        <f>IF($B$4="в текущих ценах",T110*SUMPRODUCT(($B$2=Таблица2[Филиал])*($B$3=Таблица2[ФЕР/ТЕР])*(F110=Таблица2[Наименование работ])*(G110=Таблица2[ТПиР/НСиР])*Таблица2[СМР2012]),T110*SUMPRODUCT(($B$2=Таблица2[Филиал])*($B$3=Таблица2[ФЕР/ТЕР])*(F110=Таблица2[Наименование работ])*(G110=Таблица2[ТПиР/НСиР])*Таблица2[СМР2012]))</f>
        <v>0</v>
      </c>
      <c r="AI110" s="63">
        <f>IF($B$4="в текущих ценах",U110*SUMPRODUCT(($B$2=Таблица2[Филиал])*($B$3=Таблица2[ФЕР/ТЕР])*(F110=Таблица2[Наименование работ])*(G110=Таблица2[ТПиР/НСиР])*Таблица2[ПНР2012]),U110*SUMPRODUCT(($B$2=Таблица2[Филиал])*($B$3=Таблица2[ФЕР/ТЕР])*(F110=Таблица2[Наименование работ])*(G110=Таблица2[ТПиР/НСиР])*Таблица2[ПНР2012]))</f>
        <v>0</v>
      </c>
      <c r="AJ110" s="63">
        <f>IF($B$4="в текущих ценах",V110*SUMPRODUCT(($B$2=Таблица2[Филиал])*($B$3=Таблица2[ФЕР/ТЕР])*(F110=Таблица2[Наименование работ])*(G110=Таблица2[ТПиР/НСиР])*Таблица2[Оборудование2012]),V110*SUMPRODUCT(($B$2=Таблица2[Филиал])*($B$3=Таблица2[ФЕР/ТЕР])*(F110=Таблица2[Наименование работ])*(G110=Таблица2[ТПиР/НСиР])*Таблица2[Оборудование2012]))</f>
        <v>0</v>
      </c>
      <c r="AK110" s="63">
        <f>IF($B$4="в текущих ценах",W110*SUMPRODUCT(($B$2=Таблица2[Филиал])*($B$3=Таблица2[ФЕР/ТЕР])*(F110=Таблица2[Наименование работ])*(G110=Таблица2[ТПиР/НСиР])*Таблица2[Прочее2012]),W110*SUMPRODUCT(($B$2=Таблица2[Филиал])*($B$3=Таблица2[ФЕР/ТЕР])*(F110=Таблица2[Наименование работ])*(G110=Таблица2[ТПиР/НСиР])*Таблица2[Прочее2012]))</f>
        <v>0</v>
      </c>
      <c r="AL110" s="63">
        <f>данные!$X110+данные!$Y110+данные!$Z110+данные!$AA110+данные!$AB110</f>
        <v>0</v>
      </c>
      <c r="AM110" s="63">
        <v>1.03639035</v>
      </c>
      <c r="AN110" s="63">
        <v>1.0114049394</v>
      </c>
      <c r="AO110" s="63">
        <v>0.98210394336149998</v>
      </c>
      <c r="AP110" s="63">
        <v>0.93762413895893393</v>
      </c>
      <c r="AQ110" s="63"/>
      <c r="AR110" s="63"/>
      <c r="AS110" s="64"/>
      <c r="AU110" s="66">
        <f t="shared" si="6"/>
        <v>0</v>
      </c>
      <c r="AX110" s="66">
        <f t="shared" si="7"/>
        <v>0</v>
      </c>
      <c r="AY110" s="66">
        <f t="shared" si="8"/>
        <v>0</v>
      </c>
      <c r="AZ110" s="66">
        <f t="shared" si="9"/>
        <v>0</v>
      </c>
      <c r="BA110" s="66">
        <f t="shared" si="10"/>
        <v>0</v>
      </c>
      <c r="BB110" s="66">
        <f t="shared" si="11"/>
        <v>0</v>
      </c>
    </row>
    <row r="111" spans="4:54" x14ac:dyDescent="0.25">
      <c r="D111" s="62">
        <f>калькулятор!C116</f>
        <v>0</v>
      </c>
      <c r="E111" s="62">
        <f>калькулятор!F116</f>
        <v>0</v>
      </c>
      <c r="F111" s="62">
        <f>калькулятор!G116</f>
        <v>0</v>
      </c>
      <c r="G111" s="62">
        <f>калькулятор!H116</f>
        <v>0</v>
      </c>
      <c r="H111" s="62">
        <f>калькулятор!I116</f>
        <v>0</v>
      </c>
      <c r="I111" s="63">
        <f>S111*SUMPRODUCT(($B$2=Таблица2[Филиал])*($B$3=Таблица2[ФЕР/ТЕР])*(F111=Таблица2[Наименование работ])*(G111=Таблица2[ТПиР/НСиР])*Таблица2[ПИР2010])</f>
        <v>0</v>
      </c>
      <c r="J111" s="63">
        <f>T111*SUMPRODUCT(($B$2=Таблица2[Филиал])*($B$3=Таблица2[ФЕР/ТЕР])*(F111=Таблица2[Наименование работ])*(G111=Таблица2[ТПиР/НСиР])*Таблица2[СМР2010])</f>
        <v>0</v>
      </c>
      <c r="K111" s="63">
        <f>U111*SUMPRODUCT(($B$2=Таблица2[Филиал])*($B$3=Таблица2[ФЕР/ТЕР])*(F111=Таблица2[Наименование работ])*(G111=Таблица2[ТПиР/НСиР])*Таблица2[ПНР2010])</f>
        <v>0</v>
      </c>
      <c r="L111" s="63">
        <f>V111*SUMPRODUCT(($B$2=Таблица2[Филиал])*($B$3=Таблица2[ФЕР/ТЕР])*(F111=Таблица2[Наименование работ])*(G111=Таблица2[ТПиР/НСиР])*Таблица2[Оборудование2010])</f>
        <v>0</v>
      </c>
      <c r="M111" s="63">
        <f>W111*SUMPRODUCT(($B$2=Таблица2[Филиал])*($B$3=Таблица2[ФЕР/ТЕР])*(F111=Таблица2[Наименование работ])*(G111=Таблица2[ТПиР/НСиР])*Таблица2[Прочие2010])</f>
        <v>0</v>
      </c>
      <c r="N111" s="63">
        <f>S111*SUMPRODUCT(($B$2=Таблица2[Филиал])*($B$3=Таблица2[ФЕР/ТЕР])*(F111=Таблица2[Наименование работ])*(G111=Таблица2[ТПиР/НСиР])*Таблица2[ПИР2013-10])</f>
        <v>0</v>
      </c>
      <c r="O111" s="63">
        <f>T111*SUMPRODUCT(($B$2=Таблица2[Филиал])*($B$3=Таблица2[ФЕР/ТЕР])*(F111=Таблица2[Наименование работ])*(G111=Таблица2[ТПиР/НСиР])*Таблица2[СМР2013-10])</f>
        <v>0</v>
      </c>
      <c r="P111" s="63">
        <f>U111*SUMPRODUCT(($B$2=Таблица2[Филиал])*($B$3=Таблица2[ФЕР/ТЕР])*(F111=Таблица2[Наименование работ])*(G111=Таблица2[ТПиР/НСиР])*Таблица2[ПНР2013-10])</f>
        <v>0</v>
      </c>
      <c r="Q111" s="63">
        <f>V111*SUMPRODUCT(($B$2=Таблица2[Филиал])*($B$3=Таблица2[ФЕР/ТЕР])*(F111=Таблица2[Наименование работ])*(G111=Таблица2[ТПиР/НСиР])*Таблица2[Оборудование2013-10])</f>
        <v>0</v>
      </c>
      <c r="R111" s="63">
        <f>W111*SUMPRODUCT(($B$2=Таблица2[Филиал])*($B$3=Таблица2[ФЕР/ТЕР])*(F111=Таблица2[Наименование работ])*(G111=Таблица2[ТПиР/НСиР])*Таблица2[Прочие2013-10])</f>
        <v>0</v>
      </c>
      <c r="S111" s="63">
        <f>IF($B$4="в базовых ценах",калькулятор!J116,X111*SUMPRODUCT(($B$2=Таблица2[Филиал])*($B$3=Таблица2[ФЕР/ТЕР])*(F111=Таблица2[Наименование работ])*(G111=Таблица2[ТПиР/НСиР])/Таблица2[ПИР2013]))</f>
        <v>0</v>
      </c>
      <c r="T111" s="63">
        <f>IF($B$4="в базовых ценах",калькулятор!K116,Y111*SUMPRODUCT(($B$2=Таблица2[Филиал])*($B$3=Таблица2[ФЕР/ТЕР])*(F111=Таблица2[Наименование работ])*(G111=Таблица2[ТПиР/НСиР])/Таблица2[СМР2013]))</f>
        <v>0</v>
      </c>
      <c r="U111" s="63">
        <f>IF($B$4="в базовых ценах",калькулятор!L116,Z111*SUMPRODUCT(($B$2=Таблица2[Филиал])*($B$3=Таблица2[ФЕР/ТЕР])*(F111=Таблица2[Наименование работ])*(G111=Таблица2[ТПиР/НСиР])/Таблица2[ПНР2013]))</f>
        <v>0</v>
      </c>
      <c r="V111" s="63">
        <f>IF($B$4="в базовых ценах",калькулятор!M116,AA111*SUMPRODUCT(($B$2=Таблица2[Филиал])*($B$3=Таблица2[ФЕР/ТЕР])*(F111=Таблица2[Наименование работ])*(G111=Таблица2[ТПиР/НСиР])/Таблица2[Оборудование2013]))</f>
        <v>0</v>
      </c>
      <c r="W111" s="63">
        <f>IF($B$4="в базовых ценах",калькулятор!N116,AB111*SUMPRODUCT(($B$2=Таблица2[Филиал])*($B$3=Таблица2[ФЕР/ТЕР])*(F111=Таблица2[Наименование работ])*(G111=Таблица2[ТПиР/НСиР])/Таблица2[Прочие3]))</f>
        <v>0</v>
      </c>
      <c r="X111" s="63">
        <f>IF($B$4="в текущих ценах",калькулятор!J116,S111*SUMPRODUCT(($B$2=Таблица2[Филиал])*($B$3=Таблица2[ФЕР/ТЕР])*(F111=Таблица2[Наименование работ])*(G111=Таблица2[ТПиР/НСиР])*Таблица2[ПИР2013]))</f>
        <v>0</v>
      </c>
      <c r="Y111" s="63">
        <f>IF($B$4="в текущих ценах",калькулятор!K116,T111*SUMPRODUCT(($B$2=Таблица2[Филиал])*($B$3=Таблица2[ФЕР/ТЕР])*(F111=Таблица2[Наименование работ])*(G111=Таблица2[ТПиР/НСиР])*Таблица2[СМР2013]))</f>
        <v>0</v>
      </c>
      <c r="Z111" s="63">
        <f>IF($B$4="в текущих ценах",калькулятор!L116,U111*SUMPRODUCT(($B$2=Таблица2[Филиал])*($B$3=Таблица2[ФЕР/ТЕР])*(F111=Таблица2[Наименование работ])*(G111=Таблица2[ТПиР/НСиР])*Таблица2[ПНР2013]))</f>
        <v>0</v>
      </c>
      <c r="AA111" s="63">
        <f>IF($B$4="в текущих ценах",калькулятор!M116,V111*SUMPRODUCT(($B$2=Таблица2[Филиал])*($B$3=Таблица2[ФЕР/ТЕР])*(F111=Таблица2[Наименование работ])*(G111=Таблица2[ТПиР/НСиР])*Таблица2[Оборудование2013]))</f>
        <v>0</v>
      </c>
      <c r="AB111" s="63">
        <f>IF($B$4="в текущих ценах",калькулятор!N116,W111*SUMPRODUCT(($B$2=Таблица2[Филиал])*($B$3=Таблица2[ФЕР/ТЕР])*(F111=Таблица2[Наименование работ])*(G111=Таблица2[ТПиР/НСиР])*Таблица2[Прочие3]))</f>
        <v>0</v>
      </c>
      <c r="AC111" s="63">
        <f>SUM(данные!$I111:$M111)</f>
        <v>0</v>
      </c>
      <c r="AD111" s="63">
        <f>IF(SUM(данные!$N111:$R111)&gt;данные!$AF111,данные!$AF111*0.9*1.058,SUM(данные!$N111:$R111))</f>
        <v>0</v>
      </c>
      <c r="AE111" s="63">
        <f>SUM(данные!$S111:$W111)</f>
        <v>0</v>
      </c>
      <c r="AF111" s="63">
        <f>SUM(данные!$X111:$AB111)</f>
        <v>0</v>
      </c>
      <c r="AG111" s="63">
        <f>IF($B$4="в текущих ценах",S111*SUMPRODUCT(($B$2=Таблица2[Филиал])*($B$3=Таблица2[ФЕР/ТЕР])*(F111=Таблица2[Наименование работ])*(G111=Таблица2[ТПиР/НСиР])*Таблица2[ПИР2012]),S111*SUMPRODUCT(($B$2=Таблица2[Филиал])*($B$3=Таблица2[ФЕР/ТЕР])*(F111=Таблица2[Наименование работ])*(G111=Таблица2[ТПиР/НСиР])*Таблица2[ПИР2012]))</f>
        <v>0</v>
      </c>
      <c r="AH111" s="63">
        <f>IF($B$4="в текущих ценах",T111*SUMPRODUCT(($B$2=Таблица2[Филиал])*($B$3=Таблица2[ФЕР/ТЕР])*(F111=Таблица2[Наименование работ])*(G111=Таблица2[ТПиР/НСиР])*Таблица2[СМР2012]),T111*SUMPRODUCT(($B$2=Таблица2[Филиал])*($B$3=Таблица2[ФЕР/ТЕР])*(F111=Таблица2[Наименование работ])*(G111=Таблица2[ТПиР/НСиР])*Таблица2[СМР2012]))</f>
        <v>0</v>
      </c>
      <c r="AI111" s="63">
        <f>IF($B$4="в текущих ценах",U111*SUMPRODUCT(($B$2=Таблица2[Филиал])*($B$3=Таблица2[ФЕР/ТЕР])*(F111=Таблица2[Наименование работ])*(G111=Таблица2[ТПиР/НСиР])*Таблица2[ПНР2012]),U111*SUMPRODUCT(($B$2=Таблица2[Филиал])*($B$3=Таблица2[ФЕР/ТЕР])*(F111=Таблица2[Наименование работ])*(G111=Таблица2[ТПиР/НСиР])*Таблица2[ПНР2012]))</f>
        <v>0</v>
      </c>
      <c r="AJ111" s="63">
        <f>IF($B$4="в текущих ценах",V111*SUMPRODUCT(($B$2=Таблица2[Филиал])*($B$3=Таблица2[ФЕР/ТЕР])*(F111=Таблица2[Наименование работ])*(G111=Таблица2[ТПиР/НСиР])*Таблица2[Оборудование2012]),V111*SUMPRODUCT(($B$2=Таблица2[Филиал])*($B$3=Таблица2[ФЕР/ТЕР])*(F111=Таблица2[Наименование работ])*(G111=Таблица2[ТПиР/НСиР])*Таблица2[Оборудование2012]))</f>
        <v>0</v>
      </c>
      <c r="AK111" s="63">
        <f>IF($B$4="в текущих ценах",W111*SUMPRODUCT(($B$2=Таблица2[Филиал])*($B$3=Таблица2[ФЕР/ТЕР])*(F111=Таблица2[Наименование работ])*(G111=Таблица2[ТПиР/НСиР])*Таблица2[Прочее2012]),W111*SUMPRODUCT(($B$2=Таблица2[Филиал])*($B$3=Таблица2[ФЕР/ТЕР])*(F111=Таблица2[Наименование работ])*(G111=Таблица2[ТПиР/НСиР])*Таблица2[Прочее2012]))</f>
        <v>0</v>
      </c>
      <c r="AL111" s="63">
        <f>данные!$X111+данные!$Y111+данные!$Z111+данные!$AA111+данные!$AB111</f>
        <v>0</v>
      </c>
      <c r="AM111" s="63">
        <v>1.03639035</v>
      </c>
      <c r="AN111" s="63">
        <v>1.0114049394</v>
      </c>
      <c r="AO111" s="63">
        <v>0.98210394336149998</v>
      </c>
      <c r="AP111" s="63">
        <v>0.93762413895893393</v>
      </c>
      <c r="AQ111" s="63"/>
      <c r="AR111" s="63"/>
      <c r="AS111" s="64"/>
      <c r="AU111" s="66">
        <f t="shared" si="6"/>
        <v>0</v>
      </c>
      <c r="AX111" s="66">
        <f t="shared" si="7"/>
        <v>0</v>
      </c>
      <c r="AY111" s="66">
        <f t="shared" si="8"/>
        <v>0</v>
      </c>
      <c r="AZ111" s="66">
        <f t="shared" si="9"/>
        <v>0</v>
      </c>
      <c r="BA111" s="66">
        <f t="shared" si="10"/>
        <v>0</v>
      </c>
      <c r="BB111" s="66">
        <f t="shared" si="11"/>
        <v>0</v>
      </c>
    </row>
    <row r="112" spans="4:54" x14ac:dyDescent="0.25">
      <c r="D112" s="62">
        <f>калькулятор!C117</f>
        <v>0</v>
      </c>
      <c r="E112" s="62">
        <f>калькулятор!F117</f>
        <v>0</v>
      </c>
      <c r="F112" s="62">
        <f>калькулятор!G117</f>
        <v>0</v>
      </c>
      <c r="G112" s="62">
        <f>калькулятор!H117</f>
        <v>0</v>
      </c>
      <c r="H112" s="62">
        <f>калькулятор!I117</f>
        <v>0</v>
      </c>
      <c r="I112" s="63">
        <f>S112*SUMPRODUCT(($B$2=Таблица2[Филиал])*($B$3=Таблица2[ФЕР/ТЕР])*(F112=Таблица2[Наименование работ])*(G112=Таблица2[ТПиР/НСиР])*Таблица2[ПИР2010])</f>
        <v>0</v>
      </c>
      <c r="J112" s="63">
        <f>T112*SUMPRODUCT(($B$2=Таблица2[Филиал])*($B$3=Таблица2[ФЕР/ТЕР])*(F112=Таблица2[Наименование работ])*(G112=Таблица2[ТПиР/НСиР])*Таблица2[СМР2010])</f>
        <v>0</v>
      </c>
      <c r="K112" s="63">
        <f>U112*SUMPRODUCT(($B$2=Таблица2[Филиал])*($B$3=Таблица2[ФЕР/ТЕР])*(F112=Таблица2[Наименование работ])*(G112=Таблица2[ТПиР/НСиР])*Таблица2[ПНР2010])</f>
        <v>0</v>
      </c>
      <c r="L112" s="63">
        <f>V112*SUMPRODUCT(($B$2=Таблица2[Филиал])*($B$3=Таблица2[ФЕР/ТЕР])*(F112=Таблица2[Наименование работ])*(G112=Таблица2[ТПиР/НСиР])*Таблица2[Оборудование2010])</f>
        <v>0</v>
      </c>
      <c r="M112" s="63">
        <f>W112*SUMPRODUCT(($B$2=Таблица2[Филиал])*($B$3=Таблица2[ФЕР/ТЕР])*(F112=Таблица2[Наименование работ])*(G112=Таблица2[ТПиР/НСиР])*Таблица2[Прочие2010])</f>
        <v>0</v>
      </c>
      <c r="N112" s="63">
        <f>S112*SUMPRODUCT(($B$2=Таблица2[Филиал])*($B$3=Таблица2[ФЕР/ТЕР])*(F112=Таблица2[Наименование работ])*(G112=Таблица2[ТПиР/НСиР])*Таблица2[ПИР2013-10])</f>
        <v>0</v>
      </c>
      <c r="O112" s="63">
        <f>T112*SUMPRODUCT(($B$2=Таблица2[Филиал])*($B$3=Таблица2[ФЕР/ТЕР])*(F112=Таблица2[Наименование работ])*(G112=Таблица2[ТПиР/НСиР])*Таблица2[СМР2013-10])</f>
        <v>0</v>
      </c>
      <c r="P112" s="63">
        <f>U112*SUMPRODUCT(($B$2=Таблица2[Филиал])*($B$3=Таблица2[ФЕР/ТЕР])*(F112=Таблица2[Наименование работ])*(G112=Таблица2[ТПиР/НСиР])*Таблица2[ПНР2013-10])</f>
        <v>0</v>
      </c>
      <c r="Q112" s="63">
        <f>V112*SUMPRODUCT(($B$2=Таблица2[Филиал])*($B$3=Таблица2[ФЕР/ТЕР])*(F112=Таблица2[Наименование работ])*(G112=Таблица2[ТПиР/НСиР])*Таблица2[Оборудование2013-10])</f>
        <v>0</v>
      </c>
      <c r="R112" s="63">
        <f>W112*SUMPRODUCT(($B$2=Таблица2[Филиал])*($B$3=Таблица2[ФЕР/ТЕР])*(F112=Таблица2[Наименование работ])*(G112=Таблица2[ТПиР/НСиР])*Таблица2[Прочие2013-10])</f>
        <v>0</v>
      </c>
      <c r="S112" s="63">
        <f>IF($B$4="в базовых ценах",калькулятор!J117,X112*SUMPRODUCT(($B$2=Таблица2[Филиал])*($B$3=Таблица2[ФЕР/ТЕР])*(F112=Таблица2[Наименование работ])*(G112=Таблица2[ТПиР/НСиР])/Таблица2[ПИР2013]))</f>
        <v>0</v>
      </c>
      <c r="T112" s="63">
        <f>IF($B$4="в базовых ценах",калькулятор!K117,Y112*SUMPRODUCT(($B$2=Таблица2[Филиал])*($B$3=Таблица2[ФЕР/ТЕР])*(F112=Таблица2[Наименование работ])*(G112=Таблица2[ТПиР/НСиР])/Таблица2[СМР2013]))</f>
        <v>0</v>
      </c>
      <c r="U112" s="63">
        <f>IF($B$4="в базовых ценах",калькулятор!L117,Z112*SUMPRODUCT(($B$2=Таблица2[Филиал])*($B$3=Таблица2[ФЕР/ТЕР])*(F112=Таблица2[Наименование работ])*(G112=Таблица2[ТПиР/НСиР])/Таблица2[ПНР2013]))</f>
        <v>0</v>
      </c>
      <c r="V112" s="63">
        <f>IF($B$4="в базовых ценах",калькулятор!M117,AA112*SUMPRODUCT(($B$2=Таблица2[Филиал])*($B$3=Таблица2[ФЕР/ТЕР])*(F112=Таблица2[Наименование работ])*(G112=Таблица2[ТПиР/НСиР])/Таблица2[Оборудование2013]))</f>
        <v>0</v>
      </c>
      <c r="W112" s="63">
        <f>IF($B$4="в базовых ценах",калькулятор!N117,AB112*SUMPRODUCT(($B$2=Таблица2[Филиал])*($B$3=Таблица2[ФЕР/ТЕР])*(F112=Таблица2[Наименование работ])*(G112=Таблица2[ТПиР/НСиР])/Таблица2[Прочие3]))</f>
        <v>0</v>
      </c>
      <c r="X112" s="63">
        <f>IF($B$4="в текущих ценах",калькулятор!J117,S112*SUMPRODUCT(($B$2=Таблица2[Филиал])*($B$3=Таблица2[ФЕР/ТЕР])*(F112=Таблица2[Наименование работ])*(G112=Таблица2[ТПиР/НСиР])*Таблица2[ПИР2013]))</f>
        <v>0</v>
      </c>
      <c r="Y112" s="63">
        <f>IF($B$4="в текущих ценах",калькулятор!K117,T112*SUMPRODUCT(($B$2=Таблица2[Филиал])*($B$3=Таблица2[ФЕР/ТЕР])*(F112=Таблица2[Наименование работ])*(G112=Таблица2[ТПиР/НСиР])*Таблица2[СМР2013]))</f>
        <v>0</v>
      </c>
      <c r="Z112" s="63">
        <f>IF($B$4="в текущих ценах",калькулятор!L117,U112*SUMPRODUCT(($B$2=Таблица2[Филиал])*($B$3=Таблица2[ФЕР/ТЕР])*(F112=Таблица2[Наименование работ])*(G112=Таблица2[ТПиР/НСиР])*Таблица2[ПНР2013]))</f>
        <v>0</v>
      </c>
      <c r="AA112" s="63">
        <f>IF($B$4="в текущих ценах",калькулятор!M117,V112*SUMPRODUCT(($B$2=Таблица2[Филиал])*($B$3=Таблица2[ФЕР/ТЕР])*(F112=Таблица2[Наименование работ])*(G112=Таблица2[ТПиР/НСиР])*Таблица2[Оборудование2013]))</f>
        <v>0</v>
      </c>
      <c r="AB112" s="63">
        <f>IF($B$4="в текущих ценах",калькулятор!N117,W112*SUMPRODUCT(($B$2=Таблица2[Филиал])*($B$3=Таблица2[ФЕР/ТЕР])*(F112=Таблица2[Наименование работ])*(G112=Таблица2[ТПиР/НСиР])*Таблица2[Прочие3]))</f>
        <v>0</v>
      </c>
      <c r="AC112" s="63">
        <f>SUM(данные!$I112:$M112)</f>
        <v>0</v>
      </c>
      <c r="AD112" s="63">
        <f>IF(SUM(данные!$N112:$R112)&gt;данные!$AF112,данные!$AF112*0.9*1.058,SUM(данные!$N112:$R112))</f>
        <v>0</v>
      </c>
      <c r="AE112" s="63">
        <f>SUM(данные!$S112:$W112)</f>
        <v>0</v>
      </c>
      <c r="AF112" s="63">
        <f>SUM(данные!$X112:$AB112)</f>
        <v>0</v>
      </c>
      <c r="AG112" s="63">
        <f>IF($B$4="в текущих ценах",S112*SUMPRODUCT(($B$2=Таблица2[Филиал])*($B$3=Таблица2[ФЕР/ТЕР])*(F112=Таблица2[Наименование работ])*(G112=Таблица2[ТПиР/НСиР])*Таблица2[ПИР2012]),S112*SUMPRODUCT(($B$2=Таблица2[Филиал])*($B$3=Таблица2[ФЕР/ТЕР])*(F112=Таблица2[Наименование работ])*(G112=Таблица2[ТПиР/НСиР])*Таблица2[ПИР2012]))</f>
        <v>0</v>
      </c>
      <c r="AH112" s="63">
        <f>IF($B$4="в текущих ценах",T112*SUMPRODUCT(($B$2=Таблица2[Филиал])*($B$3=Таблица2[ФЕР/ТЕР])*(F112=Таблица2[Наименование работ])*(G112=Таблица2[ТПиР/НСиР])*Таблица2[СМР2012]),T112*SUMPRODUCT(($B$2=Таблица2[Филиал])*($B$3=Таблица2[ФЕР/ТЕР])*(F112=Таблица2[Наименование работ])*(G112=Таблица2[ТПиР/НСиР])*Таблица2[СМР2012]))</f>
        <v>0</v>
      </c>
      <c r="AI112" s="63">
        <f>IF($B$4="в текущих ценах",U112*SUMPRODUCT(($B$2=Таблица2[Филиал])*($B$3=Таблица2[ФЕР/ТЕР])*(F112=Таблица2[Наименование работ])*(G112=Таблица2[ТПиР/НСиР])*Таблица2[ПНР2012]),U112*SUMPRODUCT(($B$2=Таблица2[Филиал])*($B$3=Таблица2[ФЕР/ТЕР])*(F112=Таблица2[Наименование работ])*(G112=Таблица2[ТПиР/НСиР])*Таблица2[ПНР2012]))</f>
        <v>0</v>
      </c>
      <c r="AJ112" s="63">
        <f>IF($B$4="в текущих ценах",V112*SUMPRODUCT(($B$2=Таблица2[Филиал])*($B$3=Таблица2[ФЕР/ТЕР])*(F112=Таблица2[Наименование работ])*(G112=Таблица2[ТПиР/НСиР])*Таблица2[Оборудование2012]),V112*SUMPRODUCT(($B$2=Таблица2[Филиал])*($B$3=Таблица2[ФЕР/ТЕР])*(F112=Таблица2[Наименование работ])*(G112=Таблица2[ТПиР/НСиР])*Таблица2[Оборудование2012]))</f>
        <v>0</v>
      </c>
      <c r="AK112" s="63">
        <f>IF($B$4="в текущих ценах",W112*SUMPRODUCT(($B$2=Таблица2[Филиал])*($B$3=Таблица2[ФЕР/ТЕР])*(F112=Таблица2[Наименование работ])*(G112=Таблица2[ТПиР/НСиР])*Таблица2[Прочее2012]),W112*SUMPRODUCT(($B$2=Таблица2[Филиал])*($B$3=Таблица2[ФЕР/ТЕР])*(F112=Таблица2[Наименование работ])*(G112=Таблица2[ТПиР/НСиР])*Таблица2[Прочее2012]))</f>
        <v>0</v>
      </c>
      <c r="AL112" s="63">
        <f>данные!$X112+данные!$Y112+данные!$Z112+данные!$AA112+данные!$AB112</f>
        <v>0</v>
      </c>
      <c r="AM112" s="63">
        <v>1.03639035</v>
      </c>
      <c r="AN112" s="63">
        <v>1.0114049394</v>
      </c>
      <c r="AO112" s="63">
        <v>0.98210394336149998</v>
      </c>
      <c r="AP112" s="63">
        <v>0.93762413895893393</v>
      </c>
      <c r="AQ112" s="63"/>
      <c r="AR112" s="63"/>
      <c r="AS112" s="64"/>
      <c r="AU112" s="66">
        <f t="shared" si="6"/>
        <v>0</v>
      </c>
      <c r="AX112" s="66">
        <f t="shared" si="7"/>
        <v>0</v>
      </c>
      <c r="AY112" s="66">
        <f t="shared" si="8"/>
        <v>0</v>
      </c>
      <c r="AZ112" s="66">
        <f t="shared" si="9"/>
        <v>0</v>
      </c>
      <c r="BA112" s="66">
        <f t="shared" si="10"/>
        <v>0</v>
      </c>
      <c r="BB112" s="66">
        <f t="shared" si="11"/>
        <v>0</v>
      </c>
    </row>
    <row r="113" spans="4:54" x14ac:dyDescent="0.25">
      <c r="D113" s="62">
        <f>калькулятор!C118</f>
        <v>0</v>
      </c>
      <c r="E113" s="62">
        <f>калькулятор!F118</f>
        <v>0</v>
      </c>
      <c r="F113" s="62">
        <f>калькулятор!G118</f>
        <v>0</v>
      </c>
      <c r="G113" s="62">
        <f>калькулятор!H118</f>
        <v>0</v>
      </c>
      <c r="H113" s="62">
        <f>калькулятор!I118</f>
        <v>0</v>
      </c>
      <c r="I113" s="63">
        <f>S113*SUMPRODUCT(($B$2=Таблица2[Филиал])*($B$3=Таблица2[ФЕР/ТЕР])*(F113=Таблица2[Наименование работ])*(G113=Таблица2[ТПиР/НСиР])*Таблица2[ПИР2010])</f>
        <v>0</v>
      </c>
      <c r="J113" s="63">
        <f>T113*SUMPRODUCT(($B$2=Таблица2[Филиал])*($B$3=Таблица2[ФЕР/ТЕР])*(F113=Таблица2[Наименование работ])*(G113=Таблица2[ТПиР/НСиР])*Таблица2[СМР2010])</f>
        <v>0</v>
      </c>
      <c r="K113" s="63">
        <f>U113*SUMPRODUCT(($B$2=Таблица2[Филиал])*($B$3=Таблица2[ФЕР/ТЕР])*(F113=Таблица2[Наименование работ])*(G113=Таблица2[ТПиР/НСиР])*Таблица2[ПНР2010])</f>
        <v>0</v>
      </c>
      <c r="L113" s="63">
        <f>V113*SUMPRODUCT(($B$2=Таблица2[Филиал])*($B$3=Таблица2[ФЕР/ТЕР])*(F113=Таблица2[Наименование работ])*(G113=Таблица2[ТПиР/НСиР])*Таблица2[Оборудование2010])</f>
        <v>0</v>
      </c>
      <c r="M113" s="63">
        <f>W113*SUMPRODUCT(($B$2=Таблица2[Филиал])*($B$3=Таблица2[ФЕР/ТЕР])*(F113=Таблица2[Наименование работ])*(G113=Таблица2[ТПиР/НСиР])*Таблица2[Прочие2010])</f>
        <v>0</v>
      </c>
      <c r="N113" s="63">
        <f>S113*SUMPRODUCT(($B$2=Таблица2[Филиал])*($B$3=Таблица2[ФЕР/ТЕР])*(F113=Таблица2[Наименование работ])*(G113=Таблица2[ТПиР/НСиР])*Таблица2[ПИР2013-10])</f>
        <v>0</v>
      </c>
      <c r="O113" s="63">
        <f>T113*SUMPRODUCT(($B$2=Таблица2[Филиал])*($B$3=Таблица2[ФЕР/ТЕР])*(F113=Таблица2[Наименование работ])*(G113=Таблица2[ТПиР/НСиР])*Таблица2[СМР2013-10])</f>
        <v>0</v>
      </c>
      <c r="P113" s="63">
        <f>U113*SUMPRODUCT(($B$2=Таблица2[Филиал])*($B$3=Таблица2[ФЕР/ТЕР])*(F113=Таблица2[Наименование работ])*(G113=Таблица2[ТПиР/НСиР])*Таблица2[ПНР2013-10])</f>
        <v>0</v>
      </c>
      <c r="Q113" s="63">
        <f>V113*SUMPRODUCT(($B$2=Таблица2[Филиал])*($B$3=Таблица2[ФЕР/ТЕР])*(F113=Таблица2[Наименование работ])*(G113=Таблица2[ТПиР/НСиР])*Таблица2[Оборудование2013-10])</f>
        <v>0</v>
      </c>
      <c r="R113" s="63">
        <f>W113*SUMPRODUCT(($B$2=Таблица2[Филиал])*($B$3=Таблица2[ФЕР/ТЕР])*(F113=Таблица2[Наименование работ])*(G113=Таблица2[ТПиР/НСиР])*Таблица2[Прочие2013-10])</f>
        <v>0</v>
      </c>
      <c r="S113" s="63">
        <f>IF($B$4="в базовых ценах",калькулятор!J118,X113*SUMPRODUCT(($B$2=Таблица2[Филиал])*($B$3=Таблица2[ФЕР/ТЕР])*(F113=Таблица2[Наименование работ])*(G113=Таблица2[ТПиР/НСиР])/Таблица2[ПИР2013]))</f>
        <v>0</v>
      </c>
      <c r="T113" s="63">
        <f>IF($B$4="в базовых ценах",калькулятор!K118,Y113*SUMPRODUCT(($B$2=Таблица2[Филиал])*($B$3=Таблица2[ФЕР/ТЕР])*(F113=Таблица2[Наименование работ])*(G113=Таблица2[ТПиР/НСиР])/Таблица2[СМР2013]))</f>
        <v>0</v>
      </c>
      <c r="U113" s="63">
        <f>IF($B$4="в базовых ценах",калькулятор!L118,Z113*SUMPRODUCT(($B$2=Таблица2[Филиал])*($B$3=Таблица2[ФЕР/ТЕР])*(F113=Таблица2[Наименование работ])*(G113=Таблица2[ТПиР/НСиР])/Таблица2[ПНР2013]))</f>
        <v>0</v>
      </c>
      <c r="V113" s="63">
        <f>IF($B$4="в базовых ценах",калькулятор!M118,AA113*SUMPRODUCT(($B$2=Таблица2[Филиал])*($B$3=Таблица2[ФЕР/ТЕР])*(F113=Таблица2[Наименование работ])*(G113=Таблица2[ТПиР/НСиР])/Таблица2[Оборудование2013]))</f>
        <v>0</v>
      </c>
      <c r="W113" s="63">
        <f>IF($B$4="в базовых ценах",калькулятор!N118,AB113*SUMPRODUCT(($B$2=Таблица2[Филиал])*($B$3=Таблица2[ФЕР/ТЕР])*(F113=Таблица2[Наименование работ])*(G113=Таблица2[ТПиР/НСиР])/Таблица2[Прочие3]))</f>
        <v>0</v>
      </c>
      <c r="X113" s="63">
        <f>IF($B$4="в текущих ценах",калькулятор!J118,S113*SUMPRODUCT(($B$2=Таблица2[Филиал])*($B$3=Таблица2[ФЕР/ТЕР])*(F113=Таблица2[Наименование работ])*(G113=Таблица2[ТПиР/НСиР])*Таблица2[ПИР2013]))</f>
        <v>0</v>
      </c>
      <c r="Y113" s="63">
        <f>IF($B$4="в текущих ценах",калькулятор!K118,T113*SUMPRODUCT(($B$2=Таблица2[Филиал])*($B$3=Таблица2[ФЕР/ТЕР])*(F113=Таблица2[Наименование работ])*(G113=Таблица2[ТПиР/НСиР])*Таблица2[СМР2013]))</f>
        <v>0</v>
      </c>
      <c r="Z113" s="63">
        <f>IF($B$4="в текущих ценах",калькулятор!L118,U113*SUMPRODUCT(($B$2=Таблица2[Филиал])*($B$3=Таблица2[ФЕР/ТЕР])*(F113=Таблица2[Наименование работ])*(G113=Таблица2[ТПиР/НСиР])*Таблица2[ПНР2013]))</f>
        <v>0</v>
      </c>
      <c r="AA113" s="63">
        <f>IF($B$4="в текущих ценах",калькулятор!M118,V113*SUMPRODUCT(($B$2=Таблица2[Филиал])*($B$3=Таблица2[ФЕР/ТЕР])*(F113=Таблица2[Наименование работ])*(G113=Таблица2[ТПиР/НСиР])*Таблица2[Оборудование2013]))</f>
        <v>0</v>
      </c>
      <c r="AB113" s="63">
        <f>IF($B$4="в текущих ценах",калькулятор!N118,W113*SUMPRODUCT(($B$2=Таблица2[Филиал])*($B$3=Таблица2[ФЕР/ТЕР])*(F113=Таблица2[Наименование работ])*(G113=Таблица2[ТПиР/НСиР])*Таблица2[Прочие3]))</f>
        <v>0</v>
      </c>
      <c r="AC113" s="63">
        <f>SUM(данные!$I113:$M113)</f>
        <v>0</v>
      </c>
      <c r="AD113" s="63">
        <f>IF(SUM(данные!$N113:$R113)&gt;данные!$AF113,данные!$AF113*0.9*1.058,SUM(данные!$N113:$R113))</f>
        <v>0</v>
      </c>
      <c r="AE113" s="63">
        <f>SUM(данные!$S113:$W113)</f>
        <v>0</v>
      </c>
      <c r="AF113" s="63">
        <f>SUM(данные!$X113:$AB113)</f>
        <v>0</v>
      </c>
      <c r="AG113" s="63">
        <f>IF($B$4="в текущих ценах",S113*SUMPRODUCT(($B$2=Таблица2[Филиал])*($B$3=Таблица2[ФЕР/ТЕР])*(F113=Таблица2[Наименование работ])*(G113=Таблица2[ТПиР/НСиР])*Таблица2[ПИР2012]),S113*SUMPRODUCT(($B$2=Таблица2[Филиал])*($B$3=Таблица2[ФЕР/ТЕР])*(F113=Таблица2[Наименование работ])*(G113=Таблица2[ТПиР/НСиР])*Таблица2[ПИР2012]))</f>
        <v>0</v>
      </c>
      <c r="AH113" s="63">
        <f>IF($B$4="в текущих ценах",T113*SUMPRODUCT(($B$2=Таблица2[Филиал])*($B$3=Таблица2[ФЕР/ТЕР])*(F113=Таблица2[Наименование работ])*(G113=Таблица2[ТПиР/НСиР])*Таблица2[СМР2012]),T113*SUMPRODUCT(($B$2=Таблица2[Филиал])*($B$3=Таблица2[ФЕР/ТЕР])*(F113=Таблица2[Наименование работ])*(G113=Таблица2[ТПиР/НСиР])*Таблица2[СМР2012]))</f>
        <v>0</v>
      </c>
      <c r="AI113" s="63">
        <f>IF($B$4="в текущих ценах",U113*SUMPRODUCT(($B$2=Таблица2[Филиал])*($B$3=Таблица2[ФЕР/ТЕР])*(F113=Таблица2[Наименование работ])*(G113=Таблица2[ТПиР/НСиР])*Таблица2[ПНР2012]),U113*SUMPRODUCT(($B$2=Таблица2[Филиал])*($B$3=Таблица2[ФЕР/ТЕР])*(F113=Таблица2[Наименование работ])*(G113=Таблица2[ТПиР/НСиР])*Таблица2[ПНР2012]))</f>
        <v>0</v>
      </c>
      <c r="AJ113" s="63">
        <f>IF($B$4="в текущих ценах",V113*SUMPRODUCT(($B$2=Таблица2[Филиал])*($B$3=Таблица2[ФЕР/ТЕР])*(F113=Таблица2[Наименование работ])*(G113=Таблица2[ТПиР/НСиР])*Таблица2[Оборудование2012]),V113*SUMPRODUCT(($B$2=Таблица2[Филиал])*($B$3=Таблица2[ФЕР/ТЕР])*(F113=Таблица2[Наименование работ])*(G113=Таблица2[ТПиР/НСиР])*Таблица2[Оборудование2012]))</f>
        <v>0</v>
      </c>
      <c r="AK113" s="63">
        <f>IF($B$4="в текущих ценах",W113*SUMPRODUCT(($B$2=Таблица2[Филиал])*($B$3=Таблица2[ФЕР/ТЕР])*(F113=Таблица2[Наименование работ])*(G113=Таблица2[ТПиР/НСиР])*Таблица2[Прочее2012]),W113*SUMPRODUCT(($B$2=Таблица2[Филиал])*($B$3=Таблица2[ФЕР/ТЕР])*(F113=Таблица2[Наименование работ])*(G113=Таблица2[ТПиР/НСиР])*Таблица2[Прочее2012]))</f>
        <v>0</v>
      </c>
      <c r="AL113" s="63">
        <f>данные!$X113+данные!$Y113+данные!$Z113+данные!$AA113+данные!$AB113</f>
        <v>0</v>
      </c>
      <c r="AM113" s="63">
        <v>1.03639035</v>
      </c>
      <c r="AN113" s="63">
        <v>1.0114049394</v>
      </c>
      <c r="AO113" s="63">
        <v>0.98210394336149998</v>
      </c>
      <c r="AP113" s="63">
        <v>0.93762413895893393</v>
      </c>
      <c r="AQ113" s="63"/>
      <c r="AR113" s="63"/>
      <c r="AS113" s="64"/>
      <c r="AU113" s="66">
        <f t="shared" si="6"/>
        <v>0</v>
      </c>
      <c r="AX113" s="66">
        <f t="shared" si="7"/>
        <v>0</v>
      </c>
      <c r="AY113" s="66">
        <f t="shared" si="8"/>
        <v>0</v>
      </c>
      <c r="AZ113" s="66">
        <f t="shared" si="9"/>
        <v>0</v>
      </c>
      <c r="BA113" s="66">
        <f t="shared" si="10"/>
        <v>0</v>
      </c>
      <c r="BB113" s="66">
        <f t="shared" si="11"/>
        <v>0</v>
      </c>
    </row>
    <row r="114" spans="4:54" x14ac:dyDescent="0.25">
      <c r="D114" s="62">
        <f>калькулятор!C119</f>
        <v>0</v>
      </c>
      <c r="E114" s="62">
        <f>калькулятор!F119</f>
        <v>0</v>
      </c>
      <c r="F114" s="62">
        <f>калькулятор!G119</f>
        <v>0</v>
      </c>
      <c r="G114" s="62">
        <f>калькулятор!H119</f>
        <v>0</v>
      </c>
      <c r="H114" s="62">
        <f>калькулятор!I119</f>
        <v>0</v>
      </c>
      <c r="I114" s="63">
        <f>S114*SUMPRODUCT(($B$2=Таблица2[Филиал])*($B$3=Таблица2[ФЕР/ТЕР])*(F114=Таблица2[Наименование работ])*(G114=Таблица2[ТПиР/НСиР])*Таблица2[ПИР2010])</f>
        <v>0</v>
      </c>
      <c r="J114" s="63">
        <f>T114*SUMPRODUCT(($B$2=Таблица2[Филиал])*($B$3=Таблица2[ФЕР/ТЕР])*(F114=Таблица2[Наименование работ])*(G114=Таблица2[ТПиР/НСиР])*Таблица2[СМР2010])</f>
        <v>0</v>
      </c>
      <c r="K114" s="63">
        <f>U114*SUMPRODUCT(($B$2=Таблица2[Филиал])*($B$3=Таблица2[ФЕР/ТЕР])*(F114=Таблица2[Наименование работ])*(G114=Таблица2[ТПиР/НСиР])*Таблица2[ПНР2010])</f>
        <v>0</v>
      </c>
      <c r="L114" s="63">
        <f>V114*SUMPRODUCT(($B$2=Таблица2[Филиал])*($B$3=Таблица2[ФЕР/ТЕР])*(F114=Таблица2[Наименование работ])*(G114=Таблица2[ТПиР/НСиР])*Таблица2[Оборудование2010])</f>
        <v>0</v>
      </c>
      <c r="M114" s="63">
        <f>W114*SUMPRODUCT(($B$2=Таблица2[Филиал])*($B$3=Таблица2[ФЕР/ТЕР])*(F114=Таблица2[Наименование работ])*(G114=Таблица2[ТПиР/НСиР])*Таблица2[Прочие2010])</f>
        <v>0</v>
      </c>
      <c r="N114" s="63">
        <f>S114*SUMPRODUCT(($B$2=Таблица2[Филиал])*($B$3=Таблица2[ФЕР/ТЕР])*(F114=Таблица2[Наименование работ])*(G114=Таблица2[ТПиР/НСиР])*Таблица2[ПИР2013-10])</f>
        <v>0</v>
      </c>
      <c r="O114" s="63">
        <f>T114*SUMPRODUCT(($B$2=Таблица2[Филиал])*($B$3=Таблица2[ФЕР/ТЕР])*(F114=Таблица2[Наименование работ])*(G114=Таблица2[ТПиР/НСиР])*Таблица2[СМР2013-10])</f>
        <v>0</v>
      </c>
      <c r="P114" s="63">
        <f>U114*SUMPRODUCT(($B$2=Таблица2[Филиал])*($B$3=Таблица2[ФЕР/ТЕР])*(F114=Таблица2[Наименование работ])*(G114=Таблица2[ТПиР/НСиР])*Таблица2[ПНР2013-10])</f>
        <v>0</v>
      </c>
      <c r="Q114" s="63">
        <f>V114*SUMPRODUCT(($B$2=Таблица2[Филиал])*($B$3=Таблица2[ФЕР/ТЕР])*(F114=Таблица2[Наименование работ])*(G114=Таблица2[ТПиР/НСиР])*Таблица2[Оборудование2013-10])</f>
        <v>0</v>
      </c>
      <c r="R114" s="63">
        <f>W114*SUMPRODUCT(($B$2=Таблица2[Филиал])*($B$3=Таблица2[ФЕР/ТЕР])*(F114=Таблица2[Наименование работ])*(G114=Таблица2[ТПиР/НСиР])*Таблица2[Прочие2013-10])</f>
        <v>0</v>
      </c>
      <c r="S114" s="63">
        <f>IF($B$4="в базовых ценах",калькулятор!J119,X114*SUMPRODUCT(($B$2=Таблица2[Филиал])*($B$3=Таблица2[ФЕР/ТЕР])*(F114=Таблица2[Наименование работ])*(G114=Таблица2[ТПиР/НСиР])/Таблица2[ПИР2013]))</f>
        <v>0</v>
      </c>
      <c r="T114" s="63">
        <f>IF($B$4="в базовых ценах",калькулятор!K119,Y114*SUMPRODUCT(($B$2=Таблица2[Филиал])*($B$3=Таблица2[ФЕР/ТЕР])*(F114=Таблица2[Наименование работ])*(G114=Таблица2[ТПиР/НСиР])/Таблица2[СМР2013]))</f>
        <v>0</v>
      </c>
      <c r="U114" s="63">
        <f>IF($B$4="в базовых ценах",калькулятор!L119,Z114*SUMPRODUCT(($B$2=Таблица2[Филиал])*($B$3=Таблица2[ФЕР/ТЕР])*(F114=Таблица2[Наименование работ])*(G114=Таблица2[ТПиР/НСиР])/Таблица2[ПНР2013]))</f>
        <v>0</v>
      </c>
      <c r="V114" s="63">
        <f>IF($B$4="в базовых ценах",калькулятор!M119,AA114*SUMPRODUCT(($B$2=Таблица2[Филиал])*($B$3=Таблица2[ФЕР/ТЕР])*(F114=Таблица2[Наименование работ])*(G114=Таблица2[ТПиР/НСиР])/Таблица2[Оборудование2013]))</f>
        <v>0</v>
      </c>
      <c r="W114" s="63">
        <f>IF($B$4="в базовых ценах",калькулятор!N119,AB114*SUMPRODUCT(($B$2=Таблица2[Филиал])*($B$3=Таблица2[ФЕР/ТЕР])*(F114=Таблица2[Наименование работ])*(G114=Таблица2[ТПиР/НСиР])/Таблица2[Прочие3]))</f>
        <v>0</v>
      </c>
      <c r="X114" s="63">
        <f>IF($B$4="в текущих ценах",калькулятор!J119,S114*SUMPRODUCT(($B$2=Таблица2[Филиал])*($B$3=Таблица2[ФЕР/ТЕР])*(F114=Таблица2[Наименование работ])*(G114=Таблица2[ТПиР/НСиР])*Таблица2[ПИР2013]))</f>
        <v>0</v>
      </c>
      <c r="Y114" s="63">
        <f>IF($B$4="в текущих ценах",калькулятор!K119,T114*SUMPRODUCT(($B$2=Таблица2[Филиал])*($B$3=Таблица2[ФЕР/ТЕР])*(F114=Таблица2[Наименование работ])*(G114=Таблица2[ТПиР/НСиР])*Таблица2[СМР2013]))</f>
        <v>0</v>
      </c>
      <c r="Z114" s="63">
        <f>IF($B$4="в текущих ценах",калькулятор!L119,U114*SUMPRODUCT(($B$2=Таблица2[Филиал])*($B$3=Таблица2[ФЕР/ТЕР])*(F114=Таблица2[Наименование работ])*(G114=Таблица2[ТПиР/НСиР])*Таблица2[ПНР2013]))</f>
        <v>0</v>
      </c>
      <c r="AA114" s="63">
        <f>IF($B$4="в текущих ценах",калькулятор!M119,V114*SUMPRODUCT(($B$2=Таблица2[Филиал])*($B$3=Таблица2[ФЕР/ТЕР])*(F114=Таблица2[Наименование работ])*(G114=Таблица2[ТПиР/НСиР])*Таблица2[Оборудование2013]))</f>
        <v>0</v>
      </c>
      <c r="AB114" s="63">
        <f>IF($B$4="в текущих ценах",калькулятор!N119,W114*SUMPRODUCT(($B$2=Таблица2[Филиал])*($B$3=Таблица2[ФЕР/ТЕР])*(F114=Таблица2[Наименование работ])*(G114=Таблица2[ТПиР/НСиР])*Таблица2[Прочие3]))</f>
        <v>0</v>
      </c>
      <c r="AC114" s="63">
        <f>SUM(данные!$I114:$M114)</f>
        <v>0</v>
      </c>
      <c r="AD114" s="63">
        <f>IF(SUM(данные!$N114:$R114)&gt;данные!$AF114,данные!$AF114*0.9*1.058,SUM(данные!$N114:$R114))</f>
        <v>0</v>
      </c>
      <c r="AE114" s="63">
        <f>SUM(данные!$S114:$W114)</f>
        <v>0</v>
      </c>
      <c r="AF114" s="63">
        <f>SUM(данные!$X114:$AB114)</f>
        <v>0</v>
      </c>
      <c r="AG114" s="63">
        <f>IF($B$4="в текущих ценах",S114*SUMPRODUCT(($B$2=Таблица2[Филиал])*($B$3=Таблица2[ФЕР/ТЕР])*(F114=Таблица2[Наименование работ])*(G114=Таблица2[ТПиР/НСиР])*Таблица2[ПИР2012]),S114*SUMPRODUCT(($B$2=Таблица2[Филиал])*($B$3=Таблица2[ФЕР/ТЕР])*(F114=Таблица2[Наименование работ])*(G114=Таблица2[ТПиР/НСиР])*Таблица2[ПИР2012]))</f>
        <v>0</v>
      </c>
      <c r="AH114" s="63">
        <f>IF($B$4="в текущих ценах",T114*SUMPRODUCT(($B$2=Таблица2[Филиал])*($B$3=Таблица2[ФЕР/ТЕР])*(F114=Таблица2[Наименование работ])*(G114=Таблица2[ТПиР/НСиР])*Таблица2[СМР2012]),T114*SUMPRODUCT(($B$2=Таблица2[Филиал])*($B$3=Таблица2[ФЕР/ТЕР])*(F114=Таблица2[Наименование работ])*(G114=Таблица2[ТПиР/НСиР])*Таблица2[СМР2012]))</f>
        <v>0</v>
      </c>
      <c r="AI114" s="63">
        <f>IF($B$4="в текущих ценах",U114*SUMPRODUCT(($B$2=Таблица2[Филиал])*($B$3=Таблица2[ФЕР/ТЕР])*(F114=Таблица2[Наименование работ])*(G114=Таблица2[ТПиР/НСиР])*Таблица2[ПНР2012]),U114*SUMPRODUCT(($B$2=Таблица2[Филиал])*($B$3=Таблица2[ФЕР/ТЕР])*(F114=Таблица2[Наименование работ])*(G114=Таблица2[ТПиР/НСиР])*Таблица2[ПНР2012]))</f>
        <v>0</v>
      </c>
      <c r="AJ114" s="63">
        <f>IF($B$4="в текущих ценах",V114*SUMPRODUCT(($B$2=Таблица2[Филиал])*($B$3=Таблица2[ФЕР/ТЕР])*(F114=Таблица2[Наименование работ])*(G114=Таблица2[ТПиР/НСиР])*Таблица2[Оборудование2012]),V114*SUMPRODUCT(($B$2=Таблица2[Филиал])*($B$3=Таблица2[ФЕР/ТЕР])*(F114=Таблица2[Наименование работ])*(G114=Таблица2[ТПиР/НСиР])*Таблица2[Оборудование2012]))</f>
        <v>0</v>
      </c>
      <c r="AK114" s="63">
        <f>IF($B$4="в текущих ценах",W114*SUMPRODUCT(($B$2=Таблица2[Филиал])*($B$3=Таблица2[ФЕР/ТЕР])*(F114=Таблица2[Наименование работ])*(G114=Таблица2[ТПиР/НСиР])*Таблица2[Прочее2012]),W114*SUMPRODUCT(($B$2=Таблица2[Филиал])*($B$3=Таблица2[ФЕР/ТЕР])*(F114=Таблица2[Наименование работ])*(G114=Таблица2[ТПиР/НСиР])*Таблица2[Прочее2012]))</f>
        <v>0</v>
      </c>
      <c r="AL114" s="63">
        <f>данные!$X114+данные!$Y114+данные!$Z114+данные!$AA114+данные!$AB114</f>
        <v>0</v>
      </c>
      <c r="AM114" s="63">
        <v>1.03639035</v>
      </c>
      <c r="AN114" s="63">
        <v>1.0114049394</v>
      </c>
      <c r="AO114" s="63">
        <v>0.98210394336149998</v>
      </c>
      <c r="AP114" s="63">
        <v>0.93762413895893393</v>
      </c>
      <c r="AQ114" s="63"/>
      <c r="AR114" s="63"/>
      <c r="AS114" s="64"/>
      <c r="AU114" s="66">
        <f t="shared" si="6"/>
        <v>0</v>
      </c>
      <c r="AX114" s="66">
        <f t="shared" si="7"/>
        <v>0</v>
      </c>
      <c r="AY114" s="66">
        <f t="shared" si="8"/>
        <v>0</v>
      </c>
      <c r="AZ114" s="66">
        <f t="shared" si="9"/>
        <v>0</v>
      </c>
      <c r="BA114" s="66">
        <f t="shared" si="10"/>
        <v>0</v>
      </c>
      <c r="BB114" s="66">
        <f t="shared" si="11"/>
        <v>0</v>
      </c>
    </row>
    <row r="115" spans="4:54" x14ac:dyDescent="0.25">
      <c r="D115" s="62">
        <f>калькулятор!C120</f>
        <v>0</v>
      </c>
      <c r="E115" s="62">
        <f>калькулятор!F120</f>
        <v>0</v>
      </c>
      <c r="F115" s="62">
        <f>калькулятор!G120</f>
        <v>0</v>
      </c>
      <c r="G115" s="62">
        <f>калькулятор!H120</f>
        <v>0</v>
      </c>
      <c r="H115" s="62">
        <f>калькулятор!I120</f>
        <v>0</v>
      </c>
      <c r="I115" s="63">
        <f>S115*SUMPRODUCT(($B$2=Таблица2[Филиал])*($B$3=Таблица2[ФЕР/ТЕР])*(F115=Таблица2[Наименование работ])*(G115=Таблица2[ТПиР/НСиР])*Таблица2[ПИР2010])</f>
        <v>0</v>
      </c>
      <c r="J115" s="63">
        <f>T115*SUMPRODUCT(($B$2=Таблица2[Филиал])*($B$3=Таблица2[ФЕР/ТЕР])*(F115=Таблица2[Наименование работ])*(G115=Таблица2[ТПиР/НСиР])*Таблица2[СМР2010])</f>
        <v>0</v>
      </c>
      <c r="K115" s="63">
        <f>U115*SUMPRODUCT(($B$2=Таблица2[Филиал])*($B$3=Таблица2[ФЕР/ТЕР])*(F115=Таблица2[Наименование работ])*(G115=Таблица2[ТПиР/НСиР])*Таблица2[ПНР2010])</f>
        <v>0</v>
      </c>
      <c r="L115" s="63">
        <f>V115*SUMPRODUCT(($B$2=Таблица2[Филиал])*($B$3=Таблица2[ФЕР/ТЕР])*(F115=Таблица2[Наименование работ])*(G115=Таблица2[ТПиР/НСиР])*Таблица2[Оборудование2010])</f>
        <v>0</v>
      </c>
      <c r="M115" s="63">
        <f>W115*SUMPRODUCT(($B$2=Таблица2[Филиал])*($B$3=Таблица2[ФЕР/ТЕР])*(F115=Таблица2[Наименование работ])*(G115=Таблица2[ТПиР/НСиР])*Таблица2[Прочие2010])</f>
        <v>0</v>
      </c>
      <c r="N115" s="63">
        <f>S115*SUMPRODUCT(($B$2=Таблица2[Филиал])*($B$3=Таблица2[ФЕР/ТЕР])*(F115=Таблица2[Наименование работ])*(G115=Таблица2[ТПиР/НСиР])*Таблица2[ПИР2013-10])</f>
        <v>0</v>
      </c>
      <c r="O115" s="63">
        <f>T115*SUMPRODUCT(($B$2=Таблица2[Филиал])*($B$3=Таблица2[ФЕР/ТЕР])*(F115=Таблица2[Наименование работ])*(G115=Таблица2[ТПиР/НСиР])*Таблица2[СМР2013-10])</f>
        <v>0</v>
      </c>
      <c r="P115" s="63">
        <f>U115*SUMPRODUCT(($B$2=Таблица2[Филиал])*($B$3=Таблица2[ФЕР/ТЕР])*(F115=Таблица2[Наименование работ])*(G115=Таблица2[ТПиР/НСиР])*Таблица2[ПНР2013-10])</f>
        <v>0</v>
      </c>
      <c r="Q115" s="63">
        <f>V115*SUMPRODUCT(($B$2=Таблица2[Филиал])*($B$3=Таблица2[ФЕР/ТЕР])*(F115=Таблица2[Наименование работ])*(G115=Таблица2[ТПиР/НСиР])*Таблица2[Оборудование2013-10])</f>
        <v>0</v>
      </c>
      <c r="R115" s="63">
        <f>W115*SUMPRODUCT(($B$2=Таблица2[Филиал])*($B$3=Таблица2[ФЕР/ТЕР])*(F115=Таблица2[Наименование работ])*(G115=Таблица2[ТПиР/НСиР])*Таблица2[Прочие2013-10])</f>
        <v>0</v>
      </c>
      <c r="S115" s="63">
        <f>IF($B$4="в базовых ценах",калькулятор!J120,X115*SUMPRODUCT(($B$2=Таблица2[Филиал])*($B$3=Таблица2[ФЕР/ТЕР])*(F115=Таблица2[Наименование работ])*(G115=Таблица2[ТПиР/НСиР])/Таблица2[ПИР2013]))</f>
        <v>0</v>
      </c>
      <c r="T115" s="63">
        <f>IF($B$4="в базовых ценах",калькулятор!K120,Y115*SUMPRODUCT(($B$2=Таблица2[Филиал])*($B$3=Таблица2[ФЕР/ТЕР])*(F115=Таблица2[Наименование работ])*(G115=Таблица2[ТПиР/НСиР])/Таблица2[СМР2013]))</f>
        <v>0</v>
      </c>
      <c r="U115" s="63">
        <f>IF($B$4="в базовых ценах",калькулятор!L120,Z115*SUMPRODUCT(($B$2=Таблица2[Филиал])*($B$3=Таблица2[ФЕР/ТЕР])*(F115=Таблица2[Наименование работ])*(G115=Таблица2[ТПиР/НСиР])/Таблица2[ПНР2013]))</f>
        <v>0</v>
      </c>
      <c r="V115" s="63">
        <f>IF($B$4="в базовых ценах",калькулятор!M120,AA115*SUMPRODUCT(($B$2=Таблица2[Филиал])*($B$3=Таблица2[ФЕР/ТЕР])*(F115=Таблица2[Наименование работ])*(G115=Таблица2[ТПиР/НСиР])/Таблица2[Оборудование2013]))</f>
        <v>0</v>
      </c>
      <c r="W115" s="63">
        <f>IF($B$4="в базовых ценах",калькулятор!N120,AB115*SUMPRODUCT(($B$2=Таблица2[Филиал])*($B$3=Таблица2[ФЕР/ТЕР])*(F115=Таблица2[Наименование работ])*(G115=Таблица2[ТПиР/НСиР])/Таблица2[Прочие3]))</f>
        <v>0</v>
      </c>
      <c r="X115" s="63">
        <f>IF($B$4="в текущих ценах",калькулятор!J120,S115*SUMPRODUCT(($B$2=Таблица2[Филиал])*($B$3=Таблица2[ФЕР/ТЕР])*(F115=Таблица2[Наименование работ])*(G115=Таблица2[ТПиР/НСиР])*Таблица2[ПИР2013]))</f>
        <v>0</v>
      </c>
      <c r="Y115" s="63">
        <f>IF($B$4="в текущих ценах",калькулятор!K120,T115*SUMPRODUCT(($B$2=Таблица2[Филиал])*($B$3=Таблица2[ФЕР/ТЕР])*(F115=Таблица2[Наименование работ])*(G115=Таблица2[ТПиР/НСиР])*Таблица2[СМР2013]))</f>
        <v>0</v>
      </c>
      <c r="Z115" s="63">
        <f>IF($B$4="в текущих ценах",калькулятор!L120,U115*SUMPRODUCT(($B$2=Таблица2[Филиал])*($B$3=Таблица2[ФЕР/ТЕР])*(F115=Таблица2[Наименование работ])*(G115=Таблица2[ТПиР/НСиР])*Таблица2[ПНР2013]))</f>
        <v>0</v>
      </c>
      <c r="AA115" s="63">
        <f>IF($B$4="в текущих ценах",калькулятор!M120,V115*SUMPRODUCT(($B$2=Таблица2[Филиал])*($B$3=Таблица2[ФЕР/ТЕР])*(F115=Таблица2[Наименование работ])*(G115=Таблица2[ТПиР/НСиР])*Таблица2[Оборудование2013]))</f>
        <v>0</v>
      </c>
      <c r="AB115" s="63">
        <f>IF($B$4="в текущих ценах",калькулятор!N120,W115*SUMPRODUCT(($B$2=Таблица2[Филиал])*($B$3=Таблица2[ФЕР/ТЕР])*(F115=Таблица2[Наименование работ])*(G115=Таблица2[ТПиР/НСиР])*Таблица2[Прочие3]))</f>
        <v>0</v>
      </c>
      <c r="AC115" s="63">
        <f>SUM(данные!$I115:$M115)</f>
        <v>0</v>
      </c>
      <c r="AD115" s="63">
        <f>IF(SUM(данные!$N115:$R115)&gt;данные!$AF115,данные!$AF115*0.9*1.058,SUM(данные!$N115:$R115))</f>
        <v>0</v>
      </c>
      <c r="AE115" s="63">
        <f>SUM(данные!$S115:$W115)</f>
        <v>0</v>
      </c>
      <c r="AF115" s="63">
        <f>SUM(данные!$X115:$AB115)</f>
        <v>0</v>
      </c>
      <c r="AG115" s="63">
        <f>IF($B$4="в текущих ценах",S115*SUMPRODUCT(($B$2=Таблица2[Филиал])*($B$3=Таблица2[ФЕР/ТЕР])*(F115=Таблица2[Наименование работ])*(G115=Таблица2[ТПиР/НСиР])*Таблица2[ПИР2012]),S115*SUMPRODUCT(($B$2=Таблица2[Филиал])*($B$3=Таблица2[ФЕР/ТЕР])*(F115=Таблица2[Наименование работ])*(G115=Таблица2[ТПиР/НСиР])*Таблица2[ПИР2012]))</f>
        <v>0</v>
      </c>
      <c r="AH115" s="63">
        <f>IF($B$4="в текущих ценах",T115*SUMPRODUCT(($B$2=Таблица2[Филиал])*($B$3=Таблица2[ФЕР/ТЕР])*(F115=Таблица2[Наименование работ])*(G115=Таблица2[ТПиР/НСиР])*Таблица2[СМР2012]),T115*SUMPRODUCT(($B$2=Таблица2[Филиал])*($B$3=Таблица2[ФЕР/ТЕР])*(F115=Таблица2[Наименование работ])*(G115=Таблица2[ТПиР/НСиР])*Таблица2[СМР2012]))</f>
        <v>0</v>
      </c>
      <c r="AI115" s="63">
        <f>IF($B$4="в текущих ценах",U115*SUMPRODUCT(($B$2=Таблица2[Филиал])*($B$3=Таблица2[ФЕР/ТЕР])*(F115=Таблица2[Наименование работ])*(G115=Таблица2[ТПиР/НСиР])*Таблица2[ПНР2012]),U115*SUMPRODUCT(($B$2=Таблица2[Филиал])*($B$3=Таблица2[ФЕР/ТЕР])*(F115=Таблица2[Наименование работ])*(G115=Таблица2[ТПиР/НСиР])*Таблица2[ПНР2012]))</f>
        <v>0</v>
      </c>
      <c r="AJ115" s="63">
        <f>IF($B$4="в текущих ценах",V115*SUMPRODUCT(($B$2=Таблица2[Филиал])*($B$3=Таблица2[ФЕР/ТЕР])*(F115=Таблица2[Наименование работ])*(G115=Таблица2[ТПиР/НСиР])*Таблица2[Оборудование2012]),V115*SUMPRODUCT(($B$2=Таблица2[Филиал])*($B$3=Таблица2[ФЕР/ТЕР])*(F115=Таблица2[Наименование работ])*(G115=Таблица2[ТПиР/НСиР])*Таблица2[Оборудование2012]))</f>
        <v>0</v>
      </c>
      <c r="AK115" s="63">
        <f>IF($B$4="в текущих ценах",W115*SUMPRODUCT(($B$2=Таблица2[Филиал])*($B$3=Таблица2[ФЕР/ТЕР])*(F115=Таблица2[Наименование работ])*(G115=Таблица2[ТПиР/НСиР])*Таблица2[Прочее2012]),W115*SUMPRODUCT(($B$2=Таблица2[Филиал])*($B$3=Таблица2[ФЕР/ТЕР])*(F115=Таблица2[Наименование работ])*(G115=Таблица2[ТПиР/НСиР])*Таблица2[Прочее2012]))</f>
        <v>0</v>
      </c>
      <c r="AL115" s="63">
        <f>данные!$X115+данные!$Y115+данные!$Z115+данные!$AA115+данные!$AB115</f>
        <v>0</v>
      </c>
      <c r="AM115" s="63">
        <v>1.03639035</v>
      </c>
      <c r="AN115" s="63">
        <v>1.0114049394</v>
      </c>
      <c r="AO115" s="63">
        <v>0.98210394336149998</v>
      </c>
      <c r="AP115" s="63">
        <v>0.93762413895893393</v>
      </c>
      <c r="AQ115" s="63"/>
      <c r="AR115" s="63"/>
      <c r="AS115" s="64"/>
      <c r="AU115" s="66">
        <f t="shared" si="6"/>
        <v>0</v>
      </c>
      <c r="AX115" s="66">
        <f t="shared" si="7"/>
        <v>0</v>
      </c>
      <c r="AY115" s="66">
        <f t="shared" si="8"/>
        <v>0</v>
      </c>
      <c r="AZ115" s="66">
        <f t="shared" si="9"/>
        <v>0</v>
      </c>
      <c r="BA115" s="66">
        <f t="shared" si="10"/>
        <v>0</v>
      </c>
      <c r="BB115" s="66">
        <f t="shared" si="11"/>
        <v>0</v>
      </c>
    </row>
    <row r="116" spans="4:54" x14ac:dyDescent="0.25">
      <c r="D116" s="62">
        <f>калькулятор!C121</f>
        <v>0</v>
      </c>
      <c r="E116" s="62">
        <f>калькулятор!F121</f>
        <v>0</v>
      </c>
      <c r="F116" s="62">
        <f>калькулятор!G121</f>
        <v>0</v>
      </c>
      <c r="G116" s="62">
        <f>калькулятор!H121</f>
        <v>0</v>
      </c>
      <c r="H116" s="62">
        <f>калькулятор!I121</f>
        <v>0</v>
      </c>
      <c r="I116" s="63">
        <f>S116*SUMPRODUCT(($B$2=Таблица2[Филиал])*($B$3=Таблица2[ФЕР/ТЕР])*(F116=Таблица2[Наименование работ])*(G116=Таблица2[ТПиР/НСиР])*Таблица2[ПИР2010])</f>
        <v>0</v>
      </c>
      <c r="J116" s="63">
        <f>T116*SUMPRODUCT(($B$2=Таблица2[Филиал])*($B$3=Таблица2[ФЕР/ТЕР])*(F116=Таблица2[Наименование работ])*(G116=Таблица2[ТПиР/НСиР])*Таблица2[СМР2010])</f>
        <v>0</v>
      </c>
      <c r="K116" s="63">
        <f>U116*SUMPRODUCT(($B$2=Таблица2[Филиал])*($B$3=Таблица2[ФЕР/ТЕР])*(F116=Таблица2[Наименование работ])*(G116=Таблица2[ТПиР/НСиР])*Таблица2[ПНР2010])</f>
        <v>0</v>
      </c>
      <c r="L116" s="63">
        <f>V116*SUMPRODUCT(($B$2=Таблица2[Филиал])*($B$3=Таблица2[ФЕР/ТЕР])*(F116=Таблица2[Наименование работ])*(G116=Таблица2[ТПиР/НСиР])*Таблица2[Оборудование2010])</f>
        <v>0</v>
      </c>
      <c r="M116" s="63">
        <f>W116*SUMPRODUCT(($B$2=Таблица2[Филиал])*($B$3=Таблица2[ФЕР/ТЕР])*(F116=Таблица2[Наименование работ])*(G116=Таблица2[ТПиР/НСиР])*Таблица2[Прочие2010])</f>
        <v>0</v>
      </c>
      <c r="N116" s="63">
        <f>S116*SUMPRODUCT(($B$2=Таблица2[Филиал])*($B$3=Таблица2[ФЕР/ТЕР])*(F116=Таблица2[Наименование работ])*(G116=Таблица2[ТПиР/НСиР])*Таблица2[ПИР2013-10])</f>
        <v>0</v>
      </c>
      <c r="O116" s="63">
        <f>T116*SUMPRODUCT(($B$2=Таблица2[Филиал])*($B$3=Таблица2[ФЕР/ТЕР])*(F116=Таблица2[Наименование работ])*(G116=Таблица2[ТПиР/НСиР])*Таблица2[СМР2013-10])</f>
        <v>0</v>
      </c>
      <c r="P116" s="63">
        <f>U116*SUMPRODUCT(($B$2=Таблица2[Филиал])*($B$3=Таблица2[ФЕР/ТЕР])*(F116=Таблица2[Наименование работ])*(G116=Таблица2[ТПиР/НСиР])*Таблица2[ПНР2013-10])</f>
        <v>0</v>
      </c>
      <c r="Q116" s="63">
        <f>V116*SUMPRODUCT(($B$2=Таблица2[Филиал])*($B$3=Таблица2[ФЕР/ТЕР])*(F116=Таблица2[Наименование работ])*(G116=Таблица2[ТПиР/НСиР])*Таблица2[Оборудование2013-10])</f>
        <v>0</v>
      </c>
      <c r="R116" s="63">
        <f>W116*SUMPRODUCT(($B$2=Таблица2[Филиал])*($B$3=Таблица2[ФЕР/ТЕР])*(F116=Таблица2[Наименование работ])*(G116=Таблица2[ТПиР/НСиР])*Таблица2[Прочие2013-10])</f>
        <v>0</v>
      </c>
      <c r="S116" s="63">
        <f>IF($B$4="в базовых ценах",калькулятор!J121,X116*SUMPRODUCT(($B$2=Таблица2[Филиал])*($B$3=Таблица2[ФЕР/ТЕР])*(F116=Таблица2[Наименование работ])*(G116=Таблица2[ТПиР/НСиР])/Таблица2[ПИР2013]))</f>
        <v>0</v>
      </c>
      <c r="T116" s="63">
        <f>IF($B$4="в базовых ценах",калькулятор!K121,Y116*SUMPRODUCT(($B$2=Таблица2[Филиал])*($B$3=Таблица2[ФЕР/ТЕР])*(F116=Таблица2[Наименование работ])*(G116=Таблица2[ТПиР/НСиР])/Таблица2[СМР2013]))</f>
        <v>0</v>
      </c>
      <c r="U116" s="63">
        <f>IF($B$4="в базовых ценах",калькулятор!L121,Z116*SUMPRODUCT(($B$2=Таблица2[Филиал])*($B$3=Таблица2[ФЕР/ТЕР])*(F116=Таблица2[Наименование работ])*(G116=Таблица2[ТПиР/НСиР])/Таблица2[ПНР2013]))</f>
        <v>0</v>
      </c>
      <c r="V116" s="63">
        <f>IF($B$4="в базовых ценах",калькулятор!M121,AA116*SUMPRODUCT(($B$2=Таблица2[Филиал])*($B$3=Таблица2[ФЕР/ТЕР])*(F116=Таблица2[Наименование работ])*(G116=Таблица2[ТПиР/НСиР])/Таблица2[Оборудование2013]))</f>
        <v>0</v>
      </c>
      <c r="W116" s="63">
        <f>IF($B$4="в базовых ценах",калькулятор!N121,AB116*SUMPRODUCT(($B$2=Таблица2[Филиал])*($B$3=Таблица2[ФЕР/ТЕР])*(F116=Таблица2[Наименование работ])*(G116=Таблица2[ТПиР/НСиР])/Таблица2[Прочие3]))</f>
        <v>0</v>
      </c>
      <c r="X116" s="63">
        <f>IF($B$4="в текущих ценах",калькулятор!J121,S116*SUMPRODUCT(($B$2=Таблица2[Филиал])*($B$3=Таблица2[ФЕР/ТЕР])*(F116=Таблица2[Наименование работ])*(G116=Таблица2[ТПиР/НСиР])*Таблица2[ПИР2013]))</f>
        <v>0</v>
      </c>
      <c r="Y116" s="63">
        <f>IF($B$4="в текущих ценах",калькулятор!K121,T116*SUMPRODUCT(($B$2=Таблица2[Филиал])*($B$3=Таблица2[ФЕР/ТЕР])*(F116=Таблица2[Наименование работ])*(G116=Таблица2[ТПиР/НСиР])*Таблица2[СМР2013]))</f>
        <v>0</v>
      </c>
      <c r="Z116" s="63">
        <f>IF($B$4="в текущих ценах",калькулятор!L121,U116*SUMPRODUCT(($B$2=Таблица2[Филиал])*($B$3=Таблица2[ФЕР/ТЕР])*(F116=Таблица2[Наименование работ])*(G116=Таблица2[ТПиР/НСиР])*Таблица2[ПНР2013]))</f>
        <v>0</v>
      </c>
      <c r="AA116" s="63">
        <f>IF($B$4="в текущих ценах",калькулятор!M121,V116*SUMPRODUCT(($B$2=Таблица2[Филиал])*($B$3=Таблица2[ФЕР/ТЕР])*(F116=Таблица2[Наименование работ])*(G116=Таблица2[ТПиР/НСиР])*Таблица2[Оборудование2013]))</f>
        <v>0</v>
      </c>
      <c r="AB116" s="63">
        <f>IF($B$4="в текущих ценах",калькулятор!N121,W116*SUMPRODUCT(($B$2=Таблица2[Филиал])*($B$3=Таблица2[ФЕР/ТЕР])*(F116=Таблица2[Наименование работ])*(G116=Таблица2[ТПиР/НСиР])*Таблица2[Прочие3]))</f>
        <v>0</v>
      </c>
      <c r="AC116" s="63">
        <f>SUM(данные!$I116:$M116)</f>
        <v>0</v>
      </c>
      <c r="AD116" s="63">
        <f>IF(SUM(данные!$N116:$R116)&gt;данные!$AF116,данные!$AF116*0.9*1.058,SUM(данные!$N116:$R116))</f>
        <v>0</v>
      </c>
      <c r="AE116" s="63">
        <f>SUM(данные!$S116:$W116)</f>
        <v>0</v>
      </c>
      <c r="AF116" s="63">
        <f>SUM(данные!$X116:$AB116)</f>
        <v>0</v>
      </c>
      <c r="AG116" s="63">
        <f>IF($B$4="в текущих ценах",S116*SUMPRODUCT(($B$2=Таблица2[Филиал])*($B$3=Таблица2[ФЕР/ТЕР])*(F116=Таблица2[Наименование работ])*(G116=Таблица2[ТПиР/НСиР])*Таблица2[ПИР2012]),S116*SUMPRODUCT(($B$2=Таблица2[Филиал])*($B$3=Таблица2[ФЕР/ТЕР])*(F116=Таблица2[Наименование работ])*(G116=Таблица2[ТПиР/НСиР])*Таблица2[ПИР2012]))</f>
        <v>0</v>
      </c>
      <c r="AH116" s="63">
        <f>IF($B$4="в текущих ценах",T116*SUMPRODUCT(($B$2=Таблица2[Филиал])*($B$3=Таблица2[ФЕР/ТЕР])*(F116=Таблица2[Наименование работ])*(G116=Таблица2[ТПиР/НСиР])*Таблица2[СМР2012]),T116*SUMPRODUCT(($B$2=Таблица2[Филиал])*($B$3=Таблица2[ФЕР/ТЕР])*(F116=Таблица2[Наименование работ])*(G116=Таблица2[ТПиР/НСиР])*Таблица2[СМР2012]))</f>
        <v>0</v>
      </c>
      <c r="AI116" s="63">
        <f>IF($B$4="в текущих ценах",U116*SUMPRODUCT(($B$2=Таблица2[Филиал])*($B$3=Таблица2[ФЕР/ТЕР])*(F116=Таблица2[Наименование работ])*(G116=Таблица2[ТПиР/НСиР])*Таблица2[ПНР2012]),U116*SUMPRODUCT(($B$2=Таблица2[Филиал])*($B$3=Таблица2[ФЕР/ТЕР])*(F116=Таблица2[Наименование работ])*(G116=Таблица2[ТПиР/НСиР])*Таблица2[ПНР2012]))</f>
        <v>0</v>
      </c>
      <c r="AJ116" s="63">
        <f>IF($B$4="в текущих ценах",V116*SUMPRODUCT(($B$2=Таблица2[Филиал])*($B$3=Таблица2[ФЕР/ТЕР])*(F116=Таблица2[Наименование работ])*(G116=Таблица2[ТПиР/НСиР])*Таблица2[Оборудование2012]),V116*SUMPRODUCT(($B$2=Таблица2[Филиал])*($B$3=Таблица2[ФЕР/ТЕР])*(F116=Таблица2[Наименование работ])*(G116=Таблица2[ТПиР/НСиР])*Таблица2[Оборудование2012]))</f>
        <v>0</v>
      </c>
      <c r="AK116" s="63">
        <f>IF($B$4="в текущих ценах",W116*SUMPRODUCT(($B$2=Таблица2[Филиал])*($B$3=Таблица2[ФЕР/ТЕР])*(F116=Таблица2[Наименование работ])*(G116=Таблица2[ТПиР/НСиР])*Таблица2[Прочее2012]),W116*SUMPRODUCT(($B$2=Таблица2[Филиал])*($B$3=Таблица2[ФЕР/ТЕР])*(F116=Таблица2[Наименование работ])*(G116=Таблица2[ТПиР/НСиР])*Таблица2[Прочее2012]))</f>
        <v>0</v>
      </c>
      <c r="AL116" s="63">
        <f>данные!$X116+данные!$Y116+данные!$Z116+данные!$AA116+данные!$AB116</f>
        <v>0</v>
      </c>
      <c r="AM116" s="63">
        <v>1.03639035</v>
      </c>
      <c r="AN116" s="63">
        <v>1.0114049394</v>
      </c>
      <c r="AO116" s="63">
        <v>0.98210394336149998</v>
      </c>
      <c r="AP116" s="63">
        <v>0.93762413895893393</v>
      </c>
      <c r="AQ116" s="63"/>
      <c r="AR116" s="63"/>
      <c r="AS116" s="64"/>
      <c r="AU116" s="66">
        <f t="shared" si="6"/>
        <v>0</v>
      </c>
      <c r="AX116" s="66">
        <f t="shared" si="7"/>
        <v>0</v>
      </c>
      <c r="AY116" s="66">
        <f t="shared" si="8"/>
        <v>0</v>
      </c>
      <c r="AZ116" s="66">
        <f t="shared" si="9"/>
        <v>0</v>
      </c>
      <c r="BA116" s="66">
        <f t="shared" si="10"/>
        <v>0</v>
      </c>
      <c r="BB116" s="66">
        <f t="shared" si="11"/>
        <v>0</v>
      </c>
    </row>
    <row r="117" spans="4:54" x14ac:dyDescent="0.25">
      <c r="D117" s="62">
        <f>калькулятор!C122</f>
        <v>0</v>
      </c>
      <c r="E117" s="62">
        <f>калькулятор!F122</f>
        <v>0</v>
      </c>
      <c r="F117" s="62">
        <f>калькулятор!G122</f>
        <v>0</v>
      </c>
      <c r="G117" s="62">
        <f>калькулятор!H122</f>
        <v>0</v>
      </c>
      <c r="H117" s="62">
        <f>калькулятор!I122</f>
        <v>0</v>
      </c>
      <c r="I117" s="63">
        <f>S117*SUMPRODUCT(($B$2=Таблица2[Филиал])*($B$3=Таблица2[ФЕР/ТЕР])*(F117=Таблица2[Наименование работ])*(G117=Таблица2[ТПиР/НСиР])*Таблица2[ПИР2010])</f>
        <v>0</v>
      </c>
      <c r="J117" s="63">
        <f>T117*SUMPRODUCT(($B$2=Таблица2[Филиал])*($B$3=Таблица2[ФЕР/ТЕР])*(F117=Таблица2[Наименование работ])*(G117=Таблица2[ТПиР/НСиР])*Таблица2[СМР2010])</f>
        <v>0</v>
      </c>
      <c r="K117" s="63">
        <f>U117*SUMPRODUCT(($B$2=Таблица2[Филиал])*($B$3=Таблица2[ФЕР/ТЕР])*(F117=Таблица2[Наименование работ])*(G117=Таблица2[ТПиР/НСиР])*Таблица2[ПНР2010])</f>
        <v>0</v>
      </c>
      <c r="L117" s="63">
        <f>V117*SUMPRODUCT(($B$2=Таблица2[Филиал])*($B$3=Таблица2[ФЕР/ТЕР])*(F117=Таблица2[Наименование работ])*(G117=Таблица2[ТПиР/НСиР])*Таблица2[Оборудование2010])</f>
        <v>0</v>
      </c>
      <c r="M117" s="63">
        <f>W117*SUMPRODUCT(($B$2=Таблица2[Филиал])*($B$3=Таблица2[ФЕР/ТЕР])*(F117=Таблица2[Наименование работ])*(G117=Таблица2[ТПиР/НСиР])*Таблица2[Прочие2010])</f>
        <v>0</v>
      </c>
      <c r="N117" s="63">
        <f>S117*SUMPRODUCT(($B$2=Таблица2[Филиал])*($B$3=Таблица2[ФЕР/ТЕР])*(F117=Таблица2[Наименование работ])*(G117=Таблица2[ТПиР/НСиР])*Таблица2[ПИР2013-10])</f>
        <v>0</v>
      </c>
      <c r="O117" s="63">
        <f>T117*SUMPRODUCT(($B$2=Таблица2[Филиал])*($B$3=Таблица2[ФЕР/ТЕР])*(F117=Таблица2[Наименование работ])*(G117=Таблица2[ТПиР/НСиР])*Таблица2[СМР2013-10])</f>
        <v>0</v>
      </c>
      <c r="P117" s="63">
        <f>U117*SUMPRODUCT(($B$2=Таблица2[Филиал])*($B$3=Таблица2[ФЕР/ТЕР])*(F117=Таблица2[Наименование работ])*(G117=Таблица2[ТПиР/НСиР])*Таблица2[ПНР2013-10])</f>
        <v>0</v>
      </c>
      <c r="Q117" s="63">
        <f>V117*SUMPRODUCT(($B$2=Таблица2[Филиал])*($B$3=Таблица2[ФЕР/ТЕР])*(F117=Таблица2[Наименование работ])*(G117=Таблица2[ТПиР/НСиР])*Таблица2[Оборудование2013-10])</f>
        <v>0</v>
      </c>
      <c r="R117" s="63">
        <f>W117*SUMPRODUCT(($B$2=Таблица2[Филиал])*($B$3=Таблица2[ФЕР/ТЕР])*(F117=Таблица2[Наименование работ])*(G117=Таблица2[ТПиР/НСиР])*Таблица2[Прочие2013-10])</f>
        <v>0</v>
      </c>
      <c r="S117" s="63">
        <f>IF($B$4="в базовых ценах",калькулятор!J122,X117*SUMPRODUCT(($B$2=Таблица2[Филиал])*($B$3=Таблица2[ФЕР/ТЕР])*(F117=Таблица2[Наименование работ])*(G117=Таблица2[ТПиР/НСиР])/Таблица2[ПИР2013]))</f>
        <v>0</v>
      </c>
      <c r="T117" s="63">
        <f>IF($B$4="в базовых ценах",калькулятор!K122,Y117*SUMPRODUCT(($B$2=Таблица2[Филиал])*($B$3=Таблица2[ФЕР/ТЕР])*(F117=Таблица2[Наименование работ])*(G117=Таблица2[ТПиР/НСиР])/Таблица2[СМР2013]))</f>
        <v>0</v>
      </c>
      <c r="U117" s="63">
        <f>IF($B$4="в базовых ценах",калькулятор!L122,Z117*SUMPRODUCT(($B$2=Таблица2[Филиал])*($B$3=Таблица2[ФЕР/ТЕР])*(F117=Таблица2[Наименование работ])*(G117=Таблица2[ТПиР/НСиР])/Таблица2[ПНР2013]))</f>
        <v>0</v>
      </c>
      <c r="V117" s="63">
        <f>IF($B$4="в базовых ценах",калькулятор!M122,AA117*SUMPRODUCT(($B$2=Таблица2[Филиал])*($B$3=Таблица2[ФЕР/ТЕР])*(F117=Таблица2[Наименование работ])*(G117=Таблица2[ТПиР/НСиР])/Таблица2[Оборудование2013]))</f>
        <v>0</v>
      </c>
      <c r="W117" s="63">
        <f>IF($B$4="в базовых ценах",калькулятор!N122,AB117*SUMPRODUCT(($B$2=Таблица2[Филиал])*($B$3=Таблица2[ФЕР/ТЕР])*(F117=Таблица2[Наименование работ])*(G117=Таблица2[ТПиР/НСиР])/Таблица2[Прочие3]))</f>
        <v>0</v>
      </c>
      <c r="X117" s="63">
        <f>IF($B$4="в текущих ценах",калькулятор!J122,S117*SUMPRODUCT(($B$2=Таблица2[Филиал])*($B$3=Таблица2[ФЕР/ТЕР])*(F117=Таблица2[Наименование работ])*(G117=Таблица2[ТПиР/НСиР])*Таблица2[ПИР2013]))</f>
        <v>0</v>
      </c>
      <c r="Y117" s="63">
        <f>IF($B$4="в текущих ценах",калькулятор!K122,T117*SUMPRODUCT(($B$2=Таблица2[Филиал])*($B$3=Таблица2[ФЕР/ТЕР])*(F117=Таблица2[Наименование работ])*(G117=Таблица2[ТПиР/НСиР])*Таблица2[СМР2013]))</f>
        <v>0</v>
      </c>
      <c r="Z117" s="63">
        <f>IF($B$4="в текущих ценах",калькулятор!L122,U117*SUMPRODUCT(($B$2=Таблица2[Филиал])*($B$3=Таблица2[ФЕР/ТЕР])*(F117=Таблица2[Наименование работ])*(G117=Таблица2[ТПиР/НСиР])*Таблица2[ПНР2013]))</f>
        <v>0</v>
      </c>
      <c r="AA117" s="63">
        <f>IF($B$4="в текущих ценах",калькулятор!M122,V117*SUMPRODUCT(($B$2=Таблица2[Филиал])*($B$3=Таблица2[ФЕР/ТЕР])*(F117=Таблица2[Наименование работ])*(G117=Таблица2[ТПиР/НСиР])*Таблица2[Оборудование2013]))</f>
        <v>0</v>
      </c>
      <c r="AB117" s="63">
        <f>IF($B$4="в текущих ценах",калькулятор!N122,W117*SUMPRODUCT(($B$2=Таблица2[Филиал])*($B$3=Таблица2[ФЕР/ТЕР])*(F117=Таблица2[Наименование работ])*(G117=Таблица2[ТПиР/НСиР])*Таблица2[Прочие3]))</f>
        <v>0</v>
      </c>
      <c r="AC117" s="63">
        <f>SUM(данные!$I117:$M117)</f>
        <v>0</v>
      </c>
      <c r="AD117" s="63">
        <f>IF(SUM(данные!$N117:$R117)&gt;данные!$AF117,данные!$AF117*0.9*1.058,SUM(данные!$N117:$R117))</f>
        <v>0</v>
      </c>
      <c r="AE117" s="63">
        <f>SUM(данные!$S117:$W117)</f>
        <v>0</v>
      </c>
      <c r="AF117" s="63">
        <f>SUM(данные!$X117:$AB117)</f>
        <v>0</v>
      </c>
      <c r="AG117" s="63">
        <f>IF($B$4="в текущих ценах",S117*SUMPRODUCT(($B$2=Таблица2[Филиал])*($B$3=Таблица2[ФЕР/ТЕР])*(F117=Таблица2[Наименование работ])*(G117=Таблица2[ТПиР/НСиР])*Таблица2[ПИР2012]),S117*SUMPRODUCT(($B$2=Таблица2[Филиал])*($B$3=Таблица2[ФЕР/ТЕР])*(F117=Таблица2[Наименование работ])*(G117=Таблица2[ТПиР/НСиР])*Таблица2[ПИР2012]))</f>
        <v>0</v>
      </c>
      <c r="AH117" s="63">
        <f>IF($B$4="в текущих ценах",T117*SUMPRODUCT(($B$2=Таблица2[Филиал])*($B$3=Таблица2[ФЕР/ТЕР])*(F117=Таблица2[Наименование работ])*(G117=Таблица2[ТПиР/НСиР])*Таблица2[СМР2012]),T117*SUMPRODUCT(($B$2=Таблица2[Филиал])*($B$3=Таблица2[ФЕР/ТЕР])*(F117=Таблица2[Наименование работ])*(G117=Таблица2[ТПиР/НСиР])*Таблица2[СМР2012]))</f>
        <v>0</v>
      </c>
      <c r="AI117" s="63">
        <f>IF($B$4="в текущих ценах",U117*SUMPRODUCT(($B$2=Таблица2[Филиал])*($B$3=Таблица2[ФЕР/ТЕР])*(F117=Таблица2[Наименование работ])*(G117=Таблица2[ТПиР/НСиР])*Таблица2[ПНР2012]),U117*SUMPRODUCT(($B$2=Таблица2[Филиал])*($B$3=Таблица2[ФЕР/ТЕР])*(F117=Таблица2[Наименование работ])*(G117=Таблица2[ТПиР/НСиР])*Таблица2[ПНР2012]))</f>
        <v>0</v>
      </c>
      <c r="AJ117" s="63">
        <f>IF($B$4="в текущих ценах",V117*SUMPRODUCT(($B$2=Таблица2[Филиал])*($B$3=Таблица2[ФЕР/ТЕР])*(F117=Таблица2[Наименование работ])*(G117=Таблица2[ТПиР/НСиР])*Таблица2[Оборудование2012]),V117*SUMPRODUCT(($B$2=Таблица2[Филиал])*($B$3=Таблица2[ФЕР/ТЕР])*(F117=Таблица2[Наименование работ])*(G117=Таблица2[ТПиР/НСиР])*Таблица2[Оборудование2012]))</f>
        <v>0</v>
      </c>
      <c r="AK117" s="63">
        <f>IF($B$4="в текущих ценах",W117*SUMPRODUCT(($B$2=Таблица2[Филиал])*($B$3=Таблица2[ФЕР/ТЕР])*(F117=Таблица2[Наименование работ])*(G117=Таблица2[ТПиР/НСиР])*Таблица2[Прочее2012]),W117*SUMPRODUCT(($B$2=Таблица2[Филиал])*($B$3=Таблица2[ФЕР/ТЕР])*(F117=Таблица2[Наименование работ])*(G117=Таблица2[ТПиР/НСиР])*Таблица2[Прочее2012]))</f>
        <v>0</v>
      </c>
      <c r="AL117" s="63">
        <f>данные!$X117+данные!$Y117+данные!$Z117+данные!$AA117+данные!$AB117</f>
        <v>0</v>
      </c>
      <c r="AM117" s="63">
        <v>1.03639035</v>
      </c>
      <c r="AN117" s="63">
        <v>1.0114049394</v>
      </c>
      <c r="AO117" s="63">
        <v>0.98210394336149998</v>
      </c>
      <c r="AP117" s="63">
        <v>0.93762413895893393</v>
      </c>
      <c r="AQ117" s="63"/>
      <c r="AR117" s="63"/>
      <c r="AS117" s="64"/>
      <c r="AU117" s="66">
        <f t="shared" si="6"/>
        <v>0</v>
      </c>
      <c r="AX117" s="66">
        <f t="shared" si="7"/>
        <v>0</v>
      </c>
      <c r="AY117" s="66">
        <f t="shared" si="8"/>
        <v>0</v>
      </c>
      <c r="AZ117" s="66">
        <f t="shared" si="9"/>
        <v>0</v>
      </c>
      <c r="BA117" s="66">
        <f t="shared" si="10"/>
        <v>0</v>
      </c>
      <c r="BB117" s="66">
        <f t="shared" si="11"/>
        <v>0</v>
      </c>
    </row>
    <row r="118" spans="4:54" x14ac:dyDescent="0.25">
      <c r="D118" s="62">
        <f>калькулятор!C123</f>
        <v>0</v>
      </c>
      <c r="E118" s="62">
        <f>калькулятор!F123</f>
        <v>0</v>
      </c>
      <c r="F118" s="62">
        <f>калькулятор!G123</f>
        <v>0</v>
      </c>
      <c r="G118" s="62">
        <f>калькулятор!H123</f>
        <v>0</v>
      </c>
      <c r="H118" s="62">
        <f>калькулятор!I123</f>
        <v>0</v>
      </c>
      <c r="I118" s="63">
        <f>S118*SUMPRODUCT(($B$2=Таблица2[Филиал])*($B$3=Таблица2[ФЕР/ТЕР])*(F118=Таблица2[Наименование работ])*(G118=Таблица2[ТПиР/НСиР])*Таблица2[ПИР2010])</f>
        <v>0</v>
      </c>
      <c r="J118" s="63">
        <f>T118*SUMPRODUCT(($B$2=Таблица2[Филиал])*($B$3=Таблица2[ФЕР/ТЕР])*(F118=Таблица2[Наименование работ])*(G118=Таблица2[ТПиР/НСиР])*Таблица2[СМР2010])</f>
        <v>0</v>
      </c>
      <c r="K118" s="63">
        <f>U118*SUMPRODUCT(($B$2=Таблица2[Филиал])*($B$3=Таблица2[ФЕР/ТЕР])*(F118=Таблица2[Наименование работ])*(G118=Таблица2[ТПиР/НСиР])*Таблица2[ПНР2010])</f>
        <v>0</v>
      </c>
      <c r="L118" s="63">
        <f>V118*SUMPRODUCT(($B$2=Таблица2[Филиал])*($B$3=Таблица2[ФЕР/ТЕР])*(F118=Таблица2[Наименование работ])*(G118=Таблица2[ТПиР/НСиР])*Таблица2[Оборудование2010])</f>
        <v>0</v>
      </c>
      <c r="M118" s="63">
        <f>W118*SUMPRODUCT(($B$2=Таблица2[Филиал])*($B$3=Таблица2[ФЕР/ТЕР])*(F118=Таблица2[Наименование работ])*(G118=Таблица2[ТПиР/НСиР])*Таблица2[Прочие2010])</f>
        <v>0</v>
      </c>
      <c r="N118" s="63">
        <f>S118*SUMPRODUCT(($B$2=Таблица2[Филиал])*($B$3=Таблица2[ФЕР/ТЕР])*(F118=Таблица2[Наименование работ])*(G118=Таблица2[ТПиР/НСиР])*Таблица2[ПИР2013-10])</f>
        <v>0</v>
      </c>
      <c r="O118" s="63">
        <f>T118*SUMPRODUCT(($B$2=Таблица2[Филиал])*($B$3=Таблица2[ФЕР/ТЕР])*(F118=Таблица2[Наименование работ])*(G118=Таблица2[ТПиР/НСиР])*Таблица2[СМР2013-10])</f>
        <v>0</v>
      </c>
      <c r="P118" s="63">
        <f>U118*SUMPRODUCT(($B$2=Таблица2[Филиал])*($B$3=Таблица2[ФЕР/ТЕР])*(F118=Таблица2[Наименование работ])*(G118=Таблица2[ТПиР/НСиР])*Таблица2[ПНР2013-10])</f>
        <v>0</v>
      </c>
      <c r="Q118" s="63">
        <f>V118*SUMPRODUCT(($B$2=Таблица2[Филиал])*($B$3=Таблица2[ФЕР/ТЕР])*(F118=Таблица2[Наименование работ])*(G118=Таблица2[ТПиР/НСиР])*Таблица2[Оборудование2013-10])</f>
        <v>0</v>
      </c>
      <c r="R118" s="63">
        <f>W118*SUMPRODUCT(($B$2=Таблица2[Филиал])*($B$3=Таблица2[ФЕР/ТЕР])*(F118=Таблица2[Наименование работ])*(G118=Таблица2[ТПиР/НСиР])*Таблица2[Прочие2013-10])</f>
        <v>0</v>
      </c>
      <c r="S118" s="63">
        <f>IF($B$4="в базовых ценах",калькулятор!J123,X118*SUMPRODUCT(($B$2=Таблица2[Филиал])*($B$3=Таблица2[ФЕР/ТЕР])*(F118=Таблица2[Наименование работ])*(G118=Таблица2[ТПиР/НСиР])/Таблица2[ПИР2013]))</f>
        <v>0</v>
      </c>
      <c r="T118" s="63">
        <f>IF($B$4="в базовых ценах",калькулятор!K123,Y118*SUMPRODUCT(($B$2=Таблица2[Филиал])*($B$3=Таблица2[ФЕР/ТЕР])*(F118=Таблица2[Наименование работ])*(G118=Таблица2[ТПиР/НСиР])/Таблица2[СМР2013]))</f>
        <v>0</v>
      </c>
      <c r="U118" s="63">
        <f>IF($B$4="в базовых ценах",калькулятор!L123,Z118*SUMPRODUCT(($B$2=Таблица2[Филиал])*($B$3=Таблица2[ФЕР/ТЕР])*(F118=Таблица2[Наименование работ])*(G118=Таблица2[ТПиР/НСиР])/Таблица2[ПНР2013]))</f>
        <v>0</v>
      </c>
      <c r="V118" s="63">
        <f>IF($B$4="в базовых ценах",калькулятор!M123,AA118*SUMPRODUCT(($B$2=Таблица2[Филиал])*($B$3=Таблица2[ФЕР/ТЕР])*(F118=Таблица2[Наименование работ])*(G118=Таблица2[ТПиР/НСиР])/Таблица2[Оборудование2013]))</f>
        <v>0</v>
      </c>
      <c r="W118" s="63">
        <f>IF($B$4="в базовых ценах",калькулятор!N123,AB118*SUMPRODUCT(($B$2=Таблица2[Филиал])*($B$3=Таблица2[ФЕР/ТЕР])*(F118=Таблица2[Наименование работ])*(G118=Таблица2[ТПиР/НСиР])/Таблица2[Прочие3]))</f>
        <v>0</v>
      </c>
      <c r="X118" s="63">
        <f>IF($B$4="в текущих ценах",калькулятор!J123,S118*SUMPRODUCT(($B$2=Таблица2[Филиал])*($B$3=Таблица2[ФЕР/ТЕР])*(F118=Таблица2[Наименование работ])*(G118=Таблица2[ТПиР/НСиР])*Таблица2[ПИР2013]))</f>
        <v>0</v>
      </c>
      <c r="Y118" s="63">
        <f>IF($B$4="в текущих ценах",калькулятор!K123,T118*SUMPRODUCT(($B$2=Таблица2[Филиал])*($B$3=Таблица2[ФЕР/ТЕР])*(F118=Таблица2[Наименование работ])*(G118=Таблица2[ТПиР/НСиР])*Таблица2[СМР2013]))</f>
        <v>0</v>
      </c>
      <c r="Z118" s="63">
        <f>IF($B$4="в текущих ценах",калькулятор!L123,U118*SUMPRODUCT(($B$2=Таблица2[Филиал])*($B$3=Таблица2[ФЕР/ТЕР])*(F118=Таблица2[Наименование работ])*(G118=Таблица2[ТПиР/НСиР])*Таблица2[ПНР2013]))</f>
        <v>0</v>
      </c>
      <c r="AA118" s="63">
        <f>IF($B$4="в текущих ценах",калькулятор!M123,V118*SUMPRODUCT(($B$2=Таблица2[Филиал])*($B$3=Таблица2[ФЕР/ТЕР])*(F118=Таблица2[Наименование работ])*(G118=Таблица2[ТПиР/НСиР])*Таблица2[Оборудование2013]))</f>
        <v>0</v>
      </c>
      <c r="AB118" s="63">
        <f>IF($B$4="в текущих ценах",калькулятор!N123,W118*SUMPRODUCT(($B$2=Таблица2[Филиал])*($B$3=Таблица2[ФЕР/ТЕР])*(F118=Таблица2[Наименование работ])*(G118=Таблица2[ТПиР/НСиР])*Таблица2[Прочие3]))</f>
        <v>0</v>
      </c>
      <c r="AC118" s="63">
        <f>SUM(данные!$I118:$M118)</f>
        <v>0</v>
      </c>
      <c r="AD118" s="63">
        <f>IF(SUM(данные!$N118:$R118)&gt;данные!$AF118,данные!$AF118*0.9*1.058,SUM(данные!$N118:$R118))</f>
        <v>0</v>
      </c>
      <c r="AE118" s="63">
        <f>SUM(данные!$S118:$W118)</f>
        <v>0</v>
      </c>
      <c r="AF118" s="63">
        <f>SUM(данные!$X118:$AB118)</f>
        <v>0</v>
      </c>
      <c r="AG118" s="63">
        <f>IF($B$4="в текущих ценах",S118*SUMPRODUCT(($B$2=Таблица2[Филиал])*($B$3=Таблица2[ФЕР/ТЕР])*(F118=Таблица2[Наименование работ])*(G118=Таблица2[ТПиР/НСиР])*Таблица2[ПИР2012]),S118*SUMPRODUCT(($B$2=Таблица2[Филиал])*($B$3=Таблица2[ФЕР/ТЕР])*(F118=Таблица2[Наименование работ])*(G118=Таблица2[ТПиР/НСиР])*Таблица2[ПИР2012]))</f>
        <v>0</v>
      </c>
      <c r="AH118" s="63">
        <f>IF($B$4="в текущих ценах",T118*SUMPRODUCT(($B$2=Таблица2[Филиал])*($B$3=Таблица2[ФЕР/ТЕР])*(F118=Таблица2[Наименование работ])*(G118=Таблица2[ТПиР/НСиР])*Таблица2[СМР2012]),T118*SUMPRODUCT(($B$2=Таблица2[Филиал])*($B$3=Таблица2[ФЕР/ТЕР])*(F118=Таблица2[Наименование работ])*(G118=Таблица2[ТПиР/НСиР])*Таблица2[СМР2012]))</f>
        <v>0</v>
      </c>
      <c r="AI118" s="63">
        <f>IF($B$4="в текущих ценах",U118*SUMPRODUCT(($B$2=Таблица2[Филиал])*($B$3=Таблица2[ФЕР/ТЕР])*(F118=Таблица2[Наименование работ])*(G118=Таблица2[ТПиР/НСиР])*Таблица2[ПНР2012]),U118*SUMPRODUCT(($B$2=Таблица2[Филиал])*($B$3=Таблица2[ФЕР/ТЕР])*(F118=Таблица2[Наименование работ])*(G118=Таблица2[ТПиР/НСиР])*Таблица2[ПНР2012]))</f>
        <v>0</v>
      </c>
      <c r="AJ118" s="63">
        <f>IF($B$4="в текущих ценах",V118*SUMPRODUCT(($B$2=Таблица2[Филиал])*($B$3=Таблица2[ФЕР/ТЕР])*(F118=Таблица2[Наименование работ])*(G118=Таблица2[ТПиР/НСиР])*Таблица2[Оборудование2012]),V118*SUMPRODUCT(($B$2=Таблица2[Филиал])*($B$3=Таблица2[ФЕР/ТЕР])*(F118=Таблица2[Наименование работ])*(G118=Таблица2[ТПиР/НСиР])*Таблица2[Оборудование2012]))</f>
        <v>0</v>
      </c>
      <c r="AK118" s="63">
        <f>IF($B$4="в текущих ценах",W118*SUMPRODUCT(($B$2=Таблица2[Филиал])*($B$3=Таблица2[ФЕР/ТЕР])*(F118=Таблица2[Наименование работ])*(G118=Таблица2[ТПиР/НСиР])*Таблица2[Прочее2012]),W118*SUMPRODUCT(($B$2=Таблица2[Филиал])*($B$3=Таблица2[ФЕР/ТЕР])*(F118=Таблица2[Наименование работ])*(G118=Таблица2[ТПиР/НСиР])*Таблица2[Прочее2012]))</f>
        <v>0</v>
      </c>
      <c r="AL118" s="63">
        <f>данные!$X118+данные!$Y118+данные!$Z118+данные!$AA118+данные!$AB118</f>
        <v>0</v>
      </c>
      <c r="AM118" s="63">
        <v>1.03639035</v>
      </c>
      <c r="AN118" s="63">
        <v>1.0114049394</v>
      </c>
      <c r="AO118" s="63">
        <v>0.98210394336149998</v>
      </c>
      <c r="AP118" s="63">
        <v>0.93762413895893393</v>
      </c>
      <c r="AQ118" s="63"/>
      <c r="AR118" s="63"/>
      <c r="AS118" s="64"/>
      <c r="AU118" s="66">
        <f t="shared" si="6"/>
        <v>0</v>
      </c>
      <c r="AX118" s="66">
        <f t="shared" si="7"/>
        <v>0</v>
      </c>
      <c r="AY118" s="66">
        <f t="shared" si="8"/>
        <v>0</v>
      </c>
      <c r="AZ118" s="66">
        <f t="shared" si="9"/>
        <v>0</v>
      </c>
      <c r="BA118" s="66">
        <f t="shared" si="10"/>
        <v>0</v>
      </c>
      <c r="BB118" s="66">
        <f t="shared" si="11"/>
        <v>0</v>
      </c>
    </row>
    <row r="119" spans="4:54" x14ac:dyDescent="0.25">
      <c r="D119" s="62">
        <f>калькулятор!C124</f>
        <v>0</v>
      </c>
      <c r="E119" s="62">
        <f>калькулятор!F124</f>
        <v>0</v>
      </c>
      <c r="F119" s="62">
        <f>калькулятор!G124</f>
        <v>0</v>
      </c>
      <c r="G119" s="62">
        <f>калькулятор!H124</f>
        <v>0</v>
      </c>
      <c r="H119" s="62">
        <f>калькулятор!I124</f>
        <v>0</v>
      </c>
      <c r="I119" s="63">
        <f>S119*SUMPRODUCT(($B$2=Таблица2[Филиал])*($B$3=Таблица2[ФЕР/ТЕР])*(F119=Таблица2[Наименование работ])*(G119=Таблица2[ТПиР/НСиР])*Таблица2[ПИР2010])</f>
        <v>0</v>
      </c>
      <c r="J119" s="63">
        <f>T119*SUMPRODUCT(($B$2=Таблица2[Филиал])*($B$3=Таблица2[ФЕР/ТЕР])*(F119=Таблица2[Наименование работ])*(G119=Таблица2[ТПиР/НСиР])*Таблица2[СМР2010])</f>
        <v>0</v>
      </c>
      <c r="K119" s="63">
        <f>U119*SUMPRODUCT(($B$2=Таблица2[Филиал])*($B$3=Таблица2[ФЕР/ТЕР])*(F119=Таблица2[Наименование работ])*(G119=Таблица2[ТПиР/НСиР])*Таблица2[ПНР2010])</f>
        <v>0</v>
      </c>
      <c r="L119" s="63">
        <f>V119*SUMPRODUCT(($B$2=Таблица2[Филиал])*($B$3=Таблица2[ФЕР/ТЕР])*(F119=Таблица2[Наименование работ])*(G119=Таблица2[ТПиР/НСиР])*Таблица2[Оборудование2010])</f>
        <v>0</v>
      </c>
      <c r="M119" s="63">
        <f>W119*SUMPRODUCT(($B$2=Таблица2[Филиал])*($B$3=Таблица2[ФЕР/ТЕР])*(F119=Таблица2[Наименование работ])*(G119=Таблица2[ТПиР/НСиР])*Таблица2[Прочие2010])</f>
        <v>0</v>
      </c>
      <c r="N119" s="63">
        <f>S119*SUMPRODUCT(($B$2=Таблица2[Филиал])*($B$3=Таблица2[ФЕР/ТЕР])*(F119=Таблица2[Наименование работ])*(G119=Таблица2[ТПиР/НСиР])*Таблица2[ПИР2013-10])</f>
        <v>0</v>
      </c>
      <c r="O119" s="63">
        <f>T119*SUMPRODUCT(($B$2=Таблица2[Филиал])*($B$3=Таблица2[ФЕР/ТЕР])*(F119=Таблица2[Наименование работ])*(G119=Таблица2[ТПиР/НСиР])*Таблица2[СМР2013-10])</f>
        <v>0</v>
      </c>
      <c r="P119" s="63">
        <f>U119*SUMPRODUCT(($B$2=Таблица2[Филиал])*($B$3=Таблица2[ФЕР/ТЕР])*(F119=Таблица2[Наименование работ])*(G119=Таблица2[ТПиР/НСиР])*Таблица2[ПНР2013-10])</f>
        <v>0</v>
      </c>
      <c r="Q119" s="63">
        <f>V119*SUMPRODUCT(($B$2=Таблица2[Филиал])*($B$3=Таблица2[ФЕР/ТЕР])*(F119=Таблица2[Наименование работ])*(G119=Таблица2[ТПиР/НСиР])*Таблица2[Оборудование2013-10])</f>
        <v>0</v>
      </c>
      <c r="R119" s="63">
        <f>W119*SUMPRODUCT(($B$2=Таблица2[Филиал])*($B$3=Таблица2[ФЕР/ТЕР])*(F119=Таблица2[Наименование работ])*(G119=Таблица2[ТПиР/НСиР])*Таблица2[Прочие2013-10])</f>
        <v>0</v>
      </c>
      <c r="S119" s="63">
        <f>IF($B$4="в базовых ценах",калькулятор!J124,X119*SUMPRODUCT(($B$2=Таблица2[Филиал])*($B$3=Таблица2[ФЕР/ТЕР])*(F119=Таблица2[Наименование работ])*(G119=Таблица2[ТПиР/НСиР])/Таблица2[ПИР2013]))</f>
        <v>0</v>
      </c>
      <c r="T119" s="63">
        <f>IF($B$4="в базовых ценах",калькулятор!K124,Y119*SUMPRODUCT(($B$2=Таблица2[Филиал])*($B$3=Таблица2[ФЕР/ТЕР])*(F119=Таблица2[Наименование работ])*(G119=Таблица2[ТПиР/НСиР])/Таблица2[СМР2013]))</f>
        <v>0</v>
      </c>
      <c r="U119" s="63">
        <f>IF($B$4="в базовых ценах",калькулятор!L124,Z119*SUMPRODUCT(($B$2=Таблица2[Филиал])*($B$3=Таблица2[ФЕР/ТЕР])*(F119=Таблица2[Наименование работ])*(G119=Таблица2[ТПиР/НСиР])/Таблица2[ПНР2013]))</f>
        <v>0</v>
      </c>
      <c r="V119" s="63">
        <f>IF($B$4="в базовых ценах",калькулятор!M124,AA119*SUMPRODUCT(($B$2=Таблица2[Филиал])*($B$3=Таблица2[ФЕР/ТЕР])*(F119=Таблица2[Наименование работ])*(G119=Таблица2[ТПиР/НСиР])/Таблица2[Оборудование2013]))</f>
        <v>0</v>
      </c>
      <c r="W119" s="63">
        <f>IF($B$4="в базовых ценах",калькулятор!N124,AB119*SUMPRODUCT(($B$2=Таблица2[Филиал])*($B$3=Таблица2[ФЕР/ТЕР])*(F119=Таблица2[Наименование работ])*(G119=Таблица2[ТПиР/НСиР])/Таблица2[Прочие3]))</f>
        <v>0</v>
      </c>
      <c r="X119" s="63">
        <f>IF($B$4="в текущих ценах",калькулятор!J124,S119*SUMPRODUCT(($B$2=Таблица2[Филиал])*($B$3=Таблица2[ФЕР/ТЕР])*(F119=Таблица2[Наименование работ])*(G119=Таблица2[ТПиР/НСиР])*Таблица2[ПИР2013]))</f>
        <v>0</v>
      </c>
      <c r="Y119" s="63">
        <f>IF($B$4="в текущих ценах",калькулятор!K124,T119*SUMPRODUCT(($B$2=Таблица2[Филиал])*($B$3=Таблица2[ФЕР/ТЕР])*(F119=Таблица2[Наименование работ])*(G119=Таблица2[ТПиР/НСиР])*Таблица2[СМР2013]))</f>
        <v>0</v>
      </c>
      <c r="Z119" s="63">
        <f>IF($B$4="в текущих ценах",калькулятор!L124,U119*SUMPRODUCT(($B$2=Таблица2[Филиал])*($B$3=Таблица2[ФЕР/ТЕР])*(F119=Таблица2[Наименование работ])*(G119=Таблица2[ТПиР/НСиР])*Таблица2[ПНР2013]))</f>
        <v>0</v>
      </c>
      <c r="AA119" s="63">
        <f>IF($B$4="в текущих ценах",калькулятор!M124,V119*SUMPRODUCT(($B$2=Таблица2[Филиал])*($B$3=Таблица2[ФЕР/ТЕР])*(F119=Таблица2[Наименование работ])*(G119=Таблица2[ТПиР/НСиР])*Таблица2[Оборудование2013]))</f>
        <v>0</v>
      </c>
      <c r="AB119" s="63">
        <f>IF($B$4="в текущих ценах",калькулятор!N124,W119*SUMPRODUCT(($B$2=Таблица2[Филиал])*($B$3=Таблица2[ФЕР/ТЕР])*(F119=Таблица2[Наименование работ])*(G119=Таблица2[ТПиР/НСиР])*Таблица2[Прочие3]))</f>
        <v>0</v>
      </c>
      <c r="AC119" s="63">
        <f>SUM(данные!$I119:$M119)</f>
        <v>0</v>
      </c>
      <c r="AD119" s="63">
        <f>IF(SUM(данные!$N119:$R119)&gt;данные!$AF119,данные!$AF119*0.9*1.058,SUM(данные!$N119:$R119))</f>
        <v>0</v>
      </c>
      <c r="AE119" s="63">
        <f>SUM(данные!$S119:$W119)</f>
        <v>0</v>
      </c>
      <c r="AF119" s="63">
        <f>SUM(данные!$X119:$AB119)</f>
        <v>0</v>
      </c>
      <c r="AG119" s="63">
        <f>IF($B$4="в текущих ценах",S119*SUMPRODUCT(($B$2=Таблица2[Филиал])*($B$3=Таблица2[ФЕР/ТЕР])*(F119=Таблица2[Наименование работ])*(G119=Таблица2[ТПиР/НСиР])*Таблица2[ПИР2012]),S119*SUMPRODUCT(($B$2=Таблица2[Филиал])*($B$3=Таблица2[ФЕР/ТЕР])*(F119=Таблица2[Наименование работ])*(G119=Таблица2[ТПиР/НСиР])*Таблица2[ПИР2012]))</f>
        <v>0</v>
      </c>
      <c r="AH119" s="63">
        <f>IF($B$4="в текущих ценах",T119*SUMPRODUCT(($B$2=Таблица2[Филиал])*($B$3=Таблица2[ФЕР/ТЕР])*(F119=Таблица2[Наименование работ])*(G119=Таблица2[ТПиР/НСиР])*Таблица2[СМР2012]),T119*SUMPRODUCT(($B$2=Таблица2[Филиал])*($B$3=Таблица2[ФЕР/ТЕР])*(F119=Таблица2[Наименование работ])*(G119=Таблица2[ТПиР/НСиР])*Таблица2[СМР2012]))</f>
        <v>0</v>
      </c>
      <c r="AI119" s="63">
        <f>IF($B$4="в текущих ценах",U119*SUMPRODUCT(($B$2=Таблица2[Филиал])*($B$3=Таблица2[ФЕР/ТЕР])*(F119=Таблица2[Наименование работ])*(G119=Таблица2[ТПиР/НСиР])*Таблица2[ПНР2012]),U119*SUMPRODUCT(($B$2=Таблица2[Филиал])*($B$3=Таблица2[ФЕР/ТЕР])*(F119=Таблица2[Наименование работ])*(G119=Таблица2[ТПиР/НСиР])*Таблица2[ПНР2012]))</f>
        <v>0</v>
      </c>
      <c r="AJ119" s="63">
        <f>IF($B$4="в текущих ценах",V119*SUMPRODUCT(($B$2=Таблица2[Филиал])*($B$3=Таблица2[ФЕР/ТЕР])*(F119=Таблица2[Наименование работ])*(G119=Таблица2[ТПиР/НСиР])*Таблица2[Оборудование2012]),V119*SUMPRODUCT(($B$2=Таблица2[Филиал])*($B$3=Таблица2[ФЕР/ТЕР])*(F119=Таблица2[Наименование работ])*(G119=Таблица2[ТПиР/НСиР])*Таблица2[Оборудование2012]))</f>
        <v>0</v>
      </c>
      <c r="AK119" s="63">
        <f>IF($B$4="в текущих ценах",W119*SUMPRODUCT(($B$2=Таблица2[Филиал])*($B$3=Таблица2[ФЕР/ТЕР])*(F119=Таблица2[Наименование работ])*(G119=Таблица2[ТПиР/НСиР])*Таблица2[Прочее2012]),W119*SUMPRODUCT(($B$2=Таблица2[Филиал])*($B$3=Таблица2[ФЕР/ТЕР])*(F119=Таблица2[Наименование работ])*(G119=Таблица2[ТПиР/НСиР])*Таблица2[Прочее2012]))</f>
        <v>0</v>
      </c>
      <c r="AL119" s="63">
        <f>данные!$X119+данные!$Y119+данные!$Z119+данные!$AA119+данные!$AB119</f>
        <v>0</v>
      </c>
      <c r="AM119" s="63">
        <v>1.03639035</v>
      </c>
      <c r="AN119" s="63">
        <v>1.0114049394</v>
      </c>
      <c r="AO119" s="63">
        <v>0.98210394336149998</v>
      </c>
      <c r="AP119" s="63">
        <v>0.93762413895893393</v>
      </c>
      <c r="AQ119" s="63"/>
      <c r="AR119" s="63"/>
      <c r="AS119" s="64"/>
      <c r="AU119" s="66">
        <f t="shared" si="6"/>
        <v>0</v>
      </c>
      <c r="AX119" s="66">
        <f t="shared" si="7"/>
        <v>0</v>
      </c>
      <c r="AY119" s="66">
        <f t="shared" si="8"/>
        <v>0</v>
      </c>
      <c r="AZ119" s="66">
        <f t="shared" si="9"/>
        <v>0</v>
      </c>
      <c r="BA119" s="66">
        <f t="shared" si="10"/>
        <v>0</v>
      </c>
      <c r="BB119" s="66">
        <f t="shared" si="11"/>
        <v>0</v>
      </c>
    </row>
    <row r="120" spans="4:54" x14ac:dyDescent="0.25">
      <c r="D120" s="62">
        <f>калькулятор!C125</f>
        <v>0</v>
      </c>
      <c r="E120" s="62">
        <f>калькулятор!F125</f>
        <v>0</v>
      </c>
      <c r="F120" s="62">
        <f>калькулятор!G125</f>
        <v>0</v>
      </c>
      <c r="G120" s="62">
        <f>калькулятор!H125</f>
        <v>0</v>
      </c>
      <c r="H120" s="62">
        <f>калькулятор!I125</f>
        <v>0</v>
      </c>
      <c r="I120" s="63">
        <f>S120*SUMPRODUCT(($B$2=Таблица2[Филиал])*($B$3=Таблица2[ФЕР/ТЕР])*(F120=Таблица2[Наименование работ])*(G120=Таблица2[ТПиР/НСиР])*Таблица2[ПИР2010])</f>
        <v>0</v>
      </c>
      <c r="J120" s="63">
        <f>T120*SUMPRODUCT(($B$2=Таблица2[Филиал])*($B$3=Таблица2[ФЕР/ТЕР])*(F120=Таблица2[Наименование работ])*(G120=Таблица2[ТПиР/НСиР])*Таблица2[СМР2010])</f>
        <v>0</v>
      </c>
      <c r="K120" s="63">
        <f>U120*SUMPRODUCT(($B$2=Таблица2[Филиал])*($B$3=Таблица2[ФЕР/ТЕР])*(F120=Таблица2[Наименование работ])*(G120=Таблица2[ТПиР/НСиР])*Таблица2[ПНР2010])</f>
        <v>0</v>
      </c>
      <c r="L120" s="63">
        <f>V120*SUMPRODUCT(($B$2=Таблица2[Филиал])*($B$3=Таблица2[ФЕР/ТЕР])*(F120=Таблица2[Наименование работ])*(G120=Таблица2[ТПиР/НСиР])*Таблица2[Оборудование2010])</f>
        <v>0</v>
      </c>
      <c r="M120" s="63">
        <f>W120*SUMPRODUCT(($B$2=Таблица2[Филиал])*($B$3=Таблица2[ФЕР/ТЕР])*(F120=Таблица2[Наименование работ])*(G120=Таблица2[ТПиР/НСиР])*Таблица2[Прочие2010])</f>
        <v>0</v>
      </c>
      <c r="N120" s="63">
        <f>S120*SUMPRODUCT(($B$2=Таблица2[Филиал])*($B$3=Таблица2[ФЕР/ТЕР])*(F120=Таблица2[Наименование работ])*(G120=Таблица2[ТПиР/НСиР])*Таблица2[ПИР2013-10])</f>
        <v>0</v>
      </c>
      <c r="O120" s="63">
        <f>T120*SUMPRODUCT(($B$2=Таблица2[Филиал])*($B$3=Таблица2[ФЕР/ТЕР])*(F120=Таблица2[Наименование работ])*(G120=Таблица2[ТПиР/НСиР])*Таблица2[СМР2013-10])</f>
        <v>0</v>
      </c>
      <c r="P120" s="63">
        <f>U120*SUMPRODUCT(($B$2=Таблица2[Филиал])*($B$3=Таблица2[ФЕР/ТЕР])*(F120=Таблица2[Наименование работ])*(G120=Таблица2[ТПиР/НСиР])*Таблица2[ПНР2013-10])</f>
        <v>0</v>
      </c>
      <c r="Q120" s="63">
        <f>V120*SUMPRODUCT(($B$2=Таблица2[Филиал])*($B$3=Таблица2[ФЕР/ТЕР])*(F120=Таблица2[Наименование работ])*(G120=Таблица2[ТПиР/НСиР])*Таблица2[Оборудование2013-10])</f>
        <v>0</v>
      </c>
      <c r="R120" s="63">
        <f>W120*SUMPRODUCT(($B$2=Таблица2[Филиал])*($B$3=Таблица2[ФЕР/ТЕР])*(F120=Таблица2[Наименование работ])*(G120=Таблица2[ТПиР/НСиР])*Таблица2[Прочие2013-10])</f>
        <v>0</v>
      </c>
      <c r="S120" s="63">
        <f>IF($B$4="в базовых ценах",калькулятор!J125,X120*SUMPRODUCT(($B$2=Таблица2[Филиал])*($B$3=Таблица2[ФЕР/ТЕР])*(F120=Таблица2[Наименование работ])*(G120=Таблица2[ТПиР/НСиР])/Таблица2[ПИР2013]))</f>
        <v>0</v>
      </c>
      <c r="T120" s="63">
        <f>IF($B$4="в базовых ценах",калькулятор!K125,Y120*SUMPRODUCT(($B$2=Таблица2[Филиал])*($B$3=Таблица2[ФЕР/ТЕР])*(F120=Таблица2[Наименование работ])*(G120=Таблица2[ТПиР/НСиР])/Таблица2[СМР2013]))</f>
        <v>0</v>
      </c>
      <c r="U120" s="63">
        <f>IF($B$4="в базовых ценах",калькулятор!L125,Z120*SUMPRODUCT(($B$2=Таблица2[Филиал])*($B$3=Таблица2[ФЕР/ТЕР])*(F120=Таблица2[Наименование работ])*(G120=Таблица2[ТПиР/НСиР])/Таблица2[ПНР2013]))</f>
        <v>0</v>
      </c>
      <c r="V120" s="63">
        <f>IF($B$4="в базовых ценах",калькулятор!M125,AA120*SUMPRODUCT(($B$2=Таблица2[Филиал])*($B$3=Таблица2[ФЕР/ТЕР])*(F120=Таблица2[Наименование работ])*(G120=Таблица2[ТПиР/НСиР])/Таблица2[Оборудование2013]))</f>
        <v>0</v>
      </c>
      <c r="W120" s="63">
        <f>IF($B$4="в базовых ценах",калькулятор!N125,AB120*SUMPRODUCT(($B$2=Таблица2[Филиал])*($B$3=Таблица2[ФЕР/ТЕР])*(F120=Таблица2[Наименование работ])*(G120=Таблица2[ТПиР/НСиР])/Таблица2[Прочие3]))</f>
        <v>0</v>
      </c>
      <c r="X120" s="63">
        <f>IF($B$4="в текущих ценах",калькулятор!J125,S120*SUMPRODUCT(($B$2=Таблица2[Филиал])*($B$3=Таблица2[ФЕР/ТЕР])*(F120=Таблица2[Наименование работ])*(G120=Таблица2[ТПиР/НСиР])*Таблица2[ПИР2013]))</f>
        <v>0</v>
      </c>
      <c r="Y120" s="63">
        <f>IF($B$4="в текущих ценах",калькулятор!K125,T120*SUMPRODUCT(($B$2=Таблица2[Филиал])*($B$3=Таблица2[ФЕР/ТЕР])*(F120=Таблица2[Наименование работ])*(G120=Таблица2[ТПиР/НСиР])*Таблица2[СМР2013]))</f>
        <v>0</v>
      </c>
      <c r="Z120" s="63">
        <f>IF($B$4="в текущих ценах",калькулятор!L125,U120*SUMPRODUCT(($B$2=Таблица2[Филиал])*($B$3=Таблица2[ФЕР/ТЕР])*(F120=Таблица2[Наименование работ])*(G120=Таблица2[ТПиР/НСиР])*Таблица2[ПНР2013]))</f>
        <v>0</v>
      </c>
      <c r="AA120" s="63">
        <f>IF($B$4="в текущих ценах",калькулятор!M125,V120*SUMPRODUCT(($B$2=Таблица2[Филиал])*($B$3=Таблица2[ФЕР/ТЕР])*(F120=Таблица2[Наименование работ])*(G120=Таблица2[ТПиР/НСиР])*Таблица2[Оборудование2013]))</f>
        <v>0</v>
      </c>
      <c r="AB120" s="63">
        <f>IF($B$4="в текущих ценах",калькулятор!N125,W120*SUMPRODUCT(($B$2=Таблица2[Филиал])*($B$3=Таблица2[ФЕР/ТЕР])*(F120=Таблица2[Наименование работ])*(G120=Таблица2[ТПиР/НСиР])*Таблица2[Прочие3]))</f>
        <v>0</v>
      </c>
      <c r="AC120" s="63">
        <f>SUM(данные!$I120:$M120)</f>
        <v>0</v>
      </c>
      <c r="AD120" s="63">
        <f>IF(SUM(данные!$N120:$R120)&gt;данные!$AF120,данные!$AF120*0.9*1.058,SUM(данные!$N120:$R120))</f>
        <v>0</v>
      </c>
      <c r="AE120" s="63">
        <f>SUM(данные!$S120:$W120)</f>
        <v>0</v>
      </c>
      <c r="AF120" s="63">
        <f>SUM(данные!$X120:$AB120)</f>
        <v>0</v>
      </c>
      <c r="AG120" s="63">
        <f>IF($B$4="в текущих ценах",S120*SUMPRODUCT(($B$2=Таблица2[Филиал])*($B$3=Таблица2[ФЕР/ТЕР])*(F120=Таблица2[Наименование работ])*(G120=Таблица2[ТПиР/НСиР])*Таблица2[ПИР2012]),S120*SUMPRODUCT(($B$2=Таблица2[Филиал])*($B$3=Таблица2[ФЕР/ТЕР])*(F120=Таблица2[Наименование работ])*(G120=Таблица2[ТПиР/НСиР])*Таблица2[ПИР2012]))</f>
        <v>0</v>
      </c>
      <c r="AH120" s="63">
        <f>IF($B$4="в текущих ценах",T120*SUMPRODUCT(($B$2=Таблица2[Филиал])*($B$3=Таблица2[ФЕР/ТЕР])*(F120=Таблица2[Наименование работ])*(G120=Таблица2[ТПиР/НСиР])*Таблица2[СМР2012]),T120*SUMPRODUCT(($B$2=Таблица2[Филиал])*($B$3=Таблица2[ФЕР/ТЕР])*(F120=Таблица2[Наименование работ])*(G120=Таблица2[ТПиР/НСиР])*Таблица2[СМР2012]))</f>
        <v>0</v>
      </c>
      <c r="AI120" s="63">
        <f>IF($B$4="в текущих ценах",U120*SUMPRODUCT(($B$2=Таблица2[Филиал])*($B$3=Таблица2[ФЕР/ТЕР])*(F120=Таблица2[Наименование работ])*(G120=Таблица2[ТПиР/НСиР])*Таблица2[ПНР2012]),U120*SUMPRODUCT(($B$2=Таблица2[Филиал])*($B$3=Таблица2[ФЕР/ТЕР])*(F120=Таблица2[Наименование работ])*(G120=Таблица2[ТПиР/НСиР])*Таблица2[ПНР2012]))</f>
        <v>0</v>
      </c>
      <c r="AJ120" s="63">
        <f>IF($B$4="в текущих ценах",V120*SUMPRODUCT(($B$2=Таблица2[Филиал])*($B$3=Таблица2[ФЕР/ТЕР])*(F120=Таблица2[Наименование работ])*(G120=Таблица2[ТПиР/НСиР])*Таблица2[Оборудование2012]),V120*SUMPRODUCT(($B$2=Таблица2[Филиал])*($B$3=Таблица2[ФЕР/ТЕР])*(F120=Таблица2[Наименование работ])*(G120=Таблица2[ТПиР/НСиР])*Таблица2[Оборудование2012]))</f>
        <v>0</v>
      </c>
      <c r="AK120" s="63">
        <f>IF($B$4="в текущих ценах",W120*SUMPRODUCT(($B$2=Таблица2[Филиал])*($B$3=Таблица2[ФЕР/ТЕР])*(F120=Таблица2[Наименование работ])*(G120=Таблица2[ТПиР/НСиР])*Таблица2[Прочее2012]),W120*SUMPRODUCT(($B$2=Таблица2[Филиал])*($B$3=Таблица2[ФЕР/ТЕР])*(F120=Таблица2[Наименование работ])*(G120=Таблица2[ТПиР/НСиР])*Таблица2[Прочее2012]))</f>
        <v>0</v>
      </c>
      <c r="AL120" s="63">
        <f>данные!$X120+данные!$Y120+данные!$Z120+данные!$AA120+данные!$AB120</f>
        <v>0</v>
      </c>
      <c r="AM120" s="63">
        <v>1.03639035</v>
      </c>
      <c r="AN120" s="63">
        <v>1.0114049394</v>
      </c>
      <c r="AO120" s="63">
        <v>0.98210394336149998</v>
      </c>
      <c r="AP120" s="63">
        <v>0.93762413895893393</v>
      </c>
      <c r="AQ120" s="63"/>
      <c r="AR120" s="63"/>
      <c r="AS120" s="64"/>
      <c r="AU120" s="66">
        <f t="shared" si="6"/>
        <v>0</v>
      </c>
      <c r="AX120" s="66">
        <f t="shared" si="7"/>
        <v>0</v>
      </c>
      <c r="AY120" s="66">
        <f t="shared" si="8"/>
        <v>0</v>
      </c>
      <c r="AZ120" s="66">
        <f t="shared" si="9"/>
        <v>0</v>
      </c>
      <c r="BA120" s="66">
        <f t="shared" si="10"/>
        <v>0</v>
      </c>
      <c r="BB120" s="66">
        <f t="shared" si="11"/>
        <v>0</v>
      </c>
    </row>
    <row r="121" spans="4:54" x14ac:dyDescent="0.25">
      <c r="D121" s="62">
        <f>калькулятор!C126</f>
        <v>0</v>
      </c>
      <c r="E121" s="62">
        <f>калькулятор!F126</f>
        <v>0</v>
      </c>
      <c r="F121" s="62">
        <f>калькулятор!G126</f>
        <v>0</v>
      </c>
      <c r="G121" s="62">
        <f>калькулятор!H126</f>
        <v>0</v>
      </c>
      <c r="H121" s="62">
        <f>калькулятор!I126</f>
        <v>0</v>
      </c>
      <c r="I121" s="63">
        <f>S121*SUMPRODUCT(($B$2=Таблица2[Филиал])*($B$3=Таблица2[ФЕР/ТЕР])*(F121=Таблица2[Наименование работ])*(G121=Таблица2[ТПиР/НСиР])*Таблица2[ПИР2010])</f>
        <v>0</v>
      </c>
      <c r="J121" s="63">
        <f>T121*SUMPRODUCT(($B$2=Таблица2[Филиал])*($B$3=Таблица2[ФЕР/ТЕР])*(F121=Таблица2[Наименование работ])*(G121=Таблица2[ТПиР/НСиР])*Таблица2[СМР2010])</f>
        <v>0</v>
      </c>
      <c r="K121" s="63">
        <f>U121*SUMPRODUCT(($B$2=Таблица2[Филиал])*($B$3=Таблица2[ФЕР/ТЕР])*(F121=Таблица2[Наименование работ])*(G121=Таблица2[ТПиР/НСиР])*Таблица2[ПНР2010])</f>
        <v>0</v>
      </c>
      <c r="L121" s="63">
        <f>V121*SUMPRODUCT(($B$2=Таблица2[Филиал])*($B$3=Таблица2[ФЕР/ТЕР])*(F121=Таблица2[Наименование работ])*(G121=Таблица2[ТПиР/НСиР])*Таблица2[Оборудование2010])</f>
        <v>0</v>
      </c>
      <c r="M121" s="63">
        <f>W121*SUMPRODUCT(($B$2=Таблица2[Филиал])*($B$3=Таблица2[ФЕР/ТЕР])*(F121=Таблица2[Наименование работ])*(G121=Таблица2[ТПиР/НСиР])*Таблица2[Прочие2010])</f>
        <v>0</v>
      </c>
      <c r="N121" s="63">
        <f>S121*SUMPRODUCT(($B$2=Таблица2[Филиал])*($B$3=Таблица2[ФЕР/ТЕР])*(F121=Таблица2[Наименование работ])*(G121=Таблица2[ТПиР/НСиР])*Таблица2[ПИР2013-10])</f>
        <v>0</v>
      </c>
      <c r="O121" s="63">
        <f>T121*SUMPRODUCT(($B$2=Таблица2[Филиал])*($B$3=Таблица2[ФЕР/ТЕР])*(F121=Таблица2[Наименование работ])*(G121=Таблица2[ТПиР/НСиР])*Таблица2[СМР2013-10])</f>
        <v>0</v>
      </c>
      <c r="P121" s="63">
        <f>U121*SUMPRODUCT(($B$2=Таблица2[Филиал])*($B$3=Таблица2[ФЕР/ТЕР])*(F121=Таблица2[Наименование работ])*(G121=Таблица2[ТПиР/НСиР])*Таблица2[ПНР2013-10])</f>
        <v>0</v>
      </c>
      <c r="Q121" s="63">
        <f>V121*SUMPRODUCT(($B$2=Таблица2[Филиал])*($B$3=Таблица2[ФЕР/ТЕР])*(F121=Таблица2[Наименование работ])*(G121=Таблица2[ТПиР/НСиР])*Таблица2[Оборудование2013-10])</f>
        <v>0</v>
      </c>
      <c r="R121" s="63">
        <f>W121*SUMPRODUCT(($B$2=Таблица2[Филиал])*($B$3=Таблица2[ФЕР/ТЕР])*(F121=Таблица2[Наименование работ])*(G121=Таблица2[ТПиР/НСиР])*Таблица2[Прочие2013-10])</f>
        <v>0</v>
      </c>
      <c r="S121" s="63">
        <f>IF($B$4="в базовых ценах",калькулятор!J126,X121*SUMPRODUCT(($B$2=Таблица2[Филиал])*($B$3=Таблица2[ФЕР/ТЕР])*(F121=Таблица2[Наименование работ])*(G121=Таблица2[ТПиР/НСиР])/Таблица2[ПИР2013]))</f>
        <v>0</v>
      </c>
      <c r="T121" s="63">
        <f>IF($B$4="в базовых ценах",калькулятор!K126,Y121*SUMPRODUCT(($B$2=Таблица2[Филиал])*($B$3=Таблица2[ФЕР/ТЕР])*(F121=Таблица2[Наименование работ])*(G121=Таблица2[ТПиР/НСиР])/Таблица2[СМР2013]))</f>
        <v>0</v>
      </c>
      <c r="U121" s="63">
        <f>IF($B$4="в базовых ценах",калькулятор!L126,Z121*SUMPRODUCT(($B$2=Таблица2[Филиал])*($B$3=Таблица2[ФЕР/ТЕР])*(F121=Таблица2[Наименование работ])*(G121=Таблица2[ТПиР/НСиР])/Таблица2[ПНР2013]))</f>
        <v>0</v>
      </c>
      <c r="V121" s="63">
        <f>IF($B$4="в базовых ценах",калькулятор!M126,AA121*SUMPRODUCT(($B$2=Таблица2[Филиал])*($B$3=Таблица2[ФЕР/ТЕР])*(F121=Таблица2[Наименование работ])*(G121=Таблица2[ТПиР/НСиР])/Таблица2[Оборудование2013]))</f>
        <v>0</v>
      </c>
      <c r="W121" s="63">
        <f>IF($B$4="в базовых ценах",калькулятор!N126,AB121*SUMPRODUCT(($B$2=Таблица2[Филиал])*($B$3=Таблица2[ФЕР/ТЕР])*(F121=Таблица2[Наименование работ])*(G121=Таблица2[ТПиР/НСиР])/Таблица2[Прочие3]))</f>
        <v>0</v>
      </c>
      <c r="X121" s="63">
        <f>IF($B$4="в текущих ценах",калькулятор!J126,S121*SUMPRODUCT(($B$2=Таблица2[Филиал])*($B$3=Таблица2[ФЕР/ТЕР])*(F121=Таблица2[Наименование работ])*(G121=Таблица2[ТПиР/НСиР])*Таблица2[ПИР2013]))</f>
        <v>0</v>
      </c>
      <c r="Y121" s="63">
        <f>IF($B$4="в текущих ценах",калькулятор!K126,T121*SUMPRODUCT(($B$2=Таблица2[Филиал])*($B$3=Таблица2[ФЕР/ТЕР])*(F121=Таблица2[Наименование работ])*(G121=Таблица2[ТПиР/НСиР])*Таблица2[СМР2013]))</f>
        <v>0</v>
      </c>
      <c r="Z121" s="63">
        <f>IF($B$4="в текущих ценах",калькулятор!L126,U121*SUMPRODUCT(($B$2=Таблица2[Филиал])*($B$3=Таблица2[ФЕР/ТЕР])*(F121=Таблица2[Наименование работ])*(G121=Таблица2[ТПиР/НСиР])*Таблица2[ПНР2013]))</f>
        <v>0</v>
      </c>
      <c r="AA121" s="63">
        <f>IF($B$4="в текущих ценах",калькулятор!M126,V121*SUMPRODUCT(($B$2=Таблица2[Филиал])*($B$3=Таблица2[ФЕР/ТЕР])*(F121=Таблица2[Наименование работ])*(G121=Таблица2[ТПиР/НСиР])*Таблица2[Оборудование2013]))</f>
        <v>0</v>
      </c>
      <c r="AB121" s="63">
        <f>IF($B$4="в текущих ценах",калькулятор!N126,W121*SUMPRODUCT(($B$2=Таблица2[Филиал])*($B$3=Таблица2[ФЕР/ТЕР])*(F121=Таблица2[Наименование работ])*(G121=Таблица2[ТПиР/НСиР])*Таблица2[Прочие3]))</f>
        <v>0</v>
      </c>
      <c r="AC121" s="63">
        <f>SUM(данные!$I121:$M121)</f>
        <v>0</v>
      </c>
      <c r="AD121" s="63">
        <f>IF(SUM(данные!$N121:$R121)&gt;данные!$AF121,данные!$AF121*0.9*1.058,SUM(данные!$N121:$R121))</f>
        <v>0</v>
      </c>
      <c r="AE121" s="63">
        <f>SUM(данные!$S121:$W121)</f>
        <v>0</v>
      </c>
      <c r="AF121" s="63">
        <f>SUM(данные!$X121:$AB121)</f>
        <v>0</v>
      </c>
      <c r="AG121" s="63">
        <f>IF($B$4="в текущих ценах",S121*SUMPRODUCT(($B$2=Таблица2[Филиал])*($B$3=Таблица2[ФЕР/ТЕР])*(F121=Таблица2[Наименование работ])*(G121=Таблица2[ТПиР/НСиР])*Таблица2[ПИР2012]),S121*SUMPRODUCT(($B$2=Таблица2[Филиал])*($B$3=Таблица2[ФЕР/ТЕР])*(F121=Таблица2[Наименование работ])*(G121=Таблица2[ТПиР/НСиР])*Таблица2[ПИР2012]))</f>
        <v>0</v>
      </c>
      <c r="AH121" s="63">
        <f>IF($B$4="в текущих ценах",T121*SUMPRODUCT(($B$2=Таблица2[Филиал])*($B$3=Таблица2[ФЕР/ТЕР])*(F121=Таблица2[Наименование работ])*(G121=Таблица2[ТПиР/НСиР])*Таблица2[СМР2012]),T121*SUMPRODUCT(($B$2=Таблица2[Филиал])*($B$3=Таблица2[ФЕР/ТЕР])*(F121=Таблица2[Наименование работ])*(G121=Таблица2[ТПиР/НСиР])*Таблица2[СМР2012]))</f>
        <v>0</v>
      </c>
      <c r="AI121" s="63">
        <f>IF($B$4="в текущих ценах",U121*SUMPRODUCT(($B$2=Таблица2[Филиал])*($B$3=Таблица2[ФЕР/ТЕР])*(F121=Таблица2[Наименование работ])*(G121=Таблица2[ТПиР/НСиР])*Таблица2[ПНР2012]),U121*SUMPRODUCT(($B$2=Таблица2[Филиал])*($B$3=Таблица2[ФЕР/ТЕР])*(F121=Таблица2[Наименование работ])*(G121=Таблица2[ТПиР/НСиР])*Таблица2[ПНР2012]))</f>
        <v>0</v>
      </c>
      <c r="AJ121" s="63">
        <f>IF($B$4="в текущих ценах",V121*SUMPRODUCT(($B$2=Таблица2[Филиал])*($B$3=Таблица2[ФЕР/ТЕР])*(F121=Таблица2[Наименование работ])*(G121=Таблица2[ТПиР/НСиР])*Таблица2[Оборудование2012]),V121*SUMPRODUCT(($B$2=Таблица2[Филиал])*($B$3=Таблица2[ФЕР/ТЕР])*(F121=Таблица2[Наименование работ])*(G121=Таблица2[ТПиР/НСиР])*Таблица2[Оборудование2012]))</f>
        <v>0</v>
      </c>
      <c r="AK121" s="63">
        <f>IF($B$4="в текущих ценах",W121*SUMPRODUCT(($B$2=Таблица2[Филиал])*($B$3=Таблица2[ФЕР/ТЕР])*(F121=Таблица2[Наименование работ])*(G121=Таблица2[ТПиР/НСиР])*Таблица2[Прочее2012]),W121*SUMPRODUCT(($B$2=Таблица2[Филиал])*($B$3=Таблица2[ФЕР/ТЕР])*(F121=Таблица2[Наименование работ])*(G121=Таблица2[ТПиР/НСиР])*Таблица2[Прочее2012]))</f>
        <v>0</v>
      </c>
      <c r="AL121" s="63">
        <f>данные!$X121+данные!$Y121+данные!$Z121+данные!$AA121+данные!$AB121</f>
        <v>0</v>
      </c>
      <c r="AM121" s="63">
        <v>1.03639035</v>
      </c>
      <c r="AN121" s="63">
        <v>1.0114049394</v>
      </c>
      <c r="AO121" s="63">
        <v>0.98210394336149998</v>
      </c>
      <c r="AP121" s="63">
        <v>0.93762413895893393</v>
      </c>
      <c r="AQ121" s="63"/>
      <c r="AR121" s="63"/>
      <c r="AS121" s="64"/>
      <c r="AU121" s="66">
        <f t="shared" si="6"/>
        <v>0</v>
      </c>
      <c r="AX121" s="66">
        <f t="shared" si="7"/>
        <v>0</v>
      </c>
      <c r="AY121" s="66">
        <f t="shared" si="8"/>
        <v>0</v>
      </c>
      <c r="AZ121" s="66">
        <f t="shared" si="9"/>
        <v>0</v>
      </c>
      <c r="BA121" s="66">
        <f t="shared" si="10"/>
        <v>0</v>
      </c>
      <c r="BB121" s="66">
        <f t="shared" si="11"/>
        <v>0</v>
      </c>
    </row>
    <row r="122" spans="4:54" x14ac:dyDescent="0.25">
      <c r="D122" s="62">
        <f>калькулятор!C127</f>
        <v>0</v>
      </c>
      <c r="E122" s="62">
        <f>калькулятор!F127</f>
        <v>0</v>
      </c>
      <c r="F122" s="62">
        <f>калькулятор!G127</f>
        <v>0</v>
      </c>
      <c r="G122" s="62">
        <f>калькулятор!H127</f>
        <v>0</v>
      </c>
      <c r="H122" s="62">
        <f>калькулятор!I127</f>
        <v>0</v>
      </c>
      <c r="I122" s="63">
        <f>S122*SUMPRODUCT(($B$2=Таблица2[Филиал])*($B$3=Таблица2[ФЕР/ТЕР])*(F122=Таблица2[Наименование работ])*(G122=Таблица2[ТПиР/НСиР])*Таблица2[ПИР2010])</f>
        <v>0</v>
      </c>
      <c r="J122" s="63">
        <f>T122*SUMPRODUCT(($B$2=Таблица2[Филиал])*($B$3=Таблица2[ФЕР/ТЕР])*(F122=Таблица2[Наименование работ])*(G122=Таблица2[ТПиР/НСиР])*Таблица2[СМР2010])</f>
        <v>0</v>
      </c>
      <c r="K122" s="63">
        <f>U122*SUMPRODUCT(($B$2=Таблица2[Филиал])*($B$3=Таблица2[ФЕР/ТЕР])*(F122=Таблица2[Наименование работ])*(G122=Таблица2[ТПиР/НСиР])*Таблица2[ПНР2010])</f>
        <v>0</v>
      </c>
      <c r="L122" s="63">
        <f>V122*SUMPRODUCT(($B$2=Таблица2[Филиал])*($B$3=Таблица2[ФЕР/ТЕР])*(F122=Таблица2[Наименование работ])*(G122=Таблица2[ТПиР/НСиР])*Таблица2[Оборудование2010])</f>
        <v>0</v>
      </c>
      <c r="M122" s="63">
        <f>W122*SUMPRODUCT(($B$2=Таблица2[Филиал])*($B$3=Таблица2[ФЕР/ТЕР])*(F122=Таблица2[Наименование работ])*(G122=Таблица2[ТПиР/НСиР])*Таблица2[Прочие2010])</f>
        <v>0</v>
      </c>
      <c r="N122" s="63">
        <f>S122*SUMPRODUCT(($B$2=Таблица2[Филиал])*($B$3=Таблица2[ФЕР/ТЕР])*(F122=Таблица2[Наименование работ])*(G122=Таблица2[ТПиР/НСиР])*Таблица2[ПИР2013-10])</f>
        <v>0</v>
      </c>
      <c r="O122" s="63">
        <f>T122*SUMPRODUCT(($B$2=Таблица2[Филиал])*($B$3=Таблица2[ФЕР/ТЕР])*(F122=Таблица2[Наименование работ])*(G122=Таблица2[ТПиР/НСиР])*Таблица2[СМР2013-10])</f>
        <v>0</v>
      </c>
      <c r="P122" s="63">
        <f>U122*SUMPRODUCT(($B$2=Таблица2[Филиал])*($B$3=Таблица2[ФЕР/ТЕР])*(F122=Таблица2[Наименование работ])*(G122=Таблица2[ТПиР/НСиР])*Таблица2[ПНР2013-10])</f>
        <v>0</v>
      </c>
      <c r="Q122" s="63">
        <f>V122*SUMPRODUCT(($B$2=Таблица2[Филиал])*($B$3=Таблица2[ФЕР/ТЕР])*(F122=Таблица2[Наименование работ])*(G122=Таблица2[ТПиР/НСиР])*Таблица2[Оборудование2013-10])</f>
        <v>0</v>
      </c>
      <c r="R122" s="63">
        <f>W122*SUMPRODUCT(($B$2=Таблица2[Филиал])*($B$3=Таблица2[ФЕР/ТЕР])*(F122=Таблица2[Наименование работ])*(G122=Таблица2[ТПиР/НСиР])*Таблица2[Прочие2013-10])</f>
        <v>0</v>
      </c>
      <c r="S122" s="63">
        <f>IF($B$4="в базовых ценах",калькулятор!J127,X122*SUMPRODUCT(($B$2=Таблица2[Филиал])*($B$3=Таблица2[ФЕР/ТЕР])*(F122=Таблица2[Наименование работ])*(G122=Таблица2[ТПиР/НСиР])/Таблица2[ПИР2013]))</f>
        <v>0</v>
      </c>
      <c r="T122" s="63">
        <f>IF($B$4="в базовых ценах",калькулятор!K127,Y122*SUMPRODUCT(($B$2=Таблица2[Филиал])*($B$3=Таблица2[ФЕР/ТЕР])*(F122=Таблица2[Наименование работ])*(G122=Таблица2[ТПиР/НСиР])/Таблица2[СМР2013]))</f>
        <v>0</v>
      </c>
      <c r="U122" s="63">
        <f>IF($B$4="в базовых ценах",калькулятор!L127,Z122*SUMPRODUCT(($B$2=Таблица2[Филиал])*($B$3=Таблица2[ФЕР/ТЕР])*(F122=Таблица2[Наименование работ])*(G122=Таблица2[ТПиР/НСиР])/Таблица2[ПНР2013]))</f>
        <v>0</v>
      </c>
      <c r="V122" s="63">
        <f>IF($B$4="в базовых ценах",калькулятор!M127,AA122*SUMPRODUCT(($B$2=Таблица2[Филиал])*($B$3=Таблица2[ФЕР/ТЕР])*(F122=Таблица2[Наименование работ])*(G122=Таблица2[ТПиР/НСиР])/Таблица2[Оборудование2013]))</f>
        <v>0</v>
      </c>
      <c r="W122" s="63">
        <f>IF($B$4="в базовых ценах",калькулятор!N127,AB122*SUMPRODUCT(($B$2=Таблица2[Филиал])*($B$3=Таблица2[ФЕР/ТЕР])*(F122=Таблица2[Наименование работ])*(G122=Таблица2[ТПиР/НСиР])/Таблица2[Прочие3]))</f>
        <v>0</v>
      </c>
      <c r="X122" s="63">
        <f>IF($B$4="в текущих ценах",калькулятор!J127,S122*SUMPRODUCT(($B$2=Таблица2[Филиал])*($B$3=Таблица2[ФЕР/ТЕР])*(F122=Таблица2[Наименование работ])*(G122=Таблица2[ТПиР/НСиР])*Таблица2[ПИР2013]))</f>
        <v>0</v>
      </c>
      <c r="Y122" s="63">
        <f>IF($B$4="в текущих ценах",калькулятор!K127,T122*SUMPRODUCT(($B$2=Таблица2[Филиал])*($B$3=Таблица2[ФЕР/ТЕР])*(F122=Таблица2[Наименование работ])*(G122=Таблица2[ТПиР/НСиР])*Таблица2[СМР2013]))</f>
        <v>0</v>
      </c>
      <c r="Z122" s="63">
        <f>IF($B$4="в текущих ценах",калькулятор!L127,U122*SUMPRODUCT(($B$2=Таблица2[Филиал])*($B$3=Таблица2[ФЕР/ТЕР])*(F122=Таблица2[Наименование работ])*(G122=Таблица2[ТПиР/НСиР])*Таблица2[ПНР2013]))</f>
        <v>0</v>
      </c>
      <c r="AA122" s="63">
        <f>IF($B$4="в текущих ценах",калькулятор!M127,V122*SUMPRODUCT(($B$2=Таблица2[Филиал])*($B$3=Таблица2[ФЕР/ТЕР])*(F122=Таблица2[Наименование работ])*(G122=Таблица2[ТПиР/НСиР])*Таблица2[Оборудование2013]))</f>
        <v>0</v>
      </c>
      <c r="AB122" s="63">
        <f>IF($B$4="в текущих ценах",калькулятор!N127,W122*SUMPRODUCT(($B$2=Таблица2[Филиал])*($B$3=Таблица2[ФЕР/ТЕР])*(F122=Таблица2[Наименование работ])*(G122=Таблица2[ТПиР/НСиР])*Таблица2[Прочие3]))</f>
        <v>0</v>
      </c>
      <c r="AC122" s="63">
        <f>SUM(данные!$I122:$M122)</f>
        <v>0</v>
      </c>
      <c r="AD122" s="63">
        <f>IF(SUM(данные!$N122:$R122)&gt;данные!$AF122,данные!$AF122*0.9*1.058,SUM(данные!$N122:$R122))</f>
        <v>0</v>
      </c>
      <c r="AE122" s="63">
        <f>SUM(данные!$S122:$W122)</f>
        <v>0</v>
      </c>
      <c r="AF122" s="63">
        <f>SUM(данные!$X122:$AB122)</f>
        <v>0</v>
      </c>
      <c r="AG122" s="63">
        <f>IF($B$4="в текущих ценах",S122*SUMPRODUCT(($B$2=Таблица2[Филиал])*($B$3=Таблица2[ФЕР/ТЕР])*(F122=Таблица2[Наименование работ])*(G122=Таблица2[ТПиР/НСиР])*Таблица2[ПИР2012]),S122*SUMPRODUCT(($B$2=Таблица2[Филиал])*($B$3=Таблица2[ФЕР/ТЕР])*(F122=Таблица2[Наименование работ])*(G122=Таблица2[ТПиР/НСиР])*Таблица2[ПИР2012]))</f>
        <v>0</v>
      </c>
      <c r="AH122" s="63">
        <f>IF($B$4="в текущих ценах",T122*SUMPRODUCT(($B$2=Таблица2[Филиал])*($B$3=Таблица2[ФЕР/ТЕР])*(F122=Таблица2[Наименование работ])*(G122=Таблица2[ТПиР/НСиР])*Таблица2[СМР2012]),T122*SUMPRODUCT(($B$2=Таблица2[Филиал])*($B$3=Таблица2[ФЕР/ТЕР])*(F122=Таблица2[Наименование работ])*(G122=Таблица2[ТПиР/НСиР])*Таблица2[СМР2012]))</f>
        <v>0</v>
      </c>
      <c r="AI122" s="63">
        <f>IF($B$4="в текущих ценах",U122*SUMPRODUCT(($B$2=Таблица2[Филиал])*($B$3=Таблица2[ФЕР/ТЕР])*(F122=Таблица2[Наименование работ])*(G122=Таблица2[ТПиР/НСиР])*Таблица2[ПНР2012]),U122*SUMPRODUCT(($B$2=Таблица2[Филиал])*($B$3=Таблица2[ФЕР/ТЕР])*(F122=Таблица2[Наименование работ])*(G122=Таблица2[ТПиР/НСиР])*Таблица2[ПНР2012]))</f>
        <v>0</v>
      </c>
      <c r="AJ122" s="63">
        <f>IF($B$4="в текущих ценах",V122*SUMPRODUCT(($B$2=Таблица2[Филиал])*($B$3=Таблица2[ФЕР/ТЕР])*(F122=Таблица2[Наименование работ])*(G122=Таблица2[ТПиР/НСиР])*Таблица2[Оборудование2012]),V122*SUMPRODUCT(($B$2=Таблица2[Филиал])*($B$3=Таблица2[ФЕР/ТЕР])*(F122=Таблица2[Наименование работ])*(G122=Таблица2[ТПиР/НСиР])*Таблица2[Оборудование2012]))</f>
        <v>0</v>
      </c>
      <c r="AK122" s="63">
        <f>IF($B$4="в текущих ценах",W122*SUMPRODUCT(($B$2=Таблица2[Филиал])*($B$3=Таблица2[ФЕР/ТЕР])*(F122=Таблица2[Наименование работ])*(G122=Таблица2[ТПиР/НСиР])*Таблица2[Прочее2012]),W122*SUMPRODUCT(($B$2=Таблица2[Филиал])*($B$3=Таблица2[ФЕР/ТЕР])*(F122=Таблица2[Наименование работ])*(G122=Таблица2[ТПиР/НСиР])*Таблица2[Прочее2012]))</f>
        <v>0</v>
      </c>
      <c r="AL122" s="63">
        <f>данные!$X122+данные!$Y122+данные!$Z122+данные!$AA122+данные!$AB122</f>
        <v>0</v>
      </c>
      <c r="AM122" s="63">
        <v>1.03639035</v>
      </c>
      <c r="AN122" s="63">
        <v>1.0114049394</v>
      </c>
      <c r="AO122" s="63">
        <v>0.98210394336149998</v>
      </c>
      <c r="AP122" s="63">
        <v>0.93762413895893393</v>
      </c>
      <c r="AQ122" s="63"/>
      <c r="AR122" s="63"/>
      <c r="AS122" s="64"/>
      <c r="AU122" s="66">
        <f t="shared" si="6"/>
        <v>0</v>
      </c>
      <c r="AX122" s="66">
        <f t="shared" si="7"/>
        <v>0</v>
      </c>
      <c r="AY122" s="66">
        <f t="shared" si="8"/>
        <v>0</v>
      </c>
      <c r="AZ122" s="66">
        <f t="shared" si="9"/>
        <v>0</v>
      </c>
      <c r="BA122" s="66">
        <f t="shared" si="10"/>
        <v>0</v>
      </c>
      <c r="BB122" s="66">
        <f t="shared" si="11"/>
        <v>0</v>
      </c>
    </row>
    <row r="123" spans="4:54" x14ac:dyDescent="0.25">
      <c r="D123" s="62">
        <f>калькулятор!C128</f>
        <v>0</v>
      </c>
      <c r="E123" s="62">
        <f>калькулятор!F128</f>
        <v>0</v>
      </c>
      <c r="F123" s="62">
        <f>калькулятор!G128</f>
        <v>0</v>
      </c>
      <c r="G123" s="62">
        <f>калькулятор!H128</f>
        <v>0</v>
      </c>
      <c r="H123" s="62">
        <f>калькулятор!I128</f>
        <v>0</v>
      </c>
      <c r="I123" s="63">
        <f>S123*SUMPRODUCT(($B$2=Таблица2[Филиал])*($B$3=Таблица2[ФЕР/ТЕР])*(F123=Таблица2[Наименование работ])*(G123=Таблица2[ТПиР/НСиР])*Таблица2[ПИР2010])</f>
        <v>0</v>
      </c>
      <c r="J123" s="63">
        <f>T123*SUMPRODUCT(($B$2=Таблица2[Филиал])*($B$3=Таблица2[ФЕР/ТЕР])*(F123=Таблица2[Наименование работ])*(G123=Таблица2[ТПиР/НСиР])*Таблица2[СМР2010])</f>
        <v>0</v>
      </c>
      <c r="K123" s="63">
        <f>U123*SUMPRODUCT(($B$2=Таблица2[Филиал])*($B$3=Таблица2[ФЕР/ТЕР])*(F123=Таблица2[Наименование работ])*(G123=Таблица2[ТПиР/НСиР])*Таблица2[ПНР2010])</f>
        <v>0</v>
      </c>
      <c r="L123" s="63">
        <f>V123*SUMPRODUCT(($B$2=Таблица2[Филиал])*($B$3=Таблица2[ФЕР/ТЕР])*(F123=Таблица2[Наименование работ])*(G123=Таблица2[ТПиР/НСиР])*Таблица2[Оборудование2010])</f>
        <v>0</v>
      </c>
      <c r="M123" s="63">
        <f>W123*SUMPRODUCT(($B$2=Таблица2[Филиал])*($B$3=Таблица2[ФЕР/ТЕР])*(F123=Таблица2[Наименование работ])*(G123=Таблица2[ТПиР/НСиР])*Таблица2[Прочие2010])</f>
        <v>0</v>
      </c>
      <c r="N123" s="63">
        <f>S123*SUMPRODUCT(($B$2=Таблица2[Филиал])*($B$3=Таблица2[ФЕР/ТЕР])*(F123=Таблица2[Наименование работ])*(G123=Таблица2[ТПиР/НСиР])*Таблица2[ПИР2013-10])</f>
        <v>0</v>
      </c>
      <c r="O123" s="63">
        <f>T123*SUMPRODUCT(($B$2=Таблица2[Филиал])*($B$3=Таблица2[ФЕР/ТЕР])*(F123=Таблица2[Наименование работ])*(G123=Таблица2[ТПиР/НСиР])*Таблица2[СМР2013-10])</f>
        <v>0</v>
      </c>
      <c r="P123" s="63">
        <f>U123*SUMPRODUCT(($B$2=Таблица2[Филиал])*($B$3=Таблица2[ФЕР/ТЕР])*(F123=Таблица2[Наименование работ])*(G123=Таблица2[ТПиР/НСиР])*Таблица2[ПНР2013-10])</f>
        <v>0</v>
      </c>
      <c r="Q123" s="63">
        <f>V123*SUMPRODUCT(($B$2=Таблица2[Филиал])*($B$3=Таблица2[ФЕР/ТЕР])*(F123=Таблица2[Наименование работ])*(G123=Таблица2[ТПиР/НСиР])*Таблица2[Оборудование2013-10])</f>
        <v>0</v>
      </c>
      <c r="R123" s="63">
        <f>W123*SUMPRODUCT(($B$2=Таблица2[Филиал])*($B$3=Таблица2[ФЕР/ТЕР])*(F123=Таблица2[Наименование работ])*(G123=Таблица2[ТПиР/НСиР])*Таблица2[Прочие2013-10])</f>
        <v>0</v>
      </c>
      <c r="S123" s="63">
        <f>IF($B$4="в базовых ценах",калькулятор!J128,X123*SUMPRODUCT(($B$2=Таблица2[Филиал])*($B$3=Таблица2[ФЕР/ТЕР])*(F123=Таблица2[Наименование работ])*(G123=Таблица2[ТПиР/НСиР])/Таблица2[ПИР2013]))</f>
        <v>0</v>
      </c>
      <c r="T123" s="63">
        <f>IF($B$4="в базовых ценах",калькулятор!K128,Y123*SUMPRODUCT(($B$2=Таблица2[Филиал])*($B$3=Таблица2[ФЕР/ТЕР])*(F123=Таблица2[Наименование работ])*(G123=Таблица2[ТПиР/НСиР])/Таблица2[СМР2013]))</f>
        <v>0</v>
      </c>
      <c r="U123" s="63">
        <f>IF($B$4="в базовых ценах",калькулятор!L128,Z123*SUMPRODUCT(($B$2=Таблица2[Филиал])*($B$3=Таблица2[ФЕР/ТЕР])*(F123=Таблица2[Наименование работ])*(G123=Таблица2[ТПиР/НСиР])/Таблица2[ПНР2013]))</f>
        <v>0</v>
      </c>
      <c r="V123" s="63">
        <f>IF($B$4="в базовых ценах",калькулятор!M128,AA123*SUMPRODUCT(($B$2=Таблица2[Филиал])*($B$3=Таблица2[ФЕР/ТЕР])*(F123=Таблица2[Наименование работ])*(G123=Таблица2[ТПиР/НСиР])/Таблица2[Оборудование2013]))</f>
        <v>0</v>
      </c>
      <c r="W123" s="63">
        <f>IF($B$4="в базовых ценах",калькулятор!N128,AB123*SUMPRODUCT(($B$2=Таблица2[Филиал])*($B$3=Таблица2[ФЕР/ТЕР])*(F123=Таблица2[Наименование работ])*(G123=Таблица2[ТПиР/НСиР])/Таблица2[Прочие3]))</f>
        <v>0</v>
      </c>
      <c r="X123" s="63">
        <f>IF($B$4="в текущих ценах",калькулятор!J128,S123*SUMPRODUCT(($B$2=Таблица2[Филиал])*($B$3=Таблица2[ФЕР/ТЕР])*(F123=Таблица2[Наименование работ])*(G123=Таблица2[ТПиР/НСиР])*Таблица2[ПИР2013]))</f>
        <v>0</v>
      </c>
      <c r="Y123" s="63">
        <f>IF($B$4="в текущих ценах",калькулятор!K128,T123*SUMPRODUCT(($B$2=Таблица2[Филиал])*($B$3=Таблица2[ФЕР/ТЕР])*(F123=Таблица2[Наименование работ])*(G123=Таблица2[ТПиР/НСиР])*Таблица2[СМР2013]))</f>
        <v>0</v>
      </c>
      <c r="Z123" s="63">
        <f>IF($B$4="в текущих ценах",калькулятор!L128,U123*SUMPRODUCT(($B$2=Таблица2[Филиал])*($B$3=Таблица2[ФЕР/ТЕР])*(F123=Таблица2[Наименование работ])*(G123=Таблица2[ТПиР/НСиР])*Таблица2[ПНР2013]))</f>
        <v>0</v>
      </c>
      <c r="AA123" s="63">
        <f>IF($B$4="в текущих ценах",калькулятор!M128,V123*SUMPRODUCT(($B$2=Таблица2[Филиал])*($B$3=Таблица2[ФЕР/ТЕР])*(F123=Таблица2[Наименование работ])*(G123=Таблица2[ТПиР/НСиР])*Таблица2[Оборудование2013]))</f>
        <v>0</v>
      </c>
      <c r="AB123" s="63">
        <f>IF($B$4="в текущих ценах",калькулятор!N128,W123*SUMPRODUCT(($B$2=Таблица2[Филиал])*($B$3=Таблица2[ФЕР/ТЕР])*(F123=Таблица2[Наименование работ])*(G123=Таблица2[ТПиР/НСиР])*Таблица2[Прочие3]))</f>
        <v>0</v>
      </c>
      <c r="AC123" s="63">
        <f>SUM(данные!$I123:$M123)</f>
        <v>0</v>
      </c>
      <c r="AD123" s="63">
        <f>IF(SUM(данные!$N123:$R123)&gt;данные!$AF123,данные!$AF123*0.9*1.058,SUM(данные!$N123:$R123))</f>
        <v>0</v>
      </c>
      <c r="AE123" s="63">
        <f>SUM(данные!$S123:$W123)</f>
        <v>0</v>
      </c>
      <c r="AF123" s="63">
        <f>SUM(данные!$X123:$AB123)</f>
        <v>0</v>
      </c>
      <c r="AG123" s="63">
        <f>IF($B$4="в текущих ценах",S123*SUMPRODUCT(($B$2=Таблица2[Филиал])*($B$3=Таблица2[ФЕР/ТЕР])*(F123=Таблица2[Наименование работ])*(G123=Таблица2[ТПиР/НСиР])*Таблица2[ПИР2012]),S123*SUMPRODUCT(($B$2=Таблица2[Филиал])*($B$3=Таблица2[ФЕР/ТЕР])*(F123=Таблица2[Наименование работ])*(G123=Таблица2[ТПиР/НСиР])*Таблица2[ПИР2012]))</f>
        <v>0</v>
      </c>
      <c r="AH123" s="63">
        <f>IF($B$4="в текущих ценах",T123*SUMPRODUCT(($B$2=Таблица2[Филиал])*($B$3=Таблица2[ФЕР/ТЕР])*(F123=Таблица2[Наименование работ])*(G123=Таблица2[ТПиР/НСиР])*Таблица2[СМР2012]),T123*SUMPRODUCT(($B$2=Таблица2[Филиал])*($B$3=Таблица2[ФЕР/ТЕР])*(F123=Таблица2[Наименование работ])*(G123=Таблица2[ТПиР/НСиР])*Таблица2[СМР2012]))</f>
        <v>0</v>
      </c>
      <c r="AI123" s="63">
        <f>IF($B$4="в текущих ценах",U123*SUMPRODUCT(($B$2=Таблица2[Филиал])*($B$3=Таблица2[ФЕР/ТЕР])*(F123=Таблица2[Наименование работ])*(G123=Таблица2[ТПиР/НСиР])*Таблица2[ПНР2012]),U123*SUMPRODUCT(($B$2=Таблица2[Филиал])*($B$3=Таблица2[ФЕР/ТЕР])*(F123=Таблица2[Наименование работ])*(G123=Таблица2[ТПиР/НСиР])*Таблица2[ПНР2012]))</f>
        <v>0</v>
      </c>
      <c r="AJ123" s="63">
        <f>IF($B$4="в текущих ценах",V123*SUMPRODUCT(($B$2=Таблица2[Филиал])*($B$3=Таблица2[ФЕР/ТЕР])*(F123=Таблица2[Наименование работ])*(G123=Таблица2[ТПиР/НСиР])*Таблица2[Оборудование2012]),V123*SUMPRODUCT(($B$2=Таблица2[Филиал])*($B$3=Таблица2[ФЕР/ТЕР])*(F123=Таблица2[Наименование работ])*(G123=Таблица2[ТПиР/НСиР])*Таблица2[Оборудование2012]))</f>
        <v>0</v>
      </c>
      <c r="AK123" s="63">
        <f>IF($B$4="в текущих ценах",W123*SUMPRODUCT(($B$2=Таблица2[Филиал])*($B$3=Таблица2[ФЕР/ТЕР])*(F123=Таблица2[Наименование работ])*(G123=Таблица2[ТПиР/НСиР])*Таблица2[Прочее2012]),W123*SUMPRODUCT(($B$2=Таблица2[Филиал])*($B$3=Таблица2[ФЕР/ТЕР])*(F123=Таблица2[Наименование работ])*(G123=Таблица2[ТПиР/НСиР])*Таблица2[Прочее2012]))</f>
        <v>0</v>
      </c>
      <c r="AL123" s="63">
        <f>данные!$X123+данные!$Y123+данные!$Z123+данные!$AA123+данные!$AB123</f>
        <v>0</v>
      </c>
      <c r="AM123" s="63">
        <v>1.03639035</v>
      </c>
      <c r="AN123" s="63">
        <v>1.0114049394</v>
      </c>
      <c r="AO123" s="63">
        <v>0.98210394336149998</v>
      </c>
      <c r="AP123" s="63">
        <v>0.93762413895893393</v>
      </c>
      <c r="AQ123" s="63"/>
      <c r="AR123" s="63"/>
      <c r="AS123" s="64"/>
      <c r="AU123" s="66">
        <f t="shared" si="6"/>
        <v>0</v>
      </c>
      <c r="AX123" s="66">
        <f t="shared" si="7"/>
        <v>0</v>
      </c>
      <c r="AY123" s="66">
        <f t="shared" si="8"/>
        <v>0</v>
      </c>
      <c r="AZ123" s="66">
        <f t="shared" si="9"/>
        <v>0</v>
      </c>
      <c r="BA123" s="66">
        <f t="shared" si="10"/>
        <v>0</v>
      </c>
      <c r="BB123" s="66">
        <f t="shared" si="11"/>
        <v>0</v>
      </c>
    </row>
    <row r="124" spans="4:54" x14ac:dyDescent="0.25">
      <c r="D124" s="62">
        <f>калькулятор!C129</f>
        <v>0</v>
      </c>
      <c r="E124" s="62">
        <f>калькулятор!F129</f>
        <v>0</v>
      </c>
      <c r="F124" s="62">
        <f>калькулятор!G129</f>
        <v>0</v>
      </c>
      <c r="G124" s="62">
        <f>калькулятор!H129</f>
        <v>0</v>
      </c>
      <c r="H124" s="62">
        <f>калькулятор!I129</f>
        <v>0</v>
      </c>
      <c r="I124" s="63">
        <f>S124*SUMPRODUCT(($B$2=Таблица2[Филиал])*($B$3=Таблица2[ФЕР/ТЕР])*(F124=Таблица2[Наименование работ])*(G124=Таблица2[ТПиР/НСиР])*Таблица2[ПИР2010])</f>
        <v>0</v>
      </c>
      <c r="J124" s="63">
        <f>T124*SUMPRODUCT(($B$2=Таблица2[Филиал])*($B$3=Таблица2[ФЕР/ТЕР])*(F124=Таблица2[Наименование работ])*(G124=Таблица2[ТПиР/НСиР])*Таблица2[СМР2010])</f>
        <v>0</v>
      </c>
      <c r="K124" s="63">
        <f>U124*SUMPRODUCT(($B$2=Таблица2[Филиал])*($B$3=Таблица2[ФЕР/ТЕР])*(F124=Таблица2[Наименование работ])*(G124=Таблица2[ТПиР/НСиР])*Таблица2[ПНР2010])</f>
        <v>0</v>
      </c>
      <c r="L124" s="63">
        <f>V124*SUMPRODUCT(($B$2=Таблица2[Филиал])*($B$3=Таблица2[ФЕР/ТЕР])*(F124=Таблица2[Наименование работ])*(G124=Таблица2[ТПиР/НСиР])*Таблица2[Оборудование2010])</f>
        <v>0</v>
      </c>
      <c r="M124" s="63">
        <f>W124*SUMPRODUCT(($B$2=Таблица2[Филиал])*($B$3=Таблица2[ФЕР/ТЕР])*(F124=Таблица2[Наименование работ])*(G124=Таблица2[ТПиР/НСиР])*Таблица2[Прочие2010])</f>
        <v>0</v>
      </c>
      <c r="N124" s="63">
        <f>S124*SUMPRODUCT(($B$2=Таблица2[Филиал])*($B$3=Таблица2[ФЕР/ТЕР])*(F124=Таблица2[Наименование работ])*(G124=Таблица2[ТПиР/НСиР])*Таблица2[ПИР2013-10])</f>
        <v>0</v>
      </c>
      <c r="O124" s="63">
        <f>T124*SUMPRODUCT(($B$2=Таблица2[Филиал])*($B$3=Таблица2[ФЕР/ТЕР])*(F124=Таблица2[Наименование работ])*(G124=Таблица2[ТПиР/НСиР])*Таблица2[СМР2013-10])</f>
        <v>0</v>
      </c>
      <c r="P124" s="63">
        <f>U124*SUMPRODUCT(($B$2=Таблица2[Филиал])*($B$3=Таблица2[ФЕР/ТЕР])*(F124=Таблица2[Наименование работ])*(G124=Таблица2[ТПиР/НСиР])*Таблица2[ПНР2013-10])</f>
        <v>0</v>
      </c>
      <c r="Q124" s="63">
        <f>V124*SUMPRODUCT(($B$2=Таблица2[Филиал])*($B$3=Таблица2[ФЕР/ТЕР])*(F124=Таблица2[Наименование работ])*(G124=Таблица2[ТПиР/НСиР])*Таблица2[Оборудование2013-10])</f>
        <v>0</v>
      </c>
      <c r="R124" s="63">
        <f>W124*SUMPRODUCT(($B$2=Таблица2[Филиал])*($B$3=Таблица2[ФЕР/ТЕР])*(F124=Таблица2[Наименование работ])*(G124=Таблица2[ТПиР/НСиР])*Таблица2[Прочие2013-10])</f>
        <v>0</v>
      </c>
      <c r="S124" s="63">
        <f>IF($B$4="в базовых ценах",калькулятор!J129,X124*SUMPRODUCT(($B$2=Таблица2[Филиал])*($B$3=Таблица2[ФЕР/ТЕР])*(F124=Таблица2[Наименование работ])*(G124=Таблица2[ТПиР/НСиР])/Таблица2[ПИР2013]))</f>
        <v>0</v>
      </c>
      <c r="T124" s="63">
        <f>IF($B$4="в базовых ценах",калькулятор!K129,Y124*SUMPRODUCT(($B$2=Таблица2[Филиал])*($B$3=Таблица2[ФЕР/ТЕР])*(F124=Таблица2[Наименование работ])*(G124=Таблица2[ТПиР/НСиР])/Таблица2[СМР2013]))</f>
        <v>0</v>
      </c>
      <c r="U124" s="63">
        <f>IF($B$4="в базовых ценах",калькулятор!L129,Z124*SUMPRODUCT(($B$2=Таблица2[Филиал])*($B$3=Таблица2[ФЕР/ТЕР])*(F124=Таблица2[Наименование работ])*(G124=Таблица2[ТПиР/НСиР])/Таблица2[ПНР2013]))</f>
        <v>0</v>
      </c>
      <c r="V124" s="63">
        <f>IF($B$4="в базовых ценах",калькулятор!M129,AA124*SUMPRODUCT(($B$2=Таблица2[Филиал])*($B$3=Таблица2[ФЕР/ТЕР])*(F124=Таблица2[Наименование работ])*(G124=Таблица2[ТПиР/НСиР])/Таблица2[Оборудование2013]))</f>
        <v>0</v>
      </c>
      <c r="W124" s="63">
        <f>IF($B$4="в базовых ценах",калькулятор!N129,AB124*SUMPRODUCT(($B$2=Таблица2[Филиал])*($B$3=Таблица2[ФЕР/ТЕР])*(F124=Таблица2[Наименование работ])*(G124=Таблица2[ТПиР/НСиР])/Таблица2[Прочие3]))</f>
        <v>0</v>
      </c>
      <c r="X124" s="63">
        <f>IF($B$4="в текущих ценах",калькулятор!J129,S124*SUMPRODUCT(($B$2=Таблица2[Филиал])*($B$3=Таблица2[ФЕР/ТЕР])*(F124=Таблица2[Наименование работ])*(G124=Таблица2[ТПиР/НСиР])*Таблица2[ПИР2013]))</f>
        <v>0</v>
      </c>
      <c r="Y124" s="63">
        <f>IF($B$4="в текущих ценах",калькулятор!K129,T124*SUMPRODUCT(($B$2=Таблица2[Филиал])*($B$3=Таблица2[ФЕР/ТЕР])*(F124=Таблица2[Наименование работ])*(G124=Таблица2[ТПиР/НСиР])*Таблица2[СМР2013]))</f>
        <v>0</v>
      </c>
      <c r="Z124" s="63">
        <f>IF($B$4="в текущих ценах",калькулятор!L129,U124*SUMPRODUCT(($B$2=Таблица2[Филиал])*($B$3=Таблица2[ФЕР/ТЕР])*(F124=Таблица2[Наименование работ])*(G124=Таблица2[ТПиР/НСиР])*Таблица2[ПНР2013]))</f>
        <v>0</v>
      </c>
      <c r="AA124" s="63">
        <f>IF($B$4="в текущих ценах",калькулятор!M129,V124*SUMPRODUCT(($B$2=Таблица2[Филиал])*($B$3=Таблица2[ФЕР/ТЕР])*(F124=Таблица2[Наименование работ])*(G124=Таблица2[ТПиР/НСиР])*Таблица2[Оборудование2013]))</f>
        <v>0</v>
      </c>
      <c r="AB124" s="63">
        <f>IF($B$4="в текущих ценах",калькулятор!N129,W124*SUMPRODUCT(($B$2=Таблица2[Филиал])*($B$3=Таблица2[ФЕР/ТЕР])*(F124=Таблица2[Наименование работ])*(G124=Таблица2[ТПиР/НСиР])*Таблица2[Прочие3]))</f>
        <v>0</v>
      </c>
      <c r="AC124" s="63">
        <f>SUM(данные!$I124:$M124)</f>
        <v>0</v>
      </c>
      <c r="AD124" s="63">
        <f>IF(SUM(данные!$N124:$R124)&gt;данные!$AF124,данные!$AF124*0.9*1.058,SUM(данные!$N124:$R124))</f>
        <v>0</v>
      </c>
      <c r="AE124" s="63">
        <f>SUM(данные!$S124:$W124)</f>
        <v>0</v>
      </c>
      <c r="AF124" s="63">
        <f>SUM(данные!$X124:$AB124)</f>
        <v>0</v>
      </c>
      <c r="AG124" s="63">
        <f>IF($B$4="в текущих ценах",S124*SUMPRODUCT(($B$2=Таблица2[Филиал])*($B$3=Таблица2[ФЕР/ТЕР])*(F124=Таблица2[Наименование работ])*(G124=Таблица2[ТПиР/НСиР])*Таблица2[ПИР2012]),S124*SUMPRODUCT(($B$2=Таблица2[Филиал])*($B$3=Таблица2[ФЕР/ТЕР])*(F124=Таблица2[Наименование работ])*(G124=Таблица2[ТПиР/НСиР])*Таблица2[ПИР2012]))</f>
        <v>0</v>
      </c>
      <c r="AH124" s="63">
        <f>IF($B$4="в текущих ценах",T124*SUMPRODUCT(($B$2=Таблица2[Филиал])*($B$3=Таблица2[ФЕР/ТЕР])*(F124=Таблица2[Наименование работ])*(G124=Таблица2[ТПиР/НСиР])*Таблица2[СМР2012]),T124*SUMPRODUCT(($B$2=Таблица2[Филиал])*($B$3=Таблица2[ФЕР/ТЕР])*(F124=Таблица2[Наименование работ])*(G124=Таблица2[ТПиР/НСиР])*Таблица2[СМР2012]))</f>
        <v>0</v>
      </c>
      <c r="AI124" s="63">
        <f>IF($B$4="в текущих ценах",U124*SUMPRODUCT(($B$2=Таблица2[Филиал])*($B$3=Таблица2[ФЕР/ТЕР])*(F124=Таблица2[Наименование работ])*(G124=Таблица2[ТПиР/НСиР])*Таблица2[ПНР2012]),U124*SUMPRODUCT(($B$2=Таблица2[Филиал])*($B$3=Таблица2[ФЕР/ТЕР])*(F124=Таблица2[Наименование работ])*(G124=Таблица2[ТПиР/НСиР])*Таблица2[ПНР2012]))</f>
        <v>0</v>
      </c>
      <c r="AJ124" s="63">
        <f>IF($B$4="в текущих ценах",V124*SUMPRODUCT(($B$2=Таблица2[Филиал])*($B$3=Таблица2[ФЕР/ТЕР])*(F124=Таблица2[Наименование работ])*(G124=Таблица2[ТПиР/НСиР])*Таблица2[Оборудование2012]),V124*SUMPRODUCT(($B$2=Таблица2[Филиал])*($B$3=Таблица2[ФЕР/ТЕР])*(F124=Таблица2[Наименование работ])*(G124=Таблица2[ТПиР/НСиР])*Таблица2[Оборудование2012]))</f>
        <v>0</v>
      </c>
      <c r="AK124" s="63">
        <f>IF($B$4="в текущих ценах",W124*SUMPRODUCT(($B$2=Таблица2[Филиал])*($B$3=Таблица2[ФЕР/ТЕР])*(F124=Таблица2[Наименование работ])*(G124=Таблица2[ТПиР/НСиР])*Таблица2[Прочее2012]),W124*SUMPRODUCT(($B$2=Таблица2[Филиал])*($B$3=Таблица2[ФЕР/ТЕР])*(F124=Таблица2[Наименование работ])*(G124=Таблица2[ТПиР/НСиР])*Таблица2[Прочее2012]))</f>
        <v>0</v>
      </c>
      <c r="AL124" s="63">
        <f>данные!$X124+данные!$Y124+данные!$Z124+данные!$AA124+данные!$AB124</f>
        <v>0</v>
      </c>
      <c r="AM124" s="63">
        <v>1.03639035</v>
      </c>
      <c r="AN124" s="63">
        <v>1.0114049394</v>
      </c>
      <c r="AO124" s="63">
        <v>0.98210394336149998</v>
      </c>
      <c r="AP124" s="63">
        <v>0.93762413895893393</v>
      </c>
      <c r="AQ124" s="63"/>
      <c r="AR124" s="63"/>
      <c r="AS124" s="64"/>
      <c r="AU124" s="66">
        <f t="shared" si="6"/>
        <v>0</v>
      </c>
      <c r="AX124" s="66">
        <f t="shared" si="7"/>
        <v>0</v>
      </c>
      <c r="AY124" s="66">
        <f t="shared" si="8"/>
        <v>0</v>
      </c>
      <c r="AZ124" s="66">
        <f t="shared" si="9"/>
        <v>0</v>
      </c>
      <c r="BA124" s="66">
        <f t="shared" si="10"/>
        <v>0</v>
      </c>
      <c r="BB124" s="66">
        <f t="shared" si="11"/>
        <v>0</v>
      </c>
    </row>
    <row r="125" spans="4:54" x14ac:dyDescent="0.25">
      <c r="D125" s="62">
        <f>калькулятор!C130</f>
        <v>0</v>
      </c>
      <c r="E125" s="62">
        <f>калькулятор!F130</f>
        <v>0</v>
      </c>
      <c r="F125" s="62">
        <f>калькулятор!G130</f>
        <v>0</v>
      </c>
      <c r="G125" s="62">
        <f>калькулятор!H130</f>
        <v>0</v>
      </c>
      <c r="H125" s="62">
        <f>калькулятор!I130</f>
        <v>0</v>
      </c>
      <c r="I125" s="63">
        <f>S125*SUMPRODUCT(($B$2=Таблица2[Филиал])*($B$3=Таблица2[ФЕР/ТЕР])*(F125=Таблица2[Наименование работ])*(G125=Таблица2[ТПиР/НСиР])*Таблица2[ПИР2010])</f>
        <v>0</v>
      </c>
      <c r="J125" s="63">
        <f>T125*SUMPRODUCT(($B$2=Таблица2[Филиал])*($B$3=Таблица2[ФЕР/ТЕР])*(F125=Таблица2[Наименование работ])*(G125=Таблица2[ТПиР/НСиР])*Таблица2[СМР2010])</f>
        <v>0</v>
      </c>
      <c r="K125" s="63">
        <f>U125*SUMPRODUCT(($B$2=Таблица2[Филиал])*($B$3=Таблица2[ФЕР/ТЕР])*(F125=Таблица2[Наименование работ])*(G125=Таблица2[ТПиР/НСиР])*Таблица2[ПНР2010])</f>
        <v>0</v>
      </c>
      <c r="L125" s="63">
        <f>V125*SUMPRODUCT(($B$2=Таблица2[Филиал])*($B$3=Таблица2[ФЕР/ТЕР])*(F125=Таблица2[Наименование работ])*(G125=Таблица2[ТПиР/НСиР])*Таблица2[Оборудование2010])</f>
        <v>0</v>
      </c>
      <c r="M125" s="63">
        <f>W125*SUMPRODUCT(($B$2=Таблица2[Филиал])*($B$3=Таблица2[ФЕР/ТЕР])*(F125=Таблица2[Наименование работ])*(G125=Таблица2[ТПиР/НСиР])*Таблица2[Прочие2010])</f>
        <v>0</v>
      </c>
      <c r="N125" s="63">
        <f>S125*SUMPRODUCT(($B$2=Таблица2[Филиал])*($B$3=Таблица2[ФЕР/ТЕР])*(F125=Таблица2[Наименование работ])*(G125=Таблица2[ТПиР/НСиР])*Таблица2[ПИР2013-10])</f>
        <v>0</v>
      </c>
      <c r="O125" s="63">
        <f>T125*SUMPRODUCT(($B$2=Таблица2[Филиал])*($B$3=Таблица2[ФЕР/ТЕР])*(F125=Таблица2[Наименование работ])*(G125=Таблица2[ТПиР/НСиР])*Таблица2[СМР2013-10])</f>
        <v>0</v>
      </c>
      <c r="P125" s="63">
        <f>U125*SUMPRODUCT(($B$2=Таблица2[Филиал])*($B$3=Таблица2[ФЕР/ТЕР])*(F125=Таблица2[Наименование работ])*(G125=Таблица2[ТПиР/НСиР])*Таблица2[ПНР2013-10])</f>
        <v>0</v>
      </c>
      <c r="Q125" s="63">
        <f>V125*SUMPRODUCT(($B$2=Таблица2[Филиал])*($B$3=Таблица2[ФЕР/ТЕР])*(F125=Таблица2[Наименование работ])*(G125=Таблица2[ТПиР/НСиР])*Таблица2[Оборудование2013-10])</f>
        <v>0</v>
      </c>
      <c r="R125" s="63">
        <f>W125*SUMPRODUCT(($B$2=Таблица2[Филиал])*($B$3=Таблица2[ФЕР/ТЕР])*(F125=Таблица2[Наименование работ])*(G125=Таблица2[ТПиР/НСиР])*Таблица2[Прочие2013-10])</f>
        <v>0</v>
      </c>
      <c r="S125" s="63">
        <f>IF($B$4="в базовых ценах",калькулятор!J130,X125*SUMPRODUCT(($B$2=Таблица2[Филиал])*($B$3=Таблица2[ФЕР/ТЕР])*(F125=Таблица2[Наименование работ])*(G125=Таблица2[ТПиР/НСиР])/Таблица2[ПИР2013]))</f>
        <v>0</v>
      </c>
      <c r="T125" s="63">
        <f>IF($B$4="в базовых ценах",калькулятор!K130,Y125*SUMPRODUCT(($B$2=Таблица2[Филиал])*($B$3=Таблица2[ФЕР/ТЕР])*(F125=Таблица2[Наименование работ])*(G125=Таблица2[ТПиР/НСиР])/Таблица2[СМР2013]))</f>
        <v>0</v>
      </c>
      <c r="U125" s="63">
        <f>IF($B$4="в базовых ценах",калькулятор!L130,Z125*SUMPRODUCT(($B$2=Таблица2[Филиал])*($B$3=Таблица2[ФЕР/ТЕР])*(F125=Таблица2[Наименование работ])*(G125=Таблица2[ТПиР/НСиР])/Таблица2[ПНР2013]))</f>
        <v>0</v>
      </c>
      <c r="V125" s="63">
        <f>IF($B$4="в базовых ценах",калькулятор!M130,AA125*SUMPRODUCT(($B$2=Таблица2[Филиал])*($B$3=Таблица2[ФЕР/ТЕР])*(F125=Таблица2[Наименование работ])*(G125=Таблица2[ТПиР/НСиР])/Таблица2[Оборудование2013]))</f>
        <v>0</v>
      </c>
      <c r="W125" s="63">
        <f>IF($B$4="в базовых ценах",калькулятор!N130,AB125*SUMPRODUCT(($B$2=Таблица2[Филиал])*($B$3=Таблица2[ФЕР/ТЕР])*(F125=Таблица2[Наименование работ])*(G125=Таблица2[ТПиР/НСиР])/Таблица2[Прочие3]))</f>
        <v>0</v>
      </c>
      <c r="X125" s="63">
        <f>IF($B$4="в текущих ценах",калькулятор!J130,S125*SUMPRODUCT(($B$2=Таблица2[Филиал])*($B$3=Таблица2[ФЕР/ТЕР])*(F125=Таблица2[Наименование работ])*(G125=Таблица2[ТПиР/НСиР])*Таблица2[ПИР2013]))</f>
        <v>0</v>
      </c>
      <c r="Y125" s="63">
        <f>IF($B$4="в текущих ценах",калькулятор!K130,T125*SUMPRODUCT(($B$2=Таблица2[Филиал])*($B$3=Таблица2[ФЕР/ТЕР])*(F125=Таблица2[Наименование работ])*(G125=Таблица2[ТПиР/НСиР])*Таблица2[СМР2013]))</f>
        <v>0</v>
      </c>
      <c r="Z125" s="63">
        <f>IF($B$4="в текущих ценах",калькулятор!L130,U125*SUMPRODUCT(($B$2=Таблица2[Филиал])*($B$3=Таблица2[ФЕР/ТЕР])*(F125=Таблица2[Наименование работ])*(G125=Таблица2[ТПиР/НСиР])*Таблица2[ПНР2013]))</f>
        <v>0</v>
      </c>
      <c r="AA125" s="63">
        <f>IF($B$4="в текущих ценах",калькулятор!M130,V125*SUMPRODUCT(($B$2=Таблица2[Филиал])*($B$3=Таблица2[ФЕР/ТЕР])*(F125=Таблица2[Наименование работ])*(G125=Таблица2[ТПиР/НСиР])*Таблица2[Оборудование2013]))</f>
        <v>0</v>
      </c>
      <c r="AB125" s="63">
        <f>IF($B$4="в текущих ценах",калькулятор!N130,W125*SUMPRODUCT(($B$2=Таблица2[Филиал])*($B$3=Таблица2[ФЕР/ТЕР])*(F125=Таблица2[Наименование работ])*(G125=Таблица2[ТПиР/НСиР])*Таблица2[Прочие3]))</f>
        <v>0</v>
      </c>
      <c r="AC125" s="63">
        <f>SUM(данные!$I125:$M125)</f>
        <v>0</v>
      </c>
      <c r="AD125" s="63">
        <f>IF(SUM(данные!$N125:$R125)&gt;данные!$AF125,данные!$AF125*0.9*1.058,SUM(данные!$N125:$R125))</f>
        <v>0</v>
      </c>
      <c r="AE125" s="63">
        <f>SUM(данные!$S125:$W125)</f>
        <v>0</v>
      </c>
      <c r="AF125" s="63">
        <f>SUM(данные!$X125:$AB125)</f>
        <v>0</v>
      </c>
      <c r="AG125" s="63">
        <f>IF($B$4="в текущих ценах",S125*SUMPRODUCT(($B$2=Таблица2[Филиал])*($B$3=Таблица2[ФЕР/ТЕР])*(F125=Таблица2[Наименование работ])*(G125=Таблица2[ТПиР/НСиР])*Таблица2[ПИР2012]),S125*SUMPRODUCT(($B$2=Таблица2[Филиал])*($B$3=Таблица2[ФЕР/ТЕР])*(F125=Таблица2[Наименование работ])*(G125=Таблица2[ТПиР/НСиР])*Таблица2[ПИР2012]))</f>
        <v>0</v>
      </c>
      <c r="AH125" s="63">
        <f>IF($B$4="в текущих ценах",T125*SUMPRODUCT(($B$2=Таблица2[Филиал])*($B$3=Таблица2[ФЕР/ТЕР])*(F125=Таблица2[Наименование работ])*(G125=Таблица2[ТПиР/НСиР])*Таблица2[СМР2012]),T125*SUMPRODUCT(($B$2=Таблица2[Филиал])*($B$3=Таблица2[ФЕР/ТЕР])*(F125=Таблица2[Наименование работ])*(G125=Таблица2[ТПиР/НСиР])*Таблица2[СМР2012]))</f>
        <v>0</v>
      </c>
      <c r="AI125" s="63">
        <f>IF($B$4="в текущих ценах",U125*SUMPRODUCT(($B$2=Таблица2[Филиал])*($B$3=Таблица2[ФЕР/ТЕР])*(F125=Таблица2[Наименование работ])*(G125=Таблица2[ТПиР/НСиР])*Таблица2[ПНР2012]),U125*SUMPRODUCT(($B$2=Таблица2[Филиал])*($B$3=Таблица2[ФЕР/ТЕР])*(F125=Таблица2[Наименование работ])*(G125=Таблица2[ТПиР/НСиР])*Таблица2[ПНР2012]))</f>
        <v>0</v>
      </c>
      <c r="AJ125" s="63">
        <f>IF($B$4="в текущих ценах",V125*SUMPRODUCT(($B$2=Таблица2[Филиал])*($B$3=Таблица2[ФЕР/ТЕР])*(F125=Таблица2[Наименование работ])*(G125=Таблица2[ТПиР/НСиР])*Таблица2[Оборудование2012]),V125*SUMPRODUCT(($B$2=Таблица2[Филиал])*($B$3=Таблица2[ФЕР/ТЕР])*(F125=Таблица2[Наименование работ])*(G125=Таблица2[ТПиР/НСиР])*Таблица2[Оборудование2012]))</f>
        <v>0</v>
      </c>
      <c r="AK125" s="63">
        <f>IF($B$4="в текущих ценах",W125*SUMPRODUCT(($B$2=Таблица2[Филиал])*($B$3=Таблица2[ФЕР/ТЕР])*(F125=Таблица2[Наименование работ])*(G125=Таблица2[ТПиР/НСиР])*Таблица2[Прочее2012]),W125*SUMPRODUCT(($B$2=Таблица2[Филиал])*($B$3=Таблица2[ФЕР/ТЕР])*(F125=Таблица2[Наименование работ])*(G125=Таблица2[ТПиР/НСиР])*Таблица2[Прочее2012]))</f>
        <v>0</v>
      </c>
      <c r="AL125" s="63">
        <f>данные!$X125+данные!$Y125+данные!$Z125+данные!$AA125+данные!$AB125</f>
        <v>0</v>
      </c>
      <c r="AM125" s="63">
        <v>1.03639035</v>
      </c>
      <c r="AN125" s="63">
        <v>1.0114049394</v>
      </c>
      <c r="AO125" s="63">
        <v>0.98210394336149998</v>
      </c>
      <c r="AP125" s="63">
        <v>0.93762413895893393</v>
      </c>
      <c r="AQ125" s="63"/>
      <c r="AR125" s="63"/>
      <c r="AS125" s="64"/>
      <c r="AU125" s="66">
        <f t="shared" si="6"/>
        <v>0</v>
      </c>
      <c r="AX125" s="66">
        <f t="shared" si="7"/>
        <v>0</v>
      </c>
      <c r="AY125" s="66">
        <f t="shared" si="8"/>
        <v>0</v>
      </c>
      <c r="AZ125" s="66">
        <f t="shared" si="9"/>
        <v>0</v>
      </c>
      <c r="BA125" s="66">
        <f t="shared" si="10"/>
        <v>0</v>
      </c>
      <c r="BB125" s="66">
        <f t="shared" si="11"/>
        <v>0</v>
      </c>
    </row>
    <row r="126" spans="4:54" x14ac:dyDescent="0.25">
      <c r="D126" s="62">
        <f>калькулятор!C131</f>
        <v>0</v>
      </c>
      <c r="E126" s="62">
        <f>калькулятор!F131</f>
        <v>0</v>
      </c>
      <c r="F126" s="62">
        <f>калькулятор!G131</f>
        <v>0</v>
      </c>
      <c r="G126" s="62">
        <f>калькулятор!H131</f>
        <v>0</v>
      </c>
      <c r="H126" s="62">
        <f>калькулятор!I131</f>
        <v>0</v>
      </c>
      <c r="I126" s="63">
        <f>S126*SUMPRODUCT(($B$2=Таблица2[Филиал])*($B$3=Таблица2[ФЕР/ТЕР])*(F126=Таблица2[Наименование работ])*(G126=Таблица2[ТПиР/НСиР])*Таблица2[ПИР2010])</f>
        <v>0</v>
      </c>
      <c r="J126" s="63">
        <f>T126*SUMPRODUCT(($B$2=Таблица2[Филиал])*($B$3=Таблица2[ФЕР/ТЕР])*(F126=Таблица2[Наименование работ])*(G126=Таблица2[ТПиР/НСиР])*Таблица2[СМР2010])</f>
        <v>0</v>
      </c>
      <c r="K126" s="63">
        <f>U126*SUMPRODUCT(($B$2=Таблица2[Филиал])*($B$3=Таблица2[ФЕР/ТЕР])*(F126=Таблица2[Наименование работ])*(G126=Таблица2[ТПиР/НСиР])*Таблица2[ПНР2010])</f>
        <v>0</v>
      </c>
      <c r="L126" s="63">
        <f>V126*SUMPRODUCT(($B$2=Таблица2[Филиал])*($B$3=Таблица2[ФЕР/ТЕР])*(F126=Таблица2[Наименование работ])*(G126=Таблица2[ТПиР/НСиР])*Таблица2[Оборудование2010])</f>
        <v>0</v>
      </c>
      <c r="M126" s="63">
        <f>W126*SUMPRODUCT(($B$2=Таблица2[Филиал])*($B$3=Таблица2[ФЕР/ТЕР])*(F126=Таблица2[Наименование работ])*(G126=Таблица2[ТПиР/НСиР])*Таблица2[Прочие2010])</f>
        <v>0</v>
      </c>
      <c r="N126" s="63">
        <f>S126*SUMPRODUCT(($B$2=Таблица2[Филиал])*($B$3=Таблица2[ФЕР/ТЕР])*(F126=Таблица2[Наименование работ])*(G126=Таблица2[ТПиР/НСиР])*Таблица2[ПИР2013-10])</f>
        <v>0</v>
      </c>
      <c r="O126" s="63">
        <f>T126*SUMPRODUCT(($B$2=Таблица2[Филиал])*($B$3=Таблица2[ФЕР/ТЕР])*(F126=Таблица2[Наименование работ])*(G126=Таблица2[ТПиР/НСиР])*Таблица2[СМР2013-10])</f>
        <v>0</v>
      </c>
      <c r="P126" s="63">
        <f>U126*SUMPRODUCT(($B$2=Таблица2[Филиал])*($B$3=Таблица2[ФЕР/ТЕР])*(F126=Таблица2[Наименование работ])*(G126=Таблица2[ТПиР/НСиР])*Таблица2[ПНР2013-10])</f>
        <v>0</v>
      </c>
      <c r="Q126" s="63">
        <f>V126*SUMPRODUCT(($B$2=Таблица2[Филиал])*($B$3=Таблица2[ФЕР/ТЕР])*(F126=Таблица2[Наименование работ])*(G126=Таблица2[ТПиР/НСиР])*Таблица2[Оборудование2013-10])</f>
        <v>0</v>
      </c>
      <c r="R126" s="63">
        <f>W126*SUMPRODUCT(($B$2=Таблица2[Филиал])*($B$3=Таблица2[ФЕР/ТЕР])*(F126=Таблица2[Наименование работ])*(G126=Таблица2[ТПиР/НСиР])*Таблица2[Прочие2013-10])</f>
        <v>0</v>
      </c>
      <c r="S126" s="63">
        <f>IF($B$4="в базовых ценах",калькулятор!J131,X126*SUMPRODUCT(($B$2=Таблица2[Филиал])*($B$3=Таблица2[ФЕР/ТЕР])*(F126=Таблица2[Наименование работ])*(G126=Таблица2[ТПиР/НСиР])/Таблица2[ПИР2013]))</f>
        <v>0</v>
      </c>
      <c r="T126" s="63">
        <f>IF($B$4="в базовых ценах",калькулятор!K131,Y126*SUMPRODUCT(($B$2=Таблица2[Филиал])*($B$3=Таблица2[ФЕР/ТЕР])*(F126=Таблица2[Наименование работ])*(G126=Таблица2[ТПиР/НСиР])/Таблица2[СМР2013]))</f>
        <v>0</v>
      </c>
      <c r="U126" s="63">
        <f>IF($B$4="в базовых ценах",калькулятор!L131,Z126*SUMPRODUCT(($B$2=Таблица2[Филиал])*($B$3=Таблица2[ФЕР/ТЕР])*(F126=Таблица2[Наименование работ])*(G126=Таблица2[ТПиР/НСиР])/Таблица2[ПНР2013]))</f>
        <v>0</v>
      </c>
      <c r="V126" s="63">
        <f>IF($B$4="в базовых ценах",калькулятор!M131,AA126*SUMPRODUCT(($B$2=Таблица2[Филиал])*($B$3=Таблица2[ФЕР/ТЕР])*(F126=Таблица2[Наименование работ])*(G126=Таблица2[ТПиР/НСиР])/Таблица2[Оборудование2013]))</f>
        <v>0</v>
      </c>
      <c r="W126" s="63">
        <f>IF($B$4="в базовых ценах",калькулятор!N131,AB126*SUMPRODUCT(($B$2=Таблица2[Филиал])*($B$3=Таблица2[ФЕР/ТЕР])*(F126=Таблица2[Наименование работ])*(G126=Таблица2[ТПиР/НСиР])/Таблица2[Прочие3]))</f>
        <v>0</v>
      </c>
      <c r="X126" s="63">
        <f>IF($B$4="в текущих ценах",калькулятор!J131,S126*SUMPRODUCT(($B$2=Таблица2[Филиал])*($B$3=Таблица2[ФЕР/ТЕР])*(F126=Таблица2[Наименование работ])*(G126=Таблица2[ТПиР/НСиР])*Таблица2[ПИР2013]))</f>
        <v>0</v>
      </c>
      <c r="Y126" s="63">
        <f>IF($B$4="в текущих ценах",калькулятор!K131,T126*SUMPRODUCT(($B$2=Таблица2[Филиал])*($B$3=Таблица2[ФЕР/ТЕР])*(F126=Таблица2[Наименование работ])*(G126=Таблица2[ТПиР/НСиР])*Таблица2[СМР2013]))</f>
        <v>0</v>
      </c>
      <c r="Z126" s="63">
        <f>IF($B$4="в текущих ценах",калькулятор!L131,U126*SUMPRODUCT(($B$2=Таблица2[Филиал])*($B$3=Таблица2[ФЕР/ТЕР])*(F126=Таблица2[Наименование работ])*(G126=Таблица2[ТПиР/НСиР])*Таблица2[ПНР2013]))</f>
        <v>0</v>
      </c>
      <c r="AA126" s="63">
        <f>IF($B$4="в текущих ценах",калькулятор!M131,V126*SUMPRODUCT(($B$2=Таблица2[Филиал])*($B$3=Таблица2[ФЕР/ТЕР])*(F126=Таблица2[Наименование работ])*(G126=Таблица2[ТПиР/НСиР])*Таблица2[Оборудование2013]))</f>
        <v>0</v>
      </c>
      <c r="AB126" s="63">
        <f>IF($B$4="в текущих ценах",калькулятор!N131,W126*SUMPRODUCT(($B$2=Таблица2[Филиал])*($B$3=Таблица2[ФЕР/ТЕР])*(F126=Таблица2[Наименование работ])*(G126=Таблица2[ТПиР/НСиР])*Таблица2[Прочие3]))</f>
        <v>0</v>
      </c>
      <c r="AC126" s="63">
        <f>SUM(данные!$I126:$M126)</f>
        <v>0</v>
      </c>
      <c r="AD126" s="63">
        <f>IF(SUM(данные!$N126:$R126)&gt;данные!$AF126,данные!$AF126*0.9*1.058,SUM(данные!$N126:$R126))</f>
        <v>0</v>
      </c>
      <c r="AE126" s="63">
        <f>SUM(данные!$S126:$W126)</f>
        <v>0</v>
      </c>
      <c r="AF126" s="63">
        <f>SUM(данные!$X126:$AB126)</f>
        <v>0</v>
      </c>
      <c r="AG126" s="63">
        <f>IF($B$4="в текущих ценах",S126*SUMPRODUCT(($B$2=Таблица2[Филиал])*($B$3=Таблица2[ФЕР/ТЕР])*(F126=Таблица2[Наименование работ])*(G126=Таблица2[ТПиР/НСиР])*Таблица2[ПИР2012]),S126*SUMPRODUCT(($B$2=Таблица2[Филиал])*($B$3=Таблица2[ФЕР/ТЕР])*(F126=Таблица2[Наименование работ])*(G126=Таблица2[ТПиР/НСиР])*Таблица2[ПИР2012]))</f>
        <v>0</v>
      </c>
      <c r="AH126" s="63">
        <f>IF($B$4="в текущих ценах",T126*SUMPRODUCT(($B$2=Таблица2[Филиал])*($B$3=Таблица2[ФЕР/ТЕР])*(F126=Таблица2[Наименование работ])*(G126=Таблица2[ТПиР/НСиР])*Таблица2[СМР2012]),T126*SUMPRODUCT(($B$2=Таблица2[Филиал])*($B$3=Таблица2[ФЕР/ТЕР])*(F126=Таблица2[Наименование работ])*(G126=Таблица2[ТПиР/НСиР])*Таблица2[СМР2012]))</f>
        <v>0</v>
      </c>
      <c r="AI126" s="63">
        <f>IF($B$4="в текущих ценах",U126*SUMPRODUCT(($B$2=Таблица2[Филиал])*($B$3=Таблица2[ФЕР/ТЕР])*(F126=Таблица2[Наименование работ])*(G126=Таблица2[ТПиР/НСиР])*Таблица2[ПНР2012]),U126*SUMPRODUCT(($B$2=Таблица2[Филиал])*($B$3=Таблица2[ФЕР/ТЕР])*(F126=Таблица2[Наименование работ])*(G126=Таблица2[ТПиР/НСиР])*Таблица2[ПНР2012]))</f>
        <v>0</v>
      </c>
      <c r="AJ126" s="63">
        <f>IF($B$4="в текущих ценах",V126*SUMPRODUCT(($B$2=Таблица2[Филиал])*($B$3=Таблица2[ФЕР/ТЕР])*(F126=Таблица2[Наименование работ])*(G126=Таблица2[ТПиР/НСиР])*Таблица2[Оборудование2012]),V126*SUMPRODUCT(($B$2=Таблица2[Филиал])*($B$3=Таблица2[ФЕР/ТЕР])*(F126=Таблица2[Наименование работ])*(G126=Таблица2[ТПиР/НСиР])*Таблица2[Оборудование2012]))</f>
        <v>0</v>
      </c>
      <c r="AK126" s="63">
        <f>IF($B$4="в текущих ценах",W126*SUMPRODUCT(($B$2=Таблица2[Филиал])*($B$3=Таблица2[ФЕР/ТЕР])*(F126=Таблица2[Наименование работ])*(G126=Таблица2[ТПиР/НСиР])*Таблица2[Прочее2012]),W126*SUMPRODUCT(($B$2=Таблица2[Филиал])*($B$3=Таблица2[ФЕР/ТЕР])*(F126=Таблица2[Наименование работ])*(G126=Таблица2[ТПиР/НСиР])*Таблица2[Прочее2012]))</f>
        <v>0</v>
      </c>
      <c r="AL126" s="63">
        <f>данные!$X126+данные!$Y126+данные!$Z126+данные!$AA126+данные!$AB126</f>
        <v>0</v>
      </c>
      <c r="AM126" s="63">
        <v>1.03639035</v>
      </c>
      <c r="AN126" s="63">
        <v>1.0114049394</v>
      </c>
      <c r="AO126" s="63">
        <v>0.98210394336149998</v>
      </c>
      <c r="AP126" s="63">
        <v>0.93762413895893393</v>
      </c>
      <c r="AQ126" s="63"/>
      <c r="AR126" s="63"/>
      <c r="AS126" s="64"/>
      <c r="AU126" s="66">
        <f t="shared" si="6"/>
        <v>0</v>
      </c>
      <c r="AX126" s="66">
        <f t="shared" si="7"/>
        <v>0</v>
      </c>
      <c r="AY126" s="66">
        <f t="shared" si="8"/>
        <v>0</v>
      </c>
      <c r="AZ126" s="66">
        <f t="shared" si="9"/>
        <v>0</v>
      </c>
      <c r="BA126" s="66">
        <f t="shared" si="10"/>
        <v>0</v>
      </c>
      <c r="BB126" s="66">
        <f t="shared" si="11"/>
        <v>0</v>
      </c>
    </row>
    <row r="127" spans="4:54" x14ac:dyDescent="0.25">
      <c r="D127" s="62">
        <f>калькулятор!C132</f>
        <v>0</v>
      </c>
      <c r="E127" s="62">
        <f>калькулятор!F132</f>
        <v>0</v>
      </c>
      <c r="F127" s="62">
        <f>калькулятор!G132</f>
        <v>0</v>
      </c>
      <c r="G127" s="62">
        <f>калькулятор!H132</f>
        <v>0</v>
      </c>
      <c r="H127" s="62">
        <f>калькулятор!I132</f>
        <v>0</v>
      </c>
      <c r="I127" s="63">
        <f>S127*SUMPRODUCT(($B$2=Таблица2[Филиал])*($B$3=Таблица2[ФЕР/ТЕР])*(F127=Таблица2[Наименование работ])*(G127=Таблица2[ТПиР/НСиР])*Таблица2[ПИР2010])</f>
        <v>0</v>
      </c>
      <c r="J127" s="63">
        <f>T127*SUMPRODUCT(($B$2=Таблица2[Филиал])*($B$3=Таблица2[ФЕР/ТЕР])*(F127=Таблица2[Наименование работ])*(G127=Таблица2[ТПиР/НСиР])*Таблица2[СМР2010])</f>
        <v>0</v>
      </c>
      <c r="K127" s="63">
        <f>U127*SUMPRODUCT(($B$2=Таблица2[Филиал])*($B$3=Таблица2[ФЕР/ТЕР])*(F127=Таблица2[Наименование работ])*(G127=Таблица2[ТПиР/НСиР])*Таблица2[ПНР2010])</f>
        <v>0</v>
      </c>
      <c r="L127" s="63">
        <f>V127*SUMPRODUCT(($B$2=Таблица2[Филиал])*($B$3=Таблица2[ФЕР/ТЕР])*(F127=Таблица2[Наименование работ])*(G127=Таблица2[ТПиР/НСиР])*Таблица2[Оборудование2010])</f>
        <v>0</v>
      </c>
      <c r="M127" s="63">
        <f>W127*SUMPRODUCT(($B$2=Таблица2[Филиал])*($B$3=Таблица2[ФЕР/ТЕР])*(F127=Таблица2[Наименование работ])*(G127=Таблица2[ТПиР/НСиР])*Таблица2[Прочие2010])</f>
        <v>0</v>
      </c>
      <c r="N127" s="63">
        <f>S127*SUMPRODUCT(($B$2=Таблица2[Филиал])*($B$3=Таблица2[ФЕР/ТЕР])*(F127=Таблица2[Наименование работ])*(G127=Таблица2[ТПиР/НСиР])*Таблица2[ПИР2013-10])</f>
        <v>0</v>
      </c>
      <c r="O127" s="63">
        <f>T127*SUMPRODUCT(($B$2=Таблица2[Филиал])*($B$3=Таблица2[ФЕР/ТЕР])*(F127=Таблица2[Наименование работ])*(G127=Таблица2[ТПиР/НСиР])*Таблица2[СМР2013-10])</f>
        <v>0</v>
      </c>
      <c r="P127" s="63">
        <f>U127*SUMPRODUCT(($B$2=Таблица2[Филиал])*($B$3=Таблица2[ФЕР/ТЕР])*(F127=Таблица2[Наименование работ])*(G127=Таблица2[ТПиР/НСиР])*Таблица2[ПНР2013-10])</f>
        <v>0</v>
      </c>
      <c r="Q127" s="63">
        <f>V127*SUMPRODUCT(($B$2=Таблица2[Филиал])*($B$3=Таблица2[ФЕР/ТЕР])*(F127=Таблица2[Наименование работ])*(G127=Таблица2[ТПиР/НСиР])*Таблица2[Оборудование2013-10])</f>
        <v>0</v>
      </c>
      <c r="R127" s="63">
        <f>W127*SUMPRODUCT(($B$2=Таблица2[Филиал])*($B$3=Таблица2[ФЕР/ТЕР])*(F127=Таблица2[Наименование работ])*(G127=Таблица2[ТПиР/НСиР])*Таблица2[Прочие2013-10])</f>
        <v>0</v>
      </c>
      <c r="S127" s="63">
        <f>IF($B$4="в базовых ценах",калькулятор!J132,X127*SUMPRODUCT(($B$2=Таблица2[Филиал])*($B$3=Таблица2[ФЕР/ТЕР])*(F127=Таблица2[Наименование работ])*(G127=Таблица2[ТПиР/НСиР])/Таблица2[ПИР2013]))</f>
        <v>0</v>
      </c>
      <c r="T127" s="63">
        <f>IF($B$4="в базовых ценах",калькулятор!K132,Y127*SUMPRODUCT(($B$2=Таблица2[Филиал])*($B$3=Таблица2[ФЕР/ТЕР])*(F127=Таблица2[Наименование работ])*(G127=Таблица2[ТПиР/НСиР])/Таблица2[СМР2013]))</f>
        <v>0</v>
      </c>
      <c r="U127" s="63">
        <f>IF($B$4="в базовых ценах",калькулятор!L132,Z127*SUMPRODUCT(($B$2=Таблица2[Филиал])*($B$3=Таблица2[ФЕР/ТЕР])*(F127=Таблица2[Наименование работ])*(G127=Таблица2[ТПиР/НСиР])/Таблица2[ПНР2013]))</f>
        <v>0</v>
      </c>
      <c r="V127" s="63">
        <f>IF($B$4="в базовых ценах",калькулятор!M132,AA127*SUMPRODUCT(($B$2=Таблица2[Филиал])*($B$3=Таблица2[ФЕР/ТЕР])*(F127=Таблица2[Наименование работ])*(G127=Таблица2[ТПиР/НСиР])/Таблица2[Оборудование2013]))</f>
        <v>0</v>
      </c>
      <c r="W127" s="63">
        <f>IF($B$4="в базовых ценах",калькулятор!N132,AB127*SUMPRODUCT(($B$2=Таблица2[Филиал])*($B$3=Таблица2[ФЕР/ТЕР])*(F127=Таблица2[Наименование работ])*(G127=Таблица2[ТПиР/НСиР])/Таблица2[Прочие3]))</f>
        <v>0</v>
      </c>
      <c r="X127" s="63">
        <f>IF($B$4="в текущих ценах",калькулятор!J132,S127*SUMPRODUCT(($B$2=Таблица2[Филиал])*($B$3=Таблица2[ФЕР/ТЕР])*(F127=Таблица2[Наименование работ])*(G127=Таблица2[ТПиР/НСиР])*Таблица2[ПИР2013]))</f>
        <v>0</v>
      </c>
      <c r="Y127" s="63">
        <f>IF($B$4="в текущих ценах",калькулятор!K132,T127*SUMPRODUCT(($B$2=Таблица2[Филиал])*($B$3=Таблица2[ФЕР/ТЕР])*(F127=Таблица2[Наименование работ])*(G127=Таблица2[ТПиР/НСиР])*Таблица2[СМР2013]))</f>
        <v>0</v>
      </c>
      <c r="Z127" s="63">
        <f>IF($B$4="в текущих ценах",калькулятор!L132,U127*SUMPRODUCT(($B$2=Таблица2[Филиал])*($B$3=Таблица2[ФЕР/ТЕР])*(F127=Таблица2[Наименование работ])*(G127=Таблица2[ТПиР/НСиР])*Таблица2[ПНР2013]))</f>
        <v>0</v>
      </c>
      <c r="AA127" s="63">
        <f>IF($B$4="в текущих ценах",калькулятор!M132,V127*SUMPRODUCT(($B$2=Таблица2[Филиал])*($B$3=Таблица2[ФЕР/ТЕР])*(F127=Таблица2[Наименование работ])*(G127=Таблица2[ТПиР/НСиР])*Таблица2[Оборудование2013]))</f>
        <v>0</v>
      </c>
      <c r="AB127" s="63">
        <f>IF($B$4="в текущих ценах",калькулятор!N132,W127*SUMPRODUCT(($B$2=Таблица2[Филиал])*($B$3=Таблица2[ФЕР/ТЕР])*(F127=Таблица2[Наименование работ])*(G127=Таблица2[ТПиР/НСиР])*Таблица2[Прочие3]))</f>
        <v>0</v>
      </c>
      <c r="AC127" s="63">
        <f>SUM(данные!$I127:$M127)</f>
        <v>0</v>
      </c>
      <c r="AD127" s="63">
        <f>IF(SUM(данные!$N127:$R127)&gt;данные!$AF127,данные!$AF127*0.9*1.058,SUM(данные!$N127:$R127))</f>
        <v>0</v>
      </c>
      <c r="AE127" s="63">
        <f>SUM(данные!$S127:$W127)</f>
        <v>0</v>
      </c>
      <c r="AF127" s="63">
        <f>SUM(данные!$X127:$AB127)</f>
        <v>0</v>
      </c>
      <c r="AG127" s="63">
        <f>IF($B$4="в текущих ценах",S127*SUMPRODUCT(($B$2=Таблица2[Филиал])*($B$3=Таблица2[ФЕР/ТЕР])*(F127=Таблица2[Наименование работ])*(G127=Таблица2[ТПиР/НСиР])*Таблица2[ПИР2012]),S127*SUMPRODUCT(($B$2=Таблица2[Филиал])*($B$3=Таблица2[ФЕР/ТЕР])*(F127=Таблица2[Наименование работ])*(G127=Таблица2[ТПиР/НСиР])*Таблица2[ПИР2012]))</f>
        <v>0</v>
      </c>
      <c r="AH127" s="63">
        <f>IF($B$4="в текущих ценах",T127*SUMPRODUCT(($B$2=Таблица2[Филиал])*($B$3=Таблица2[ФЕР/ТЕР])*(F127=Таблица2[Наименование работ])*(G127=Таблица2[ТПиР/НСиР])*Таблица2[СМР2012]),T127*SUMPRODUCT(($B$2=Таблица2[Филиал])*($B$3=Таблица2[ФЕР/ТЕР])*(F127=Таблица2[Наименование работ])*(G127=Таблица2[ТПиР/НСиР])*Таблица2[СМР2012]))</f>
        <v>0</v>
      </c>
      <c r="AI127" s="63">
        <f>IF($B$4="в текущих ценах",U127*SUMPRODUCT(($B$2=Таблица2[Филиал])*($B$3=Таблица2[ФЕР/ТЕР])*(F127=Таблица2[Наименование работ])*(G127=Таблица2[ТПиР/НСиР])*Таблица2[ПНР2012]),U127*SUMPRODUCT(($B$2=Таблица2[Филиал])*($B$3=Таблица2[ФЕР/ТЕР])*(F127=Таблица2[Наименование работ])*(G127=Таблица2[ТПиР/НСиР])*Таблица2[ПНР2012]))</f>
        <v>0</v>
      </c>
      <c r="AJ127" s="63">
        <f>IF($B$4="в текущих ценах",V127*SUMPRODUCT(($B$2=Таблица2[Филиал])*($B$3=Таблица2[ФЕР/ТЕР])*(F127=Таблица2[Наименование работ])*(G127=Таблица2[ТПиР/НСиР])*Таблица2[Оборудование2012]),V127*SUMPRODUCT(($B$2=Таблица2[Филиал])*($B$3=Таблица2[ФЕР/ТЕР])*(F127=Таблица2[Наименование работ])*(G127=Таблица2[ТПиР/НСиР])*Таблица2[Оборудование2012]))</f>
        <v>0</v>
      </c>
      <c r="AK127" s="63">
        <f>IF($B$4="в текущих ценах",W127*SUMPRODUCT(($B$2=Таблица2[Филиал])*($B$3=Таблица2[ФЕР/ТЕР])*(F127=Таблица2[Наименование работ])*(G127=Таблица2[ТПиР/НСиР])*Таблица2[Прочее2012]),W127*SUMPRODUCT(($B$2=Таблица2[Филиал])*($B$3=Таблица2[ФЕР/ТЕР])*(F127=Таблица2[Наименование работ])*(G127=Таблица2[ТПиР/НСиР])*Таблица2[Прочее2012]))</f>
        <v>0</v>
      </c>
      <c r="AL127" s="63">
        <f>данные!$X127+данные!$Y127+данные!$Z127+данные!$AA127+данные!$AB127</f>
        <v>0</v>
      </c>
      <c r="AM127" s="63">
        <v>1.03639035</v>
      </c>
      <c r="AN127" s="63">
        <v>1.0114049394</v>
      </c>
      <c r="AO127" s="63">
        <v>0.98210394336149998</v>
      </c>
      <c r="AP127" s="63">
        <v>0.93762413895893393</v>
      </c>
      <c r="AQ127" s="63"/>
      <c r="AR127" s="63"/>
      <c r="AS127" s="64"/>
      <c r="AU127" s="66">
        <f t="shared" si="6"/>
        <v>0</v>
      </c>
      <c r="AX127" s="66">
        <f t="shared" si="7"/>
        <v>0</v>
      </c>
      <c r="AY127" s="66">
        <f t="shared" si="8"/>
        <v>0</v>
      </c>
      <c r="AZ127" s="66">
        <f t="shared" si="9"/>
        <v>0</v>
      </c>
      <c r="BA127" s="66">
        <f t="shared" si="10"/>
        <v>0</v>
      </c>
      <c r="BB127" s="66">
        <f t="shared" si="11"/>
        <v>0</v>
      </c>
    </row>
    <row r="128" spans="4:54" x14ac:dyDescent="0.25">
      <c r="D128" s="62">
        <f>калькулятор!C133</f>
        <v>0</v>
      </c>
      <c r="E128" s="62">
        <f>калькулятор!F133</f>
        <v>0</v>
      </c>
      <c r="F128" s="62">
        <f>калькулятор!G133</f>
        <v>0</v>
      </c>
      <c r="G128" s="62">
        <f>калькулятор!H133</f>
        <v>0</v>
      </c>
      <c r="H128" s="62">
        <f>калькулятор!I133</f>
        <v>0</v>
      </c>
      <c r="I128" s="63">
        <f>S128*SUMPRODUCT(($B$2=Таблица2[Филиал])*($B$3=Таблица2[ФЕР/ТЕР])*(F128=Таблица2[Наименование работ])*(G128=Таблица2[ТПиР/НСиР])*Таблица2[ПИР2010])</f>
        <v>0</v>
      </c>
      <c r="J128" s="63">
        <f>T128*SUMPRODUCT(($B$2=Таблица2[Филиал])*($B$3=Таблица2[ФЕР/ТЕР])*(F128=Таблица2[Наименование работ])*(G128=Таблица2[ТПиР/НСиР])*Таблица2[СМР2010])</f>
        <v>0</v>
      </c>
      <c r="K128" s="63">
        <f>U128*SUMPRODUCT(($B$2=Таблица2[Филиал])*($B$3=Таблица2[ФЕР/ТЕР])*(F128=Таблица2[Наименование работ])*(G128=Таблица2[ТПиР/НСиР])*Таблица2[ПНР2010])</f>
        <v>0</v>
      </c>
      <c r="L128" s="63">
        <f>V128*SUMPRODUCT(($B$2=Таблица2[Филиал])*($B$3=Таблица2[ФЕР/ТЕР])*(F128=Таблица2[Наименование работ])*(G128=Таблица2[ТПиР/НСиР])*Таблица2[Оборудование2010])</f>
        <v>0</v>
      </c>
      <c r="M128" s="63">
        <f>W128*SUMPRODUCT(($B$2=Таблица2[Филиал])*($B$3=Таблица2[ФЕР/ТЕР])*(F128=Таблица2[Наименование работ])*(G128=Таблица2[ТПиР/НСиР])*Таблица2[Прочие2010])</f>
        <v>0</v>
      </c>
      <c r="N128" s="63">
        <f>S128*SUMPRODUCT(($B$2=Таблица2[Филиал])*($B$3=Таблица2[ФЕР/ТЕР])*(F128=Таблица2[Наименование работ])*(G128=Таблица2[ТПиР/НСиР])*Таблица2[ПИР2013-10])</f>
        <v>0</v>
      </c>
      <c r="O128" s="63">
        <f>T128*SUMPRODUCT(($B$2=Таблица2[Филиал])*($B$3=Таблица2[ФЕР/ТЕР])*(F128=Таблица2[Наименование работ])*(G128=Таблица2[ТПиР/НСиР])*Таблица2[СМР2013-10])</f>
        <v>0</v>
      </c>
      <c r="P128" s="63">
        <f>U128*SUMPRODUCT(($B$2=Таблица2[Филиал])*($B$3=Таблица2[ФЕР/ТЕР])*(F128=Таблица2[Наименование работ])*(G128=Таблица2[ТПиР/НСиР])*Таблица2[ПНР2013-10])</f>
        <v>0</v>
      </c>
      <c r="Q128" s="63">
        <f>V128*SUMPRODUCT(($B$2=Таблица2[Филиал])*($B$3=Таблица2[ФЕР/ТЕР])*(F128=Таблица2[Наименование работ])*(G128=Таблица2[ТПиР/НСиР])*Таблица2[Оборудование2013-10])</f>
        <v>0</v>
      </c>
      <c r="R128" s="63">
        <f>W128*SUMPRODUCT(($B$2=Таблица2[Филиал])*($B$3=Таблица2[ФЕР/ТЕР])*(F128=Таблица2[Наименование работ])*(G128=Таблица2[ТПиР/НСиР])*Таблица2[Прочие2013-10])</f>
        <v>0</v>
      </c>
      <c r="S128" s="63">
        <f>IF($B$4="в базовых ценах",калькулятор!J133,X128*SUMPRODUCT(($B$2=Таблица2[Филиал])*($B$3=Таблица2[ФЕР/ТЕР])*(F128=Таблица2[Наименование работ])*(G128=Таблица2[ТПиР/НСиР])/Таблица2[ПИР2013]))</f>
        <v>0</v>
      </c>
      <c r="T128" s="63">
        <f>IF($B$4="в базовых ценах",калькулятор!K133,Y128*SUMPRODUCT(($B$2=Таблица2[Филиал])*($B$3=Таблица2[ФЕР/ТЕР])*(F128=Таблица2[Наименование работ])*(G128=Таблица2[ТПиР/НСиР])/Таблица2[СМР2013]))</f>
        <v>0</v>
      </c>
      <c r="U128" s="63">
        <f>IF($B$4="в базовых ценах",калькулятор!L133,Z128*SUMPRODUCT(($B$2=Таблица2[Филиал])*($B$3=Таблица2[ФЕР/ТЕР])*(F128=Таблица2[Наименование работ])*(G128=Таблица2[ТПиР/НСиР])/Таблица2[ПНР2013]))</f>
        <v>0</v>
      </c>
      <c r="V128" s="63">
        <f>IF($B$4="в базовых ценах",калькулятор!M133,AA128*SUMPRODUCT(($B$2=Таблица2[Филиал])*($B$3=Таблица2[ФЕР/ТЕР])*(F128=Таблица2[Наименование работ])*(G128=Таблица2[ТПиР/НСиР])/Таблица2[Оборудование2013]))</f>
        <v>0</v>
      </c>
      <c r="W128" s="63">
        <f>IF($B$4="в базовых ценах",калькулятор!N133,AB128*SUMPRODUCT(($B$2=Таблица2[Филиал])*($B$3=Таблица2[ФЕР/ТЕР])*(F128=Таблица2[Наименование работ])*(G128=Таблица2[ТПиР/НСиР])/Таблица2[Прочие3]))</f>
        <v>0</v>
      </c>
      <c r="X128" s="63">
        <f>IF($B$4="в текущих ценах",калькулятор!J133,S128*SUMPRODUCT(($B$2=Таблица2[Филиал])*($B$3=Таблица2[ФЕР/ТЕР])*(F128=Таблица2[Наименование работ])*(G128=Таблица2[ТПиР/НСиР])*Таблица2[ПИР2013]))</f>
        <v>0</v>
      </c>
      <c r="Y128" s="63">
        <f>IF($B$4="в текущих ценах",калькулятор!K133,T128*SUMPRODUCT(($B$2=Таблица2[Филиал])*($B$3=Таблица2[ФЕР/ТЕР])*(F128=Таблица2[Наименование работ])*(G128=Таблица2[ТПиР/НСиР])*Таблица2[СМР2013]))</f>
        <v>0</v>
      </c>
      <c r="Z128" s="63">
        <f>IF($B$4="в текущих ценах",калькулятор!L133,U128*SUMPRODUCT(($B$2=Таблица2[Филиал])*($B$3=Таблица2[ФЕР/ТЕР])*(F128=Таблица2[Наименование работ])*(G128=Таблица2[ТПиР/НСиР])*Таблица2[ПНР2013]))</f>
        <v>0</v>
      </c>
      <c r="AA128" s="63">
        <f>IF($B$4="в текущих ценах",калькулятор!M133,V128*SUMPRODUCT(($B$2=Таблица2[Филиал])*($B$3=Таблица2[ФЕР/ТЕР])*(F128=Таблица2[Наименование работ])*(G128=Таблица2[ТПиР/НСиР])*Таблица2[Оборудование2013]))</f>
        <v>0</v>
      </c>
      <c r="AB128" s="63">
        <f>IF($B$4="в текущих ценах",калькулятор!N133,W128*SUMPRODUCT(($B$2=Таблица2[Филиал])*($B$3=Таблица2[ФЕР/ТЕР])*(F128=Таблица2[Наименование работ])*(G128=Таблица2[ТПиР/НСиР])*Таблица2[Прочие3]))</f>
        <v>0</v>
      </c>
      <c r="AC128" s="63">
        <f>SUM(данные!$I128:$M128)</f>
        <v>0</v>
      </c>
      <c r="AD128" s="63">
        <f>IF(SUM(данные!$N128:$R128)&gt;данные!$AF128,данные!$AF128*0.9*1.058,SUM(данные!$N128:$R128))</f>
        <v>0</v>
      </c>
      <c r="AE128" s="63">
        <f>SUM(данные!$S128:$W128)</f>
        <v>0</v>
      </c>
      <c r="AF128" s="63">
        <f>SUM(данные!$X128:$AB128)</f>
        <v>0</v>
      </c>
      <c r="AG128" s="63">
        <f>IF($B$4="в текущих ценах",S128*SUMPRODUCT(($B$2=Таблица2[Филиал])*($B$3=Таблица2[ФЕР/ТЕР])*(F128=Таблица2[Наименование работ])*(G128=Таблица2[ТПиР/НСиР])*Таблица2[ПИР2012]),S128*SUMPRODUCT(($B$2=Таблица2[Филиал])*($B$3=Таблица2[ФЕР/ТЕР])*(F128=Таблица2[Наименование работ])*(G128=Таблица2[ТПиР/НСиР])*Таблица2[ПИР2012]))</f>
        <v>0</v>
      </c>
      <c r="AH128" s="63">
        <f>IF($B$4="в текущих ценах",T128*SUMPRODUCT(($B$2=Таблица2[Филиал])*($B$3=Таблица2[ФЕР/ТЕР])*(F128=Таблица2[Наименование работ])*(G128=Таблица2[ТПиР/НСиР])*Таблица2[СМР2012]),T128*SUMPRODUCT(($B$2=Таблица2[Филиал])*($B$3=Таблица2[ФЕР/ТЕР])*(F128=Таблица2[Наименование работ])*(G128=Таблица2[ТПиР/НСиР])*Таблица2[СМР2012]))</f>
        <v>0</v>
      </c>
      <c r="AI128" s="63">
        <f>IF($B$4="в текущих ценах",U128*SUMPRODUCT(($B$2=Таблица2[Филиал])*($B$3=Таблица2[ФЕР/ТЕР])*(F128=Таблица2[Наименование работ])*(G128=Таблица2[ТПиР/НСиР])*Таблица2[ПНР2012]),U128*SUMPRODUCT(($B$2=Таблица2[Филиал])*($B$3=Таблица2[ФЕР/ТЕР])*(F128=Таблица2[Наименование работ])*(G128=Таблица2[ТПиР/НСиР])*Таблица2[ПНР2012]))</f>
        <v>0</v>
      </c>
      <c r="AJ128" s="63">
        <f>IF($B$4="в текущих ценах",V128*SUMPRODUCT(($B$2=Таблица2[Филиал])*($B$3=Таблица2[ФЕР/ТЕР])*(F128=Таблица2[Наименование работ])*(G128=Таблица2[ТПиР/НСиР])*Таблица2[Оборудование2012]),V128*SUMPRODUCT(($B$2=Таблица2[Филиал])*($B$3=Таблица2[ФЕР/ТЕР])*(F128=Таблица2[Наименование работ])*(G128=Таблица2[ТПиР/НСиР])*Таблица2[Оборудование2012]))</f>
        <v>0</v>
      </c>
      <c r="AK128" s="63">
        <f>IF($B$4="в текущих ценах",W128*SUMPRODUCT(($B$2=Таблица2[Филиал])*($B$3=Таблица2[ФЕР/ТЕР])*(F128=Таблица2[Наименование работ])*(G128=Таблица2[ТПиР/НСиР])*Таблица2[Прочее2012]),W128*SUMPRODUCT(($B$2=Таблица2[Филиал])*($B$3=Таблица2[ФЕР/ТЕР])*(F128=Таблица2[Наименование работ])*(G128=Таблица2[ТПиР/НСиР])*Таблица2[Прочее2012]))</f>
        <v>0</v>
      </c>
      <c r="AL128" s="63">
        <f>данные!$X128+данные!$Y128+данные!$Z128+данные!$AA128+данные!$AB128</f>
        <v>0</v>
      </c>
      <c r="AM128" s="63">
        <v>1.03639035</v>
      </c>
      <c r="AN128" s="63">
        <v>1.0114049394</v>
      </c>
      <c r="AO128" s="63">
        <v>0.98210394336149998</v>
      </c>
      <c r="AP128" s="63">
        <v>0.93762413895893393</v>
      </c>
      <c r="AQ128" s="63"/>
      <c r="AR128" s="63"/>
      <c r="AS128" s="64"/>
      <c r="AU128" s="66">
        <f t="shared" si="6"/>
        <v>0</v>
      </c>
      <c r="AX128" s="66">
        <f t="shared" si="7"/>
        <v>0</v>
      </c>
      <c r="AY128" s="66">
        <f t="shared" si="8"/>
        <v>0</v>
      </c>
      <c r="AZ128" s="66">
        <f t="shared" si="9"/>
        <v>0</v>
      </c>
      <c r="BA128" s="66">
        <f t="shared" si="10"/>
        <v>0</v>
      </c>
      <c r="BB128" s="66">
        <f t="shared" si="11"/>
        <v>0</v>
      </c>
    </row>
    <row r="129" spans="4:54" x14ac:dyDescent="0.25">
      <c r="D129" s="62">
        <f>калькулятор!C134</f>
        <v>0</v>
      </c>
      <c r="E129" s="62">
        <f>калькулятор!F134</f>
        <v>0</v>
      </c>
      <c r="F129" s="62">
        <f>калькулятор!G134</f>
        <v>0</v>
      </c>
      <c r="G129" s="62">
        <f>калькулятор!H134</f>
        <v>0</v>
      </c>
      <c r="H129" s="62">
        <f>калькулятор!I134</f>
        <v>0</v>
      </c>
      <c r="I129" s="63">
        <f>S129*SUMPRODUCT(($B$2=Таблица2[Филиал])*($B$3=Таблица2[ФЕР/ТЕР])*(F129=Таблица2[Наименование работ])*(G129=Таблица2[ТПиР/НСиР])*Таблица2[ПИР2010])</f>
        <v>0</v>
      </c>
      <c r="J129" s="63">
        <f>T129*SUMPRODUCT(($B$2=Таблица2[Филиал])*($B$3=Таблица2[ФЕР/ТЕР])*(F129=Таблица2[Наименование работ])*(G129=Таблица2[ТПиР/НСиР])*Таблица2[СМР2010])</f>
        <v>0</v>
      </c>
      <c r="K129" s="63">
        <f>U129*SUMPRODUCT(($B$2=Таблица2[Филиал])*($B$3=Таблица2[ФЕР/ТЕР])*(F129=Таблица2[Наименование работ])*(G129=Таблица2[ТПиР/НСиР])*Таблица2[ПНР2010])</f>
        <v>0</v>
      </c>
      <c r="L129" s="63">
        <f>V129*SUMPRODUCT(($B$2=Таблица2[Филиал])*($B$3=Таблица2[ФЕР/ТЕР])*(F129=Таблица2[Наименование работ])*(G129=Таблица2[ТПиР/НСиР])*Таблица2[Оборудование2010])</f>
        <v>0</v>
      </c>
      <c r="M129" s="63">
        <f>W129*SUMPRODUCT(($B$2=Таблица2[Филиал])*($B$3=Таблица2[ФЕР/ТЕР])*(F129=Таблица2[Наименование работ])*(G129=Таблица2[ТПиР/НСиР])*Таблица2[Прочие2010])</f>
        <v>0</v>
      </c>
      <c r="N129" s="63">
        <f>S129*SUMPRODUCT(($B$2=Таблица2[Филиал])*($B$3=Таблица2[ФЕР/ТЕР])*(F129=Таблица2[Наименование работ])*(G129=Таблица2[ТПиР/НСиР])*Таблица2[ПИР2013-10])</f>
        <v>0</v>
      </c>
      <c r="O129" s="63">
        <f>T129*SUMPRODUCT(($B$2=Таблица2[Филиал])*($B$3=Таблица2[ФЕР/ТЕР])*(F129=Таблица2[Наименование работ])*(G129=Таблица2[ТПиР/НСиР])*Таблица2[СМР2013-10])</f>
        <v>0</v>
      </c>
      <c r="P129" s="63">
        <f>U129*SUMPRODUCT(($B$2=Таблица2[Филиал])*($B$3=Таблица2[ФЕР/ТЕР])*(F129=Таблица2[Наименование работ])*(G129=Таблица2[ТПиР/НСиР])*Таблица2[ПНР2013-10])</f>
        <v>0</v>
      </c>
      <c r="Q129" s="63">
        <f>V129*SUMPRODUCT(($B$2=Таблица2[Филиал])*($B$3=Таблица2[ФЕР/ТЕР])*(F129=Таблица2[Наименование работ])*(G129=Таблица2[ТПиР/НСиР])*Таблица2[Оборудование2013-10])</f>
        <v>0</v>
      </c>
      <c r="R129" s="63">
        <f>W129*SUMPRODUCT(($B$2=Таблица2[Филиал])*($B$3=Таблица2[ФЕР/ТЕР])*(F129=Таблица2[Наименование работ])*(G129=Таблица2[ТПиР/НСиР])*Таблица2[Прочие2013-10])</f>
        <v>0</v>
      </c>
      <c r="S129" s="63">
        <f>IF($B$4="в базовых ценах",калькулятор!J134,X129*SUMPRODUCT(($B$2=Таблица2[Филиал])*($B$3=Таблица2[ФЕР/ТЕР])*(F129=Таблица2[Наименование работ])*(G129=Таблица2[ТПиР/НСиР])/Таблица2[ПИР2013]))</f>
        <v>0</v>
      </c>
      <c r="T129" s="63">
        <f>IF($B$4="в базовых ценах",калькулятор!K134,Y129*SUMPRODUCT(($B$2=Таблица2[Филиал])*($B$3=Таблица2[ФЕР/ТЕР])*(F129=Таблица2[Наименование работ])*(G129=Таблица2[ТПиР/НСиР])/Таблица2[СМР2013]))</f>
        <v>0</v>
      </c>
      <c r="U129" s="63">
        <f>IF($B$4="в базовых ценах",калькулятор!L134,Z129*SUMPRODUCT(($B$2=Таблица2[Филиал])*($B$3=Таблица2[ФЕР/ТЕР])*(F129=Таблица2[Наименование работ])*(G129=Таблица2[ТПиР/НСиР])/Таблица2[ПНР2013]))</f>
        <v>0</v>
      </c>
      <c r="V129" s="63">
        <f>IF($B$4="в базовых ценах",калькулятор!M134,AA129*SUMPRODUCT(($B$2=Таблица2[Филиал])*($B$3=Таблица2[ФЕР/ТЕР])*(F129=Таблица2[Наименование работ])*(G129=Таблица2[ТПиР/НСиР])/Таблица2[Оборудование2013]))</f>
        <v>0</v>
      </c>
      <c r="W129" s="63">
        <f>IF($B$4="в базовых ценах",калькулятор!N134,AB129*SUMPRODUCT(($B$2=Таблица2[Филиал])*($B$3=Таблица2[ФЕР/ТЕР])*(F129=Таблица2[Наименование работ])*(G129=Таблица2[ТПиР/НСиР])/Таблица2[Прочие3]))</f>
        <v>0</v>
      </c>
      <c r="X129" s="63">
        <f>IF($B$4="в текущих ценах",калькулятор!J134,S129*SUMPRODUCT(($B$2=Таблица2[Филиал])*($B$3=Таблица2[ФЕР/ТЕР])*(F129=Таблица2[Наименование работ])*(G129=Таблица2[ТПиР/НСиР])*Таблица2[ПИР2013]))</f>
        <v>0</v>
      </c>
      <c r="Y129" s="63">
        <f>IF($B$4="в текущих ценах",калькулятор!K134,T129*SUMPRODUCT(($B$2=Таблица2[Филиал])*($B$3=Таблица2[ФЕР/ТЕР])*(F129=Таблица2[Наименование работ])*(G129=Таблица2[ТПиР/НСиР])*Таблица2[СМР2013]))</f>
        <v>0</v>
      </c>
      <c r="Z129" s="63">
        <f>IF($B$4="в текущих ценах",калькулятор!L134,U129*SUMPRODUCT(($B$2=Таблица2[Филиал])*($B$3=Таблица2[ФЕР/ТЕР])*(F129=Таблица2[Наименование работ])*(G129=Таблица2[ТПиР/НСиР])*Таблица2[ПНР2013]))</f>
        <v>0</v>
      </c>
      <c r="AA129" s="63">
        <f>IF($B$4="в текущих ценах",калькулятор!M134,V129*SUMPRODUCT(($B$2=Таблица2[Филиал])*($B$3=Таблица2[ФЕР/ТЕР])*(F129=Таблица2[Наименование работ])*(G129=Таблица2[ТПиР/НСиР])*Таблица2[Оборудование2013]))</f>
        <v>0</v>
      </c>
      <c r="AB129" s="63">
        <f>IF($B$4="в текущих ценах",калькулятор!N134,W129*SUMPRODUCT(($B$2=Таблица2[Филиал])*($B$3=Таблица2[ФЕР/ТЕР])*(F129=Таблица2[Наименование работ])*(G129=Таблица2[ТПиР/НСиР])*Таблица2[Прочие3]))</f>
        <v>0</v>
      </c>
      <c r="AC129" s="63">
        <f>SUM(данные!$I129:$M129)</f>
        <v>0</v>
      </c>
      <c r="AD129" s="63">
        <f>IF(SUM(данные!$N129:$R129)&gt;данные!$AF129,данные!$AF129*0.9*1.058,SUM(данные!$N129:$R129))</f>
        <v>0</v>
      </c>
      <c r="AE129" s="63">
        <f>SUM(данные!$S129:$W129)</f>
        <v>0</v>
      </c>
      <c r="AF129" s="63">
        <f>SUM(данные!$X129:$AB129)</f>
        <v>0</v>
      </c>
      <c r="AG129" s="63">
        <f>IF($B$4="в текущих ценах",S129*SUMPRODUCT(($B$2=Таблица2[Филиал])*($B$3=Таблица2[ФЕР/ТЕР])*(F129=Таблица2[Наименование работ])*(G129=Таблица2[ТПиР/НСиР])*Таблица2[ПИР2012]),S129*SUMPRODUCT(($B$2=Таблица2[Филиал])*($B$3=Таблица2[ФЕР/ТЕР])*(F129=Таблица2[Наименование работ])*(G129=Таблица2[ТПиР/НСиР])*Таблица2[ПИР2012]))</f>
        <v>0</v>
      </c>
      <c r="AH129" s="63">
        <f>IF($B$4="в текущих ценах",T129*SUMPRODUCT(($B$2=Таблица2[Филиал])*($B$3=Таблица2[ФЕР/ТЕР])*(F129=Таблица2[Наименование работ])*(G129=Таблица2[ТПиР/НСиР])*Таблица2[СМР2012]),T129*SUMPRODUCT(($B$2=Таблица2[Филиал])*($B$3=Таблица2[ФЕР/ТЕР])*(F129=Таблица2[Наименование работ])*(G129=Таблица2[ТПиР/НСиР])*Таблица2[СМР2012]))</f>
        <v>0</v>
      </c>
      <c r="AI129" s="63">
        <f>IF($B$4="в текущих ценах",U129*SUMPRODUCT(($B$2=Таблица2[Филиал])*($B$3=Таблица2[ФЕР/ТЕР])*(F129=Таблица2[Наименование работ])*(G129=Таблица2[ТПиР/НСиР])*Таблица2[ПНР2012]),U129*SUMPRODUCT(($B$2=Таблица2[Филиал])*($B$3=Таблица2[ФЕР/ТЕР])*(F129=Таблица2[Наименование работ])*(G129=Таблица2[ТПиР/НСиР])*Таблица2[ПНР2012]))</f>
        <v>0</v>
      </c>
      <c r="AJ129" s="63">
        <f>IF($B$4="в текущих ценах",V129*SUMPRODUCT(($B$2=Таблица2[Филиал])*($B$3=Таблица2[ФЕР/ТЕР])*(F129=Таблица2[Наименование работ])*(G129=Таблица2[ТПиР/НСиР])*Таблица2[Оборудование2012]),V129*SUMPRODUCT(($B$2=Таблица2[Филиал])*($B$3=Таблица2[ФЕР/ТЕР])*(F129=Таблица2[Наименование работ])*(G129=Таблица2[ТПиР/НСиР])*Таблица2[Оборудование2012]))</f>
        <v>0</v>
      </c>
      <c r="AK129" s="63">
        <f>IF($B$4="в текущих ценах",W129*SUMPRODUCT(($B$2=Таблица2[Филиал])*($B$3=Таблица2[ФЕР/ТЕР])*(F129=Таблица2[Наименование работ])*(G129=Таблица2[ТПиР/НСиР])*Таблица2[Прочее2012]),W129*SUMPRODUCT(($B$2=Таблица2[Филиал])*($B$3=Таблица2[ФЕР/ТЕР])*(F129=Таблица2[Наименование работ])*(G129=Таблица2[ТПиР/НСиР])*Таблица2[Прочее2012]))</f>
        <v>0</v>
      </c>
      <c r="AL129" s="63">
        <f>данные!$X129+данные!$Y129+данные!$Z129+данные!$AA129+данные!$AB129</f>
        <v>0</v>
      </c>
      <c r="AM129" s="63">
        <v>1.03639035</v>
      </c>
      <c r="AN129" s="63">
        <v>1.0114049394</v>
      </c>
      <c r="AO129" s="63">
        <v>0.98210394336149998</v>
      </c>
      <c r="AP129" s="63">
        <v>0.93762413895893393</v>
      </c>
      <c r="AQ129" s="63"/>
      <c r="AR129" s="63"/>
      <c r="AS129" s="64"/>
      <c r="AU129" s="66">
        <f t="shared" si="6"/>
        <v>0</v>
      </c>
      <c r="AX129" s="66">
        <f t="shared" si="7"/>
        <v>0</v>
      </c>
      <c r="AY129" s="66">
        <f t="shared" si="8"/>
        <v>0</v>
      </c>
      <c r="AZ129" s="66">
        <f t="shared" si="9"/>
        <v>0</v>
      </c>
      <c r="BA129" s="66">
        <f t="shared" si="10"/>
        <v>0</v>
      </c>
      <c r="BB129" s="66">
        <f t="shared" si="11"/>
        <v>0</v>
      </c>
    </row>
    <row r="130" spans="4:54" x14ac:dyDescent="0.25">
      <c r="D130" s="62">
        <f>калькулятор!C135</f>
        <v>0</v>
      </c>
      <c r="E130" s="62">
        <f>калькулятор!F135</f>
        <v>0</v>
      </c>
      <c r="F130" s="62">
        <f>калькулятор!G135</f>
        <v>0</v>
      </c>
      <c r="G130" s="62">
        <f>калькулятор!H135</f>
        <v>0</v>
      </c>
      <c r="H130" s="62">
        <f>калькулятор!I135</f>
        <v>0</v>
      </c>
      <c r="I130" s="63">
        <f>S130*SUMPRODUCT(($B$2=Таблица2[Филиал])*($B$3=Таблица2[ФЕР/ТЕР])*(F130=Таблица2[Наименование работ])*(G130=Таблица2[ТПиР/НСиР])*Таблица2[ПИР2010])</f>
        <v>0</v>
      </c>
      <c r="J130" s="63">
        <f>T130*SUMPRODUCT(($B$2=Таблица2[Филиал])*($B$3=Таблица2[ФЕР/ТЕР])*(F130=Таблица2[Наименование работ])*(G130=Таблица2[ТПиР/НСиР])*Таблица2[СМР2010])</f>
        <v>0</v>
      </c>
      <c r="K130" s="63">
        <f>U130*SUMPRODUCT(($B$2=Таблица2[Филиал])*($B$3=Таблица2[ФЕР/ТЕР])*(F130=Таблица2[Наименование работ])*(G130=Таблица2[ТПиР/НСиР])*Таблица2[ПНР2010])</f>
        <v>0</v>
      </c>
      <c r="L130" s="63">
        <f>V130*SUMPRODUCT(($B$2=Таблица2[Филиал])*($B$3=Таблица2[ФЕР/ТЕР])*(F130=Таблица2[Наименование работ])*(G130=Таблица2[ТПиР/НСиР])*Таблица2[Оборудование2010])</f>
        <v>0</v>
      </c>
      <c r="M130" s="63">
        <f>W130*SUMPRODUCT(($B$2=Таблица2[Филиал])*($B$3=Таблица2[ФЕР/ТЕР])*(F130=Таблица2[Наименование работ])*(G130=Таблица2[ТПиР/НСиР])*Таблица2[Прочие2010])</f>
        <v>0</v>
      </c>
      <c r="N130" s="63">
        <f>S130*SUMPRODUCT(($B$2=Таблица2[Филиал])*($B$3=Таблица2[ФЕР/ТЕР])*(F130=Таблица2[Наименование работ])*(G130=Таблица2[ТПиР/НСиР])*Таблица2[ПИР2013-10])</f>
        <v>0</v>
      </c>
      <c r="O130" s="63">
        <f>T130*SUMPRODUCT(($B$2=Таблица2[Филиал])*($B$3=Таблица2[ФЕР/ТЕР])*(F130=Таблица2[Наименование работ])*(G130=Таблица2[ТПиР/НСиР])*Таблица2[СМР2013-10])</f>
        <v>0</v>
      </c>
      <c r="P130" s="63">
        <f>U130*SUMPRODUCT(($B$2=Таблица2[Филиал])*($B$3=Таблица2[ФЕР/ТЕР])*(F130=Таблица2[Наименование работ])*(G130=Таблица2[ТПиР/НСиР])*Таблица2[ПНР2013-10])</f>
        <v>0</v>
      </c>
      <c r="Q130" s="63">
        <f>V130*SUMPRODUCT(($B$2=Таблица2[Филиал])*($B$3=Таблица2[ФЕР/ТЕР])*(F130=Таблица2[Наименование работ])*(G130=Таблица2[ТПиР/НСиР])*Таблица2[Оборудование2013-10])</f>
        <v>0</v>
      </c>
      <c r="R130" s="63">
        <f>W130*SUMPRODUCT(($B$2=Таблица2[Филиал])*($B$3=Таблица2[ФЕР/ТЕР])*(F130=Таблица2[Наименование работ])*(G130=Таблица2[ТПиР/НСиР])*Таблица2[Прочие2013-10])</f>
        <v>0</v>
      </c>
      <c r="S130" s="63">
        <f>IF($B$4="в базовых ценах",калькулятор!J135,X130*SUMPRODUCT(($B$2=Таблица2[Филиал])*($B$3=Таблица2[ФЕР/ТЕР])*(F130=Таблица2[Наименование работ])*(G130=Таблица2[ТПиР/НСиР])/Таблица2[ПИР2013]))</f>
        <v>0</v>
      </c>
      <c r="T130" s="63">
        <f>IF($B$4="в базовых ценах",калькулятор!K135,Y130*SUMPRODUCT(($B$2=Таблица2[Филиал])*($B$3=Таблица2[ФЕР/ТЕР])*(F130=Таблица2[Наименование работ])*(G130=Таблица2[ТПиР/НСиР])/Таблица2[СМР2013]))</f>
        <v>0</v>
      </c>
      <c r="U130" s="63">
        <f>IF($B$4="в базовых ценах",калькулятор!L135,Z130*SUMPRODUCT(($B$2=Таблица2[Филиал])*($B$3=Таблица2[ФЕР/ТЕР])*(F130=Таблица2[Наименование работ])*(G130=Таблица2[ТПиР/НСиР])/Таблица2[ПНР2013]))</f>
        <v>0</v>
      </c>
      <c r="V130" s="63">
        <f>IF($B$4="в базовых ценах",калькулятор!M135,AA130*SUMPRODUCT(($B$2=Таблица2[Филиал])*($B$3=Таблица2[ФЕР/ТЕР])*(F130=Таблица2[Наименование работ])*(G130=Таблица2[ТПиР/НСиР])/Таблица2[Оборудование2013]))</f>
        <v>0</v>
      </c>
      <c r="W130" s="63">
        <f>IF($B$4="в базовых ценах",калькулятор!N135,AB130*SUMPRODUCT(($B$2=Таблица2[Филиал])*($B$3=Таблица2[ФЕР/ТЕР])*(F130=Таблица2[Наименование работ])*(G130=Таблица2[ТПиР/НСиР])/Таблица2[Прочие3]))</f>
        <v>0</v>
      </c>
      <c r="X130" s="63">
        <f>IF($B$4="в текущих ценах",калькулятор!J135,S130*SUMPRODUCT(($B$2=Таблица2[Филиал])*($B$3=Таблица2[ФЕР/ТЕР])*(F130=Таблица2[Наименование работ])*(G130=Таблица2[ТПиР/НСиР])*Таблица2[ПИР2013]))</f>
        <v>0</v>
      </c>
      <c r="Y130" s="63">
        <f>IF($B$4="в текущих ценах",калькулятор!K135,T130*SUMPRODUCT(($B$2=Таблица2[Филиал])*($B$3=Таблица2[ФЕР/ТЕР])*(F130=Таблица2[Наименование работ])*(G130=Таблица2[ТПиР/НСиР])*Таблица2[СМР2013]))</f>
        <v>0</v>
      </c>
      <c r="Z130" s="63">
        <f>IF($B$4="в текущих ценах",калькулятор!L135,U130*SUMPRODUCT(($B$2=Таблица2[Филиал])*($B$3=Таблица2[ФЕР/ТЕР])*(F130=Таблица2[Наименование работ])*(G130=Таблица2[ТПиР/НСиР])*Таблица2[ПНР2013]))</f>
        <v>0</v>
      </c>
      <c r="AA130" s="63">
        <f>IF($B$4="в текущих ценах",калькулятор!M135,V130*SUMPRODUCT(($B$2=Таблица2[Филиал])*($B$3=Таблица2[ФЕР/ТЕР])*(F130=Таблица2[Наименование работ])*(G130=Таблица2[ТПиР/НСиР])*Таблица2[Оборудование2013]))</f>
        <v>0</v>
      </c>
      <c r="AB130" s="63">
        <f>IF($B$4="в текущих ценах",калькулятор!N135,W130*SUMPRODUCT(($B$2=Таблица2[Филиал])*($B$3=Таблица2[ФЕР/ТЕР])*(F130=Таблица2[Наименование работ])*(G130=Таблица2[ТПиР/НСиР])*Таблица2[Прочие3]))</f>
        <v>0</v>
      </c>
      <c r="AC130" s="63">
        <f>SUM(данные!$I130:$M130)</f>
        <v>0</v>
      </c>
      <c r="AD130" s="63">
        <f>IF(SUM(данные!$N130:$R130)&gt;данные!$AF130,данные!$AF130*0.9*1.058,SUM(данные!$N130:$R130))</f>
        <v>0</v>
      </c>
      <c r="AE130" s="63">
        <f>SUM(данные!$S130:$W130)</f>
        <v>0</v>
      </c>
      <c r="AF130" s="63">
        <f>SUM(данные!$X130:$AB130)</f>
        <v>0</v>
      </c>
      <c r="AG130" s="63">
        <f>IF($B$4="в текущих ценах",S130*SUMPRODUCT(($B$2=Таблица2[Филиал])*($B$3=Таблица2[ФЕР/ТЕР])*(F130=Таблица2[Наименование работ])*(G130=Таблица2[ТПиР/НСиР])*Таблица2[ПИР2012]),S130*SUMPRODUCT(($B$2=Таблица2[Филиал])*($B$3=Таблица2[ФЕР/ТЕР])*(F130=Таблица2[Наименование работ])*(G130=Таблица2[ТПиР/НСиР])*Таблица2[ПИР2012]))</f>
        <v>0</v>
      </c>
      <c r="AH130" s="63">
        <f>IF($B$4="в текущих ценах",T130*SUMPRODUCT(($B$2=Таблица2[Филиал])*($B$3=Таблица2[ФЕР/ТЕР])*(F130=Таблица2[Наименование работ])*(G130=Таблица2[ТПиР/НСиР])*Таблица2[СМР2012]),T130*SUMPRODUCT(($B$2=Таблица2[Филиал])*($B$3=Таблица2[ФЕР/ТЕР])*(F130=Таблица2[Наименование работ])*(G130=Таблица2[ТПиР/НСиР])*Таблица2[СМР2012]))</f>
        <v>0</v>
      </c>
      <c r="AI130" s="63">
        <f>IF($B$4="в текущих ценах",U130*SUMPRODUCT(($B$2=Таблица2[Филиал])*($B$3=Таблица2[ФЕР/ТЕР])*(F130=Таблица2[Наименование работ])*(G130=Таблица2[ТПиР/НСиР])*Таблица2[ПНР2012]),U130*SUMPRODUCT(($B$2=Таблица2[Филиал])*($B$3=Таблица2[ФЕР/ТЕР])*(F130=Таблица2[Наименование работ])*(G130=Таблица2[ТПиР/НСиР])*Таблица2[ПНР2012]))</f>
        <v>0</v>
      </c>
      <c r="AJ130" s="63">
        <f>IF($B$4="в текущих ценах",V130*SUMPRODUCT(($B$2=Таблица2[Филиал])*($B$3=Таблица2[ФЕР/ТЕР])*(F130=Таблица2[Наименование работ])*(G130=Таблица2[ТПиР/НСиР])*Таблица2[Оборудование2012]),V130*SUMPRODUCT(($B$2=Таблица2[Филиал])*($B$3=Таблица2[ФЕР/ТЕР])*(F130=Таблица2[Наименование работ])*(G130=Таблица2[ТПиР/НСиР])*Таблица2[Оборудование2012]))</f>
        <v>0</v>
      </c>
      <c r="AK130" s="63">
        <f>IF($B$4="в текущих ценах",W130*SUMPRODUCT(($B$2=Таблица2[Филиал])*($B$3=Таблица2[ФЕР/ТЕР])*(F130=Таблица2[Наименование работ])*(G130=Таблица2[ТПиР/НСиР])*Таблица2[Прочее2012]),W130*SUMPRODUCT(($B$2=Таблица2[Филиал])*($B$3=Таблица2[ФЕР/ТЕР])*(F130=Таблица2[Наименование работ])*(G130=Таблица2[ТПиР/НСиР])*Таблица2[Прочее2012]))</f>
        <v>0</v>
      </c>
      <c r="AL130" s="63">
        <f>данные!$X130+данные!$Y130+данные!$Z130+данные!$AA130+данные!$AB130</f>
        <v>0</v>
      </c>
      <c r="AM130" s="63">
        <v>1.03639035</v>
      </c>
      <c r="AN130" s="63">
        <v>1.0114049394</v>
      </c>
      <c r="AO130" s="63">
        <v>0.98210394336149998</v>
      </c>
      <c r="AP130" s="63">
        <v>0.93762413895893393</v>
      </c>
      <c r="AQ130" s="63"/>
      <c r="AR130" s="63"/>
      <c r="AS130" s="64"/>
      <c r="AU130" s="66">
        <f t="shared" si="6"/>
        <v>0</v>
      </c>
      <c r="AX130" s="66">
        <f t="shared" si="7"/>
        <v>0</v>
      </c>
      <c r="AY130" s="66">
        <f t="shared" si="8"/>
        <v>0</v>
      </c>
      <c r="AZ130" s="66">
        <f t="shared" si="9"/>
        <v>0</v>
      </c>
      <c r="BA130" s="66">
        <f t="shared" si="10"/>
        <v>0</v>
      </c>
      <c r="BB130" s="66">
        <f t="shared" si="11"/>
        <v>0</v>
      </c>
    </row>
    <row r="131" spans="4:54" x14ac:dyDescent="0.25">
      <c r="D131" s="62">
        <f>калькулятор!C136</f>
        <v>0</v>
      </c>
      <c r="E131" s="62">
        <f>калькулятор!F136</f>
        <v>0</v>
      </c>
      <c r="F131" s="62">
        <f>калькулятор!G136</f>
        <v>0</v>
      </c>
      <c r="G131" s="62">
        <f>калькулятор!H136</f>
        <v>0</v>
      </c>
      <c r="H131" s="62">
        <f>калькулятор!I136</f>
        <v>0</v>
      </c>
      <c r="I131" s="63">
        <f>S131*SUMPRODUCT(($B$2=Таблица2[Филиал])*($B$3=Таблица2[ФЕР/ТЕР])*(F131=Таблица2[Наименование работ])*(G131=Таблица2[ТПиР/НСиР])*Таблица2[ПИР2010])</f>
        <v>0</v>
      </c>
      <c r="J131" s="63">
        <f>T131*SUMPRODUCT(($B$2=Таблица2[Филиал])*($B$3=Таблица2[ФЕР/ТЕР])*(F131=Таблица2[Наименование работ])*(G131=Таблица2[ТПиР/НСиР])*Таблица2[СМР2010])</f>
        <v>0</v>
      </c>
      <c r="K131" s="63">
        <f>U131*SUMPRODUCT(($B$2=Таблица2[Филиал])*($B$3=Таблица2[ФЕР/ТЕР])*(F131=Таблица2[Наименование работ])*(G131=Таблица2[ТПиР/НСиР])*Таблица2[ПНР2010])</f>
        <v>0</v>
      </c>
      <c r="L131" s="63">
        <f>V131*SUMPRODUCT(($B$2=Таблица2[Филиал])*($B$3=Таблица2[ФЕР/ТЕР])*(F131=Таблица2[Наименование работ])*(G131=Таблица2[ТПиР/НСиР])*Таблица2[Оборудование2010])</f>
        <v>0</v>
      </c>
      <c r="M131" s="63">
        <f>W131*SUMPRODUCT(($B$2=Таблица2[Филиал])*($B$3=Таблица2[ФЕР/ТЕР])*(F131=Таблица2[Наименование работ])*(G131=Таблица2[ТПиР/НСиР])*Таблица2[Прочие2010])</f>
        <v>0</v>
      </c>
      <c r="N131" s="63">
        <f>S131*SUMPRODUCT(($B$2=Таблица2[Филиал])*($B$3=Таблица2[ФЕР/ТЕР])*(F131=Таблица2[Наименование работ])*(G131=Таблица2[ТПиР/НСиР])*Таблица2[ПИР2013-10])</f>
        <v>0</v>
      </c>
      <c r="O131" s="63">
        <f>T131*SUMPRODUCT(($B$2=Таблица2[Филиал])*($B$3=Таблица2[ФЕР/ТЕР])*(F131=Таблица2[Наименование работ])*(G131=Таблица2[ТПиР/НСиР])*Таблица2[СМР2013-10])</f>
        <v>0</v>
      </c>
      <c r="P131" s="63">
        <f>U131*SUMPRODUCT(($B$2=Таблица2[Филиал])*($B$3=Таблица2[ФЕР/ТЕР])*(F131=Таблица2[Наименование работ])*(G131=Таблица2[ТПиР/НСиР])*Таблица2[ПНР2013-10])</f>
        <v>0</v>
      </c>
      <c r="Q131" s="63">
        <f>V131*SUMPRODUCT(($B$2=Таблица2[Филиал])*($B$3=Таблица2[ФЕР/ТЕР])*(F131=Таблица2[Наименование работ])*(G131=Таблица2[ТПиР/НСиР])*Таблица2[Оборудование2013-10])</f>
        <v>0</v>
      </c>
      <c r="R131" s="63">
        <f>W131*SUMPRODUCT(($B$2=Таблица2[Филиал])*($B$3=Таблица2[ФЕР/ТЕР])*(F131=Таблица2[Наименование работ])*(G131=Таблица2[ТПиР/НСиР])*Таблица2[Прочие2013-10])</f>
        <v>0</v>
      </c>
      <c r="S131" s="63">
        <f>IF($B$4="в базовых ценах",калькулятор!J136,X131*SUMPRODUCT(($B$2=Таблица2[Филиал])*($B$3=Таблица2[ФЕР/ТЕР])*(F131=Таблица2[Наименование работ])*(G131=Таблица2[ТПиР/НСиР])/Таблица2[ПИР2013]))</f>
        <v>0</v>
      </c>
      <c r="T131" s="63">
        <f>IF($B$4="в базовых ценах",калькулятор!K136,Y131*SUMPRODUCT(($B$2=Таблица2[Филиал])*($B$3=Таблица2[ФЕР/ТЕР])*(F131=Таблица2[Наименование работ])*(G131=Таблица2[ТПиР/НСиР])/Таблица2[СМР2013]))</f>
        <v>0</v>
      </c>
      <c r="U131" s="63">
        <f>IF($B$4="в базовых ценах",калькулятор!L136,Z131*SUMPRODUCT(($B$2=Таблица2[Филиал])*($B$3=Таблица2[ФЕР/ТЕР])*(F131=Таблица2[Наименование работ])*(G131=Таблица2[ТПиР/НСиР])/Таблица2[ПНР2013]))</f>
        <v>0</v>
      </c>
      <c r="V131" s="63">
        <f>IF($B$4="в базовых ценах",калькулятор!M136,AA131*SUMPRODUCT(($B$2=Таблица2[Филиал])*($B$3=Таблица2[ФЕР/ТЕР])*(F131=Таблица2[Наименование работ])*(G131=Таблица2[ТПиР/НСиР])/Таблица2[Оборудование2013]))</f>
        <v>0</v>
      </c>
      <c r="W131" s="63">
        <f>IF($B$4="в базовых ценах",калькулятор!N136,AB131*SUMPRODUCT(($B$2=Таблица2[Филиал])*($B$3=Таблица2[ФЕР/ТЕР])*(F131=Таблица2[Наименование работ])*(G131=Таблица2[ТПиР/НСиР])/Таблица2[Прочие3]))</f>
        <v>0</v>
      </c>
      <c r="X131" s="63">
        <f>IF($B$4="в текущих ценах",калькулятор!J136,S131*SUMPRODUCT(($B$2=Таблица2[Филиал])*($B$3=Таблица2[ФЕР/ТЕР])*(F131=Таблица2[Наименование работ])*(G131=Таблица2[ТПиР/НСиР])*Таблица2[ПИР2013]))</f>
        <v>0</v>
      </c>
      <c r="Y131" s="63">
        <f>IF($B$4="в текущих ценах",калькулятор!K136,T131*SUMPRODUCT(($B$2=Таблица2[Филиал])*($B$3=Таблица2[ФЕР/ТЕР])*(F131=Таблица2[Наименование работ])*(G131=Таблица2[ТПиР/НСиР])*Таблица2[СМР2013]))</f>
        <v>0</v>
      </c>
      <c r="Z131" s="63">
        <f>IF($B$4="в текущих ценах",калькулятор!L136,U131*SUMPRODUCT(($B$2=Таблица2[Филиал])*($B$3=Таблица2[ФЕР/ТЕР])*(F131=Таблица2[Наименование работ])*(G131=Таблица2[ТПиР/НСиР])*Таблица2[ПНР2013]))</f>
        <v>0</v>
      </c>
      <c r="AA131" s="63">
        <f>IF($B$4="в текущих ценах",калькулятор!M136,V131*SUMPRODUCT(($B$2=Таблица2[Филиал])*($B$3=Таблица2[ФЕР/ТЕР])*(F131=Таблица2[Наименование работ])*(G131=Таблица2[ТПиР/НСиР])*Таблица2[Оборудование2013]))</f>
        <v>0</v>
      </c>
      <c r="AB131" s="63">
        <f>IF($B$4="в текущих ценах",калькулятор!N136,W131*SUMPRODUCT(($B$2=Таблица2[Филиал])*($B$3=Таблица2[ФЕР/ТЕР])*(F131=Таблица2[Наименование работ])*(G131=Таблица2[ТПиР/НСиР])*Таблица2[Прочие3]))</f>
        <v>0</v>
      </c>
      <c r="AC131" s="63">
        <f>SUM(данные!$I131:$M131)</f>
        <v>0</v>
      </c>
      <c r="AD131" s="63">
        <f>IF(SUM(данные!$N131:$R131)&gt;данные!$AF131,данные!$AF131*0.9*1.058,SUM(данные!$N131:$R131))</f>
        <v>0</v>
      </c>
      <c r="AE131" s="63">
        <f>SUM(данные!$S131:$W131)</f>
        <v>0</v>
      </c>
      <c r="AF131" s="63">
        <f>SUM(данные!$X131:$AB131)</f>
        <v>0</v>
      </c>
      <c r="AG131" s="63">
        <f>IF($B$4="в текущих ценах",S131*SUMPRODUCT(($B$2=Таблица2[Филиал])*($B$3=Таблица2[ФЕР/ТЕР])*(F131=Таблица2[Наименование работ])*(G131=Таблица2[ТПиР/НСиР])*Таблица2[ПИР2012]),S131*SUMPRODUCT(($B$2=Таблица2[Филиал])*($B$3=Таблица2[ФЕР/ТЕР])*(F131=Таблица2[Наименование работ])*(G131=Таблица2[ТПиР/НСиР])*Таблица2[ПИР2012]))</f>
        <v>0</v>
      </c>
      <c r="AH131" s="63">
        <f>IF($B$4="в текущих ценах",T131*SUMPRODUCT(($B$2=Таблица2[Филиал])*($B$3=Таблица2[ФЕР/ТЕР])*(F131=Таблица2[Наименование работ])*(G131=Таблица2[ТПиР/НСиР])*Таблица2[СМР2012]),T131*SUMPRODUCT(($B$2=Таблица2[Филиал])*($B$3=Таблица2[ФЕР/ТЕР])*(F131=Таблица2[Наименование работ])*(G131=Таблица2[ТПиР/НСиР])*Таблица2[СМР2012]))</f>
        <v>0</v>
      </c>
      <c r="AI131" s="63">
        <f>IF($B$4="в текущих ценах",U131*SUMPRODUCT(($B$2=Таблица2[Филиал])*($B$3=Таблица2[ФЕР/ТЕР])*(F131=Таблица2[Наименование работ])*(G131=Таблица2[ТПиР/НСиР])*Таблица2[ПНР2012]),U131*SUMPRODUCT(($B$2=Таблица2[Филиал])*($B$3=Таблица2[ФЕР/ТЕР])*(F131=Таблица2[Наименование работ])*(G131=Таблица2[ТПиР/НСиР])*Таблица2[ПНР2012]))</f>
        <v>0</v>
      </c>
      <c r="AJ131" s="63">
        <f>IF($B$4="в текущих ценах",V131*SUMPRODUCT(($B$2=Таблица2[Филиал])*($B$3=Таблица2[ФЕР/ТЕР])*(F131=Таблица2[Наименование работ])*(G131=Таблица2[ТПиР/НСиР])*Таблица2[Оборудование2012]),V131*SUMPRODUCT(($B$2=Таблица2[Филиал])*($B$3=Таблица2[ФЕР/ТЕР])*(F131=Таблица2[Наименование работ])*(G131=Таблица2[ТПиР/НСиР])*Таблица2[Оборудование2012]))</f>
        <v>0</v>
      </c>
      <c r="AK131" s="63">
        <f>IF($B$4="в текущих ценах",W131*SUMPRODUCT(($B$2=Таблица2[Филиал])*($B$3=Таблица2[ФЕР/ТЕР])*(F131=Таблица2[Наименование работ])*(G131=Таблица2[ТПиР/НСиР])*Таблица2[Прочее2012]),W131*SUMPRODUCT(($B$2=Таблица2[Филиал])*($B$3=Таблица2[ФЕР/ТЕР])*(F131=Таблица2[Наименование работ])*(G131=Таблица2[ТПиР/НСиР])*Таблица2[Прочее2012]))</f>
        <v>0</v>
      </c>
      <c r="AL131" s="63">
        <f>данные!$X131+данные!$Y131+данные!$Z131+данные!$AA131+данные!$AB131</f>
        <v>0</v>
      </c>
      <c r="AM131" s="63">
        <v>1.03639035</v>
      </c>
      <c r="AN131" s="63">
        <v>1.0114049394</v>
      </c>
      <c r="AO131" s="63">
        <v>0.98210394336149998</v>
      </c>
      <c r="AP131" s="63">
        <v>0.93762413895893393</v>
      </c>
      <c r="AQ131" s="63"/>
      <c r="AR131" s="63"/>
      <c r="AS131" s="64"/>
      <c r="AU131" s="66">
        <f t="shared" si="6"/>
        <v>0</v>
      </c>
      <c r="AX131" s="66">
        <f t="shared" si="7"/>
        <v>0</v>
      </c>
      <c r="AY131" s="66">
        <f t="shared" si="8"/>
        <v>0</v>
      </c>
      <c r="AZ131" s="66">
        <f t="shared" si="9"/>
        <v>0</v>
      </c>
      <c r="BA131" s="66">
        <f t="shared" si="10"/>
        <v>0</v>
      </c>
      <c r="BB131" s="66">
        <f t="shared" si="11"/>
        <v>0</v>
      </c>
    </row>
    <row r="132" spans="4:54" x14ac:dyDescent="0.25">
      <c r="D132" s="62">
        <f>калькулятор!C137</f>
        <v>0</v>
      </c>
      <c r="E132" s="62">
        <f>калькулятор!F137</f>
        <v>0</v>
      </c>
      <c r="F132" s="62">
        <f>калькулятор!G137</f>
        <v>0</v>
      </c>
      <c r="G132" s="62">
        <f>калькулятор!H137</f>
        <v>0</v>
      </c>
      <c r="H132" s="62">
        <f>калькулятор!I137</f>
        <v>0</v>
      </c>
      <c r="I132" s="63">
        <f>S132*SUMPRODUCT(($B$2=Таблица2[Филиал])*($B$3=Таблица2[ФЕР/ТЕР])*(F132=Таблица2[Наименование работ])*(G132=Таблица2[ТПиР/НСиР])*Таблица2[ПИР2010])</f>
        <v>0</v>
      </c>
      <c r="J132" s="63">
        <f>T132*SUMPRODUCT(($B$2=Таблица2[Филиал])*($B$3=Таблица2[ФЕР/ТЕР])*(F132=Таблица2[Наименование работ])*(G132=Таблица2[ТПиР/НСиР])*Таблица2[СМР2010])</f>
        <v>0</v>
      </c>
      <c r="K132" s="63">
        <f>U132*SUMPRODUCT(($B$2=Таблица2[Филиал])*($B$3=Таблица2[ФЕР/ТЕР])*(F132=Таблица2[Наименование работ])*(G132=Таблица2[ТПиР/НСиР])*Таблица2[ПНР2010])</f>
        <v>0</v>
      </c>
      <c r="L132" s="63">
        <f>V132*SUMPRODUCT(($B$2=Таблица2[Филиал])*($B$3=Таблица2[ФЕР/ТЕР])*(F132=Таблица2[Наименование работ])*(G132=Таблица2[ТПиР/НСиР])*Таблица2[Оборудование2010])</f>
        <v>0</v>
      </c>
      <c r="M132" s="63">
        <f>W132*SUMPRODUCT(($B$2=Таблица2[Филиал])*($B$3=Таблица2[ФЕР/ТЕР])*(F132=Таблица2[Наименование работ])*(G132=Таблица2[ТПиР/НСиР])*Таблица2[Прочие2010])</f>
        <v>0</v>
      </c>
      <c r="N132" s="63">
        <f>S132*SUMPRODUCT(($B$2=Таблица2[Филиал])*($B$3=Таблица2[ФЕР/ТЕР])*(F132=Таблица2[Наименование работ])*(G132=Таблица2[ТПиР/НСиР])*Таблица2[ПИР2013-10])</f>
        <v>0</v>
      </c>
      <c r="O132" s="63">
        <f>T132*SUMPRODUCT(($B$2=Таблица2[Филиал])*($B$3=Таблица2[ФЕР/ТЕР])*(F132=Таблица2[Наименование работ])*(G132=Таблица2[ТПиР/НСиР])*Таблица2[СМР2013-10])</f>
        <v>0</v>
      </c>
      <c r="P132" s="63">
        <f>U132*SUMPRODUCT(($B$2=Таблица2[Филиал])*($B$3=Таблица2[ФЕР/ТЕР])*(F132=Таблица2[Наименование работ])*(G132=Таблица2[ТПиР/НСиР])*Таблица2[ПНР2013-10])</f>
        <v>0</v>
      </c>
      <c r="Q132" s="63">
        <f>V132*SUMPRODUCT(($B$2=Таблица2[Филиал])*($B$3=Таблица2[ФЕР/ТЕР])*(F132=Таблица2[Наименование работ])*(G132=Таблица2[ТПиР/НСиР])*Таблица2[Оборудование2013-10])</f>
        <v>0</v>
      </c>
      <c r="R132" s="63">
        <f>W132*SUMPRODUCT(($B$2=Таблица2[Филиал])*($B$3=Таблица2[ФЕР/ТЕР])*(F132=Таблица2[Наименование работ])*(G132=Таблица2[ТПиР/НСиР])*Таблица2[Прочие2013-10])</f>
        <v>0</v>
      </c>
      <c r="S132" s="63">
        <f>IF($B$4="в базовых ценах",калькулятор!J137,X132*SUMPRODUCT(($B$2=Таблица2[Филиал])*($B$3=Таблица2[ФЕР/ТЕР])*(F132=Таблица2[Наименование работ])*(G132=Таблица2[ТПиР/НСиР])/Таблица2[ПИР2013]))</f>
        <v>0</v>
      </c>
      <c r="T132" s="63">
        <f>IF($B$4="в базовых ценах",калькулятор!K137,Y132*SUMPRODUCT(($B$2=Таблица2[Филиал])*($B$3=Таблица2[ФЕР/ТЕР])*(F132=Таблица2[Наименование работ])*(G132=Таблица2[ТПиР/НСиР])/Таблица2[СМР2013]))</f>
        <v>0</v>
      </c>
      <c r="U132" s="63">
        <f>IF($B$4="в базовых ценах",калькулятор!L137,Z132*SUMPRODUCT(($B$2=Таблица2[Филиал])*($B$3=Таблица2[ФЕР/ТЕР])*(F132=Таблица2[Наименование работ])*(G132=Таблица2[ТПиР/НСиР])/Таблица2[ПНР2013]))</f>
        <v>0</v>
      </c>
      <c r="V132" s="63">
        <f>IF($B$4="в базовых ценах",калькулятор!M137,AA132*SUMPRODUCT(($B$2=Таблица2[Филиал])*($B$3=Таблица2[ФЕР/ТЕР])*(F132=Таблица2[Наименование работ])*(G132=Таблица2[ТПиР/НСиР])/Таблица2[Оборудование2013]))</f>
        <v>0</v>
      </c>
      <c r="W132" s="63">
        <f>IF($B$4="в базовых ценах",калькулятор!N137,AB132*SUMPRODUCT(($B$2=Таблица2[Филиал])*($B$3=Таблица2[ФЕР/ТЕР])*(F132=Таблица2[Наименование работ])*(G132=Таблица2[ТПиР/НСиР])/Таблица2[Прочие3]))</f>
        <v>0</v>
      </c>
      <c r="X132" s="63">
        <f>IF($B$4="в текущих ценах",калькулятор!J137,S132*SUMPRODUCT(($B$2=Таблица2[Филиал])*($B$3=Таблица2[ФЕР/ТЕР])*(F132=Таблица2[Наименование работ])*(G132=Таблица2[ТПиР/НСиР])*Таблица2[ПИР2013]))</f>
        <v>0</v>
      </c>
      <c r="Y132" s="63">
        <f>IF($B$4="в текущих ценах",калькулятор!K137,T132*SUMPRODUCT(($B$2=Таблица2[Филиал])*($B$3=Таблица2[ФЕР/ТЕР])*(F132=Таблица2[Наименование работ])*(G132=Таблица2[ТПиР/НСиР])*Таблица2[СМР2013]))</f>
        <v>0</v>
      </c>
      <c r="Z132" s="63">
        <f>IF($B$4="в текущих ценах",калькулятор!L137,U132*SUMPRODUCT(($B$2=Таблица2[Филиал])*($B$3=Таблица2[ФЕР/ТЕР])*(F132=Таблица2[Наименование работ])*(G132=Таблица2[ТПиР/НСиР])*Таблица2[ПНР2013]))</f>
        <v>0</v>
      </c>
      <c r="AA132" s="63">
        <f>IF($B$4="в текущих ценах",калькулятор!M137,V132*SUMPRODUCT(($B$2=Таблица2[Филиал])*($B$3=Таблица2[ФЕР/ТЕР])*(F132=Таблица2[Наименование работ])*(G132=Таблица2[ТПиР/НСиР])*Таблица2[Оборудование2013]))</f>
        <v>0</v>
      </c>
      <c r="AB132" s="63">
        <f>IF($B$4="в текущих ценах",калькулятор!N137,W132*SUMPRODUCT(($B$2=Таблица2[Филиал])*($B$3=Таблица2[ФЕР/ТЕР])*(F132=Таблица2[Наименование работ])*(G132=Таблица2[ТПиР/НСиР])*Таблица2[Прочие3]))</f>
        <v>0</v>
      </c>
      <c r="AC132" s="63">
        <f>SUM(данные!$I132:$M132)</f>
        <v>0</v>
      </c>
      <c r="AD132" s="63">
        <f>IF(SUM(данные!$N132:$R132)&gt;данные!$AF132,данные!$AF132*0.9*1.058,SUM(данные!$N132:$R132))</f>
        <v>0</v>
      </c>
      <c r="AE132" s="63">
        <f>SUM(данные!$S132:$W132)</f>
        <v>0</v>
      </c>
      <c r="AF132" s="63">
        <f>SUM(данные!$X132:$AB132)</f>
        <v>0</v>
      </c>
      <c r="AG132" s="63">
        <f>IF($B$4="в текущих ценах",S132*SUMPRODUCT(($B$2=Таблица2[Филиал])*($B$3=Таблица2[ФЕР/ТЕР])*(F132=Таблица2[Наименование работ])*(G132=Таблица2[ТПиР/НСиР])*Таблица2[ПИР2012]),S132*SUMPRODUCT(($B$2=Таблица2[Филиал])*($B$3=Таблица2[ФЕР/ТЕР])*(F132=Таблица2[Наименование работ])*(G132=Таблица2[ТПиР/НСиР])*Таблица2[ПИР2012]))</f>
        <v>0</v>
      </c>
      <c r="AH132" s="63">
        <f>IF($B$4="в текущих ценах",T132*SUMPRODUCT(($B$2=Таблица2[Филиал])*($B$3=Таблица2[ФЕР/ТЕР])*(F132=Таблица2[Наименование работ])*(G132=Таблица2[ТПиР/НСиР])*Таблица2[СМР2012]),T132*SUMPRODUCT(($B$2=Таблица2[Филиал])*($B$3=Таблица2[ФЕР/ТЕР])*(F132=Таблица2[Наименование работ])*(G132=Таблица2[ТПиР/НСиР])*Таблица2[СМР2012]))</f>
        <v>0</v>
      </c>
      <c r="AI132" s="63">
        <f>IF($B$4="в текущих ценах",U132*SUMPRODUCT(($B$2=Таблица2[Филиал])*($B$3=Таблица2[ФЕР/ТЕР])*(F132=Таблица2[Наименование работ])*(G132=Таблица2[ТПиР/НСиР])*Таблица2[ПНР2012]),U132*SUMPRODUCT(($B$2=Таблица2[Филиал])*($B$3=Таблица2[ФЕР/ТЕР])*(F132=Таблица2[Наименование работ])*(G132=Таблица2[ТПиР/НСиР])*Таблица2[ПНР2012]))</f>
        <v>0</v>
      </c>
      <c r="AJ132" s="63">
        <f>IF($B$4="в текущих ценах",V132*SUMPRODUCT(($B$2=Таблица2[Филиал])*($B$3=Таблица2[ФЕР/ТЕР])*(F132=Таблица2[Наименование работ])*(G132=Таблица2[ТПиР/НСиР])*Таблица2[Оборудование2012]),V132*SUMPRODUCT(($B$2=Таблица2[Филиал])*($B$3=Таблица2[ФЕР/ТЕР])*(F132=Таблица2[Наименование работ])*(G132=Таблица2[ТПиР/НСиР])*Таблица2[Оборудование2012]))</f>
        <v>0</v>
      </c>
      <c r="AK132" s="63">
        <f>IF($B$4="в текущих ценах",W132*SUMPRODUCT(($B$2=Таблица2[Филиал])*($B$3=Таблица2[ФЕР/ТЕР])*(F132=Таблица2[Наименование работ])*(G132=Таблица2[ТПиР/НСиР])*Таблица2[Прочее2012]),W132*SUMPRODUCT(($B$2=Таблица2[Филиал])*($B$3=Таблица2[ФЕР/ТЕР])*(F132=Таблица2[Наименование работ])*(G132=Таблица2[ТПиР/НСиР])*Таблица2[Прочее2012]))</f>
        <v>0</v>
      </c>
      <c r="AL132" s="63">
        <f>данные!$X132+данные!$Y132+данные!$Z132+данные!$AA132+данные!$AB132</f>
        <v>0</v>
      </c>
      <c r="AM132" s="63">
        <v>1.03639035</v>
      </c>
      <c r="AN132" s="63">
        <v>1.0114049394</v>
      </c>
      <c r="AO132" s="63">
        <v>0.98210394336149998</v>
      </c>
      <c r="AP132" s="63">
        <v>0.93762413895893393</v>
      </c>
      <c r="AQ132" s="63"/>
      <c r="AR132" s="63"/>
      <c r="AS132" s="64"/>
      <c r="AU132" s="66">
        <f t="shared" ref="AU132:AU195" si="12">AG132+AH132+AI132+AJ132+AK132</f>
        <v>0</v>
      </c>
      <c r="AX132" s="66">
        <f t="shared" ref="AX132:AX195" si="13">IF(SUM(N132:R132)&gt;SUM(X132:AB132),X132*0.9*1.058,N132)</f>
        <v>0</v>
      </c>
      <c r="AY132" s="66">
        <f t="shared" ref="AY132:AY195" si="14">IF(SUM(N132:R132)&gt;SUM(X132:AB132),Y132*0.9*1.058,O132)</f>
        <v>0</v>
      </c>
      <c r="AZ132" s="66">
        <f t="shared" ref="AZ132:AZ195" si="15">IF(SUM(N132:R132)&gt;SUM(X132:AB132),Z132*0.9*1.058,P132)</f>
        <v>0</v>
      </c>
      <c r="BA132" s="66">
        <f t="shared" ref="BA132:BA195" si="16">IF(SUM(N132:R132)&gt;SUM(X132:AB132),AA132*0.9*1.058,Q132)</f>
        <v>0</v>
      </c>
      <c r="BB132" s="66">
        <f t="shared" ref="BB132:BB195" si="17">IF(SUM(N132:R132)&gt;SUM(X132:AB132),AB132*0.9*1.058,R132)</f>
        <v>0</v>
      </c>
    </row>
    <row r="133" spans="4:54" x14ac:dyDescent="0.25">
      <c r="D133" s="62">
        <f>калькулятор!C138</f>
        <v>0</v>
      </c>
      <c r="E133" s="62">
        <f>калькулятор!F138</f>
        <v>0</v>
      </c>
      <c r="F133" s="62">
        <f>калькулятор!G138</f>
        <v>0</v>
      </c>
      <c r="G133" s="62">
        <f>калькулятор!H138</f>
        <v>0</v>
      </c>
      <c r="H133" s="62">
        <f>калькулятор!I138</f>
        <v>0</v>
      </c>
      <c r="I133" s="63">
        <f>S133*SUMPRODUCT(($B$2=Таблица2[Филиал])*($B$3=Таблица2[ФЕР/ТЕР])*(F133=Таблица2[Наименование работ])*(G133=Таблица2[ТПиР/НСиР])*Таблица2[ПИР2010])</f>
        <v>0</v>
      </c>
      <c r="J133" s="63">
        <f>T133*SUMPRODUCT(($B$2=Таблица2[Филиал])*($B$3=Таблица2[ФЕР/ТЕР])*(F133=Таблица2[Наименование работ])*(G133=Таблица2[ТПиР/НСиР])*Таблица2[СМР2010])</f>
        <v>0</v>
      </c>
      <c r="K133" s="63">
        <f>U133*SUMPRODUCT(($B$2=Таблица2[Филиал])*($B$3=Таблица2[ФЕР/ТЕР])*(F133=Таблица2[Наименование работ])*(G133=Таблица2[ТПиР/НСиР])*Таблица2[ПНР2010])</f>
        <v>0</v>
      </c>
      <c r="L133" s="63">
        <f>V133*SUMPRODUCT(($B$2=Таблица2[Филиал])*($B$3=Таблица2[ФЕР/ТЕР])*(F133=Таблица2[Наименование работ])*(G133=Таблица2[ТПиР/НСиР])*Таблица2[Оборудование2010])</f>
        <v>0</v>
      </c>
      <c r="M133" s="63">
        <f>W133*SUMPRODUCT(($B$2=Таблица2[Филиал])*($B$3=Таблица2[ФЕР/ТЕР])*(F133=Таблица2[Наименование работ])*(G133=Таблица2[ТПиР/НСиР])*Таблица2[Прочие2010])</f>
        <v>0</v>
      </c>
      <c r="N133" s="63">
        <f>S133*SUMPRODUCT(($B$2=Таблица2[Филиал])*($B$3=Таблица2[ФЕР/ТЕР])*(F133=Таблица2[Наименование работ])*(G133=Таблица2[ТПиР/НСиР])*Таблица2[ПИР2013-10])</f>
        <v>0</v>
      </c>
      <c r="O133" s="63">
        <f>T133*SUMPRODUCT(($B$2=Таблица2[Филиал])*($B$3=Таблица2[ФЕР/ТЕР])*(F133=Таблица2[Наименование работ])*(G133=Таблица2[ТПиР/НСиР])*Таблица2[СМР2013-10])</f>
        <v>0</v>
      </c>
      <c r="P133" s="63">
        <f>U133*SUMPRODUCT(($B$2=Таблица2[Филиал])*($B$3=Таблица2[ФЕР/ТЕР])*(F133=Таблица2[Наименование работ])*(G133=Таблица2[ТПиР/НСиР])*Таблица2[ПНР2013-10])</f>
        <v>0</v>
      </c>
      <c r="Q133" s="63">
        <f>V133*SUMPRODUCT(($B$2=Таблица2[Филиал])*($B$3=Таблица2[ФЕР/ТЕР])*(F133=Таблица2[Наименование работ])*(G133=Таблица2[ТПиР/НСиР])*Таблица2[Оборудование2013-10])</f>
        <v>0</v>
      </c>
      <c r="R133" s="63">
        <f>W133*SUMPRODUCT(($B$2=Таблица2[Филиал])*($B$3=Таблица2[ФЕР/ТЕР])*(F133=Таблица2[Наименование работ])*(G133=Таблица2[ТПиР/НСиР])*Таблица2[Прочие2013-10])</f>
        <v>0</v>
      </c>
      <c r="S133" s="63">
        <f>IF($B$4="в базовых ценах",калькулятор!J138,X133*SUMPRODUCT(($B$2=Таблица2[Филиал])*($B$3=Таблица2[ФЕР/ТЕР])*(F133=Таблица2[Наименование работ])*(G133=Таблица2[ТПиР/НСиР])/Таблица2[ПИР2013]))</f>
        <v>0</v>
      </c>
      <c r="T133" s="63">
        <f>IF($B$4="в базовых ценах",калькулятор!K138,Y133*SUMPRODUCT(($B$2=Таблица2[Филиал])*($B$3=Таблица2[ФЕР/ТЕР])*(F133=Таблица2[Наименование работ])*(G133=Таблица2[ТПиР/НСиР])/Таблица2[СМР2013]))</f>
        <v>0</v>
      </c>
      <c r="U133" s="63">
        <f>IF($B$4="в базовых ценах",калькулятор!L138,Z133*SUMPRODUCT(($B$2=Таблица2[Филиал])*($B$3=Таблица2[ФЕР/ТЕР])*(F133=Таблица2[Наименование работ])*(G133=Таблица2[ТПиР/НСиР])/Таблица2[ПНР2013]))</f>
        <v>0</v>
      </c>
      <c r="V133" s="63">
        <f>IF($B$4="в базовых ценах",калькулятор!M138,AA133*SUMPRODUCT(($B$2=Таблица2[Филиал])*($B$3=Таблица2[ФЕР/ТЕР])*(F133=Таблица2[Наименование работ])*(G133=Таблица2[ТПиР/НСиР])/Таблица2[Оборудование2013]))</f>
        <v>0</v>
      </c>
      <c r="W133" s="63">
        <f>IF($B$4="в базовых ценах",калькулятор!N138,AB133*SUMPRODUCT(($B$2=Таблица2[Филиал])*($B$3=Таблица2[ФЕР/ТЕР])*(F133=Таблица2[Наименование работ])*(G133=Таблица2[ТПиР/НСиР])/Таблица2[Прочие3]))</f>
        <v>0</v>
      </c>
      <c r="X133" s="63">
        <f>IF($B$4="в текущих ценах",калькулятор!J138,S133*SUMPRODUCT(($B$2=Таблица2[Филиал])*($B$3=Таблица2[ФЕР/ТЕР])*(F133=Таблица2[Наименование работ])*(G133=Таблица2[ТПиР/НСиР])*Таблица2[ПИР2013]))</f>
        <v>0</v>
      </c>
      <c r="Y133" s="63">
        <f>IF($B$4="в текущих ценах",калькулятор!K138,T133*SUMPRODUCT(($B$2=Таблица2[Филиал])*($B$3=Таблица2[ФЕР/ТЕР])*(F133=Таблица2[Наименование работ])*(G133=Таблица2[ТПиР/НСиР])*Таблица2[СМР2013]))</f>
        <v>0</v>
      </c>
      <c r="Z133" s="63">
        <f>IF($B$4="в текущих ценах",калькулятор!L138,U133*SUMPRODUCT(($B$2=Таблица2[Филиал])*($B$3=Таблица2[ФЕР/ТЕР])*(F133=Таблица2[Наименование работ])*(G133=Таблица2[ТПиР/НСиР])*Таблица2[ПНР2013]))</f>
        <v>0</v>
      </c>
      <c r="AA133" s="63">
        <f>IF($B$4="в текущих ценах",калькулятор!M138,V133*SUMPRODUCT(($B$2=Таблица2[Филиал])*($B$3=Таблица2[ФЕР/ТЕР])*(F133=Таблица2[Наименование работ])*(G133=Таблица2[ТПиР/НСиР])*Таблица2[Оборудование2013]))</f>
        <v>0</v>
      </c>
      <c r="AB133" s="63">
        <f>IF($B$4="в текущих ценах",калькулятор!N138,W133*SUMPRODUCT(($B$2=Таблица2[Филиал])*($B$3=Таблица2[ФЕР/ТЕР])*(F133=Таблица2[Наименование работ])*(G133=Таблица2[ТПиР/НСиР])*Таблица2[Прочие3]))</f>
        <v>0</v>
      </c>
      <c r="AC133" s="63">
        <f>SUM(данные!$I133:$M133)</f>
        <v>0</v>
      </c>
      <c r="AD133" s="63">
        <f>IF(SUM(данные!$N133:$R133)&gt;данные!$AF133,данные!$AF133*0.9*1.058,SUM(данные!$N133:$R133))</f>
        <v>0</v>
      </c>
      <c r="AE133" s="63">
        <f>SUM(данные!$S133:$W133)</f>
        <v>0</v>
      </c>
      <c r="AF133" s="63">
        <f>SUM(данные!$X133:$AB133)</f>
        <v>0</v>
      </c>
      <c r="AG133" s="63">
        <f>IF($B$4="в текущих ценах",S133*SUMPRODUCT(($B$2=Таблица2[Филиал])*($B$3=Таблица2[ФЕР/ТЕР])*(F133=Таблица2[Наименование работ])*(G133=Таблица2[ТПиР/НСиР])*Таблица2[ПИР2012]),S133*SUMPRODUCT(($B$2=Таблица2[Филиал])*($B$3=Таблица2[ФЕР/ТЕР])*(F133=Таблица2[Наименование работ])*(G133=Таблица2[ТПиР/НСиР])*Таблица2[ПИР2012]))</f>
        <v>0</v>
      </c>
      <c r="AH133" s="63">
        <f>IF($B$4="в текущих ценах",T133*SUMPRODUCT(($B$2=Таблица2[Филиал])*($B$3=Таблица2[ФЕР/ТЕР])*(F133=Таблица2[Наименование работ])*(G133=Таблица2[ТПиР/НСиР])*Таблица2[СМР2012]),T133*SUMPRODUCT(($B$2=Таблица2[Филиал])*($B$3=Таблица2[ФЕР/ТЕР])*(F133=Таблица2[Наименование работ])*(G133=Таблица2[ТПиР/НСиР])*Таблица2[СМР2012]))</f>
        <v>0</v>
      </c>
      <c r="AI133" s="63">
        <f>IF($B$4="в текущих ценах",U133*SUMPRODUCT(($B$2=Таблица2[Филиал])*($B$3=Таблица2[ФЕР/ТЕР])*(F133=Таблица2[Наименование работ])*(G133=Таблица2[ТПиР/НСиР])*Таблица2[ПНР2012]),U133*SUMPRODUCT(($B$2=Таблица2[Филиал])*($B$3=Таблица2[ФЕР/ТЕР])*(F133=Таблица2[Наименование работ])*(G133=Таблица2[ТПиР/НСиР])*Таблица2[ПНР2012]))</f>
        <v>0</v>
      </c>
      <c r="AJ133" s="63">
        <f>IF($B$4="в текущих ценах",V133*SUMPRODUCT(($B$2=Таблица2[Филиал])*($B$3=Таблица2[ФЕР/ТЕР])*(F133=Таблица2[Наименование работ])*(G133=Таблица2[ТПиР/НСиР])*Таблица2[Оборудование2012]),V133*SUMPRODUCT(($B$2=Таблица2[Филиал])*($B$3=Таблица2[ФЕР/ТЕР])*(F133=Таблица2[Наименование работ])*(G133=Таблица2[ТПиР/НСиР])*Таблица2[Оборудование2012]))</f>
        <v>0</v>
      </c>
      <c r="AK133" s="63">
        <f>IF($B$4="в текущих ценах",W133*SUMPRODUCT(($B$2=Таблица2[Филиал])*($B$3=Таблица2[ФЕР/ТЕР])*(F133=Таблица2[Наименование работ])*(G133=Таблица2[ТПиР/НСиР])*Таблица2[Прочее2012]),W133*SUMPRODUCT(($B$2=Таблица2[Филиал])*($B$3=Таблица2[ФЕР/ТЕР])*(F133=Таблица2[Наименование работ])*(G133=Таблица2[ТПиР/НСиР])*Таблица2[Прочее2012]))</f>
        <v>0</v>
      </c>
      <c r="AL133" s="63">
        <f>данные!$X133+данные!$Y133+данные!$Z133+данные!$AA133+данные!$AB133</f>
        <v>0</v>
      </c>
      <c r="AM133" s="63">
        <v>1.03639035</v>
      </c>
      <c r="AN133" s="63">
        <v>1.0114049394</v>
      </c>
      <c r="AO133" s="63">
        <v>0.98210394336149998</v>
      </c>
      <c r="AP133" s="63">
        <v>0.93762413895893393</v>
      </c>
      <c r="AQ133" s="63"/>
      <c r="AR133" s="63"/>
      <c r="AS133" s="64"/>
      <c r="AU133" s="66">
        <f t="shared" si="12"/>
        <v>0</v>
      </c>
      <c r="AX133" s="66">
        <f t="shared" si="13"/>
        <v>0</v>
      </c>
      <c r="AY133" s="66">
        <f t="shared" si="14"/>
        <v>0</v>
      </c>
      <c r="AZ133" s="66">
        <f t="shared" si="15"/>
        <v>0</v>
      </c>
      <c r="BA133" s="66">
        <f t="shared" si="16"/>
        <v>0</v>
      </c>
      <c r="BB133" s="66">
        <f t="shared" si="17"/>
        <v>0</v>
      </c>
    </row>
    <row r="134" spans="4:54" x14ac:dyDescent="0.25">
      <c r="D134" s="62">
        <f>калькулятор!C139</f>
        <v>0</v>
      </c>
      <c r="E134" s="62">
        <f>калькулятор!F139</f>
        <v>0</v>
      </c>
      <c r="F134" s="62">
        <f>калькулятор!G139</f>
        <v>0</v>
      </c>
      <c r="G134" s="62">
        <f>калькулятор!H139</f>
        <v>0</v>
      </c>
      <c r="H134" s="62">
        <f>калькулятор!I139</f>
        <v>0</v>
      </c>
      <c r="I134" s="63">
        <f>S134*SUMPRODUCT(($B$2=Таблица2[Филиал])*($B$3=Таблица2[ФЕР/ТЕР])*(F134=Таблица2[Наименование работ])*(G134=Таблица2[ТПиР/НСиР])*Таблица2[ПИР2010])</f>
        <v>0</v>
      </c>
      <c r="J134" s="63">
        <f>T134*SUMPRODUCT(($B$2=Таблица2[Филиал])*($B$3=Таблица2[ФЕР/ТЕР])*(F134=Таблица2[Наименование работ])*(G134=Таблица2[ТПиР/НСиР])*Таблица2[СМР2010])</f>
        <v>0</v>
      </c>
      <c r="K134" s="63">
        <f>U134*SUMPRODUCT(($B$2=Таблица2[Филиал])*($B$3=Таблица2[ФЕР/ТЕР])*(F134=Таблица2[Наименование работ])*(G134=Таблица2[ТПиР/НСиР])*Таблица2[ПНР2010])</f>
        <v>0</v>
      </c>
      <c r="L134" s="63">
        <f>V134*SUMPRODUCT(($B$2=Таблица2[Филиал])*($B$3=Таблица2[ФЕР/ТЕР])*(F134=Таблица2[Наименование работ])*(G134=Таблица2[ТПиР/НСиР])*Таблица2[Оборудование2010])</f>
        <v>0</v>
      </c>
      <c r="M134" s="63">
        <f>W134*SUMPRODUCT(($B$2=Таблица2[Филиал])*($B$3=Таблица2[ФЕР/ТЕР])*(F134=Таблица2[Наименование работ])*(G134=Таблица2[ТПиР/НСиР])*Таблица2[Прочие2010])</f>
        <v>0</v>
      </c>
      <c r="N134" s="63">
        <f>S134*SUMPRODUCT(($B$2=Таблица2[Филиал])*($B$3=Таблица2[ФЕР/ТЕР])*(F134=Таблица2[Наименование работ])*(G134=Таблица2[ТПиР/НСиР])*Таблица2[ПИР2013-10])</f>
        <v>0</v>
      </c>
      <c r="O134" s="63">
        <f>T134*SUMPRODUCT(($B$2=Таблица2[Филиал])*($B$3=Таблица2[ФЕР/ТЕР])*(F134=Таблица2[Наименование работ])*(G134=Таблица2[ТПиР/НСиР])*Таблица2[СМР2013-10])</f>
        <v>0</v>
      </c>
      <c r="P134" s="63">
        <f>U134*SUMPRODUCT(($B$2=Таблица2[Филиал])*($B$3=Таблица2[ФЕР/ТЕР])*(F134=Таблица2[Наименование работ])*(G134=Таблица2[ТПиР/НСиР])*Таблица2[ПНР2013-10])</f>
        <v>0</v>
      </c>
      <c r="Q134" s="63">
        <f>V134*SUMPRODUCT(($B$2=Таблица2[Филиал])*($B$3=Таблица2[ФЕР/ТЕР])*(F134=Таблица2[Наименование работ])*(G134=Таблица2[ТПиР/НСиР])*Таблица2[Оборудование2013-10])</f>
        <v>0</v>
      </c>
      <c r="R134" s="63">
        <f>W134*SUMPRODUCT(($B$2=Таблица2[Филиал])*($B$3=Таблица2[ФЕР/ТЕР])*(F134=Таблица2[Наименование работ])*(G134=Таблица2[ТПиР/НСиР])*Таблица2[Прочие2013-10])</f>
        <v>0</v>
      </c>
      <c r="S134" s="63">
        <f>IF($B$4="в базовых ценах",калькулятор!J139,X134*SUMPRODUCT(($B$2=Таблица2[Филиал])*($B$3=Таблица2[ФЕР/ТЕР])*(F134=Таблица2[Наименование работ])*(G134=Таблица2[ТПиР/НСиР])/Таблица2[ПИР2013]))</f>
        <v>0</v>
      </c>
      <c r="T134" s="63">
        <f>IF($B$4="в базовых ценах",калькулятор!K139,Y134*SUMPRODUCT(($B$2=Таблица2[Филиал])*($B$3=Таблица2[ФЕР/ТЕР])*(F134=Таблица2[Наименование работ])*(G134=Таблица2[ТПиР/НСиР])/Таблица2[СМР2013]))</f>
        <v>0</v>
      </c>
      <c r="U134" s="63">
        <f>IF($B$4="в базовых ценах",калькулятор!L139,Z134*SUMPRODUCT(($B$2=Таблица2[Филиал])*($B$3=Таблица2[ФЕР/ТЕР])*(F134=Таблица2[Наименование работ])*(G134=Таблица2[ТПиР/НСиР])/Таблица2[ПНР2013]))</f>
        <v>0</v>
      </c>
      <c r="V134" s="63">
        <f>IF($B$4="в базовых ценах",калькулятор!M139,AA134*SUMPRODUCT(($B$2=Таблица2[Филиал])*($B$3=Таблица2[ФЕР/ТЕР])*(F134=Таблица2[Наименование работ])*(G134=Таблица2[ТПиР/НСиР])/Таблица2[Оборудование2013]))</f>
        <v>0</v>
      </c>
      <c r="W134" s="63">
        <f>IF($B$4="в базовых ценах",калькулятор!N139,AB134*SUMPRODUCT(($B$2=Таблица2[Филиал])*($B$3=Таблица2[ФЕР/ТЕР])*(F134=Таблица2[Наименование работ])*(G134=Таблица2[ТПиР/НСиР])/Таблица2[Прочие3]))</f>
        <v>0</v>
      </c>
      <c r="X134" s="63">
        <f>IF($B$4="в текущих ценах",калькулятор!J139,S134*SUMPRODUCT(($B$2=Таблица2[Филиал])*($B$3=Таблица2[ФЕР/ТЕР])*(F134=Таблица2[Наименование работ])*(G134=Таблица2[ТПиР/НСиР])*Таблица2[ПИР2013]))</f>
        <v>0</v>
      </c>
      <c r="Y134" s="63">
        <f>IF($B$4="в текущих ценах",калькулятор!K139,T134*SUMPRODUCT(($B$2=Таблица2[Филиал])*($B$3=Таблица2[ФЕР/ТЕР])*(F134=Таблица2[Наименование работ])*(G134=Таблица2[ТПиР/НСиР])*Таблица2[СМР2013]))</f>
        <v>0</v>
      </c>
      <c r="Z134" s="63">
        <f>IF($B$4="в текущих ценах",калькулятор!L139,U134*SUMPRODUCT(($B$2=Таблица2[Филиал])*($B$3=Таблица2[ФЕР/ТЕР])*(F134=Таблица2[Наименование работ])*(G134=Таблица2[ТПиР/НСиР])*Таблица2[ПНР2013]))</f>
        <v>0</v>
      </c>
      <c r="AA134" s="63">
        <f>IF($B$4="в текущих ценах",калькулятор!M139,V134*SUMPRODUCT(($B$2=Таблица2[Филиал])*($B$3=Таблица2[ФЕР/ТЕР])*(F134=Таблица2[Наименование работ])*(G134=Таблица2[ТПиР/НСиР])*Таблица2[Оборудование2013]))</f>
        <v>0</v>
      </c>
      <c r="AB134" s="63">
        <f>IF($B$4="в текущих ценах",калькулятор!N139,W134*SUMPRODUCT(($B$2=Таблица2[Филиал])*($B$3=Таблица2[ФЕР/ТЕР])*(F134=Таблица2[Наименование работ])*(G134=Таблица2[ТПиР/НСиР])*Таблица2[Прочие3]))</f>
        <v>0</v>
      </c>
      <c r="AC134" s="63">
        <f>SUM(данные!$I134:$M134)</f>
        <v>0</v>
      </c>
      <c r="AD134" s="63">
        <f>IF(SUM(данные!$N134:$R134)&gt;данные!$AF134,данные!$AF134*0.9*1.058,SUM(данные!$N134:$R134))</f>
        <v>0</v>
      </c>
      <c r="AE134" s="63">
        <f>SUM(данные!$S134:$W134)</f>
        <v>0</v>
      </c>
      <c r="AF134" s="63">
        <f>SUM(данные!$X134:$AB134)</f>
        <v>0</v>
      </c>
      <c r="AG134" s="63">
        <f>IF($B$4="в текущих ценах",S134*SUMPRODUCT(($B$2=Таблица2[Филиал])*($B$3=Таблица2[ФЕР/ТЕР])*(F134=Таблица2[Наименование работ])*(G134=Таблица2[ТПиР/НСиР])*Таблица2[ПИР2012]),S134*SUMPRODUCT(($B$2=Таблица2[Филиал])*($B$3=Таблица2[ФЕР/ТЕР])*(F134=Таблица2[Наименование работ])*(G134=Таблица2[ТПиР/НСиР])*Таблица2[ПИР2012]))</f>
        <v>0</v>
      </c>
      <c r="AH134" s="63">
        <f>IF($B$4="в текущих ценах",T134*SUMPRODUCT(($B$2=Таблица2[Филиал])*($B$3=Таблица2[ФЕР/ТЕР])*(F134=Таблица2[Наименование работ])*(G134=Таблица2[ТПиР/НСиР])*Таблица2[СМР2012]),T134*SUMPRODUCT(($B$2=Таблица2[Филиал])*($B$3=Таблица2[ФЕР/ТЕР])*(F134=Таблица2[Наименование работ])*(G134=Таблица2[ТПиР/НСиР])*Таблица2[СМР2012]))</f>
        <v>0</v>
      </c>
      <c r="AI134" s="63">
        <f>IF($B$4="в текущих ценах",U134*SUMPRODUCT(($B$2=Таблица2[Филиал])*($B$3=Таблица2[ФЕР/ТЕР])*(F134=Таблица2[Наименование работ])*(G134=Таблица2[ТПиР/НСиР])*Таблица2[ПНР2012]),U134*SUMPRODUCT(($B$2=Таблица2[Филиал])*($B$3=Таблица2[ФЕР/ТЕР])*(F134=Таблица2[Наименование работ])*(G134=Таблица2[ТПиР/НСиР])*Таблица2[ПНР2012]))</f>
        <v>0</v>
      </c>
      <c r="AJ134" s="63">
        <f>IF($B$4="в текущих ценах",V134*SUMPRODUCT(($B$2=Таблица2[Филиал])*($B$3=Таблица2[ФЕР/ТЕР])*(F134=Таблица2[Наименование работ])*(G134=Таблица2[ТПиР/НСиР])*Таблица2[Оборудование2012]),V134*SUMPRODUCT(($B$2=Таблица2[Филиал])*($B$3=Таблица2[ФЕР/ТЕР])*(F134=Таблица2[Наименование работ])*(G134=Таблица2[ТПиР/НСиР])*Таблица2[Оборудование2012]))</f>
        <v>0</v>
      </c>
      <c r="AK134" s="63">
        <f>IF($B$4="в текущих ценах",W134*SUMPRODUCT(($B$2=Таблица2[Филиал])*($B$3=Таблица2[ФЕР/ТЕР])*(F134=Таблица2[Наименование работ])*(G134=Таблица2[ТПиР/НСиР])*Таблица2[Прочее2012]),W134*SUMPRODUCT(($B$2=Таблица2[Филиал])*($B$3=Таблица2[ФЕР/ТЕР])*(F134=Таблица2[Наименование работ])*(G134=Таблица2[ТПиР/НСиР])*Таблица2[Прочее2012]))</f>
        <v>0</v>
      </c>
      <c r="AL134" s="63">
        <f>данные!$X134+данные!$Y134+данные!$Z134+данные!$AA134+данные!$AB134</f>
        <v>0</v>
      </c>
      <c r="AM134" s="63">
        <v>1.03639035</v>
      </c>
      <c r="AN134" s="63">
        <v>1.0114049394</v>
      </c>
      <c r="AO134" s="63">
        <v>0.98210394336149998</v>
      </c>
      <c r="AP134" s="63">
        <v>0.93762413895893393</v>
      </c>
      <c r="AQ134" s="63"/>
      <c r="AR134" s="63"/>
      <c r="AS134" s="64"/>
      <c r="AU134" s="66">
        <f t="shared" si="12"/>
        <v>0</v>
      </c>
      <c r="AX134" s="66">
        <f t="shared" si="13"/>
        <v>0</v>
      </c>
      <c r="AY134" s="66">
        <f t="shared" si="14"/>
        <v>0</v>
      </c>
      <c r="AZ134" s="66">
        <f t="shared" si="15"/>
        <v>0</v>
      </c>
      <c r="BA134" s="66">
        <f t="shared" si="16"/>
        <v>0</v>
      </c>
      <c r="BB134" s="66">
        <f t="shared" si="17"/>
        <v>0</v>
      </c>
    </row>
    <row r="135" spans="4:54" x14ac:dyDescent="0.25">
      <c r="D135" s="62">
        <f>калькулятор!C140</f>
        <v>0</v>
      </c>
      <c r="E135" s="62">
        <f>калькулятор!F140</f>
        <v>0</v>
      </c>
      <c r="F135" s="62">
        <f>калькулятор!G140</f>
        <v>0</v>
      </c>
      <c r="G135" s="62">
        <f>калькулятор!H140</f>
        <v>0</v>
      </c>
      <c r="H135" s="62">
        <f>калькулятор!I140</f>
        <v>0</v>
      </c>
      <c r="I135" s="63">
        <f>S135*SUMPRODUCT(($B$2=Таблица2[Филиал])*($B$3=Таблица2[ФЕР/ТЕР])*(F135=Таблица2[Наименование работ])*(G135=Таблица2[ТПиР/НСиР])*Таблица2[ПИР2010])</f>
        <v>0</v>
      </c>
      <c r="J135" s="63">
        <f>T135*SUMPRODUCT(($B$2=Таблица2[Филиал])*($B$3=Таблица2[ФЕР/ТЕР])*(F135=Таблица2[Наименование работ])*(G135=Таблица2[ТПиР/НСиР])*Таблица2[СМР2010])</f>
        <v>0</v>
      </c>
      <c r="K135" s="63">
        <f>U135*SUMPRODUCT(($B$2=Таблица2[Филиал])*($B$3=Таблица2[ФЕР/ТЕР])*(F135=Таблица2[Наименование работ])*(G135=Таблица2[ТПиР/НСиР])*Таблица2[ПНР2010])</f>
        <v>0</v>
      </c>
      <c r="L135" s="63">
        <f>V135*SUMPRODUCT(($B$2=Таблица2[Филиал])*($B$3=Таблица2[ФЕР/ТЕР])*(F135=Таблица2[Наименование работ])*(G135=Таблица2[ТПиР/НСиР])*Таблица2[Оборудование2010])</f>
        <v>0</v>
      </c>
      <c r="M135" s="63">
        <f>W135*SUMPRODUCT(($B$2=Таблица2[Филиал])*($B$3=Таблица2[ФЕР/ТЕР])*(F135=Таблица2[Наименование работ])*(G135=Таблица2[ТПиР/НСиР])*Таблица2[Прочие2010])</f>
        <v>0</v>
      </c>
      <c r="N135" s="63">
        <f>S135*SUMPRODUCT(($B$2=Таблица2[Филиал])*($B$3=Таблица2[ФЕР/ТЕР])*(F135=Таблица2[Наименование работ])*(G135=Таблица2[ТПиР/НСиР])*Таблица2[ПИР2013-10])</f>
        <v>0</v>
      </c>
      <c r="O135" s="63">
        <f>T135*SUMPRODUCT(($B$2=Таблица2[Филиал])*($B$3=Таблица2[ФЕР/ТЕР])*(F135=Таблица2[Наименование работ])*(G135=Таблица2[ТПиР/НСиР])*Таблица2[СМР2013-10])</f>
        <v>0</v>
      </c>
      <c r="P135" s="63">
        <f>U135*SUMPRODUCT(($B$2=Таблица2[Филиал])*($B$3=Таблица2[ФЕР/ТЕР])*(F135=Таблица2[Наименование работ])*(G135=Таблица2[ТПиР/НСиР])*Таблица2[ПНР2013-10])</f>
        <v>0</v>
      </c>
      <c r="Q135" s="63">
        <f>V135*SUMPRODUCT(($B$2=Таблица2[Филиал])*($B$3=Таблица2[ФЕР/ТЕР])*(F135=Таблица2[Наименование работ])*(G135=Таблица2[ТПиР/НСиР])*Таблица2[Оборудование2013-10])</f>
        <v>0</v>
      </c>
      <c r="R135" s="63">
        <f>W135*SUMPRODUCT(($B$2=Таблица2[Филиал])*($B$3=Таблица2[ФЕР/ТЕР])*(F135=Таблица2[Наименование работ])*(G135=Таблица2[ТПиР/НСиР])*Таблица2[Прочие2013-10])</f>
        <v>0</v>
      </c>
      <c r="S135" s="63">
        <f>IF($B$4="в базовых ценах",калькулятор!J140,X135*SUMPRODUCT(($B$2=Таблица2[Филиал])*($B$3=Таблица2[ФЕР/ТЕР])*(F135=Таблица2[Наименование работ])*(G135=Таблица2[ТПиР/НСиР])/Таблица2[ПИР2013]))</f>
        <v>0</v>
      </c>
      <c r="T135" s="63">
        <f>IF($B$4="в базовых ценах",калькулятор!K140,Y135*SUMPRODUCT(($B$2=Таблица2[Филиал])*($B$3=Таблица2[ФЕР/ТЕР])*(F135=Таблица2[Наименование работ])*(G135=Таблица2[ТПиР/НСиР])/Таблица2[СМР2013]))</f>
        <v>0</v>
      </c>
      <c r="U135" s="63">
        <f>IF($B$4="в базовых ценах",калькулятор!L140,Z135*SUMPRODUCT(($B$2=Таблица2[Филиал])*($B$3=Таблица2[ФЕР/ТЕР])*(F135=Таблица2[Наименование работ])*(G135=Таблица2[ТПиР/НСиР])/Таблица2[ПНР2013]))</f>
        <v>0</v>
      </c>
      <c r="V135" s="63">
        <f>IF($B$4="в базовых ценах",калькулятор!M140,AA135*SUMPRODUCT(($B$2=Таблица2[Филиал])*($B$3=Таблица2[ФЕР/ТЕР])*(F135=Таблица2[Наименование работ])*(G135=Таблица2[ТПиР/НСиР])/Таблица2[Оборудование2013]))</f>
        <v>0</v>
      </c>
      <c r="W135" s="63">
        <f>IF($B$4="в базовых ценах",калькулятор!N140,AB135*SUMPRODUCT(($B$2=Таблица2[Филиал])*($B$3=Таблица2[ФЕР/ТЕР])*(F135=Таблица2[Наименование работ])*(G135=Таблица2[ТПиР/НСиР])/Таблица2[Прочие3]))</f>
        <v>0</v>
      </c>
      <c r="X135" s="63">
        <f>IF($B$4="в текущих ценах",калькулятор!J140,S135*SUMPRODUCT(($B$2=Таблица2[Филиал])*($B$3=Таблица2[ФЕР/ТЕР])*(F135=Таблица2[Наименование работ])*(G135=Таблица2[ТПиР/НСиР])*Таблица2[ПИР2013]))</f>
        <v>0</v>
      </c>
      <c r="Y135" s="63">
        <f>IF($B$4="в текущих ценах",калькулятор!K140,T135*SUMPRODUCT(($B$2=Таблица2[Филиал])*($B$3=Таблица2[ФЕР/ТЕР])*(F135=Таблица2[Наименование работ])*(G135=Таблица2[ТПиР/НСиР])*Таблица2[СМР2013]))</f>
        <v>0</v>
      </c>
      <c r="Z135" s="63">
        <f>IF($B$4="в текущих ценах",калькулятор!L140,U135*SUMPRODUCT(($B$2=Таблица2[Филиал])*($B$3=Таблица2[ФЕР/ТЕР])*(F135=Таблица2[Наименование работ])*(G135=Таблица2[ТПиР/НСиР])*Таблица2[ПНР2013]))</f>
        <v>0</v>
      </c>
      <c r="AA135" s="63">
        <f>IF($B$4="в текущих ценах",калькулятор!M140,V135*SUMPRODUCT(($B$2=Таблица2[Филиал])*($B$3=Таблица2[ФЕР/ТЕР])*(F135=Таблица2[Наименование работ])*(G135=Таблица2[ТПиР/НСиР])*Таблица2[Оборудование2013]))</f>
        <v>0</v>
      </c>
      <c r="AB135" s="63">
        <f>IF($B$4="в текущих ценах",калькулятор!N140,W135*SUMPRODUCT(($B$2=Таблица2[Филиал])*($B$3=Таблица2[ФЕР/ТЕР])*(F135=Таблица2[Наименование работ])*(G135=Таблица2[ТПиР/НСиР])*Таблица2[Прочие3]))</f>
        <v>0</v>
      </c>
      <c r="AC135" s="63">
        <f>SUM(данные!$I135:$M135)</f>
        <v>0</v>
      </c>
      <c r="AD135" s="63">
        <f>IF(SUM(данные!$N135:$R135)&gt;данные!$AF135,данные!$AF135*0.9*1.058,SUM(данные!$N135:$R135))</f>
        <v>0</v>
      </c>
      <c r="AE135" s="63">
        <f>SUM(данные!$S135:$W135)</f>
        <v>0</v>
      </c>
      <c r="AF135" s="63">
        <f>SUM(данные!$X135:$AB135)</f>
        <v>0</v>
      </c>
      <c r="AG135" s="63">
        <f>IF($B$4="в текущих ценах",S135*SUMPRODUCT(($B$2=Таблица2[Филиал])*($B$3=Таблица2[ФЕР/ТЕР])*(F135=Таблица2[Наименование работ])*(G135=Таблица2[ТПиР/НСиР])*Таблица2[ПИР2012]),S135*SUMPRODUCT(($B$2=Таблица2[Филиал])*($B$3=Таблица2[ФЕР/ТЕР])*(F135=Таблица2[Наименование работ])*(G135=Таблица2[ТПиР/НСиР])*Таблица2[ПИР2012]))</f>
        <v>0</v>
      </c>
      <c r="AH135" s="63">
        <f>IF($B$4="в текущих ценах",T135*SUMPRODUCT(($B$2=Таблица2[Филиал])*($B$3=Таблица2[ФЕР/ТЕР])*(F135=Таблица2[Наименование работ])*(G135=Таблица2[ТПиР/НСиР])*Таблица2[СМР2012]),T135*SUMPRODUCT(($B$2=Таблица2[Филиал])*($B$3=Таблица2[ФЕР/ТЕР])*(F135=Таблица2[Наименование работ])*(G135=Таблица2[ТПиР/НСиР])*Таблица2[СМР2012]))</f>
        <v>0</v>
      </c>
      <c r="AI135" s="63">
        <f>IF($B$4="в текущих ценах",U135*SUMPRODUCT(($B$2=Таблица2[Филиал])*($B$3=Таблица2[ФЕР/ТЕР])*(F135=Таблица2[Наименование работ])*(G135=Таблица2[ТПиР/НСиР])*Таблица2[ПНР2012]),U135*SUMPRODUCT(($B$2=Таблица2[Филиал])*($B$3=Таблица2[ФЕР/ТЕР])*(F135=Таблица2[Наименование работ])*(G135=Таблица2[ТПиР/НСиР])*Таблица2[ПНР2012]))</f>
        <v>0</v>
      </c>
      <c r="AJ135" s="63">
        <f>IF($B$4="в текущих ценах",V135*SUMPRODUCT(($B$2=Таблица2[Филиал])*($B$3=Таблица2[ФЕР/ТЕР])*(F135=Таблица2[Наименование работ])*(G135=Таблица2[ТПиР/НСиР])*Таблица2[Оборудование2012]),V135*SUMPRODUCT(($B$2=Таблица2[Филиал])*($B$3=Таблица2[ФЕР/ТЕР])*(F135=Таблица2[Наименование работ])*(G135=Таблица2[ТПиР/НСиР])*Таблица2[Оборудование2012]))</f>
        <v>0</v>
      </c>
      <c r="AK135" s="63">
        <f>IF($B$4="в текущих ценах",W135*SUMPRODUCT(($B$2=Таблица2[Филиал])*($B$3=Таблица2[ФЕР/ТЕР])*(F135=Таблица2[Наименование работ])*(G135=Таблица2[ТПиР/НСиР])*Таблица2[Прочее2012]),W135*SUMPRODUCT(($B$2=Таблица2[Филиал])*($B$3=Таблица2[ФЕР/ТЕР])*(F135=Таблица2[Наименование работ])*(G135=Таблица2[ТПиР/НСиР])*Таблица2[Прочее2012]))</f>
        <v>0</v>
      </c>
      <c r="AL135" s="63">
        <f>данные!$X135+данные!$Y135+данные!$Z135+данные!$AA135+данные!$AB135</f>
        <v>0</v>
      </c>
      <c r="AM135" s="63">
        <v>1.03639035</v>
      </c>
      <c r="AN135" s="63">
        <v>1.0114049394</v>
      </c>
      <c r="AO135" s="63">
        <v>0.98210394336149998</v>
      </c>
      <c r="AP135" s="63">
        <v>0.93762413895893393</v>
      </c>
      <c r="AQ135" s="63"/>
      <c r="AR135" s="63"/>
      <c r="AS135" s="64"/>
      <c r="AU135" s="66">
        <f t="shared" si="12"/>
        <v>0</v>
      </c>
      <c r="AX135" s="66">
        <f t="shared" si="13"/>
        <v>0</v>
      </c>
      <c r="AY135" s="66">
        <f t="shared" si="14"/>
        <v>0</v>
      </c>
      <c r="AZ135" s="66">
        <f t="shared" si="15"/>
        <v>0</v>
      </c>
      <c r="BA135" s="66">
        <f t="shared" si="16"/>
        <v>0</v>
      </c>
      <c r="BB135" s="66">
        <f t="shared" si="17"/>
        <v>0</v>
      </c>
    </row>
    <row r="136" spans="4:54" x14ac:dyDescent="0.25">
      <c r="D136" s="62">
        <f>калькулятор!C141</f>
        <v>0</v>
      </c>
      <c r="E136" s="62">
        <f>калькулятор!F141</f>
        <v>0</v>
      </c>
      <c r="F136" s="62">
        <f>калькулятор!G141</f>
        <v>0</v>
      </c>
      <c r="G136" s="62">
        <f>калькулятор!H141</f>
        <v>0</v>
      </c>
      <c r="H136" s="62">
        <f>калькулятор!I141</f>
        <v>0</v>
      </c>
      <c r="I136" s="63">
        <f>S136*SUMPRODUCT(($B$2=Таблица2[Филиал])*($B$3=Таблица2[ФЕР/ТЕР])*(F136=Таблица2[Наименование работ])*(G136=Таблица2[ТПиР/НСиР])*Таблица2[ПИР2010])</f>
        <v>0</v>
      </c>
      <c r="J136" s="63">
        <f>T136*SUMPRODUCT(($B$2=Таблица2[Филиал])*($B$3=Таблица2[ФЕР/ТЕР])*(F136=Таблица2[Наименование работ])*(G136=Таблица2[ТПиР/НСиР])*Таблица2[СМР2010])</f>
        <v>0</v>
      </c>
      <c r="K136" s="63">
        <f>U136*SUMPRODUCT(($B$2=Таблица2[Филиал])*($B$3=Таблица2[ФЕР/ТЕР])*(F136=Таблица2[Наименование работ])*(G136=Таблица2[ТПиР/НСиР])*Таблица2[ПНР2010])</f>
        <v>0</v>
      </c>
      <c r="L136" s="63">
        <f>V136*SUMPRODUCT(($B$2=Таблица2[Филиал])*($B$3=Таблица2[ФЕР/ТЕР])*(F136=Таблица2[Наименование работ])*(G136=Таблица2[ТПиР/НСиР])*Таблица2[Оборудование2010])</f>
        <v>0</v>
      </c>
      <c r="M136" s="63">
        <f>W136*SUMPRODUCT(($B$2=Таблица2[Филиал])*($B$3=Таблица2[ФЕР/ТЕР])*(F136=Таблица2[Наименование работ])*(G136=Таблица2[ТПиР/НСиР])*Таблица2[Прочие2010])</f>
        <v>0</v>
      </c>
      <c r="N136" s="63">
        <f>S136*SUMPRODUCT(($B$2=Таблица2[Филиал])*($B$3=Таблица2[ФЕР/ТЕР])*(F136=Таблица2[Наименование работ])*(G136=Таблица2[ТПиР/НСиР])*Таблица2[ПИР2013-10])</f>
        <v>0</v>
      </c>
      <c r="O136" s="63">
        <f>T136*SUMPRODUCT(($B$2=Таблица2[Филиал])*($B$3=Таблица2[ФЕР/ТЕР])*(F136=Таблица2[Наименование работ])*(G136=Таблица2[ТПиР/НСиР])*Таблица2[СМР2013-10])</f>
        <v>0</v>
      </c>
      <c r="P136" s="63">
        <f>U136*SUMPRODUCT(($B$2=Таблица2[Филиал])*($B$3=Таблица2[ФЕР/ТЕР])*(F136=Таблица2[Наименование работ])*(G136=Таблица2[ТПиР/НСиР])*Таблица2[ПНР2013-10])</f>
        <v>0</v>
      </c>
      <c r="Q136" s="63">
        <f>V136*SUMPRODUCT(($B$2=Таблица2[Филиал])*($B$3=Таблица2[ФЕР/ТЕР])*(F136=Таблица2[Наименование работ])*(G136=Таблица2[ТПиР/НСиР])*Таблица2[Оборудование2013-10])</f>
        <v>0</v>
      </c>
      <c r="R136" s="63">
        <f>W136*SUMPRODUCT(($B$2=Таблица2[Филиал])*($B$3=Таблица2[ФЕР/ТЕР])*(F136=Таблица2[Наименование работ])*(G136=Таблица2[ТПиР/НСиР])*Таблица2[Прочие2013-10])</f>
        <v>0</v>
      </c>
      <c r="S136" s="63">
        <f>IF($B$4="в базовых ценах",калькулятор!J141,X136*SUMPRODUCT(($B$2=Таблица2[Филиал])*($B$3=Таблица2[ФЕР/ТЕР])*(F136=Таблица2[Наименование работ])*(G136=Таблица2[ТПиР/НСиР])/Таблица2[ПИР2013]))</f>
        <v>0</v>
      </c>
      <c r="T136" s="63">
        <f>IF($B$4="в базовых ценах",калькулятор!K141,Y136*SUMPRODUCT(($B$2=Таблица2[Филиал])*($B$3=Таблица2[ФЕР/ТЕР])*(F136=Таблица2[Наименование работ])*(G136=Таблица2[ТПиР/НСиР])/Таблица2[СМР2013]))</f>
        <v>0</v>
      </c>
      <c r="U136" s="63">
        <f>IF($B$4="в базовых ценах",калькулятор!L141,Z136*SUMPRODUCT(($B$2=Таблица2[Филиал])*($B$3=Таблица2[ФЕР/ТЕР])*(F136=Таблица2[Наименование работ])*(G136=Таблица2[ТПиР/НСиР])/Таблица2[ПНР2013]))</f>
        <v>0</v>
      </c>
      <c r="V136" s="63">
        <f>IF($B$4="в базовых ценах",калькулятор!M141,AA136*SUMPRODUCT(($B$2=Таблица2[Филиал])*($B$3=Таблица2[ФЕР/ТЕР])*(F136=Таблица2[Наименование работ])*(G136=Таблица2[ТПиР/НСиР])/Таблица2[Оборудование2013]))</f>
        <v>0</v>
      </c>
      <c r="W136" s="63">
        <f>IF($B$4="в базовых ценах",калькулятор!N141,AB136*SUMPRODUCT(($B$2=Таблица2[Филиал])*($B$3=Таблица2[ФЕР/ТЕР])*(F136=Таблица2[Наименование работ])*(G136=Таблица2[ТПиР/НСиР])/Таблица2[Прочие3]))</f>
        <v>0</v>
      </c>
      <c r="X136" s="63">
        <f>IF($B$4="в текущих ценах",калькулятор!J141,S136*SUMPRODUCT(($B$2=Таблица2[Филиал])*($B$3=Таблица2[ФЕР/ТЕР])*(F136=Таблица2[Наименование работ])*(G136=Таблица2[ТПиР/НСиР])*Таблица2[ПИР2013]))</f>
        <v>0</v>
      </c>
      <c r="Y136" s="63">
        <f>IF($B$4="в текущих ценах",калькулятор!K141,T136*SUMPRODUCT(($B$2=Таблица2[Филиал])*($B$3=Таблица2[ФЕР/ТЕР])*(F136=Таблица2[Наименование работ])*(G136=Таблица2[ТПиР/НСиР])*Таблица2[СМР2013]))</f>
        <v>0</v>
      </c>
      <c r="Z136" s="63">
        <f>IF($B$4="в текущих ценах",калькулятор!L141,U136*SUMPRODUCT(($B$2=Таблица2[Филиал])*($B$3=Таблица2[ФЕР/ТЕР])*(F136=Таблица2[Наименование работ])*(G136=Таблица2[ТПиР/НСиР])*Таблица2[ПНР2013]))</f>
        <v>0</v>
      </c>
      <c r="AA136" s="63">
        <f>IF($B$4="в текущих ценах",калькулятор!M141,V136*SUMPRODUCT(($B$2=Таблица2[Филиал])*($B$3=Таблица2[ФЕР/ТЕР])*(F136=Таблица2[Наименование работ])*(G136=Таблица2[ТПиР/НСиР])*Таблица2[Оборудование2013]))</f>
        <v>0</v>
      </c>
      <c r="AB136" s="63">
        <f>IF($B$4="в текущих ценах",калькулятор!N141,W136*SUMPRODUCT(($B$2=Таблица2[Филиал])*($B$3=Таблица2[ФЕР/ТЕР])*(F136=Таблица2[Наименование работ])*(G136=Таблица2[ТПиР/НСиР])*Таблица2[Прочие3]))</f>
        <v>0</v>
      </c>
      <c r="AC136" s="63">
        <f>SUM(данные!$I136:$M136)</f>
        <v>0</v>
      </c>
      <c r="AD136" s="63">
        <f>IF(SUM(данные!$N136:$R136)&gt;данные!$AF136,данные!$AF136*0.9*1.058,SUM(данные!$N136:$R136))</f>
        <v>0</v>
      </c>
      <c r="AE136" s="63">
        <f>SUM(данные!$S136:$W136)</f>
        <v>0</v>
      </c>
      <c r="AF136" s="63">
        <f>SUM(данные!$X136:$AB136)</f>
        <v>0</v>
      </c>
      <c r="AG136" s="63">
        <f>IF($B$4="в текущих ценах",S136*SUMPRODUCT(($B$2=Таблица2[Филиал])*($B$3=Таблица2[ФЕР/ТЕР])*(F136=Таблица2[Наименование работ])*(G136=Таблица2[ТПиР/НСиР])*Таблица2[ПИР2012]),S136*SUMPRODUCT(($B$2=Таблица2[Филиал])*($B$3=Таблица2[ФЕР/ТЕР])*(F136=Таблица2[Наименование работ])*(G136=Таблица2[ТПиР/НСиР])*Таблица2[ПИР2012]))</f>
        <v>0</v>
      </c>
      <c r="AH136" s="63">
        <f>IF($B$4="в текущих ценах",T136*SUMPRODUCT(($B$2=Таблица2[Филиал])*($B$3=Таблица2[ФЕР/ТЕР])*(F136=Таблица2[Наименование работ])*(G136=Таблица2[ТПиР/НСиР])*Таблица2[СМР2012]),T136*SUMPRODUCT(($B$2=Таблица2[Филиал])*($B$3=Таблица2[ФЕР/ТЕР])*(F136=Таблица2[Наименование работ])*(G136=Таблица2[ТПиР/НСиР])*Таблица2[СМР2012]))</f>
        <v>0</v>
      </c>
      <c r="AI136" s="63">
        <f>IF($B$4="в текущих ценах",U136*SUMPRODUCT(($B$2=Таблица2[Филиал])*($B$3=Таблица2[ФЕР/ТЕР])*(F136=Таблица2[Наименование работ])*(G136=Таблица2[ТПиР/НСиР])*Таблица2[ПНР2012]),U136*SUMPRODUCT(($B$2=Таблица2[Филиал])*($B$3=Таблица2[ФЕР/ТЕР])*(F136=Таблица2[Наименование работ])*(G136=Таблица2[ТПиР/НСиР])*Таблица2[ПНР2012]))</f>
        <v>0</v>
      </c>
      <c r="AJ136" s="63">
        <f>IF($B$4="в текущих ценах",V136*SUMPRODUCT(($B$2=Таблица2[Филиал])*($B$3=Таблица2[ФЕР/ТЕР])*(F136=Таблица2[Наименование работ])*(G136=Таблица2[ТПиР/НСиР])*Таблица2[Оборудование2012]),V136*SUMPRODUCT(($B$2=Таблица2[Филиал])*($B$3=Таблица2[ФЕР/ТЕР])*(F136=Таблица2[Наименование работ])*(G136=Таблица2[ТПиР/НСиР])*Таблица2[Оборудование2012]))</f>
        <v>0</v>
      </c>
      <c r="AK136" s="63">
        <f>IF($B$4="в текущих ценах",W136*SUMPRODUCT(($B$2=Таблица2[Филиал])*($B$3=Таблица2[ФЕР/ТЕР])*(F136=Таблица2[Наименование работ])*(G136=Таблица2[ТПиР/НСиР])*Таблица2[Прочее2012]),W136*SUMPRODUCT(($B$2=Таблица2[Филиал])*($B$3=Таблица2[ФЕР/ТЕР])*(F136=Таблица2[Наименование работ])*(G136=Таблица2[ТПиР/НСиР])*Таблица2[Прочее2012]))</f>
        <v>0</v>
      </c>
      <c r="AL136" s="63">
        <f>данные!$X136+данные!$Y136+данные!$Z136+данные!$AA136+данные!$AB136</f>
        <v>0</v>
      </c>
      <c r="AM136" s="63">
        <v>1.03639035</v>
      </c>
      <c r="AN136" s="63">
        <v>1.0114049394</v>
      </c>
      <c r="AO136" s="63">
        <v>0.98210394336149998</v>
      </c>
      <c r="AP136" s="63">
        <v>0.93762413895893393</v>
      </c>
      <c r="AQ136" s="63"/>
      <c r="AR136" s="63"/>
      <c r="AS136" s="64"/>
      <c r="AU136" s="66">
        <f t="shared" si="12"/>
        <v>0</v>
      </c>
      <c r="AX136" s="66">
        <f t="shared" si="13"/>
        <v>0</v>
      </c>
      <c r="AY136" s="66">
        <f t="shared" si="14"/>
        <v>0</v>
      </c>
      <c r="AZ136" s="66">
        <f t="shared" si="15"/>
        <v>0</v>
      </c>
      <c r="BA136" s="66">
        <f t="shared" si="16"/>
        <v>0</v>
      </c>
      <c r="BB136" s="66">
        <f t="shared" si="17"/>
        <v>0</v>
      </c>
    </row>
    <row r="137" spans="4:54" x14ac:dyDescent="0.25">
      <c r="D137" s="62">
        <f>калькулятор!C142</f>
        <v>0</v>
      </c>
      <c r="E137" s="62">
        <f>калькулятор!F142</f>
        <v>0</v>
      </c>
      <c r="F137" s="62">
        <f>калькулятор!G142</f>
        <v>0</v>
      </c>
      <c r="G137" s="62">
        <f>калькулятор!H142</f>
        <v>0</v>
      </c>
      <c r="H137" s="62">
        <f>калькулятор!I142</f>
        <v>0</v>
      </c>
      <c r="I137" s="63">
        <f>S137*SUMPRODUCT(($B$2=Таблица2[Филиал])*($B$3=Таблица2[ФЕР/ТЕР])*(F137=Таблица2[Наименование работ])*(G137=Таблица2[ТПиР/НСиР])*Таблица2[ПИР2010])</f>
        <v>0</v>
      </c>
      <c r="J137" s="63">
        <f>T137*SUMPRODUCT(($B$2=Таблица2[Филиал])*($B$3=Таблица2[ФЕР/ТЕР])*(F137=Таблица2[Наименование работ])*(G137=Таблица2[ТПиР/НСиР])*Таблица2[СМР2010])</f>
        <v>0</v>
      </c>
      <c r="K137" s="63">
        <f>U137*SUMPRODUCT(($B$2=Таблица2[Филиал])*($B$3=Таблица2[ФЕР/ТЕР])*(F137=Таблица2[Наименование работ])*(G137=Таблица2[ТПиР/НСиР])*Таблица2[ПНР2010])</f>
        <v>0</v>
      </c>
      <c r="L137" s="63">
        <f>V137*SUMPRODUCT(($B$2=Таблица2[Филиал])*($B$3=Таблица2[ФЕР/ТЕР])*(F137=Таблица2[Наименование работ])*(G137=Таблица2[ТПиР/НСиР])*Таблица2[Оборудование2010])</f>
        <v>0</v>
      </c>
      <c r="M137" s="63">
        <f>W137*SUMPRODUCT(($B$2=Таблица2[Филиал])*($B$3=Таблица2[ФЕР/ТЕР])*(F137=Таблица2[Наименование работ])*(G137=Таблица2[ТПиР/НСиР])*Таблица2[Прочие2010])</f>
        <v>0</v>
      </c>
      <c r="N137" s="63">
        <f>S137*SUMPRODUCT(($B$2=Таблица2[Филиал])*($B$3=Таблица2[ФЕР/ТЕР])*(F137=Таблица2[Наименование работ])*(G137=Таблица2[ТПиР/НСиР])*Таблица2[ПИР2013-10])</f>
        <v>0</v>
      </c>
      <c r="O137" s="63">
        <f>T137*SUMPRODUCT(($B$2=Таблица2[Филиал])*($B$3=Таблица2[ФЕР/ТЕР])*(F137=Таблица2[Наименование работ])*(G137=Таблица2[ТПиР/НСиР])*Таблица2[СМР2013-10])</f>
        <v>0</v>
      </c>
      <c r="P137" s="63">
        <f>U137*SUMPRODUCT(($B$2=Таблица2[Филиал])*($B$3=Таблица2[ФЕР/ТЕР])*(F137=Таблица2[Наименование работ])*(G137=Таблица2[ТПиР/НСиР])*Таблица2[ПНР2013-10])</f>
        <v>0</v>
      </c>
      <c r="Q137" s="63">
        <f>V137*SUMPRODUCT(($B$2=Таблица2[Филиал])*($B$3=Таблица2[ФЕР/ТЕР])*(F137=Таблица2[Наименование работ])*(G137=Таблица2[ТПиР/НСиР])*Таблица2[Оборудование2013-10])</f>
        <v>0</v>
      </c>
      <c r="R137" s="63">
        <f>W137*SUMPRODUCT(($B$2=Таблица2[Филиал])*($B$3=Таблица2[ФЕР/ТЕР])*(F137=Таблица2[Наименование работ])*(G137=Таблица2[ТПиР/НСиР])*Таблица2[Прочие2013-10])</f>
        <v>0</v>
      </c>
      <c r="S137" s="63">
        <f>IF($B$4="в базовых ценах",калькулятор!J142,X137*SUMPRODUCT(($B$2=Таблица2[Филиал])*($B$3=Таблица2[ФЕР/ТЕР])*(F137=Таблица2[Наименование работ])*(G137=Таблица2[ТПиР/НСиР])/Таблица2[ПИР2013]))</f>
        <v>0</v>
      </c>
      <c r="T137" s="63">
        <f>IF($B$4="в базовых ценах",калькулятор!K142,Y137*SUMPRODUCT(($B$2=Таблица2[Филиал])*($B$3=Таблица2[ФЕР/ТЕР])*(F137=Таблица2[Наименование работ])*(G137=Таблица2[ТПиР/НСиР])/Таблица2[СМР2013]))</f>
        <v>0</v>
      </c>
      <c r="U137" s="63">
        <f>IF($B$4="в базовых ценах",калькулятор!L142,Z137*SUMPRODUCT(($B$2=Таблица2[Филиал])*($B$3=Таблица2[ФЕР/ТЕР])*(F137=Таблица2[Наименование работ])*(G137=Таблица2[ТПиР/НСиР])/Таблица2[ПНР2013]))</f>
        <v>0</v>
      </c>
      <c r="V137" s="63">
        <f>IF($B$4="в базовых ценах",калькулятор!M142,AA137*SUMPRODUCT(($B$2=Таблица2[Филиал])*($B$3=Таблица2[ФЕР/ТЕР])*(F137=Таблица2[Наименование работ])*(G137=Таблица2[ТПиР/НСиР])/Таблица2[Оборудование2013]))</f>
        <v>0</v>
      </c>
      <c r="W137" s="63">
        <f>IF($B$4="в базовых ценах",калькулятор!N142,AB137*SUMPRODUCT(($B$2=Таблица2[Филиал])*($B$3=Таблица2[ФЕР/ТЕР])*(F137=Таблица2[Наименование работ])*(G137=Таблица2[ТПиР/НСиР])/Таблица2[Прочие3]))</f>
        <v>0</v>
      </c>
      <c r="X137" s="63">
        <f>IF($B$4="в текущих ценах",калькулятор!J142,S137*SUMPRODUCT(($B$2=Таблица2[Филиал])*($B$3=Таблица2[ФЕР/ТЕР])*(F137=Таблица2[Наименование работ])*(G137=Таблица2[ТПиР/НСиР])*Таблица2[ПИР2013]))</f>
        <v>0</v>
      </c>
      <c r="Y137" s="63">
        <f>IF($B$4="в текущих ценах",калькулятор!K142,T137*SUMPRODUCT(($B$2=Таблица2[Филиал])*($B$3=Таблица2[ФЕР/ТЕР])*(F137=Таблица2[Наименование работ])*(G137=Таблица2[ТПиР/НСиР])*Таблица2[СМР2013]))</f>
        <v>0</v>
      </c>
      <c r="Z137" s="63">
        <f>IF($B$4="в текущих ценах",калькулятор!L142,U137*SUMPRODUCT(($B$2=Таблица2[Филиал])*($B$3=Таблица2[ФЕР/ТЕР])*(F137=Таблица2[Наименование работ])*(G137=Таблица2[ТПиР/НСиР])*Таблица2[ПНР2013]))</f>
        <v>0</v>
      </c>
      <c r="AA137" s="63">
        <f>IF($B$4="в текущих ценах",калькулятор!M142,V137*SUMPRODUCT(($B$2=Таблица2[Филиал])*($B$3=Таблица2[ФЕР/ТЕР])*(F137=Таблица2[Наименование работ])*(G137=Таблица2[ТПиР/НСиР])*Таблица2[Оборудование2013]))</f>
        <v>0</v>
      </c>
      <c r="AB137" s="63">
        <f>IF($B$4="в текущих ценах",калькулятор!N142,W137*SUMPRODUCT(($B$2=Таблица2[Филиал])*($B$3=Таблица2[ФЕР/ТЕР])*(F137=Таблица2[Наименование работ])*(G137=Таблица2[ТПиР/НСиР])*Таблица2[Прочие3]))</f>
        <v>0</v>
      </c>
      <c r="AC137" s="63">
        <f>SUM(данные!$I137:$M137)</f>
        <v>0</v>
      </c>
      <c r="AD137" s="63">
        <f>IF(SUM(данные!$N137:$R137)&gt;данные!$AF137,данные!$AF137*0.9*1.058,SUM(данные!$N137:$R137))</f>
        <v>0</v>
      </c>
      <c r="AE137" s="63">
        <f>SUM(данные!$S137:$W137)</f>
        <v>0</v>
      </c>
      <c r="AF137" s="63">
        <f>SUM(данные!$X137:$AB137)</f>
        <v>0</v>
      </c>
      <c r="AG137" s="63">
        <f>IF($B$4="в текущих ценах",S137*SUMPRODUCT(($B$2=Таблица2[Филиал])*($B$3=Таблица2[ФЕР/ТЕР])*(F137=Таблица2[Наименование работ])*(G137=Таблица2[ТПиР/НСиР])*Таблица2[ПИР2012]),S137*SUMPRODUCT(($B$2=Таблица2[Филиал])*($B$3=Таблица2[ФЕР/ТЕР])*(F137=Таблица2[Наименование работ])*(G137=Таблица2[ТПиР/НСиР])*Таблица2[ПИР2012]))</f>
        <v>0</v>
      </c>
      <c r="AH137" s="63">
        <f>IF($B$4="в текущих ценах",T137*SUMPRODUCT(($B$2=Таблица2[Филиал])*($B$3=Таблица2[ФЕР/ТЕР])*(F137=Таблица2[Наименование работ])*(G137=Таблица2[ТПиР/НСиР])*Таблица2[СМР2012]),T137*SUMPRODUCT(($B$2=Таблица2[Филиал])*($B$3=Таблица2[ФЕР/ТЕР])*(F137=Таблица2[Наименование работ])*(G137=Таблица2[ТПиР/НСиР])*Таблица2[СМР2012]))</f>
        <v>0</v>
      </c>
      <c r="AI137" s="63">
        <f>IF($B$4="в текущих ценах",U137*SUMPRODUCT(($B$2=Таблица2[Филиал])*($B$3=Таблица2[ФЕР/ТЕР])*(F137=Таблица2[Наименование работ])*(G137=Таблица2[ТПиР/НСиР])*Таблица2[ПНР2012]),U137*SUMPRODUCT(($B$2=Таблица2[Филиал])*($B$3=Таблица2[ФЕР/ТЕР])*(F137=Таблица2[Наименование работ])*(G137=Таблица2[ТПиР/НСиР])*Таблица2[ПНР2012]))</f>
        <v>0</v>
      </c>
      <c r="AJ137" s="63">
        <f>IF($B$4="в текущих ценах",V137*SUMPRODUCT(($B$2=Таблица2[Филиал])*($B$3=Таблица2[ФЕР/ТЕР])*(F137=Таблица2[Наименование работ])*(G137=Таблица2[ТПиР/НСиР])*Таблица2[Оборудование2012]),V137*SUMPRODUCT(($B$2=Таблица2[Филиал])*($B$3=Таблица2[ФЕР/ТЕР])*(F137=Таблица2[Наименование работ])*(G137=Таблица2[ТПиР/НСиР])*Таблица2[Оборудование2012]))</f>
        <v>0</v>
      </c>
      <c r="AK137" s="63">
        <f>IF($B$4="в текущих ценах",W137*SUMPRODUCT(($B$2=Таблица2[Филиал])*($B$3=Таблица2[ФЕР/ТЕР])*(F137=Таблица2[Наименование работ])*(G137=Таблица2[ТПиР/НСиР])*Таблица2[Прочее2012]),W137*SUMPRODUCT(($B$2=Таблица2[Филиал])*($B$3=Таблица2[ФЕР/ТЕР])*(F137=Таблица2[Наименование работ])*(G137=Таблица2[ТПиР/НСиР])*Таблица2[Прочее2012]))</f>
        <v>0</v>
      </c>
      <c r="AL137" s="63">
        <f>данные!$X137+данные!$Y137+данные!$Z137+данные!$AA137+данные!$AB137</f>
        <v>0</v>
      </c>
      <c r="AM137" s="63">
        <v>1.03639035</v>
      </c>
      <c r="AN137" s="63">
        <v>1.0114049394</v>
      </c>
      <c r="AO137" s="63">
        <v>0.98210394336149998</v>
      </c>
      <c r="AP137" s="63">
        <v>0.93762413895893393</v>
      </c>
      <c r="AQ137" s="63"/>
      <c r="AR137" s="63"/>
      <c r="AS137" s="64"/>
      <c r="AU137" s="66">
        <f t="shared" si="12"/>
        <v>0</v>
      </c>
      <c r="AX137" s="66">
        <f t="shared" si="13"/>
        <v>0</v>
      </c>
      <c r="AY137" s="66">
        <f t="shared" si="14"/>
        <v>0</v>
      </c>
      <c r="AZ137" s="66">
        <f t="shared" si="15"/>
        <v>0</v>
      </c>
      <c r="BA137" s="66">
        <f t="shared" si="16"/>
        <v>0</v>
      </c>
      <c r="BB137" s="66">
        <f t="shared" si="17"/>
        <v>0</v>
      </c>
    </row>
    <row r="138" spans="4:54" x14ac:dyDescent="0.25">
      <c r="D138" s="62">
        <f>калькулятор!C143</f>
        <v>0</v>
      </c>
      <c r="E138" s="62">
        <f>калькулятор!F143</f>
        <v>0</v>
      </c>
      <c r="F138" s="62">
        <f>калькулятор!G143</f>
        <v>0</v>
      </c>
      <c r="G138" s="62">
        <f>калькулятор!H143</f>
        <v>0</v>
      </c>
      <c r="H138" s="62">
        <f>калькулятор!I143</f>
        <v>0</v>
      </c>
      <c r="I138" s="63">
        <f>S138*SUMPRODUCT(($B$2=Таблица2[Филиал])*($B$3=Таблица2[ФЕР/ТЕР])*(F138=Таблица2[Наименование работ])*(G138=Таблица2[ТПиР/НСиР])*Таблица2[ПИР2010])</f>
        <v>0</v>
      </c>
      <c r="J138" s="63">
        <f>T138*SUMPRODUCT(($B$2=Таблица2[Филиал])*($B$3=Таблица2[ФЕР/ТЕР])*(F138=Таблица2[Наименование работ])*(G138=Таблица2[ТПиР/НСиР])*Таблица2[СМР2010])</f>
        <v>0</v>
      </c>
      <c r="K138" s="63">
        <f>U138*SUMPRODUCT(($B$2=Таблица2[Филиал])*($B$3=Таблица2[ФЕР/ТЕР])*(F138=Таблица2[Наименование работ])*(G138=Таблица2[ТПиР/НСиР])*Таблица2[ПНР2010])</f>
        <v>0</v>
      </c>
      <c r="L138" s="63">
        <f>V138*SUMPRODUCT(($B$2=Таблица2[Филиал])*($B$3=Таблица2[ФЕР/ТЕР])*(F138=Таблица2[Наименование работ])*(G138=Таблица2[ТПиР/НСиР])*Таблица2[Оборудование2010])</f>
        <v>0</v>
      </c>
      <c r="M138" s="63">
        <f>W138*SUMPRODUCT(($B$2=Таблица2[Филиал])*($B$3=Таблица2[ФЕР/ТЕР])*(F138=Таблица2[Наименование работ])*(G138=Таблица2[ТПиР/НСиР])*Таблица2[Прочие2010])</f>
        <v>0</v>
      </c>
      <c r="N138" s="63">
        <f>S138*SUMPRODUCT(($B$2=Таблица2[Филиал])*($B$3=Таблица2[ФЕР/ТЕР])*(F138=Таблица2[Наименование работ])*(G138=Таблица2[ТПиР/НСиР])*Таблица2[ПИР2013-10])</f>
        <v>0</v>
      </c>
      <c r="O138" s="63">
        <f>T138*SUMPRODUCT(($B$2=Таблица2[Филиал])*($B$3=Таблица2[ФЕР/ТЕР])*(F138=Таблица2[Наименование работ])*(G138=Таблица2[ТПиР/НСиР])*Таблица2[СМР2013-10])</f>
        <v>0</v>
      </c>
      <c r="P138" s="63">
        <f>U138*SUMPRODUCT(($B$2=Таблица2[Филиал])*($B$3=Таблица2[ФЕР/ТЕР])*(F138=Таблица2[Наименование работ])*(G138=Таблица2[ТПиР/НСиР])*Таблица2[ПНР2013-10])</f>
        <v>0</v>
      </c>
      <c r="Q138" s="63">
        <f>V138*SUMPRODUCT(($B$2=Таблица2[Филиал])*($B$3=Таблица2[ФЕР/ТЕР])*(F138=Таблица2[Наименование работ])*(G138=Таблица2[ТПиР/НСиР])*Таблица2[Оборудование2013-10])</f>
        <v>0</v>
      </c>
      <c r="R138" s="63">
        <f>W138*SUMPRODUCT(($B$2=Таблица2[Филиал])*($B$3=Таблица2[ФЕР/ТЕР])*(F138=Таблица2[Наименование работ])*(G138=Таблица2[ТПиР/НСиР])*Таблица2[Прочие2013-10])</f>
        <v>0</v>
      </c>
      <c r="S138" s="63">
        <f>IF($B$4="в базовых ценах",калькулятор!J143,X138*SUMPRODUCT(($B$2=Таблица2[Филиал])*($B$3=Таблица2[ФЕР/ТЕР])*(F138=Таблица2[Наименование работ])*(G138=Таблица2[ТПиР/НСиР])/Таблица2[ПИР2013]))</f>
        <v>0</v>
      </c>
      <c r="T138" s="63">
        <f>IF($B$4="в базовых ценах",калькулятор!K143,Y138*SUMPRODUCT(($B$2=Таблица2[Филиал])*($B$3=Таблица2[ФЕР/ТЕР])*(F138=Таблица2[Наименование работ])*(G138=Таблица2[ТПиР/НСиР])/Таблица2[СМР2013]))</f>
        <v>0</v>
      </c>
      <c r="U138" s="63">
        <f>IF($B$4="в базовых ценах",калькулятор!L143,Z138*SUMPRODUCT(($B$2=Таблица2[Филиал])*($B$3=Таблица2[ФЕР/ТЕР])*(F138=Таблица2[Наименование работ])*(G138=Таблица2[ТПиР/НСиР])/Таблица2[ПНР2013]))</f>
        <v>0</v>
      </c>
      <c r="V138" s="63">
        <f>IF($B$4="в базовых ценах",калькулятор!M143,AA138*SUMPRODUCT(($B$2=Таблица2[Филиал])*($B$3=Таблица2[ФЕР/ТЕР])*(F138=Таблица2[Наименование работ])*(G138=Таблица2[ТПиР/НСиР])/Таблица2[Оборудование2013]))</f>
        <v>0</v>
      </c>
      <c r="W138" s="63">
        <f>IF($B$4="в базовых ценах",калькулятор!N143,AB138*SUMPRODUCT(($B$2=Таблица2[Филиал])*($B$3=Таблица2[ФЕР/ТЕР])*(F138=Таблица2[Наименование работ])*(G138=Таблица2[ТПиР/НСиР])/Таблица2[Прочие3]))</f>
        <v>0</v>
      </c>
      <c r="X138" s="63">
        <f>IF($B$4="в текущих ценах",калькулятор!J143,S138*SUMPRODUCT(($B$2=Таблица2[Филиал])*($B$3=Таблица2[ФЕР/ТЕР])*(F138=Таблица2[Наименование работ])*(G138=Таблица2[ТПиР/НСиР])*Таблица2[ПИР2013]))</f>
        <v>0</v>
      </c>
      <c r="Y138" s="63">
        <f>IF($B$4="в текущих ценах",калькулятор!K143,T138*SUMPRODUCT(($B$2=Таблица2[Филиал])*($B$3=Таблица2[ФЕР/ТЕР])*(F138=Таблица2[Наименование работ])*(G138=Таблица2[ТПиР/НСиР])*Таблица2[СМР2013]))</f>
        <v>0</v>
      </c>
      <c r="Z138" s="63">
        <f>IF($B$4="в текущих ценах",калькулятор!L143,U138*SUMPRODUCT(($B$2=Таблица2[Филиал])*($B$3=Таблица2[ФЕР/ТЕР])*(F138=Таблица2[Наименование работ])*(G138=Таблица2[ТПиР/НСиР])*Таблица2[ПНР2013]))</f>
        <v>0</v>
      </c>
      <c r="AA138" s="63">
        <f>IF($B$4="в текущих ценах",калькулятор!M143,V138*SUMPRODUCT(($B$2=Таблица2[Филиал])*($B$3=Таблица2[ФЕР/ТЕР])*(F138=Таблица2[Наименование работ])*(G138=Таблица2[ТПиР/НСиР])*Таблица2[Оборудование2013]))</f>
        <v>0</v>
      </c>
      <c r="AB138" s="63">
        <f>IF($B$4="в текущих ценах",калькулятор!N143,W138*SUMPRODUCT(($B$2=Таблица2[Филиал])*($B$3=Таблица2[ФЕР/ТЕР])*(F138=Таблица2[Наименование работ])*(G138=Таблица2[ТПиР/НСиР])*Таблица2[Прочие3]))</f>
        <v>0</v>
      </c>
      <c r="AC138" s="63">
        <f>SUM(данные!$I138:$M138)</f>
        <v>0</v>
      </c>
      <c r="AD138" s="63">
        <f>IF(SUM(данные!$N138:$R138)&gt;данные!$AF138,данные!$AF138*0.9*1.058,SUM(данные!$N138:$R138))</f>
        <v>0</v>
      </c>
      <c r="AE138" s="63">
        <f>SUM(данные!$S138:$W138)</f>
        <v>0</v>
      </c>
      <c r="AF138" s="63">
        <f>SUM(данные!$X138:$AB138)</f>
        <v>0</v>
      </c>
      <c r="AG138" s="63">
        <f>IF($B$4="в текущих ценах",S138*SUMPRODUCT(($B$2=Таблица2[Филиал])*($B$3=Таблица2[ФЕР/ТЕР])*(F138=Таблица2[Наименование работ])*(G138=Таблица2[ТПиР/НСиР])*Таблица2[ПИР2012]),S138*SUMPRODUCT(($B$2=Таблица2[Филиал])*($B$3=Таблица2[ФЕР/ТЕР])*(F138=Таблица2[Наименование работ])*(G138=Таблица2[ТПиР/НСиР])*Таблица2[ПИР2012]))</f>
        <v>0</v>
      </c>
      <c r="AH138" s="63">
        <f>IF($B$4="в текущих ценах",T138*SUMPRODUCT(($B$2=Таблица2[Филиал])*($B$3=Таблица2[ФЕР/ТЕР])*(F138=Таблица2[Наименование работ])*(G138=Таблица2[ТПиР/НСиР])*Таблица2[СМР2012]),T138*SUMPRODUCT(($B$2=Таблица2[Филиал])*($B$3=Таблица2[ФЕР/ТЕР])*(F138=Таблица2[Наименование работ])*(G138=Таблица2[ТПиР/НСиР])*Таблица2[СМР2012]))</f>
        <v>0</v>
      </c>
      <c r="AI138" s="63">
        <f>IF($B$4="в текущих ценах",U138*SUMPRODUCT(($B$2=Таблица2[Филиал])*($B$3=Таблица2[ФЕР/ТЕР])*(F138=Таблица2[Наименование работ])*(G138=Таблица2[ТПиР/НСиР])*Таблица2[ПНР2012]),U138*SUMPRODUCT(($B$2=Таблица2[Филиал])*($B$3=Таблица2[ФЕР/ТЕР])*(F138=Таблица2[Наименование работ])*(G138=Таблица2[ТПиР/НСиР])*Таблица2[ПНР2012]))</f>
        <v>0</v>
      </c>
      <c r="AJ138" s="63">
        <f>IF($B$4="в текущих ценах",V138*SUMPRODUCT(($B$2=Таблица2[Филиал])*($B$3=Таблица2[ФЕР/ТЕР])*(F138=Таблица2[Наименование работ])*(G138=Таблица2[ТПиР/НСиР])*Таблица2[Оборудование2012]),V138*SUMPRODUCT(($B$2=Таблица2[Филиал])*($B$3=Таблица2[ФЕР/ТЕР])*(F138=Таблица2[Наименование работ])*(G138=Таблица2[ТПиР/НСиР])*Таблица2[Оборудование2012]))</f>
        <v>0</v>
      </c>
      <c r="AK138" s="63">
        <f>IF($B$4="в текущих ценах",W138*SUMPRODUCT(($B$2=Таблица2[Филиал])*($B$3=Таблица2[ФЕР/ТЕР])*(F138=Таблица2[Наименование работ])*(G138=Таблица2[ТПиР/НСиР])*Таблица2[Прочее2012]),W138*SUMPRODUCT(($B$2=Таблица2[Филиал])*($B$3=Таблица2[ФЕР/ТЕР])*(F138=Таблица2[Наименование работ])*(G138=Таблица2[ТПиР/НСиР])*Таблица2[Прочее2012]))</f>
        <v>0</v>
      </c>
      <c r="AL138" s="63">
        <f>данные!$X138+данные!$Y138+данные!$Z138+данные!$AA138+данные!$AB138</f>
        <v>0</v>
      </c>
      <c r="AM138" s="63">
        <v>1.03639035</v>
      </c>
      <c r="AN138" s="63">
        <v>1.0114049394</v>
      </c>
      <c r="AO138" s="63">
        <v>0.98210394336149998</v>
      </c>
      <c r="AP138" s="63">
        <v>0.93762413895893393</v>
      </c>
      <c r="AQ138" s="63"/>
      <c r="AR138" s="63"/>
      <c r="AS138" s="64"/>
      <c r="AU138" s="66">
        <f t="shared" si="12"/>
        <v>0</v>
      </c>
      <c r="AX138" s="66">
        <f t="shared" si="13"/>
        <v>0</v>
      </c>
      <c r="AY138" s="66">
        <f t="shared" si="14"/>
        <v>0</v>
      </c>
      <c r="AZ138" s="66">
        <f t="shared" si="15"/>
        <v>0</v>
      </c>
      <c r="BA138" s="66">
        <f t="shared" si="16"/>
        <v>0</v>
      </c>
      <c r="BB138" s="66">
        <f t="shared" si="17"/>
        <v>0</v>
      </c>
    </row>
    <row r="139" spans="4:54" x14ac:dyDescent="0.25">
      <c r="D139" s="62">
        <f>калькулятор!C144</f>
        <v>0</v>
      </c>
      <c r="E139" s="62">
        <f>калькулятор!F144</f>
        <v>0</v>
      </c>
      <c r="F139" s="62">
        <f>калькулятор!G144</f>
        <v>0</v>
      </c>
      <c r="G139" s="62">
        <f>калькулятор!H144</f>
        <v>0</v>
      </c>
      <c r="H139" s="62">
        <f>калькулятор!I144</f>
        <v>0</v>
      </c>
      <c r="I139" s="63">
        <f>S139*SUMPRODUCT(($B$2=Таблица2[Филиал])*($B$3=Таблица2[ФЕР/ТЕР])*(F139=Таблица2[Наименование работ])*(G139=Таблица2[ТПиР/НСиР])*Таблица2[ПИР2010])</f>
        <v>0</v>
      </c>
      <c r="J139" s="63">
        <f>T139*SUMPRODUCT(($B$2=Таблица2[Филиал])*($B$3=Таблица2[ФЕР/ТЕР])*(F139=Таблица2[Наименование работ])*(G139=Таблица2[ТПиР/НСиР])*Таблица2[СМР2010])</f>
        <v>0</v>
      </c>
      <c r="K139" s="63">
        <f>U139*SUMPRODUCT(($B$2=Таблица2[Филиал])*($B$3=Таблица2[ФЕР/ТЕР])*(F139=Таблица2[Наименование работ])*(G139=Таблица2[ТПиР/НСиР])*Таблица2[ПНР2010])</f>
        <v>0</v>
      </c>
      <c r="L139" s="63">
        <f>V139*SUMPRODUCT(($B$2=Таблица2[Филиал])*($B$3=Таблица2[ФЕР/ТЕР])*(F139=Таблица2[Наименование работ])*(G139=Таблица2[ТПиР/НСиР])*Таблица2[Оборудование2010])</f>
        <v>0</v>
      </c>
      <c r="M139" s="63">
        <f>W139*SUMPRODUCT(($B$2=Таблица2[Филиал])*($B$3=Таблица2[ФЕР/ТЕР])*(F139=Таблица2[Наименование работ])*(G139=Таблица2[ТПиР/НСиР])*Таблица2[Прочие2010])</f>
        <v>0</v>
      </c>
      <c r="N139" s="63">
        <f>S139*SUMPRODUCT(($B$2=Таблица2[Филиал])*($B$3=Таблица2[ФЕР/ТЕР])*(F139=Таблица2[Наименование работ])*(G139=Таблица2[ТПиР/НСиР])*Таблица2[ПИР2013-10])</f>
        <v>0</v>
      </c>
      <c r="O139" s="63">
        <f>T139*SUMPRODUCT(($B$2=Таблица2[Филиал])*($B$3=Таблица2[ФЕР/ТЕР])*(F139=Таблица2[Наименование работ])*(G139=Таблица2[ТПиР/НСиР])*Таблица2[СМР2013-10])</f>
        <v>0</v>
      </c>
      <c r="P139" s="63">
        <f>U139*SUMPRODUCT(($B$2=Таблица2[Филиал])*($B$3=Таблица2[ФЕР/ТЕР])*(F139=Таблица2[Наименование работ])*(G139=Таблица2[ТПиР/НСиР])*Таблица2[ПНР2013-10])</f>
        <v>0</v>
      </c>
      <c r="Q139" s="63">
        <f>V139*SUMPRODUCT(($B$2=Таблица2[Филиал])*($B$3=Таблица2[ФЕР/ТЕР])*(F139=Таблица2[Наименование работ])*(G139=Таблица2[ТПиР/НСиР])*Таблица2[Оборудование2013-10])</f>
        <v>0</v>
      </c>
      <c r="R139" s="63">
        <f>W139*SUMPRODUCT(($B$2=Таблица2[Филиал])*($B$3=Таблица2[ФЕР/ТЕР])*(F139=Таблица2[Наименование работ])*(G139=Таблица2[ТПиР/НСиР])*Таблица2[Прочие2013-10])</f>
        <v>0</v>
      </c>
      <c r="S139" s="63">
        <f>IF($B$4="в базовых ценах",калькулятор!J144,X139*SUMPRODUCT(($B$2=Таблица2[Филиал])*($B$3=Таблица2[ФЕР/ТЕР])*(F139=Таблица2[Наименование работ])*(G139=Таблица2[ТПиР/НСиР])/Таблица2[ПИР2013]))</f>
        <v>0</v>
      </c>
      <c r="T139" s="63">
        <f>IF($B$4="в базовых ценах",калькулятор!K144,Y139*SUMPRODUCT(($B$2=Таблица2[Филиал])*($B$3=Таблица2[ФЕР/ТЕР])*(F139=Таблица2[Наименование работ])*(G139=Таблица2[ТПиР/НСиР])/Таблица2[СМР2013]))</f>
        <v>0</v>
      </c>
      <c r="U139" s="63">
        <f>IF($B$4="в базовых ценах",калькулятор!L144,Z139*SUMPRODUCT(($B$2=Таблица2[Филиал])*($B$3=Таблица2[ФЕР/ТЕР])*(F139=Таблица2[Наименование работ])*(G139=Таблица2[ТПиР/НСиР])/Таблица2[ПНР2013]))</f>
        <v>0</v>
      </c>
      <c r="V139" s="63">
        <f>IF($B$4="в базовых ценах",калькулятор!M144,AA139*SUMPRODUCT(($B$2=Таблица2[Филиал])*($B$3=Таблица2[ФЕР/ТЕР])*(F139=Таблица2[Наименование работ])*(G139=Таблица2[ТПиР/НСиР])/Таблица2[Оборудование2013]))</f>
        <v>0</v>
      </c>
      <c r="W139" s="63">
        <f>IF($B$4="в базовых ценах",калькулятор!N144,AB139*SUMPRODUCT(($B$2=Таблица2[Филиал])*($B$3=Таблица2[ФЕР/ТЕР])*(F139=Таблица2[Наименование работ])*(G139=Таблица2[ТПиР/НСиР])/Таблица2[Прочие3]))</f>
        <v>0</v>
      </c>
      <c r="X139" s="63">
        <f>IF($B$4="в текущих ценах",калькулятор!J144,S139*SUMPRODUCT(($B$2=Таблица2[Филиал])*($B$3=Таблица2[ФЕР/ТЕР])*(F139=Таблица2[Наименование работ])*(G139=Таблица2[ТПиР/НСиР])*Таблица2[ПИР2013]))</f>
        <v>0</v>
      </c>
      <c r="Y139" s="63">
        <f>IF($B$4="в текущих ценах",калькулятор!K144,T139*SUMPRODUCT(($B$2=Таблица2[Филиал])*($B$3=Таблица2[ФЕР/ТЕР])*(F139=Таблица2[Наименование работ])*(G139=Таблица2[ТПиР/НСиР])*Таблица2[СМР2013]))</f>
        <v>0</v>
      </c>
      <c r="Z139" s="63">
        <f>IF($B$4="в текущих ценах",калькулятор!L144,U139*SUMPRODUCT(($B$2=Таблица2[Филиал])*($B$3=Таблица2[ФЕР/ТЕР])*(F139=Таблица2[Наименование работ])*(G139=Таблица2[ТПиР/НСиР])*Таблица2[ПНР2013]))</f>
        <v>0</v>
      </c>
      <c r="AA139" s="63">
        <f>IF($B$4="в текущих ценах",калькулятор!M144,V139*SUMPRODUCT(($B$2=Таблица2[Филиал])*($B$3=Таблица2[ФЕР/ТЕР])*(F139=Таблица2[Наименование работ])*(G139=Таблица2[ТПиР/НСиР])*Таблица2[Оборудование2013]))</f>
        <v>0</v>
      </c>
      <c r="AB139" s="63">
        <f>IF($B$4="в текущих ценах",калькулятор!N144,W139*SUMPRODUCT(($B$2=Таблица2[Филиал])*($B$3=Таблица2[ФЕР/ТЕР])*(F139=Таблица2[Наименование работ])*(G139=Таблица2[ТПиР/НСиР])*Таблица2[Прочие3]))</f>
        <v>0</v>
      </c>
      <c r="AC139" s="63">
        <f>SUM(данные!$I139:$M139)</f>
        <v>0</v>
      </c>
      <c r="AD139" s="63">
        <f>IF(SUM(данные!$N139:$R139)&gt;данные!$AF139,данные!$AF139*0.9*1.058,SUM(данные!$N139:$R139))</f>
        <v>0</v>
      </c>
      <c r="AE139" s="63">
        <f>SUM(данные!$S139:$W139)</f>
        <v>0</v>
      </c>
      <c r="AF139" s="63">
        <f>SUM(данные!$X139:$AB139)</f>
        <v>0</v>
      </c>
      <c r="AG139" s="63">
        <f>IF($B$4="в текущих ценах",S139*SUMPRODUCT(($B$2=Таблица2[Филиал])*($B$3=Таблица2[ФЕР/ТЕР])*(F139=Таблица2[Наименование работ])*(G139=Таблица2[ТПиР/НСиР])*Таблица2[ПИР2012]),S139*SUMPRODUCT(($B$2=Таблица2[Филиал])*($B$3=Таблица2[ФЕР/ТЕР])*(F139=Таблица2[Наименование работ])*(G139=Таблица2[ТПиР/НСиР])*Таблица2[ПИР2012]))</f>
        <v>0</v>
      </c>
      <c r="AH139" s="63">
        <f>IF($B$4="в текущих ценах",T139*SUMPRODUCT(($B$2=Таблица2[Филиал])*($B$3=Таблица2[ФЕР/ТЕР])*(F139=Таблица2[Наименование работ])*(G139=Таблица2[ТПиР/НСиР])*Таблица2[СМР2012]),T139*SUMPRODUCT(($B$2=Таблица2[Филиал])*($B$3=Таблица2[ФЕР/ТЕР])*(F139=Таблица2[Наименование работ])*(G139=Таблица2[ТПиР/НСиР])*Таблица2[СМР2012]))</f>
        <v>0</v>
      </c>
      <c r="AI139" s="63">
        <f>IF($B$4="в текущих ценах",U139*SUMPRODUCT(($B$2=Таблица2[Филиал])*($B$3=Таблица2[ФЕР/ТЕР])*(F139=Таблица2[Наименование работ])*(G139=Таблица2[ТПиР/НСиР])*Таблица2[ПНР2012]),U139*SUMPRODUCT(($B$2=Таблица2[Филиал])*($B$3=Таблица2[ФЕР/ТЕР])*(F139=Таблица2[Наименование работ])*(G139=Таблица2[ТПиР/НСиР])*Таблица2[ПНР2012]))</f>
        <v>0</v>
      </c>
      <c r="AJ139" s="63">
        <f>IF($B$4="в текущих ценах",V139*SUMPRODUCT(($B$2=Таблица2[Филиал])*($B$3=Таблица2[ФЕР/ТЕР])*(F139=Таблица2[Наименование работ])*(G139=Таблица2[ТПиР/НСиР])*Таблица2[Оборудование2012]),V139*SUMPRODUCT(($B$2=Таблица2[Филиал])*($B$3=Таблица2[ФЕР/ТЕР])*(F139=Таблица2[Наименование работ])*(G139=Таблица2[ТПиР/НСиР])*Таблица2[Оборудование2012]))</f>
        <v>0</v>
      </c>
      <c r="AK139" s="63">
        <f>IF($B$4="в текущих ценах",W139*SUMPRODUCT(($B$2=Таблица2[Филиал])*($B$3=Таблица2[ФЕР/ТЕР])*(F139=Таблица2[Наименование работ])*(G139=Таблица2[ТПиР/НСиР])*Таблица2[Прочее2012]),W139*SUMPRODUCT(($B$2=Таблица2[Филиал])*($B$3=Таблица2[ФЕР/ТЕР])*(F139=Таблица2[Наименование работ])*(G139=Таблица2[ТПиР/НСиР])*Таблица2[Прочее2012]))</f>
        <v>0</v>
      </c>
      <c r="AL139" s="63">
        <f>данные!$X139+данные!$Y139+данные!$Z139+данные!$AA139+данные!$AB139</f>
        <v>0</v>
      </c>
      <c r="AM139" s="63">
        <v>1.03639035</v>
      </c>
      <c r="AN139" s="63">
        <v>1.0114049394</v>
      </c>
      <c r="AO139" s="63">
        <v>0.98210394336149998</v>
      </c>
      <c r="AP139" s="63">
        <v>0.93762413895893393</v>
      </c>
      <c r="AQ139" s="63"/>
      <c r="AR139" s="63"/>
      <c r="AS139" s="64"/>
      <c r="AU139" s="66">
        <f t="shared" si="12"/>
        <v>0</v>
      </c>
      <c r="AX139" s="66">
        <f t="shared" si="13"/>
        <v>0</v>
      </c>
      <c r="AY139" s="66">
        <f t="shared" si="14"/>
        <v>0</v>
      </c>
      <c r="AZ139" s="66">
        <f t="shared" si="15"/>
        <v>0</v>
      </c>
      <c r="BA139" s="66">
        <f t="shared" si="16"/>
        <v>0</v>
      </c>
      <c r="BB139" s="66">
        <f t="shared" si="17"/>
        <v>0</v>
      </c>
    </row>
    <row r="140" spans="4:54" x14ac:dyDescent="0.25">
      <c r="D140" s="62">
        <f>калькулятор!C145</f>
        <v>0</v>
      </c>
      <c r="E140" s="62">
        <f>калькулятор!F145</f>
        <v>0</v>
      </c>
      <c r="F140" s="62">
        <f>калькулятор!G145</f>
        <v>0</v>
      </c>
      <c r="G140" s="62">
        <f>калькулятор!H145</f>
        <v>0</v>
      </c>
      <c r="H140" s="62">
        <f>калькулятор!I145</f>
        <v>0</v>
      </c>
      <c r="I140" s="63">
        <f>S140*SUMPRODUCT(($B$2=Таблица2[Филиал])*($B$3=Таблица2[ФЕР/ТЕР])*(F140=Таблица2[Наименование работ])*(G140=Таблица2[ТПиР/НСиР])*Таблица2[ПИР2010])</f>
        <v>0</v>
      </c>
      <c r="J140" s="63">
        <f>T140*SUMPRODUCT(($B$2=Таблица2[Филиал])*($B$3=Таблица2[ФЕР/ТЕР])*(F140=Таблица2[Наименование работ])*(G140=Таблица2[ТПиР/НСиР])*Таблица2[СМР2010])</f>
        <v>0</v>
      </c>
      <c r="K140" s="63">
        <f>U140*SUMPRODUCT(($B$2=Таблица2[Филиал])*($B$3=Таблица2[ФЕР/ТЕР])*(F140=Таблица2[Наименование работ])*(G140=Таблица2[ТПиР/НСиР])*Таблица2[ПНР2010])</f>
        <v>0</v>
      </c>
      <c r="L140" s="63">
        <f>V140*SUMPRODUCT(($B$2=Таблица2[Филиал])*($B$3=Таблица2[ФЕР/ТЕР])*(F140=Таблица2[Наименование работ])*(G140=Таблица2[ТПиР/НСиР])*Таблица2[Оборудование2010])</f>
        <v>0</v>
      </c>
      <c r="M140" s="63">
        <f>W140*SUMPRODUCT(($B$2=Таблица2[Филиал])*($B$3=Таблица2[ФЕР/ТЕР])*(F140=Таблица2[Наименование работ])*(G140=Таблица2[ТПиР/НСиР])*Таблица2[Прочие2010])</f>
        <v>0</v>
      </c>
      <c r="N140" s="63">
        <f>S140*SUMPRODUCT(($B$2=Таблица2[Филиал])*($B$3=Таблица2[ФЕР/ТЕР])*(F140=Таблица2[Наименование работ])*(G140=Таблица2[ТПиР/НСиР])*Таблица2[ПИР2013-10])</f>
        <v>0</v>
      </c>
      <c r="O140" s="63">
        <f>T140*SUMPRODUCT(($B$2=Таблица2[Филиал])*($B$3=Таблица2[ФЕР/ТЕР])*(F140=Таблица2[Наименование работ])*(G140=Таблица2[ТПиР/НСиР])*Таблица2[СМР2013-10])</f>
        <v>0</v>
      </c>
      <c r="P140" s="63">
        <f>U140*SUMPRODUCT(($B$2=Таблица2[Филиал])*($B$3=Таблица2[ФЕР/ТЕР])*(F140=Таблица2[Наименование работ])*(G140=Таблица2[ТПиР/НСиР])*Таблица2[ПНР2013-10])</f>
        <v>0</v>
      </c>
      <c r="Q140" s="63">
        <f>V140*SUMPRODUCT(($B$2=Таблица2[Филиал])*($B$3=Таблица2[ФЕР/ТЕР])*(F140=Таблица2[Наименование работ])*(G140=Таблица2[ТПиР/НСиР])*Таблица2[Оборудование2013-10])</f>
        <v>0</v>
      </c>
      <c r="R140" s="63">
        <f>W140*SUMPRODUCT(($B$2=Таблица2[Филиал])*($B$3=Таблица2[ФЕР/ТЕР])*(F140=Таблица2[Наименование работ])*(G140=Таблица2[ТПиР/НСиР])*Таблица2[Прочие2013-10])</f>
        <v>0</v>
      </c>
      <c r="S140" s="63">
        <f>IF($B$4="в базовых ценах",калькулятор!J145,X140*SUMPRODUCT(($B$2=Таблица2[Филиал])*($B$3=Таблица2[ФЕР/ТЕР])*(F140=Таблица2[Наименование работ])*(G140=Таблица2[ТПиР/НСиР])/Таблица2[ПИР2013]))</f>
        <v>0</v>
      </c>
      <c r="T140" s="63">
        <f>IF($B$4="в базовых ценах",калькулятор!K145,Y140*SUMPRODUCT(($B$2=Таблица2[Филиал])*($B$3=Таблица2[ФЕР/ТЕР])*(F140=Таблица2[Наименование работ])*(G140=Таблица2[ТПиР/НСиР])/Таблица2[СМР2013]))</f>
        <v>0</v>
      </c>
      <c r="U140" s="63">
        <f>IF($B$4="в базовых ценах",калькулятор!L145,Z140*SUMPRODUCT(($B$2=Таблица2[Филиал])*($B$3=Таблица2[ФЕР/ТЕР])*(F140=Таблица2[Наименование работ])*(G140=Таблица2[ТПиР/НСиР])/Таблица2[ПНР2013]))</f>
        <v>0</v>
      </c>
      <c r="V140" s="63">
        <f>IF($B$4="в базовых ценах",калькулятор!M145,AA140*SUMPRODUCT(($B$2=Таблица2[Филиал])*($B$3=Таблица2[ФЕР/ТЕР])*(F140=Таблица2[Наименование работ])*(G140=Таблица2[ТПиР/НСиР])/Таблица2[Оборудование2013]))</f>
        <v>0</v>
      </c>
      <c r="W140" s="63">
        <f>IF($B$4="в базовых ценах",калькулятор!N145,AB140*SUMPRODUCT(($B$2=Таблица2[Филиал])*($B$3=Таблица2[ФЕР/ТЕР])*(F140=Таблица2[Наименование работ])*(G140=Таблица2[ТПиР/НСиР])/Таблица2[Прочие3]))</f>
        <v>0</v>
      </c>
      <c r="X140" s="63">
        <f>IF($B$4="в текущих ценах",калькулятор!J145,S140*SUMPRODUCT(($B$2=Таблица2[Филиал])*($B$3=Таблица2[ФЕР/ТЕР])*(F140=Таблица2[Наименование работ])*(G140=Таблица2[ТПиР/НСиР])*Таблица2[ПИР2013]))</f>
        <v>0</v>
      </c>
      <c r="Y140" s="63">
        <f>IF($B$4="в текущих ценах",калькулятор!K145,T140*SUMPRODUCT(($B$2=Таблица2[Филиал])*($B$3=Таблица2[ФЕР/ТЕР])*(F140=Таблица2[Наименование работ])*(G140=Таблица2[ТПиР/НСиР])*Таблица2[СМР2013]))</f>
        <v>0</v>
      </c>
      <c r="Z140" s="63">
        <f>IF($B$4="в текущих ценах",калькулятор!L145,U140*SUMPRODUCT(($B$2=Таблица2[Филиал])*($B$3=Таблица2[ФЕР/ТЕР])*(F140=Таблица2[Наименование работ])*(G140=Таблица2[ТПиР/НСиР])*Таблица2[ПНР2013]))</f>
        <v>0</v>
      </c>
      <c r="AA140" s="63">
        <f>IF($B$4="в текущих ценах",калькулятор!M145,V140*SUMPRODUCT(($B$2=Таблица2[Филиал])*($B$3=Таблица2[ФЕР/ТЕР])*(F140=Таблица2[Наименование работ])*(G140=Таблица2[ТПиР/НСиР])*Таблица2[Оборудование2013]))</f>
        <v>0</v>
      </c>
      <c r="AB140" s="63">
        <f>IF($B$4="в текущих ценах",калькулятор!N145,W140*SUMPRODUCT(($B$2=Таблица2[Филиал])*($B$3=Таблица2[ФЕР/ТЕР])*(F140=Таблица2[Наименование работ])*(G140=Таблица2[ТПиР/НСиР])*Таблица2[Прочие3]))</f>
        <v>0</v>
      </c>
      <c r="AC140" s="63">
        <f>SUM(данные!$I140:$M140)</f>
        <v>0</v>
      </c>
      <c r="AD140" s="63">
        <f>IF(SUM(данные!$N140:$R140)&gt;данные!$AF140,данные!$AF140*0.9*1.058,SUM(данные!$N140:$R140))</f>
        <v>0</v>
      </c>
      <c r="AE140" s="63">
        <f>SUM(данные!$S140:$W140)</f>
        <v>0</v>
      </c>
      <c r="AF140" s="63">
        <f>SUM(данные!$X140:$AB140)</f>
        <v>0</v>
      </c>
      <c r="AG140" s="63">
        <f>IF($B$4="в текущих ценах",S140*SUMPRODUCT(($B$2=Таблица2[Филиал])*($B$3=Таблица2[ФЕР/ТЕР])*(F140=Таблица2[Наименование работ])*(G140=Таблица2[ТПиР/НСиР])*Таблица2[ПИР2012]),S140*SUMPRODUCT(($B$2=Таблица2[Филиал])*($B$3=Таблица2[ФЕР/ТЕР])*(F140=Таблица2[Наименование работ])*(G140=Таблица2[ТПиР/НСиР])*Таблица2[ПИР2012]))</f>
        <v>0</v>
      </c>
      <c r="AH140" s="63">
        <f>IF($B$4="в текущих ценах",T140*SUMPRODUCT(($B$2=Таблица2[Филиал])*($B$3=Таблица2[ФЕР/ТЕР])*(F140=Таблица2[Наименование работ])*(G140=Таблица2[ТПиР/НСиР])*Таблица2[СМР2012]),T140*SUMPRODUCT(($B$2=Таблица2[Филиал])*($B$3=Таблица2[ФЕР/ТЕР])*(F140=Таблица2[Наименование работ])*(G140=Таблица2[ТПиР/НСиР])*Таблица2[СМР2012]))</f>
        <v>0</v>
      </c>
      <c r="AI140" s="63">
        <f>IF($B$4="в текущих ценах",U140*SUMPRODUCT(($B$2=Таблица2[Филиал])*($B$3=Таблица2[ФЕР/ТЕР])*(F140=Таблица2[Наименование работ])*(G140=Таблица2[ТПиР/НСиР])*Таблица2[ПНР2012]),U140*SUMPRODUCT(($B$2=Таблица2[Филиал])*($B$3=Таблица2[ФЕР/ТЕР])*(F140=Таблица2[Наименование работ])*(G140=Таблица2[ТПиР/НСиР])*Таблица2[ПНР2012]))</f>
        <v>0</v>
      </c>
      <c r="AJ140" s="63">
        <f>IF($B$4="в текущих ценах",V140*SUMPRODUCT(($B$2=Таблица2[Филиал])*($B$3=Таблица2[ФЕР/ТЕР])*(F140=Таблица2[Наименование работ])*(G140=Таблица2[ТПиР/НСиР])*Таблица2[Оборудование2012]),V140*SUMPRODUCT(($B$2=Таблица2[Филиал])*($B$3=Таблица2[ФЕР/ТЕР])*(F140=Таблица2[Наименование работ])*(G140=Таблица2[ТПиР/НСиР])*Таблица2[Оборудование2012]))</f>
        <v>0</v>
      </c>
      <c r="AK140" s="63">
        <f>IF($B$4="в текущих ценах",W140*SUMPRODUCT(($B$2=Таблица2[Филиал])*($B$3=Таблица2[ФЕР/ТЕР])*(F140=Таблица2[Наименование работ])*(G140=Таблица2[ТПиР/НСиР])*Таблица2[Прочее2012]),W140*SUMPRODUCT(($B$2=Таблица2[Филиал])*($B$3=Таблица2[ФЕР/ТЕР])*(F140=Таблица2[Наименование работ])*(G140=Таблица2[ТПиР/НСиР])*Таблица2[Прочее2012]))</f>
        <v>0</v>
      </c>
      <c r="AL140" s="63">
        <f>данные!$X140+данные!$Y140+данные!$Z140+данные!$AA140+данные!$AB140</f>
        <v>0</v>
      </c>
      <c r="AM140" s="63">
        <v>1.03639035</v>
      </c>
      <c r="AN140" s="63">
        <v>1.0114049394</v>
      </c>
      <c r="AO140" s="63">
        <v>0.98210394336149998</v>
      </c>
      <c r="AP140" s="63">
        <v>0.93762413895893393</v>
      </c>
      <c r="AQ140" s="63"/>
      <c r="AR140" s="63"/>
      <c r="AS140" s="64"/>
      <c r="AU140" s="66">
        <f t="shared" si="12"/>
        <v>0</v>
      </c>
      <c r="AX140" s="66">
        <f t="shared" si="13"/>
        <v>0</v>
      </c>
      <c r="AY140" s="66">
        <f t="shared" si="14"/>
        <v>0</v>
      </c>
      <c r="AZ140" s="66">
        <f t="shared" si="15"/>
        <v>0</v>
      </c>
      <c r="BA140" s="66">
        <f t="shared" si="16"/>
        <v>0</v>
      </c>
      <c r="BB140" s="66">
        <f t="shared" si="17"/>
        <v>0</v>
      </c>
    </row>
    <row r="141" spans="4:54" x14ac:dyDescent="0.25">
      <c r="D141" s="62">
        <f>калькулятор!C146</f>
        <v>0</v>
      </c>
      <c r="E141" s="62">
        <f>калькулятор!F146</f>
        <v>0</v>
      </c>
      <c r="F141" s="62">
        <f>калькулятор!G146</f>
        <v>0</v>
      </c>
      <c r="G141" s="62">
        <f>калькулятор!H146</f>
        <v>0</v>
      </c>
      <c r="H141" s="62">
        <f>калькулятор!I146</f>
        <v>0</v>
      </c>
      <c r="I141" s="63">
        <f>S141*SUMPRODUCT(($B$2=Таблица2[Филиал])*($B$3=Таблица2[ФЕР/ТЕР])*(F141=Таблица2[Наименование работ])*(G141=Таблица2[ТПиР/НСиР])*Таблица2[ПИР2010])</f>
        <v>0</v>
      </c>
      <c r="J141" s="63">
        <f>T141*SUMPRODUCT(($B$2=Таблица2[Филиал])*($B$3=Таблица2[ФЕР/ТЕР])*(F141=Таблица2[Наименование работ])*(G141=Таблица2[ТПиР/НСиР])*Таблица2[СМР2010])</f>
        <v>0</v>
      </c>
      <c r="K141" s="63">
        <f>U141*SUMPRODUCT(($B$2=Таблица2[Филиал])*($B$3=Таблица2[ФЕР/ТЕР])*(F141=Таблица2[Наименование работ])*(G141=Таблица2[ТПиР/НСиР])*Таблица2[ПНР2010])</f>
        <v>0</v>
      </c>
      <c r="L141" s="63">
        <f>V141*SUMPRODUCT(($B$2=Таблица2[Филиал])*($B$3=Таблица2[ФЕР/ТЕР])*(F141=Таблица2[Наименование работ])*(G141=Таблица2[ТПиР/НСиР])*Таблица2[Оборудование2010])</f>
        <v>0</v>
      </c>
      <c r="M141" s="63">
        <f>W141*SUMPRODUCT(($B$2=Таблица2[Филиал])*($B$3=Таблица2[ФЕР/ТЕР])*(F141=Таблица2[Наименование работ])*(G141=Таблица2[ТПиР/НСиР])*Таблица2[Прочие2010])</f>
        <v>0</v>
      </c>
      <c r="N141" s="63">
        <f>S141*SUMPRODUCT(($B$2=Таблица2[Филиал])*($B$3=Таблица2[ФЕР/ТЕР])*(F141=Таблица2[Наименование работ])*(G141=Таблица2[ТПиР/НСиР])*Таблица2[ПИР2013-10])</f>
        <v>0</v>
      </c>
      <c r="O141" s="63">
        <f>T141*SUMPRODUCT(($B$2=Таблица2[Филиал])*($B$3=Таблица2[ФЕР/ТЕР])*(F141=Таблица2[Наименование работ])*(G141=Таблица2[ТПиР/НСиР])*Таблица2[СМР2013-10])</f>
        <v>0</v>
      </c>
      <c r="P141" s="63">
        <f>U141*SUMPRODUCT(($B$2=Таблица2[Филиал])*($B$3=Таблица2[ФЕР/ТЕР])*(F141=Таблица2[Наименование работ])*(G141=Таблица2[ТПиР/НСиР])*Таблица2[ПНР2013-10])</f>
        <v>0</v>
      </c>
      <c r="Q141" s="63">
        <f>V141*SUMPRODUCT(($B$2=Таблица2[Филиал])*($B$3=Таблица2[ФЕР/ТЕР])*(F141=Таблица2[Наименование работ])*(G141=Таблица2[ТПиР/НСиР])*Таблица2[Оборудование2013-10])</f>
        <v>0</v>
      </c>
      <c r="R141" s="63">
        <f>W141*SUMPRODUCT(($B$2=Таблица2[Филиал])*($B$3=Таблица2[ФЕР/ТЕР])*(F141=Таблица2[Наименование работ])*(G141=Таблица2[ТПиР/НСиР])*Таблица2[Прочие2013-10])</f>
        <v>0</v>
      </c>
      <c r="S141" s="63">
        <f>IF($B$4="в базовых ценах",калькулятор!J146,X141*SUMPRODUCT(($B$2=Таблица2[Филиал])*($B$3=Таблица2[ФЕР/ТЕР])*(F141=Таблица2[Наименование работ])*(G141=Таблица2[ТПиР/НСиР])/Таблица2[ПИР2013]))</f>
        <v>0</v>
      </c>
      <c r="T141" s="63">
        <f>IF($B$4="в базовых ценах",калькулятор!K146,Y141*SUMPRODUCT(($B$2=Таблица2[Филиал])*($B$3=Таблица2[ФЕР/ТЕР])*(F141=Таблица2[Наименование работ])*(G141=Таблица2[ТПиР/НСиР])/Таблица2[СМР2013]))</f>
        <v>0</v>
      </c>
      <c r="U141" s="63">
        <f>IF($B$4="в базовых ценах",калькулятор!L146,Z141*SUMPRODUCT(($B$2=Таблица2[Филиал])*($B$3=Таблица2[ФЕР/ТЕР])*(F141=Таблица2[Наименование работ])*(G141=Таблица2[ТПиР/НСиР])/Таблица2[ПНР2013]))</f>
        <v>0</v>
      </c>
      <c r="V141" s="63">
        <f>IF($B$4="в базовых ценах",калькулятор!M146,AA141*SUMPRODUCT(($B$2=Таблица2[Филиал])*($B$3=Таблица2[ФЕР/ТЕР])*(F141=Таблица2[Наименование работ])*(G141=Таблица2[ТПиР/НСиР])/Таблица2[Оборудование2013]))</f>
        <v>0</v>
      </c>
      <c r="W141" s="63">
        <f>IF($B$4="в базовых ценах",калькулятор!N146,AB141*SUMPRODUCT(($B$2=Таблица2[Филиал])*($B$3=Таблица2[ФЕР/ТЕР])*(F141=Таблица2[Наименование работ])*(G141=Таблица2[ТПиР/НСиР])/Таблица2[Прочие3]))</f>
        <v>0</v>
      </c>
      <c r="X141" s="63">
        <f>IF($B$4="в текущих ценах",калькулятор!J146,S141*SUMPRODUCT(($B$2=Таблица2[Филиал])*($B$3=Таблица2[ФЕР/ТЕР])*(F141=Таблица2[Наименование работ])*(G141=Таблица2[ТПиР/НСиР])*Таблица2[ПИР2013]))</f>
        <v>0</v>
      </c>
      <c r="Y141" s="63">
        <f>IF($B$4="в текущих ценах",калькулятор!K146,T141*SUMPRODUCT(($B$2=Таблица2[Филиал])*($B$3=Таблица2[ФЕР/ТЕР])*(F141=Таблица2[Наименование работ])*(G141=Таблица2[ТПиР/НСиР])*Таблица2[СМР2013]))</f>
        <v>0</v>
      </c>
      <c r="Z141" s="63">
        <f>IF($B$4="в текущих ценах",калькулятор!L146,U141*SUMPRODUCT(($B$2=Таблица2[Филиал])*($B$3=Таблица2[ФЕР/ТЕР])*(F141=Таблица2[Наименование работ])*(G141=Таблица2[ТПиР/НСиР])*Таблица2[ПНР2013]))</f>
        <v>0</v>
      </c>
      <c r="AA141" s="63">
        <f>IF($B$4="в текущих ценах",калькулятор!M146,V141*SUMPRODUCT(($B$2=Таблица2[Филиал])*($B$3=Таблица2[ФЕР/ТЕР])*(F141=Таблица2[Наименование работ])*(G141=Таблица2[ТПиР/НСиР])*Таблица2[Оборудование2013]))</f>
        <v>0</v>
      </c>
      <c r="AB141" s="63">
        <f>IF($B$4="в текущих ценах",калькулятор!N146,W141*SUMPRODUCT(($B$2=Таблица2[Филиал])*($B$3=Таблица2[ФЕР/ТЕР])*(F141=Таблица2[Наименование работ])*(G141=Таблица2[ТПиР/НСиР])*Таблица2[Прочие3]))</f>
        <v>0</v>
      </c>
      <c r="AC141" s="63">
        <f>SUM(данные!$I141:$M141)</f>
        <v>0</v>
      </c>
      <c r="AD141" s="63">
        <f>IF(SUM(данные!$N141:$R141)&gt;данные!$AF141,данные!$AF141*0.9*1.058,SUM(данные!$N141:$R141))</f>
        <v>0</v>
      </c>
      <c r="AE141" s="63">
        <f>SUM(данные!$S141:$W141)</f>
        <v>0</v>
      </c>
      <c r="AF141" s="63">
        <f>SUM(данные!$X141:$AB141)</f>
        <v>0</v>
      </c>
      <c r="AG141" s="63">
        <f>IF($B$4="в текущих ценах",S141*SUMPRODUCT(($B$2=Таблица2[Филиал])*($B$3=Таблица2[ФЕР/ТЕР])*(F141=Таблица2[Наименование работ])*(G141=Таблица2[ТПиР/НСиР])*Таблица2[ПИР2012]),S141*SUMPRODUCT(($B$2=Таблица2[Филиал])*($B$3=Таблица2[ФЕР/ТЕР])*(F141=Таблица2[Наименование работ])*(G141=Таблица2[ТПиР/НСиР])*Таблица2[ПИР2012]))</f>
        <v>0</v>
      </c>
      <c r="AH141" s="63">
        <f>IF($B$4="в текущих ценах",T141*SUMPRODUCT(($B$2=Таблица2[Филиал])*($B$3=Таблица2[ФЕР/ТЕР])*(F141=Таблица2[Наименование работ])*(G141=Таблица2[ТПиР/НСиР])*Таблица2[СМР2012]),T141*SUMPRODUCT(($B$2=Таблица2[Филиал])*($B$3=Таблица2[ФЕР/ТЕР])*(F141=Таблица2[Наименование работ])*(G141=Таблица2[ТПиР/НСиР])*Таблица2[СМР2012]))</f>
        <v>0</v>
      </c>
      <c r="AI141" s="63">
        <f>IF($B$4="в текущих ценах",U141*SUMPRODUCT(($B$2=Таблица2[Филиал])*($B$3=Таблица2[ФЕР/ТЕР])*(F141=Таблица2[Наименование работ])*(G141=Таблица2[ТПиР/НСиР])*Таблица2[ПНР2012]),U141*SUMPRODUCT(($B$2=Таблица2[Филиал])*($B$3=Таблица2[ФЕР/ТЕР])*(F141=Таблица2[Наименование работ])*(G141=Таблица2[ТПиР/НСиР])*Таблица2[ПНР2012]))</f>
        <v>0</v>
      </c>
      <c r="AJ141" s="63">
        <f>IF($B$4="в текущих ценах",V141*SUMPRODUCT(($B$2=Таблица2[Филиал])*($B$3=Таблица2[ФЕР/ТЕР])*(F141=Таблица2[Наименование работ])*(G141=Таблица2[ТПиР/НСиР])*Таблица2[Оборудование2012]),V141*SUMPRODUCT(($B$2=Таблица2[Филиал])*($B$3=Таблица2[ФЕР/ТЕР])*(F141=Таблица2[Наименование работ])*(G141=Таблица2[ТПиР/НСиР])*Таблица2[Оборудование2012]))</f>
        <v>0</v>
      </c>
      <c r="AK141" s="63">
        <f>IF($B$4="в текущих ценах",W141*SUMPRODUCT(($B$2=Таблица2[Филиал])*($B$3=Таблица2[ФЕР/ТЕР])*(F141=Таблица2[Наименование работ])*(G141=Таблица2[ТПиР/НСиР])*Таблица2[Прочее2012]),W141*SUMPRODUCT(($B$2=Таблица2[Филиал])*($B$3=Таблица2[ФЕР/ТЕР])*(F141=Таблица2[Наименование работ])*(G141=Таблица2[ТПиР/НСиР])*Таблица2[Прочее2012]))</f>
        <v>0</v>
      </c>
      <c r="AL141" s="63">
        <f>данные!$X141+данные!$Y141+данные!$Z141+данные!$AA141+данные!$AB141</f>
        <v>0</v>
      </c>
      <c r="AM141" s="63">
        <v>1.03639035</v>
      </c>
      <c r="AN141" s="63">
        <v>1.0114049394</v>
      </c>
      <c r="AO141" s="63">
        <v>0.98210394336149998</v>
      </c>
      <c r="AP141" s="63">
        <v>0.93762413895893393</v>
      </c>
      <c r="AQ141" s="63"/>
      <c r="AR141" s="63"/>
      <c r="AS141" s="64"/>
      <c r="AU141" s="66">
        <f t="shared" si="12"/>
        <v>0</v>
      </c>
      <c r="AX141" s="66">
        <f t="shared" si="13"/>
        <v>0</v>
      </c>
      <c r="AY141" s="66">
        <f t="shared" si="14"/>
        <v>0</v>
      </c>
      <c r="AZ141" s="66">
        <f t="shared" si="15"/>
        <v>0</v>
      </c>
      <c r="BA141" s="66">
        <f t="shared" si="16"/>
        <v>0</v>
      </c>
      <c r="BB141" s="66">
        <f t="shared" si="17"/>
        <v>0</v>
      </c>
    </row>
    <row r="142" spans="4:54" x14ac:dyDescent="0.25">
      <c r="D142" s="62">
        <f>калькулятор!C147</f>
        <v>0</v>
      </c>
      <c r="E142" s="62">
        <f>калькулятор!F147</f>
        <v>0</v>
      </c>
      <c r="F142" s="62">
        <f>калькулятор!G147</f>
        <v>0</v>
      </c>
      <c r="G142" s="62">
        <f>калькулятор!H147</f>
        <v>0</v>
      </c>
      <c r="H142" s="62">
        <f>калькулятор!I147</f>
        <v>0</v>
      </c>
      <c r="I142" s="63">
        <f>S142*SUMPRODUCT(($B$2=Таблица2[Филиал])*($B$3=Таблица2[ФЕР/ТЕР])*(F142=Таблица2[Наименование работ])*(G142=Таблица2[ТПиР/НСиР])*Таблица2[ПИР2010])</f>
        <v>0</v>
      </c>
      <c r="J142" s="63">
        <f>T142*SUMPRODUCT(($B$2=Таблица2[Филиал])*($B$3=Таблица2[ФЕР/ТЕР])*(F142=Таблица2[Наименование работ])*(G142=Таблица2[ТПиР/НСиР])*Таблица2[СМР2010])</f>
        <v>0</v>
      </c>
      <c r="K142" s="63">
        <f>U142*SUMPRODUCT(($B$2=Таблица2[Филиал])*($B$3=Таблица2[ФЕР/ТЕР])*(F142=Таблица2[Наименование работ])*(G142=Таблица2[ТПиР/НСиР])*Таблица2[ПНР2010])</f>
        <v>0</v>
      </c>
      <c r="L142" s="63">
        <f>V142*SUMPRODUCT(($B$2=Таблица2[Филиал])*($B$3=Таблица2[ФЕР/ТЕР])*(F142=Таблица2[Наименование работ])*(G142=Таблица2[ТПиР/НСиР])*Таблица2[Оборудование2010])</f>
        <v>0</v>
      </c>
      <c r="M142" s="63">
        <f>W142*SUMPRODUCT(($B$2=Таблица2[Филиал])*($B$3=Таблица2[ФЕР/ТЕР])*(F142=Таблица2[Наименование работ])*(G142=Таблица2[ТПиР/НСиР])*Таблица2[Прочие2010])</f>
        <v>0</v>
      </c>
      <c r="N142" s="63">
        <f>S142*SUMPRODUCT(($B$2=Таблица2[Филиал])*($B$3=Таблица2[ФЕР/ТЕР])*(F142=Таблица2[Наименование работ])*(G142=Таблица2[ТПиР/НСиР])*Таблица2[ПИР2013-10])</f>
        <v>0</v>
      </c>
      <c r="O142" s="63">
        <f>T142*SUMPRODUCT(($B$2=Таблица2[Филиал])*($B$3=Таблица2[ФЕР/ТЕР])*(F142=Таблица2[Наименование работ])*(G142=Таблица2[ТПиР/НСиР])*Таблица2[СМР2013-10])</f>
        <v>0</v>
      </c>
      <c r="P142" s="63">
        <f>U142*SUMPRODUCT(($B$2=Таблица2[Филиал])*($B$3=Таблица2[ФЕР/ТЕР])*(F142=Таблица2[Наименование работ])*(G142=Таблица2[ТПиР/НСиР])*Таблица2[ПНР2013-10])</f>
        <v>0</v>
      </c>
      <c r="Q142" s="63">
        <f>V142*SUMPRODUCT(($B$2=Таблица2[Филиал])*($B$3=Таблица2[ФЕР/ТЕР])*(F142=Таблица2[Наименование работ])*(G142=Таблица2[ТПиР/НСиР])*Таблица2[Оборудование2013-10])</f>
        <v>0</v>
      </c>
      <c r="R142" s="63">
        <f>W142*SUMPRODUCT(($B$2=Таблица2[Филиал])*($B$3=Таблица2[ФЕР/ТЕР])*(F142=Таблица2[Наименование работ])*(G142=Таблица2[ТПиР/НСиР])*Таблица2[Прочие2013-10])</f>
        <v>0</v>
      </c>
      <c r="S142" s="63">
        <f>IF($B$4="в базовых ценах",калькулятор!J147,X142*SUMPRODUCT(($B$2=Таблица2[Филиал])*($B$3=Таблица2[ФЕР/ТЕР])*(F142=Таблица2[Наименование работ])*(G142=Таблица2[ТПиР/НСиР])/Таблица2[ПИР2013]))</f>
        <v>0</v>
      </c>
      <c r="T142" s="63">
        <f>IF($B$4="в базовых ценах",калькулятор!K147,Y142*SUMPRODUCT(($B$2=Таблица2[Филиал])*($B$3=Таблица2[ФЕР/ТЕР])*(F142=Таблица2[Наименование работ])*(G142=Таблица2[ТПиР/НСиР])/Таблица2[СМР2013]))</f>
        <v>0</v>
      </c>
      <c r="U142" s="63">
        <f>IF($B$4="в базовых ценах",калькулятор!L147,Z142*SUMPRODUCT(($B$2=Таблица2[Филиал])*($B$3=Таблица2[ФЕР/ТЕР])*(F142=Таблица2[Наименование работ])*(G142=Таблица2[ТПиР/НСиР])/Таблица2[ПНР2013]))</f>
        <v>0</v>
      </c>
      <c r="V142" s="63">
        <f>IF($B$4="в базовых ценах",калькулятор!M147,AA142*SUMPRODUCT(($B$2=Таблица2[Филиал])*($B$3=Таблица2[ФЕР/ТЕР])*(F142=Таблица2[Наименование работ])*(G142=Таблица2[ТПиР/НСиР])/Таблица2[Оборудование2013]))</f>
        <v>0</v>
      </c>
      <c r="W142" s="63">
        <f>IF($B$4="в базовых ценах",калькулятор!N147,AB142*SUMPRODUCT(($B$2=Таблица2[Филиал])*($B$3=Таблица2[ФЕР/ТЕР])*(F142=Таблица2[Наименование работ])*(G142=Таблица2[ТПиР/НСиР])/Таблица2[Прочие3]))</f>
        <v>0</v>
      </c>
      <c r="X142" s="63">
        <f>IF($B$4="в текущих ценах",калькулятор!J147,S142*SUMPRODUCT(($B$2=Таблица2[Филиал])*($B$3=Таблица2[ФЕР/ТЕР])*(F142=Таблица2[Наименование работ])*(G142=Таблица2[ТПиР/НСиР])*Таблица2[ПИР2013]))</f>
        <v>0</v>
      </c>
      <c r="Y142" s="63">
        <f>IF($B$4="в текущих ценах",калькулятор!K147,T142*SUMPRODUCT(($B$2=Таблица2[Филиал])*($B$3=Таблица2[ФЕР/ТЕР])*(F142=Таблица2[Наименование работ])*(G142=Таблица2[ТПиР/НСиР])*Таблица2[СМР2013]))</f>
        <v>0</v>
      </c>
      <c r="Z142" s="63">
        <f>IF($B$4="в текущих ценах",калькулятор!L147,U142*SUMPRODUCT(($B$2=Таблица2[Филиал])*($B$3=Таблица2[ФЕР/ТЕР])*(F142=Таблица2[Наименование работ])*(G142=Таблица2[ТПиР/НСиР])*Таблица2[ПНР2013]))</f>
        <v>0</v>
      </c>
      <c r="AA142" s="63">
        <f>IF($B$4="в текущих ценах",калькулятор!M147,V142*SUMPRODUCT(($B$2=Таблица2[Филиал])*($B$3=Таблица2[ФЕР/ТЕР])*(F142=Таблица2[Наименование работ])*(G142=Таблица2[ТПиР/НСиР])*Таблица2[Оборудование2013]))</f>
        <v>0</v>
      </c>
      <c r="AB142" s="63">
        <f>IF($B$4="в текущих ценах",калькулятор!N147,W142*SUMPRODUCT(($B$2=Таблица2[Филиал])*($B$3=Таблица2[ФЕР/ТЕР])*(F142=Таблица2[Наименование работ])*(G142=Таблица2[ТПиР/НСиР])*Таблица2[Прочие3]))</f>
        <v>0</v>
      </c>
      <c r="AC142" s="63">
        <f>SUM(данные!$I142:$M142)</f>
        <v>0</v>
      </c>
      <c r="AD142" s="63">
        <f>IF(SUM(данные!$N142:$R142)&gt;данные!$AF142,данные!$AF142*0.9*1.058,SUM(данные!$N142:$R142))</f>
        <v>0</v>
      </c>
      <c r="AE142" s="63">
        <f>SUM(данные!$S142:$W142)</f>
        <v>0</v>
      </c>
      <c r="AF142" s="63">
        <f>SUM(данные!$X142:$AB142)</f>
        <v>0</v>
      </c>
      <c r="AG142" s="63">
        <f>IF($B$4="в текущих ценах",S142*SUMPRODUCT(($B$2=Таблица2[Филиал])*($B$3=Таблица2[ФЕР/ТЕР])*(F142=Таблица2[Наименование работ])*(G142=Таблица2[ТПиР/НСиР])*Таблица2[ПИР2012]),S142*SUMPRODUCT(($B$2=Таблица2[Филиал])*($B$3=Таблица2[ФЕР/ТЕР])*(F142=Таблица2[Наименование работ])*(G142=Таблица2[ТПиР/НСиР])*Таблица2[ПИР2012]))</f>
        <v>0</v>
      </c>
      <c r="AH142" s="63">
        <f>IF($B$4="в текущих ценах",T142*SUMPRODUCT(($B$2=Таблица2[Филиал])*($B$3=Таблица2[ФЕР/ТЕР])*(F142=Таблица2[Наименование работ])*(G142=Таблица2[ТПиР/НСиР])*Таблица2[СМР2012]),T142*SUMPRODUCT(($B$2=Таблица2[Филиал])*($B$3=Таблица2[ФЕР/ТЕР])*(F142=Таблица2[Наименование работ])*(G142=Таблица2[ТПиР/НСиР])*Таблица2[СМР2012]))</f>
        <v>0</v>
      </c>
      <c r="AI142" s="63">
        <f>IF($B$4="в текущих ценах",U142*SUMPRODUCT(($B$2=Таблица2[Филиал])*($B$3=Таблица2[ФЕР/ТЕР])*(F142=Таблица2[Наименование работ])*(G142=Таблица2[ТПиР/НСиР])*Таблица2[ПНР2012]),U142*SUMPRODUCT(($B$2=Таблица2[Филиал])*($B$3=Таблица2[ФЕР/ТЕР])*(F142=Таблица2[Наименование работ])*(G142=Таблица2[ТПиР/НСиР])*Таблица2[ПНР2012]))</f>
        <v>0</v>
      </c>
      <c r="AJ142" s="63">
        <f>IF($B$4="в текущих ценах",V142*SUMPRODUCT(($B$2=Таблица2[Филиал])*($B$3=Таблица2[ФЕР/ТЕР])*(F142=Таблица2[Наименование работ])*(G142=Таблица2[ТПиР/НСиР])*Таблица2[Оборудование2012]),V142*SUMPRODUCT(($B$2=Таблица2[Филиал])*($B$3=Таблица2[ФЕР/ТЕР])*(F142=Таблица2[Наименование работ])*(G142=Таблица2[ТПиР/НСиР])*Таблица2[Оборудование2012]))</f>
        <v>0</v>
      </c>
      <c r="AK142" s="63">
        <f>IF($B$4="в текущих ценах",W142*SUMPRODUCT(($B$2=Таблица2[Филиал])*($B$3=Таблица2[ФЕР/ТЕР])*(F142=Таблица2[Наименование работ])*(G142=Таблица2[ТПиР/НСиР])*Таблица2[Прочее2012]),W142*SUMPRODUCT(($B$2=Таблица2[Филиал])*($B$3=Таблица2[ФЕР/ТЕР])*(F142=Таблица2[Наименование работ])*(G142=Таблица2[ТПиР/НСиР])*Таблица2[Прочее2012]))</f>
        <v>0</v>
      </c>
      <c r="AL142" s="63">
        <f>данные!$X142+данные!$Y142+данные!$Z142+данные!$AA142+данные!$AB142</f>
        <v>0</v>
      </c>
      <c r="AM142" s="63">
        <v>1.03639035</v>
      </c>
      <c r="AN142" s="63">
        <v>1.0114049394</v>
      </c>
      <c r="AO142" s="63">
        <v>0.98210394336149998</v>
      </c>
      <c r="AP142" s="63">
        <v>0.93762413895893393</v>
      </c>
      <c r="AQ142" s="63"/>
      <c r="AR142" s="63"/>
      <c r="AS142" s="64"/>
      <c r="AU142" s="66">
        <f t="shared" si="12"/>
        <v>0</v>
      </c>
      <c r="AX142" s="66">
        <f t="shared" si="13"/>
        <v>0</v>
      </c>
      <c r="AY142" s="66">
        <f t="shared" si="14"/>
        <v>0</v>
      </c>
      <c r="AZ142" s="66">
        <f t="shared" si="15"/>
        <v>0</v>
      </c>
      <c r="BA142" s="66">
        <f t="shared" si="16"/>
        <v>0</v>
      </c>
      <c r="BB142" s="66">
        <f t="shared" si="17"/>
        <v>0</v>
      </c>
    </row>
    <row r="143" spans="4:54" x14ac:dyDescent="0.25">
      <c r="D143" s="62">
        <f>калькулятор!C148</f>
        <v>0</v>
      </c>
      <c r="E143" s="62">
        <f>калькулятор!F148</f>
        <v>0</v>
      </c>
      <c r="F143" s="62">
        <f>калькулятор!G148</f>
        <v>0</v>
      </c>
      <c r="G143" s="62">
        <f>калькулятор!H148</f>
        <v>0</v>
      </c>
      <c r="H143" s="62">
        <f>калькулятор!I148</f>
        <v>0</v>
      </c>
      <c r="I143" s="63">
        <f>S143*SUMPRODUCT(($B$2=Таблица2[Филиал])*($B$3=Таблица2[ФЕР/ТЕР])*(F143=Таблица2[Наименование работ])*(G143=Таблица2[ТПиР/НСиР])*Таблица2[ПИР2010])</f>
        <v>0</v>
      </c>
      <c r="J143" s="63">
        <f>T143*SUMPRODUCT(($B$2=Таблица2[Филиал])*($B$3=Таблица2[ФЕР/ТЕР])*(F143=Таблица2[Наименование работ])*(G143=Таблица2[ТПиР/НСиР])*Таблица2[СМР2010])</f>
        <v>0</v>
      </c>
      <c r="K143" s="63">
        <f>U143*SUMPRODUCT(($B$2=Таблица2[Филиал])*($B$3=Таблица2[ФЕР/ТЕР])*(F143=Таблица2[Наименование работ])*(G143=Таблица2[ТПиР/НСиР])*Таблица2[ПНР2010])</f>
        <v>0</v>
      </c>
      <c r="L143" s="63">
        <f>V143*SUMPRODUCT(($B$2=Таблица2[Филиал])*($B$3=Таблица2[ФЕР/ТЕР])*(F143=Таблица2[Наименование работ])*(G143=Таблица2[ТПиР/НСиР])*Таблица2[Оборудование2010])</f>
        <v>0</v>
      </c>
      <c r="M143" s="63">
        <f>W143*SUMPRODUCT(($B$2=Таблица2[Филиал])*($B$3=Таблица2[ФЕР/ТЕР])*(F143=Таблица2[Наименование работ])*(G143=Таблица2[ТПиР/НСиР])*Таблица2[Прочие2010])</f>
        <v>0</v>
      </c>
      <c r="N143" s="63">
        <f>S143*SUMPRODUCT(($B$2=Таблица2[Филиал])*($B$3=Таблица2[ФЕР/ТЕР])*(F143=Таблица2[Наименование работ])*(G143=Таблица2[ТПиР/НСиР])*Таблица2[ПИР2013-10])</f>
        <v>0</v>
      </c>
      <c r="O143" s="63">
        <f>T143*SUMPRODUCT(($B$2=Таблица2[Филиал])*($B$3=Таблица2[ФЕР/ТЕР])*(F143=Таблица2[Наименование работ])*(G143=Таблица2[ТПиР/НСиР])*Таблица2[СМР2013-10])</f>
        <v>0</v>
      </c>
      <c r="P143" s="63">
        <f>U143*SUMPRODUCT(($B$2=Таблица2[Филиал])*($B$3=Таблица2[ФЕР/ТЕР])*(F143=Таблица2[Наименование работ])*(G143=Таблица2[ТПиР/НСиР])*Таблица2[ПНР2013-10])</f>
        <v>0</v>
      </c>
      <c r="Q143" s="63">
        <f>V143*SUMPRODUCT(($B$2=Таблица2[Филиал])*($B$3=Таблица2[ФЕР/ТЕР])*(F143=Таблица2[Наименование работ])*(G143=Таблица2[ТПиР/НСиР])*Таблица2[Оборудование2013-10])</f>
        <v>0</v>
      </c>
      <c r="R143" s="63">
        <f>W143*SUMPRODUCT(($B$2=Таблица2[Филиал])*($B$3=Таблица2[ФЕР/ТЕР])*(F143=Таблица2[Наименование работ])*(G143=Таблица2[ТПиР/НСиР])*Таблица2[Прочие2013-10])</f>
        <v>0</v>
      </c>
      <c r="S143" s="63">
        <f>IF($B$4="в базовых ценах",калькулятор!J148,X143*SUMPRODUCT(($B$2=Таблица2[Филиал])*($B$3=Таблица2[ФЕР/ТЕР])*(F143=Таблица2[Наименование работ])*(G143=Таблица2[ТПиР/НСиР])/Таблица2[ПИР2013]))</f>
        <v>0</v>
      </c>
      <c r="T143" s="63">
        <f>IF($B$4="в базовых ценах",калькулятор!K148,Y143*SUMPRODUCT(($B$2=Таблица2[Филиал])*($B$3=Таблица2[ФЕР/ТЕР])*(F143=Таблица2[Наименование работ])*(G143=Таблица2[ТПиР/НСиР])/Таблица2[СМР2013]))</f>
        <v>0</v>
      </c>
      <c r="U143" s="63">
        <f>IF($B$4="в базовых ценах",калькулятор!L148,Z143*SUMPRODUCT(($B$2=Таблица2[Филиал])*($B$3=Таблица2[ФЕР/ТЕР])*(F143=Таблица2[Наименование работ])*(G143=Таблица2[ТПиР/НСиР])/Таблица2[ПНР2013]))</f>
        <v>0</v>
      </c>
      <c r="V143" s="63">
        <f>IF($B$4="в базовых ценах",калькулятор!M148,AA143*SUMPRODUCT(($B$2=Таблица2[Филиал])*($B$3=Таблица2[ФЕР/ТЕР])*(F143=Таблица2[Наименование работ])*(G143=Таблица2[ТПиР/НСиР])/Таблица2[Оборудование2013]))</f>
        <v>0</v>
      </c>
      <c r="W143" s="63">
        <f>IF($B$4="в базовых ценах",калькулятор!N148,AB143*SUMPRODUCT(($B$2=Таблица2[Филиал])*($B$3=Таблица2[ФЕР/ТЕР])*(F143=Таблица2[Наименование работ])*(G143=Таблица2[ТПиР/НСиР])/Таблица2[Прочие3]))</f>
        <v>0</v>
      </c>
      <c r="X143" s="63">
        <f>IF($B$4="в текущих ценах",калькулятор!J148,S143*SUMPRODUCT(($B$2=Таблица2[Филиал])*($B$3=Таблица2[ФЕР/ТЕР])*(F143=Таблица2[Наименование работ])*(G143=Таблица2[ТПиР/НСиР])*Таблица2[ПИР2013]))</f>
        <v>0</v>
      </c>
      <c r="Y143" s="63">
        <f>IF($B$4="в текущих ценах",калькулятор!K148,T143*SUMPRODUCT(($B$2=Таблица2[Филиал])*($B$3=Таблица2[ФЕР/ТЕР])*(F143=Таблица2[Наименование работ])*(G143=Таблица2[ТПиР/НСиР])*Таблица2[СМР2013]))</f>
        <v>0</v>
      </c>
      <c r="Z143" s="63">
        <f>IF($B$4="в текущих ценах",калькулятор!L148,U143*SUMPRODUCT(($B$2=Таблица2[Филиал])*($B$3=Таблица2[ФЕР/ТЕР])*(F143=Таблица2[Наименование работ])*(G143=Таблица2[ТПиР/НСиР])*Таблица2[ПНР2013]))</f>
        <v>0</v>
      </c>
      <c r="AA143" s="63">
        <f>IF($B$4="в текущих ценах",калькулятор!M148,V143*SUMPRODUCT(($B$2=Таблица2[Филиал])*($B$3=Таблица2[ФЕР/ТЕР])*(F143=Таблица2[Наименование работ])*(G143=Таблица2[ТПиР/НСиР])*Таблица2[Оборудование2013]))</f>
        <v>0</v>
      </c>
      <c r="AB143" s="63">
        <f>IF($B$4="в текущих ценах",калькулятор!N148,W143*SUMPRODUCT(($B$2=Таблица2[Филиал])*($B$3=Таблица2[ФЕР/ТЕР])*(F143=Таблица2[Наименование работ])*(G143=Таблица2[ТПиР/НСиР])*Таблица2[Прочие3]))</f>
        <v>0</v>
      </c>
      <c r="AC143" s="63">
        <f>SUM(данные!$I143:$M143)</f>
        <v>0</v>
      </c>
      <c r="AD143" s="63">
        <f>IF(SUM(данные!$N143:$R143)&gt;данные!$AF143,данные!$AF143*0.9*1.058,SUM(данные!$N143:$R143))</f>
        <v>0</v>
      </c>
      <c r="AE143" s="63">
        <f>SUM(данные!$S143:$W143)</f>
        <v>0</v>
      </c>
      <c r="AF143" s="63">
        <f>SUM(данные!$X143:$AB143)</f>
        <v>0</v>
      </c>
      <c r="AG143" s="63">
        <f>IF($B$4="в текущих ценах",S143*SUMPRODUCT(($B$2=Таблица2[Филиал])*($B$3=Таблица2[ФЕР/ТЕР])*(F143=Таблица2[Наименование работ])*(G143=Таблица2[ТПиР/НСиР])*Таблица2[ПИР2012]),S143*SUMPRODUCT(($B$2=Таблица2[Филиал])*($B$3=Таблица2[ФЕР/ТЕР])*(F143=Таблица2[Наименование работ])*(G143=Таблица2[ТПиР/НСиР])*Таблица2[ПИР2012]))</f>
        <v>0</v>
      </c>
      <c r="AH143" s="63">
        <f>IF($B$4="в текущих ценах",T143*SUMPRODUCT(($B$2=Таблица2[Филиал])*($B$3=Таблица2[ФЕР/ТЕР])*(F143=Таблица2[Наименование работ])*(G143=Таблица2[ТПиР/НСиР])*Таблица2[СМР2012]),T143*SUMPRODUCT(($B$2=Таблица2[Филиал])*($B$3=Таблица2[ФЕР/ТЕР])*(F143=Таблица2[Наименование работ])*(G143=Таблица2[ТПиР/НСиР])*Таблица2[СМР2012]))</f>
        <v>0</v>
      </c>
      <c r="AI143" s="63">
        <f>IF($B$4="в текущих ценах",U143*SUMPRODUCT(($B$2=Таблица2[Филиал])*($B$3=Таблица2[ФЕР/ТЕР])*(F143=Таблица2[Наименование работ])*(G143=Таблица2[ТПиР/НСиР])*Таблица2[ПНР2012]),U143*SUMPRODUCT(($B$2=Таблица2[Филиал])*($B$3=Таблица2[ФЕР/ТЕР])*(F143=Таблица2[Наименование работ])*(G143=Таблица2[ТПиР/НСиР])*Таблица2[ПНР2012]))</f>
        <v>0</v>
      </c>
      <c r="AJ143" s="63">
        <f>IF($B$4="в текущих ценах",V143*SUMPRODUCT(($B$2=Таблица2[Филиал])*($B$3=Таблица2[ФЕР/ТЕР])*(F143=Таблица2[Наименование работ])*(G143=Таблица2[ТПиР/НСиР])*Таблица2[Оборудование2012]),V143*SUMPRODUCT(($B$2=Таблица2[Филиал])*($B$3=Таблица2[ФЕР/ТЕР])*(F143=Таблица2[Наименование работ])*(G143=Таблица2[ТПиР/НСиР])*Таблица2[Оборудование2012]))</f>
        <v>0</v>
      </c>
      <c r="AK143" s="63">
        <f>IF($B$4="в текущих ценах",W143*SUMPRODUCT(($B$2=Таблица2[Филиал])*($B$3=Таблица2[ФЕР/ТЕР])*(F143=Таблица2[Наименование работ])*(G143=Таблица2[ТПиР/НСиР])*Таблица2[Прочее2012]),W143*SUMPRODUCT(($B$2=Таблица2[Филиал])*($B$3=Таблица2[ФЕР/ТЕР])*(F143=Таблица2[Наименование работ])*(G143=Таблица2[ТПиР/НСиР])*Таблица2[Прочее2012]))</f>
        <v>0</v>
      </c>
      <c r="AL143" s="63">
        <f>данные!$X143+данные!$Y143+данные!$Z143+данные!$AA143+данные!$AB143</f>
        <v>0</v>
      </c>
      <c r="AM143" s="63">
        <v>1.03639035</v>
      </c>
      <c r="AN143" s="63">
        <v>1.0114049394</v>
      </c>
      <c r="AO143" s="63">
        <v>0.98210394336149998</v>
      </c>
      <c r="AP143" s="63">
        <v>0.93762413895893393</v>
      </c>
      <c r="AQ143" s="63"/>
      <c r="AR143" s="63"/>
      <c r="AS143" s="64"/>
      <c r="AU143" s="66">
        <f t="shared" si="12"/>
        <v>0</v>
      </c>
      <c r="AX143" s="66">
        <f t="shared" si="13"/>
        <v>0</v>
      </c>
      <c r="AY143" s="66">
        <f t="shared" si="14"/>
        <v>0</v>
      </c>
      <c r="AZ143" s="66">
        <f t="shared" si="15"/>
        <v>0</v>
      </c>
      <c r="BA143" s="66">
        <f t="shared" si="16"/>
        <v>0</v>
      </c>
      <c r="BB143" s="66">
        <f t="shared" si="17"/>
        <v>0</v>
      </c>
    </row>
    <row r="144" spans="4:54" x14ac:dyDescent="0.25">
      <c r="D144" s="62">
        <f>калькулятор!C149</f>
        <v>0</v>
      </c>
      <c r="E144" s="62">
        <f>калькулятор!F149</f>
        <v>0</v>
      </c>
      <c r="F144" s="62">
        <f>калькулятор!G149</f>
        <v>0</v>
      </c>
      <c r="G144" s="62">
        <f>калькулятор!H149</f>
        <v>0</v>
      </c>
      <c r="H144" s="62">
        <f>калькулятор!I149</f>
        <v>0</v>
      </c>
      <c r="I144" s="63">
        <f>S144*SUMPRODUCT(($B$2=Таблица2[Филиал])*($B$3=Таблица2[ФЕР/ТЕР])*(F144=Таблица2[Наименование работ])*(G144=Таблица2[ТПиР/НСиР])*Таблица2[ПИР2010])</f>
        <v>0</v>
      </c>
      <c r="J144" s="63">
        <f>T144*SUMPRODUCT(($B$2=Таблица2[Филиал])*($B$3=Таблица2[ФЕР/ТЕР])*(F144=Таблица2[Наименование работ])*(G144=Таблица2[ТПиР/НСиР])*Таблица2[СМР2010])</f>
        <v>0</v>
      </c>
      <c r="K144" s="63">
        <f>U144*SUMPRODUCT(($B$2=Таблица2[Филиал])*($B$3=Таблица2[ФЕР/ТЕР])*(F144=Таблица2[Наименование работ])*(G144=Таблица2[ТПиР/НСиР])*Таблица2[ПНР2010])</f>
        <v>0</v>
      </c>
      <c r="L144" s="63">
        <f>V144*SUMPRODUCT(($B$2=Таблица2[Филиал])*($B$3=Таблица2[ФЕР/ТЕР])*(F144=Таблица2[Наименование работ])*(G144=Таблица2[ТПиР/НСиР])*Таблица2[Оборудование2010])</f>
        <v>0</v>
      </c>
      <c r="M144" s="63">
        <f>W144*SUMPRODUCT(($B$2=Таблица2[Филиал])*($B$3=Таблица2[ФЕР/ТЕР])*(F144=Таблица2[Наименование работ])*(G144=Таблица2[ТПиР/НСиР])*Таблица2[Прочие2010])</f>
        <v>0</v>
      </c>
      <c r="N144" s="63">
        <f>S144*SUMPRODUCT(($B$2=Таблица2[Филиал])*($B$3=Таблица2[ФЕР/ТЕР])*(F144=Таблица2[Наименование работ])*(G144=Таблица2[ТПиР/НСиР])*Таблица2[ПИР2013-10])</f>
        <v>0</v>
      </c>
      <c r="O144" s="63">
        <f>T144*SUMPRODUCT(($B$2=Таблица2[Филиал])*($B$3=Таблица2[ФЕР/ТЕР])*(F144=Таблица2[Наименование работ])*(G144=Таблица2[ТПиР/НСиР])*Таблица2[СМР2013-10])</f>
        <v>0</v>
      </c>
      <c r="P144" s="63">
        <f>U144*SUMPRODUCT(($B$2=Таблица2[Филиал])*($B$3=Таблица2[ФЕР/ТЕР])*(F144=Таблица2[Наименование работ])*(G144=Таблица2[ТПиР/НСиР])*Таблица2[ПНР2013-10])</f>
        <v>0</v>
      </c>
      <c r="Q144" s="63">
        <f>V144*SUMPRODUCT(($B$2=Таблица2[Филиал])*($B$3=Таблица2[ФЕР/ТЕР])*(F144=Таблица2[Наименование работ])*(G144=Таблица2[ТПиР/НСиР])*Таблица2[Оборудование2013-10])</f>
        <v>0</v>
      </c>
      <c r="R144" s="63">
        <f>W144*SUMPRODUCT(($B$2=Таблица2[Филиал])*($B$3=Таблица2[ФЕР/ТЕР])*(F144=Таблица2[Наименование работ])*(G144=Таблица2[ТПиР/НСиР])*Таблица2[Прочие2013-10])</f>
        <v>0</v>
      </c>
      <c r="S144" s="63">
        <f>IF($B$4="в базовых ценах",калькулятор!J149,X144*SUMPRODUCT(($B$2=Таблица2[Филиал])*($B$3=Таблица2[ФЕР/ТЕР])*(F144=Таблица2[Наименование работ])*(G144=Таблица2[ТПиР/НСиР])/Таблица2[ПИР2013]))</f>
        <v>0</v>
      </c>
      <c r="T144" s="63">
        <f>IF($B$4="в базовых ценах",калькулятор!K149,Y144*SUMPRODUCT(($B$2=Таблица2[Филиал])*($B$3=Таблица2[ФЕР/ТЕР])*(F144=Таблица2[Наименование работ])*(G144=Таблица2[ТПиР/НСиР])/Таблица2[СМР2013]))</f>
        <v>0</v>
      </c>
      <c r="U144" s="63">
        <f>IF($B$4="в базовых ценах",калькулятор!L149,Z144*SUMPRODUCT(($B$2=Таблица2[Филиал])*($B$3=Таблица2[ФЕР/ТЕР])*(F144=Таблица2[Наименование работ])*(G144=Таблица2[ТПиР/НСиР])/Таблица2[ПНР2013]))</f>
        <v>0</v>
      </c>
      <c r="V144" s="63">
        <f>IF($B$4="в базовых ценах",калькулятор!M149,AA144*SUMPRODUCT(($B$2=Таблица2[Филиал])*($B$3=Таблица2[ФЕР/ТЕР])*(F144=Таблица2[Наименование работ])*(G144=Таблица2[ТПиР/НСиР])/Таблица2[Оборудование2013]))</f>
        <v>0</v>
      </c>
      <c r="W144" s="63">
        <f>IF($B$4="в базовых ценах",калькулятор!N149,AB144*SUMPRODUCT(($B$2=Таблица2[Филиал])*($B$3=Таблица2[ФЕР/ТЕР])*(F144=Таблица2[Наименование работ])*(G144=Таблица2[ТПиР/НСиР])/Таблица2[Прочие3]))</f>
        <v>0</v>
      </c>
      <c r="X144" s="63">
        <f>IF($B$4="в текущих ценах",калькулятор!J149,S144*SUMPRODUCT(($B$2=Таблица2[Филиал])*($B$3=Таблица2[ФЕР/ТЕР])*(F144=Таблица2[Наименование работ])*(G144=Таблица2[ТПиР/НСиР])*Таблица2[ПИР2013]))</f>
        <v>0</v>
      </c>
      <c r="Y144" s="63">
        <f>IF($B$4="в текущих ценах",калькулятор!K149,T144*SUMPRODUCT(($B$2=Таблица2[Филиал])*($B$3=Таблица2[ФЕР/ТЕР])*(F144=Таблица2[Наименование работ])*(G144=Таблица2[ТПиР/НСиР])*Таблица2[СМР2013]))</f>
        <v>0</v>
      </c>
      <c r="Z144" s="63">
        <f>IF($B$4="в текущих ценах",калькулятор!L149,U144*SUMPRODUCT(($B$2=Таблица2[Филиал])*($B$3=Таблица2[ФЕР/ТЕР])*(F144=Таблица2[Наименование работ])*(G144=Таблица2[ТПиР/НСиР])*Таблица2[ПНР2013]))</f>
        <v>0</v>
      </c>
      <c r="AA144" s="63">
        <f>IF($B$4="в текущих ценах",калькулятор!M149,V144*SUMPRODUCT(($B$2=Таблица2[Филиал])*($B$3=Таблица2[ФЕР/ТЕР])*(F144=Таблица2[Наименование работ])*(G144=Таблица2[ТПиР/НСиР])*Таблица2[Оборудование2013]))</f>
        <v>0</v>
      </c>
      <c r="AB144" s="63">
        <f>IF($B$4="в текущих ценах",калькулятор!N149,W144*SUMPRODUCT(($B$2=Таблица2[Филиал])*($B$3=Таблица2[ФЕР/ТЕР])*(F144=Таблица2[Наименование работ])*(G144=Таблица2[ТПиР/НСиР])*Таблица2[Прочие3]))</f>
        <v>0</v>
      </c>
      <c r="AC144" s="63">
        <f>SUM(данные!$I144:$M144)</f>
        <v>0</v>
      </c>
      <c r="AD144" s="63">
        <f>IF(SUM(данные!$N144:$R144)&gt;данные!$AF144,данные!$AF144*0.9*1.058,SUM(данные!$N144:$R144))</f>
        <v>0</v>
      </c>
      <c r="AE144" s="63">
        <f>SUM(данные!$S144:$W144)</f>
        <v>0</v>
      </c>
      <c r="AF144" s="63">
        <f>SUM(данные!$X144:$AB144)</f>
        <v>0</v>
      </c>
      <c r="AG144" s="63">
        <f>IF($B$4="в текущих ценах",S144*SUMPRODUCT(($B$2=Таблица2[Филиал])*($B$3=Таблица2[ФЕР/ТЕР])*(F144=Таблица2[Наименование работ])*(G144=Таблица2[ТПиР/НСиР])*Таблица2[ПИР2012]),S144*SUMPRODUCT(($B$2=Таблица2[Филиал])*($B$3=Таблица2[ФЕР/ТЕР])*(F144=Таблица2[Наименование работ])*(G144=Таблица2[ТПиР/НСиР])*Таблица2[ПИР2012]))</f>
        <v>0</v>
      </c>
      <c r="AH144" s="63">
        <f>IF($B$4="в текущих ценах",T144*SUMPRODUCT(($B$2=Таблица2[Филиал])*($B$3=Таблица2[ФЕР/ТЕР])*(F144=Таблица2[Наименование работ])*(G144=Таблица2[ТПиР/НСиР])*Таблица2[СМР2012]),T144*SUMPRODUCT(($B$2=Таблица2[Филиал])*($B$3=Таблица2[ФЕР/ТЕР])*(F144=Таблица2[Наименование работ])*(G144=Таблица2[ТПиР/НСиР])*Таблица2[СМР2012]))</f>
        <v>0</v>
      </c>
      <c r="AI144" s="63">
        <f>IF($B$4="в текущих ценах",U144*SUMPRODUCT(($B$2=Таблица2[Филиал])*($B$3=Таблица2[ФЕР/ТЕР])*(F144=Таблица2[Наименование работ])*(G144=Таблица2[ТПиР/НСиР])*Таблица2[ПНР2012]),U144*SUMPRODUCT(($B$2=Таблица2[Филиал])*($B$3=Таблица2[ФЕР/ТЕР])*(F144=Таблица2[Наименование работ])*(G144=Таблица2[ТПиР/НСиР])*Таблица2[ПНР2012]))</f>
        <v>0</v>
      </c>
      <c r="AJ144" s="63">
        <f>IF($B$4="в текущих ценах",V144*SUMPRODUCT(($B$2=Таблица2[Филиал])*($B$3=Таблица2[ФЕР/ТЕР])*(F144=Таблица2[Наименование работ])*(G144=Таблица2[ТПиР/НСиР])*Таблица2[Оборудование2012]),V144*SUMPRODUCT(($B$2=Таблица2[Филиал])*($B$3=Таблица2[ФЕР/ТЕР])*(F144=Таблица2[Наименование работ])*(G144=Таблица2[ТПиР/НСиР])*Таблица2[Оборудование2012]))</f>
        <v>0</v>
      </c>
      <c r="AK144" s="63">
        <f>IF($B$4="в текущих ценах",W144*SUMPRODUCT(($B$2=Таблица2[Филиал])*($B$3=Таблица2[ФЕР/ТЕР])*(F144=Таблица2[Наименование работ])*(G144=Таблица2[ТПиР/НСиР])*Таблица2[Прочее2012]),W144*SUMPRODUCT(($B$2=Таблица2[Филиал])*($B$3=Таблица2[ФЕР/ТЕР])*(F144=Таблица2[Наименование работ])*(G144=Таблица2[ТПиР/НСиР])*Таблица2[Прочее2012]))</f>
        <v>0</v>
      </c>
      <c r="AL144" s="63">
        <f>данные!$X144+данные!$Y144+данные!$Z144+данные!$AA144+данные!$AB144</f>
        <v>0</v>
      </c>
      <c r="AM144" s="63">
        <v>1.03639035</v>
      </c>
      <c r="AN144" s="63">
        <v>1.0114049394</v>
      </c>
      <c r="AO144" s="63">
        <v>0.98210394336149998</v>
      </c>
      <c r="AP144" s="63">
        <v>0.93762413895893393</v>
      </c>
      <c r="AQ144" s="63"/>
      <c r="AR144" s="63"/>
      <c r="AS144" s="64"/>
      <c r="AU144" s="66">
        <f t="shared" si="12"/>
        <v>0</v>
      </c>
      <c r="AX144" s="66">
        <f t="shared" si="13"/>
        <v>0</v>
      </c>
      <c r="AY144" s="66">
        <f t="shared" si="14"/>
        <v>0</v>
      </c>
      <c r="AZ144" s="66">
        <f t="shared" si="15"/>
        <v>0</v>
      </c>
      <c r="BA144" s="66">
        <f t="shared" si="16"/>
        <v>0</v>
      </c>
      <c r="BB144" s="66">
        <f t="shared" si="17"/>
        <v>0</v>
      </c>
    </row>
    <row r="145" spans="4:54" x14ac:dyDescent="0.25">
      <c r="D145" s="62">
        <f>калькулятор!C150</f>
        <v>0</v>
      </c>
      <c r="E145" s="62">
        <f>калькулятор!F150</f>
        <v>0</v>
      </c>
      <c r="F145" s="62">
        <f>калькулятор!G150</f>
        <v>0</v>
      </c>
      <c r="G145" s="62">
        <f>калькулятор!H150</f>
        <v>0</v>
      </c>
      <c r="H145" s="62">
        <f>калькулятор!I150</f>
        <v>0</v>
      </c>
      <c r="I145" s="63">
        <f>S145*SUMPRODUCT(($B$2=Таблица2[Филиал])*($B$3=Таблица2[ФЕР/ТЕР])*(F145=Таблица2[Наименование работ])*(G145=Таблица2[ТПиР/НСиР])*Таблица2[ПИР2010])</f>
        <v>0</v>
      </c>
      <c r="J145" s="63">
        <f>T145*SUMPRODUCT(($B$2=Таблица2[Филиал])*($B$3=Таблица2[ФЕР/ТЕР])*(F145=Таблица2[Наименование работ])*(G145=Таблица2[ТПиР/НСиР])*Таблица2[СМР2010])</f>
        <v>0</v>
      </c>
      <c r="K145" s="63">
        <f>U145*SUMPRODUCT(($B$2=Таблица2[Филиал])*($B$3=Таблица2[ФЕР/ТЕР])*(F145=Таблица2[Наименование работ])*(G145=Таблица2[ТПиР/НСиР])*Таблица2[ПНР2010])</f>
        <v>0</v>
      </c>
      <c r="L145" s="63">
        <f>V145*SUMPRODUCT(($B$2=Таблица2[Филиал])*($B$3=Таблица2[ФЕР/ТЕР])*(F145=Таблица2[Наименование работ])*(G145=Таблица2[ТПиР/НСиР])*Таблица2[Оборудование2010])</f>
        <v>0</v>
      </c>
      <c r="M145" s="63">
        <f>W145*SUMPRODUCT(($B$2=Таблица2[Филиал])*($B$3=Таблица2[ФЕР/ТЕР])*(F145=Таблица2[Наименование работ])*(G145=Таблица2[ТПиР/НСиР])*Таблица2[Прочие2010])</f>
        <v>0</v>
      </c>
      <c r="N145" s="63">
        <f>S145*SUMPRODUCT(($B$2=Таблица2[Филиал])*($B$3=Таблица2[ФЕР/ТЕР])*(F145=Таблица2[Наименование работ])*(G145=Таблица2[ТПиР/НСиР])*Таблица2[ПИР2013-10])</f>
        <v>0</v>
      </c>
      <c r="O145" s="63">
        <f>T145*SUMPRODUCT(($B$2=Таблица2[Филиал])*($B$3=Таблица2[ФЕР/ТЕР])*(F145=Таблица2[Наименование работ])*(G145=Таблица2[ТПиР/НСиР])*Таблица2[СМР2013-10])</f>
        <v>0</v>
      </c>
      <c r="P145" s="63">
        <f>U145*SUMPRODUCT(($B$2=Таблица2[Филиал])*($B$3=Таблица2[ФЕР/ТЕР])*(F145=Таблица2[Наименование работ])*(G145=Таблица2[ТПиР/НСиР])*Таблица2[ПНР2013-10])</f>
        <v>0</v>
      </c>
      <c r="Q145" s="63">
        <f>V145*SUMPRODUCT(($B$2=Таблица2[Филиал])*($B$3=Таблица2[ФЕР/ТЕР])*(F145=Таблица2[Наименование работ])*(G145=Таблица2[ТПиР/НСиР])*Таблица2[Оборудование2013-10])</f>
        <v>0</v>
      </c>
      <c r="R145" s="63">
        <f>W145*SUMPRODUCT(($B$2=Таблица2[Филиал])*($B$3=Таблица2[ФЕР/ТЕР])*(F145=Таблица2[Наименование работ])*(G145=Таблица2[ТПиР/НСиР])*Таблица2[Прочие2013-10])</f>
        <v>0</v>
      </c>
      <c r="S145" s="63">
        <f>IF($B$4="в базовых ценах",калькулятор!J150,X145*SUMPRODUCT(($B$2=Таблица2[Филиал])*($B$3=Таблица2[ФЕР/ТЕР])*(F145=Таблица2[Наименование работ])*(G145=Таблица2[ТПиР/НСиР])/Таблица2[ПИР2013]))</f>
        <v>0</v>
      </c>
      <c r="T145" s="63">
        <f>IF($B$4="в базовых ценах",калькулятор!K150,Y145*SUMPRODUCT(($B$2=Таблица2[Филиал])*($B$3=Таблица2[ФЕР/ТЕР])*(F145=Таблица2[Наименование работ])*(G145=Таблица2[ТПиР/НСиР])/Таблица2[СМР2013]))</f>
        <v>0</v>
      </c>
      <c r="U145" s="63">
        <f>IF($B$4="в базовых ценах",калькулятор!L150,Z145*SUMPRODUCT(($B$2=Таблица2[Филиал])*($B$3=Таблица2[ФЕР/ТЕР])*(F145=Таблица2[Наименование работ])*(G145=Таблица2[ТПиР/НСиР])/Таблица2[ПНР2013]))</f>
        <v>0</v>
      </c>
      <c r="V145" s="63">
        <f>IF($B$4="в базовых ценах",калькулятор!M150,AA145*SUMPRODUCT(($B$2=Таблица2[Филиал])*($B$3=Таблица2[ФЕР/ТЕР])*(F145=Таблица2[Наименование работ])*(G145=Таблица2[ТПиР/НСиР])/Таблица2[Оборудование2013]))</f>
        <v>0</v>
      </c>
      <c r="W145" s="63">
        <f>IF($B$4="в базовых ценах",калькулятор!N150,AB145*SUMPRODUCT(($B$2=Таблица2[Филиал])*($B$3=Таблица2[ФЕР/ТЕР])*(F145=Таблица2[Наименование работ])*(G145=Таблица2[ТПиР/НСиР])/Таблица2[Прочие3]))</f>
        <v>0</v>
      </c>
      <c r="X145" s="63">
        <f>IF($B$4="в текущих ценах",калькулятор!J150,S145*SUMPRODUCT(($B$2=Таблица2[Филиал])*($B$3=Таблица2[ФЕР/ТЕР])*(F145=Таблица2[Наименование работ])*(G145=Таблица2[ТПиР/НСиР])*Таблица2[ПИР2013]))</f>
        <v>0</v>
      </c>
      <c r="Y145" s="63">
        <f>IF($B$4="в текущих ценах",калькулятор!K150,T145*SUMPRODUCT(($B$2=Таблица2[Филиал])*($B$3=Таблица2[ФЕР/ТЕР])*(F145=Таблица2[Наименование работ])*(G145=Таблица2[ТПиР/НСиР])*Таблица2[СМР2013]))</f>
        <v>0</v>
      </c>
      <c r="Z145" s="63">
        <f>IF($B$4="в текущих ценах",калькулятор!L150,U145*SUMPRODUCT(($B$2=Таблица2[Филиал])*($B$3=Таблица2[ФЕР/ТЕР])*(F145=Таблица2[Наименование работ])*(G145=Таблица2[ТПиР/НСиР])*Таблица2[ПНР2013]))</f>
        <v>0</v>
      </c>
      <c r="AA145" s="63">
        <f>IF($B$4="в текущих ценах",калькулятор!M150,V145*SUMPRODUCT(($B$2=Таблица2[Филиал])*($B$3=Таблица2[ФЕР/ТЕР])*(F145=Таблица2[Наименование работ])*(G145=Таблица2[ТПиР/НСиР])*Таблица2[Оборудование2013]))</f>
        <v>0</v>
      </c>
      <c r="AB145" s="63">
        <f>IF($B$4="в текущих ценах",калькулятор!N150,W145*SUMPRODUCT(($B$2=Таблица2[Филиал])*($B$3=Таблица2[ФЕР/ТЕР])*(F145=Таблица2[Наименование работ])*(G145=Таблица2[ТПиР/НСиР])*Таблица2[Прочие3]))</f>
        <v>0</v>
      </c>
      <c r="AC145" s="63">
        <f>SUM(данные!$I145:$M145)</f>
        <v>0</v>
      </c>
      <c r="AD145" s="63">
        <f>IF(SUM(данные!$N145:$R145)&gt;данные!$AF145,данные!$AF145*0.9*1.058,SUM(данные!$N145:$R145))</f>
        <v>0</v>
      </c>
      <c r="AE145" s="63">
        <f>SUM(данные!$S145:$W145)</f>
        <v>0</v>
      </c>
      <c r="AF145" s="63">
        <f>SUM(данные!$X145:$AB145)</f>
        <v>0</v>
      </c>
      <c r="AG145" s="63">
        <f>IF($B$4="в текущих ценах",S145*SUMPRODUCT(($B$2=Таблица2[Филиал])*($B$3=Таблица2[ФЕР/ТЕР])*(F145=Таблица2[Наименование работ])*(G145=Таблица2[ТПиР/НСиР])*Таблица2[ПИР2012]),S145*SUMPRODUCT(($B$2=Таблица2[Филиал])*($B$3=Таблица2[ФЕР/ТЕР])*(F145=Таблица2[Наименование работ])*(G145=Таблица2[ТПиР/НСиР])*Таблица2[ПИР2012]))</f>
        <v>0</v>
      </c>
      <c r="AH145" s="63">
        <f>IF($B$4="в текущих ценах",T145*SUMPRODUCT(($B$2=Таблица2[Филиал])*($B$3=Таблица2[ФЕР/ТЕР])*(F145=Таблица2[Наименование работ])*(G145=Таблица2[ТПиР/НСиР])*Таблица2[СМР2012]),T145*SUMPRODUCT(($B$2=Таблица2[Филиал])*($B$3=Таблица2[ФЕР/ТЕР])*(F145=Таблица2[Наименование работ])*(G145=Таблица2[ТПиР/НСиР])*Таблица2[СМР2012]))</f>
        <v>0</v>
      </c>
      <c r="AI145" s="63">
        <f>IF($B$4="в текущих ценах",U145*SUMPRODUCT(($B$2=Таблица2[Филиал])*($B$3=Таблица2[ФЕР/ТЕР])*(F145=Таблица2[Наименование работ])*(G145=Таблица2[ТПиР/НСиР])*Таблица2[ПНР2012]),U145*SUMPRODUCT(($B$2=Таблица2[Филиал])*($B$3=Таблица2[ФЕР/ТЕР])*(F145=Таблица2[Наименование работ])*(G145=Таблица2[ТПиР/НСиР])*Таблица2[ПНР2012]))</f>
        <v>0</v>
      </c>
      <c r="AJ145" s="63">
        <f>IF($B$4="в текущих ценах",V145*SUMPRODUCT(($B$2=Таблица2[Филиал])*($B$3=Таблица2[ФЕР/ТЕР])*(F145=Таблица2[Наименование работ])*(G145=Таблица2[ТПиР/НСиР])*Таблица2[Оборудование2012]),V145*SUMPRODUCT(($B$2=Таблица2[Филиал])*($B$3=Таблица2[ФЕР/ТЕР])*(F145=Таблица2[Наименование работ])*(G145=Таблица2[ТПиР/НСиР])*Таблица2[Оборудование2012]))</f>
        <v>0</v>
      </c>
      <c r="AK145" s="63">
        <f>IF($B$4="в текущих ценах",W145*SUMPRODUCT(($B$2=Таблица2[Филиал])*($B$3=Таблица2[ФЕР/ТЕР])*(F145=Таблица2[Наименование работ])*(G145=Таблица2[ТПиР/НСиР])*Таблица2[Прочее2012]),W145*SUMPRODUCT(($B$2=Таблица2[Филиал])*($B$3=Таблица2[ФЕР/ТЕР])*(F145=Таблица2[Наименование работ])*(G145=Таблица2[ТПиР/НСиР])*Таблица2[Прочее2012]))</f>
        <v>0</v>
      </c>
      <c r="AL145" s="63">
        <f>данные!$X145+данные!$Y145+данные!$Z145+данные!$AA145+данные!$AB145</f>
        <v>0</v>
      </c>
      <c r="AM145" s="63">
        <v>1.03639035</v>
      </c>
      <c r="AN145" s="63">
        <v>1.0114049394</v>
      </c>
      <c r="AO145" s="63">
        <v>0.98210394336149998</v>
      </c>
      <c r="AP145" s="63">
        <v>0.93762413895893393</v>
      </c>
      <c r="AQ145" s="63"/>
      <c r="AR145" s="63"/>
      <c r="AS145" s="64"/>
      <c r="AU145" s="66">
        <f t="shared" si="12"/>
        <v>0</v>
      </c>
      <c r="AX145" s="66">
        <f t="shared" si="13"/>
        <v>0</v>
      </c>
      <c r="AY145" s="66">
        <f t="shared" si="14"/>
        <v>0</v>
      </c>
      <c r="AZ145" s="66">
        <f t="shared" si="15"/>
        <v>0</v>
      </c>
      <c r="BA145" s="66">
        <f t="shared" si="16"/>
        <v>0</v>
      </c>
      <c r="BB145" s="66">
        <f t="shared" si="17"/>
        <v>0</v>
      </c>
    </row>
    <row r="146" spans="4:54" x14ac:dyDescent="0.25">
      <c r="D146" s="62">
        <f>калькулятор!C151</f>
        <v>0</v>
      </c>
      <c r="E146" s="62">
        <f>калькулятор!F151</f>
        <v>0</v>
      </c>
      <c r="F146" s="62">
        <f>калькулятор!G151</f>
        <v>0</v>
      </c>
      <c r="G146" s="62">
        <f>калькулятор!H151</f>
        <v>0</v>
      </c>
      <c r="H146" s="62">
        <f>калькулятор!I151</f>
        <v>0</v>
      </c>
      <c r="I146" s="63">
        <f>S146*SUMPRODUCT(($B$2=Таблица2[Филиал])*($B$3=Таблица2[ФЕР/ТЕР])*(F146=Таблица2[Наименование работ])*(G146=Таблица2[ТПиР/НСиР])*Таблица2[ПИР2010])</f>
        <v>0</v>
      </c>
      <c r="J146" s="63">
        <f>T146*SUMPRODUCT(($B$2=Таблица2[Филиал])*($B$3=Таблица2[ФЕР/ТЕР])*(F146=Таблица2[Наименование работ])*(G146=Таблица2[ТПиР/НСиР])*Таблица2[СМР2010])</f>
        <v>0</v>
      </c>
      <c r="K146" s="63">
        <f>U146*SUMPRODUCT(($B$2=Таблица2[Филиал])*($B$3=Таблица2[ФЕР/ТЕР])*(F146=Таблица2[Наименование работ])*(G146=Таблица2[ТПиР/НСиР])*Таблица2[ПНР2010])</f>
        <v>0</v>
      </c>
      <c r="L146" s="63">
        <f>V146*SUMPRODUCT(($B$2=Таблица2[Филиал])*($B$3=Таблица2[ФЕР/ТЕР])*(F146=Таблица2[Наименование работ])*(G146=Таблица2[ТПиР/НСиР])*Таблица2[Оборудование2010])</f>
        <v>0</v>
      </c>
      <c r="M146" s="63">
        <f>W146*SUMPRODUCT(($B$2=Таблица2[Филиал])*($B$3=Таблица2[ФЕР/ТЕР])*(F146=Таблица2[Наименование работ])*(G146=Таблица2[ТПиР/НСиР])*Таблица2[Прочие2010])</f>
        <v>0</v>
      </c>
      <c r="N146" s="63">
        <f>S146*SUMPRODUCT(($B$2=Таблица2[Филиал])*($B$3=Таблица2[ФЕР/ТЕР])*(F146=Таблица2[Наименование работ])*(G146=Таблица2[ТПиР/НСиР])*Таблица2[ПИР2013-10])</f>
        <v>0</v>
      </c>
      <c r="O146" s="63">
        <f>T146*SUMPRODUCT(($B$2=Таблица2[Филиал])*($B$3=Таблица2[ФЕР/ТЕР])*(F146=Таблица2[Наименование работ])*(G146=Таблица2[ТПиР/НСиР])*Таблица2[СМР2013-10])</f>
        <v>0</v>
      </c>
      <c r="P146" s="63">
        <f>U146*SUMPRODUCT(($B$2=Таблица2[Филиал])*($B$3=Таблица2[ФЕР/ТЕР])*(F146=Таблица2[Наименование работ])*(G146=Таблица2[ТПиР/НСиР])*Таблица2[ПНР2013-10])</f>
        <v>0</v>
      </c>
      <c r="Q146" s="63">
        <f>V146*SUMPRODUCT(($B$2=Таблица2[Филиал])*($B$3=Таблица2[ФЕР/ТЕР])*(F146=Таблица2[Наименование работ])*(G146=Таблица2[ТПиР/НСиР])*Таблица2[Оборудование2013-10])</f>
        <v>0</v>
      </c>
      <c r="R146" s="63">
        <f>W146*SUMPRODUCT(($B$2=Таблица2[Филиал])*($B$3=Таблица2[ФЕР/ТЕР])*(F146=Таблица2[Наименование работ])*(G146=Таблица2[ТПиР/НСиР])*Таблица2[Прочие2013-10])</f>
        <v>0</v>
      </c>
      <c r="S146" s="63">
        <f>IF($B$4="в базовых ценах",калькулятор!J151,X146*SUMPRODUCT(($B$2=Таблица2[Филиал])*($B$3=Таблица2[ФЕР/ТЕР])*(F146=Таблица2[Наименование работ])*(G146=Таблица2[ТПиР/НСиР])/Таблица2[ПИР2013]))</f>
        <v>0</v>
      </c>
      <c r="T146" s="63">
        <f>IF($B$4="в базовых ценах",калькулятор!K151,Y146*SUMPRODUCT(($B$2=Таблица2[Филиал])*($B$3=Таблица2[ФЕР/ТЕР])*(F146=Таблица2[Наименование работ])*(G146=Таблица2[ТПиР/НСиР])/Таблица2[СМР2013]))</f>
        <v>0</v>
      </c>
      <c r="U146" s="63">
        <f>IF($B$4="в базовых ценах",калькулятор!L151,Z146*SUMPRODUCT(($B$2=Таблица2[Филиал])*($B$3=Таблица2[ФЕР/ТЕР])*(F146=Таблица2[Наименование работ])*(G146=Таблица2[ТПиР/НСиР])/Таблица2[ПНР2013]))</f>
        <v>0</v>
      </c>
      <c r="V146" s="63">
        <f>IF($B$4="в базовых ценах",калькулятор!M151,AA146*SUMPRODUCT(($B$2=Таблица2[Филиал])*($B$3=Таблица2[ФЕР/ТЕР])*(F146=Таблица2[Наименование работ])*(G146=Таблица2[ТПиР/НСиР])/Таблица2[Оборудование2013]))</f>
        <v>0</v>
      </c>
      <c r="W146" s="63">
        <f>IF($B$4="в базовых ценах",калькулятор!N151,AB146*SUMPRODUCT(($B$2=Таблица2[Филиал])*($B$3=Таблица2[ФЕР/ТЕР])*(F146=Таблица2[Наименование работ])*(G146=Таблица2[ТПиР/НСиР])/Таблица2[Прочие3]))</f>
        <v>0</v>
      </c>
      <c r="X146" s="63">
        <f>IF($B$4="в текущих ценах",калькулятор!J151,S146*SUMPRODUCT(($B$2=Таблица2[Филиал])*($B$3=Таблица2[ФЕР/ТЕР])*(F146=Таблица2[Наименование работ])*(G146=Таблица2[ТПиР/НСиР])*Таблица2[ПИР2013]))</f>
        <v>0</v>
      </c>
      <c r="Y146" s="63">
        <f>IF($B$4="в текущих ценах",калькулятор!K151,T146*SUMPRODUCT(($B$2=Таблица2[Филиал])*($B$3=Таблица2[ФЕР/ТЕР])*(F146=Таблица2[Наименование работ])*(G146=Таблица2[ТПиР/НСиР])*Таблица2[СМР2013]))</f>
        <v>0</v>
      </c>
      <c r="Z146" s="63">
        <f>IF($B$4="в текущих ценах",калькулятор!L151,U146*SUMPRODUCT(($B$2=Таблица2[Филиал])*($B$3=Таблица2[ФЕР/ТЕР])*(F146=Таблица2[Наименование работ])*(G146=Таблица2[ТПиР/НСиР])*Таблица2[ПНР2013]))</f>
        <v>0</v>
      </c>
      <c r="AA146" s="63">
        <f>IF($B$4="в текущих ценах",калькулятор!M151,V146*SUMPRODUCT(($B$2=Таблица2[Филиал])*($B$3=Таблица2[ФЕР/ТЕР])*(F146=Таблица2[Наименование работ])*(G146=Таблица2[ТПиР/НСиР])*Таблица2[Оборудование2013]))</f>
        <v>0</v>
      </c>
      <c r="AB146" s="63">
        <f>IF($B$4="в текущих ценах",калькулятор!N151,W146*SUMPRODUCT(($B$2=Таблица2[Филиал])*($B$3=Таблица2[ФЕР/ТЕР])*(F146=Таблица2[Наименование работ])*(G146=Таблица2[ТПиР/НСиР])*Таблица2[Прочие3]))</f>
        <v>0</v>
      </c>
      <c r="AC146" s="63">
        <f>SUM(данные!$I146:$M146)</f>
        <v>0</v>
      </c>
      <c r="AD146" s="63">
        <f>IF(SUM(данные!$N146:$R146)&gt;данные!$AF146,данные!$AF146*0.9*1.058,SUM(данные!$N146:$R146))</f>
        <v>0</v>
      </c>
      <c r="AE146" s="63">
        <f>SUM(данные!$S146:$W146)</f>
        <v>0</v>
      </c>
      <c r="AF146" s="63">
        <f>SUM(данные!$X146:$AB146)</f>
        <v>0</v>
      </c>
      <c r="AG146" s="63">
        <f>IF($B$4="в текущих ценах",S146*SUMPRODUCT(($B$2=Таблица2[Филиал])*($B$3=Таблица2[ФЕР/ТЕР])*(F146=Таблица2[Наименование работ])*(G146=Таблица2[ТПиР/НСиР])*Таблица2[ПИР2012]),S146*SUMPRODUCT(($B$2=Таблица2[Филиал])*($B$3=Таблица2[ФЕР/ТЕР])*(F146=Таблица2[Наименование работ])*(G146=Таблица2[ТПиР/НСиР])*Таблица2[ПИР2012]))</f>
        <v>0</v>
      </c>
      <c r="AH146" s="63">
        <f>IF($B$4="в текущих ценах",T146*SUMPRODUCT(($B$2=Таблица2[Филиал])*($B$3=Таблица2[ФЕР/ТЕР])*(F146=Таблица2[Наименование работ])*(G146=Таблица2[ТПиР/НСиР])*Таблица2[СМР2012]),T146*SUMPRODUCT(($B$2=Таблица2[Филиал])*($B$3=Таблица2[ФЕР/ТЕР])*(F146=Таблица2[Наименование работ])*(G146=Таблица2[ТПиР/НСиР])*Таблица2[СМР2012]))</f>
        <v>0</v>
      </c>
      <c r="AI146" s="63">
        <f>IF($B$4="в текущих ценах",U146*SUMPRODUCT(($B$2=Таблица2[Филиал])*($B$3=Таблица2[ФЕР/ТЕР])*(F146=Таблица2[Наименование работ])*(G146=Таблица2[ТПиР/НСиР])*Таблица2[ПНР2012]),U146*SUMPRODUCT(($B$2=Таблица2[Филиал])*($B$3=Таблица2[ФЕР/ТЕР])*(F146=Таблица2[Наименование работ])*(G146=Таблица2[ТПиР/НСиР])*Таблица2[ПНР2012]))</f>
        <v>0</v>
      </c>
      <c r="AJ146" s="63">
        <f>IF($B$4="в текущих ценах",V146*SUMPRODUCT(($B$2=Таблица2[Филиал])*($B$3=Таблица2[ФЕР/ТЕР])*(F146=Таблица2[Наименование работ])*(G146=Таблица2[ТПиР/НСиР])*Таблица2[Оборудование2012]),V146*SUMPRODUCT(($B$2=Таблица2[Филиал])*($B$3=Таблица2[ФЕР/ТЕР])*(F146=Таблица2[Наименование работ])*(G146=Таблица2[ТПиР/НСиР])*Таблица2[Оборудование2012]))</f>
        <v>0</v>
      </c>
      <c r="AK146" s="63">
        <f>IF($B$4="в текущих ценах",W146*SUMPRODUCT(($B$2=Таблица2[Филиал])*($B$3=Таблица2[ФЕР/ТЕР])*(F146=Таблица2[Наименование работ])*(G146=Таблица2[ТПиР/НСиР])*Таблица2[Прочее2012]),W146*SUMPRODUCT(($B$2=Таблица2[Филиал])*($B$3=Таблица2[ФЕР/ТЕР])*(F146=Таблица2[Наименование работ])*(G146=Таблица2[ТПиР/НСиР])*Таблица2[Прочее2012]))</f>
        <v>0</v>
      </c>
      <c r="AL146" s="63">
        <f>данные!$X146+данные!$Y146+данные!$Z146+данные!$AA146+данные!$AB146</f>
        <v>0</v>
      </c>
      <c r="AM146" s="63">
        <v>1.03639035</v>
      </c>
      <c r="AN146" s="63">
        <v>1.0114049394</v>
      </c>
      <c r="AO146" s="63">
        <v>0.98210394336149998</v>
      </c>
      <c r="AP146" s="63">
        <v>0.93762413895893393</v>
      </c>
      <c r="AQ146" s="63"/>
      <c r="AR146" s="63"/>
      <c r="AS146" s="64"/>
      <c r="AU146" s="66">
        <f t="shared" si="12"/>
        <v>0</v>
      </c>
      <c r="AX146" s="66">
        <f t="shared" si="13"/>
        <v>0</v>
      </c>
      <c r="AY146" s="66">
        <f t="shared" si="14"/>
        <v>0</v>
      </c>
      <c r="AZ146" s="66">
        <f t="shared" si="15"/>
        <v>0</v>
      </c>
      <c r="BA146" s="66">
        <f t="shared" si="16"/>
        <v>0</v>
      </c>
      <c r="BB146" s="66">
        <f t="shared" si="17"/>
        <v>0</v>
      </c>
    </row>
    <row r="147" spans="4:54" x14ac:dyDescent="0.25">
      <c r="D147" s="62">
        <f>калькулятор!C152</f>
        <v>0</v>
      </c>
      <c r="E147" s="62">
        <f>калькулятор!F152</f>
        <v>0</v>
      </c>
      <c r="F147" s="62">
        <f>калькулятор!G152</f>
        <v>0</v>
      </c>
      <c r="G147" s="62">
        <f>калькулятор!H152</f>
        <v>0</v>
      </c>
      <c r="H147" s="62">
        <f>калькулятор!I152</f>
        <v>0</v>
      </c>
      <c r="I147" s="63">
        <f>S147*SUMPRODUCT(($B$2=Таблица2[Филиал])*($B$3=Таблица2[ФЕР/ТЕР])*(F147=Таблица2[Наименование работ])*(G147=Таблица2[ТПиР/НСиР])*Таблица2[ПИР2010])</f>
        <v>0</v>
      </c>
      <c r="J147" s="63">
        <f>T147*SUMPRODUCT(($B$2=Таблица2[Филиал])*($B$3=Таблица2[ФЕР/ТЕР])*(F147=Таблица2[Наименование работ])*(G147=Таблица2[ТПиР/НСиР])*Таблица2[СМР2010])</f>
        <v>0</v>
      </c>
      <c r="K147" s="63">
        <f>U147*SUMPRODUCT(($B$2=Таблица2[Филиал])*($B$3=Таблица2[ФЕР/ТЕР])*(F147=Таблица2[Наименование работ])*(G147=Таблица2[ТПиР/НСиР])*Таблица2[ПНР2010])</f>
        <v>0</v>
      </c>
      <c r="L147" s="63">
        <f>V147*SUMPRODUCT(($B$2=Таблица2[Филиал])*($B$3=Таблица2[ФЕР/ТЕР])*(F147=Таблица2[Наименование работ])*(G147=Таблица2[ТПиР/НСиР])*Таблица2[Оборудование2010])</f>
        <v>0</v>
      </c>
      <c r="M147" s="63">
        <f>W147*SUMPRODUCT(($B$2=Таблица2[Филиал])*($B$3=Таблица2[ФЕР/ТЕР])*(F147=Таблица2[Наименование работ])*(G147=Таблица2[ТПиР/НСиР])*Таблица2[Прочие2010])</f>
        <v>0</v>
      </c>
      <c r="N147" s="63">
        <f>S147*SUMPRODUCT(($B$2=Таблица2[Филиал])*($B$3=Таблица2[ФЕР/ТЕР])*(F147=Таблица2[Наименование работ])*(G147=Таблица2[ТПиР/НСиР])*Таблица2[ПИР2013-10])</f>
        <v>0</v>
      </c>
      <c r="O147" s="63">
        <f>T147*SUMPRODUCT(($B$2=Таблица2[Филиал])*($B$3=Таблица2[ФЕР/ТЕР])*(F147=Таблица2[Наименование работ])*(G147=Таблица2[ТПиР/НСиР])*Таблица2[СМР2013-10])</f>
        <v>0</v>
      </c>
      <c r="P147" s="63">
        <f>U147*SUMPRODUCT(($B$2=Таблица2[Филиал])*($B$3=Таблица2[ФЕР/ТЕР])*(F147=Таблица2[Наименование работ])*(G147=Таблица2[ТПиР/НСиР])*Таблица2[ПНР2013-10])</f>
        <v>0</v>
      </c>
      <c r="Q147" s="63">
        <f>V147*SUMPRODUCT(($B$2=Таблица2[Филиал])*($B$3=Таблица2[ФЕР/ТЕР])*(F147=Таблица2[Наименование работ])*(G147=Таблица2[ТПиР/НСиР])*Таблица2[Оборудование2013-10])</f>
        <v>0</v>
      </c>
      <c r="R147" s="63">
        <f>W147*SUMPRODUCT(($B$2=Таблица2[Филиал])*($B$3=Таблица2[ФЕР/ТЕР])*(F147=Таблица2[Наименование работ])*(G147=Таблица2[ТПиР/НСиР])*Таблица2[Прочие2013-10])</f>
        <v>0</v>
      </c>
      <c r="S147" s="63">
        <f>IF($B$4="в базовых ценах",калькулятор!J152,X147*SUMPRODUCT(($B$2=Таблица2[Филиал])*($B$3=Таблица2[ФЕР/ТЕР])*(F147=Таблица2[Наименование работ])*(G147=Таблица2[ТПиР/НСиР])/Таблица2[ПИР2013]))</f>
        <v>0</v>
      </c>
      <c r="T147" s="63">
        <f>IF($B$4="в базовых ценах",калькулятор!K152,Y147*SUMPRODUCT(($B$2=Таблица2[Филиал])*($B$3=Таблица2[ФЕР/ТЕР])*(F147=Таблица2[Наименование работ])*(G147=Таблица2[ТПиР/НСиР])/Таблица2[СМР2013]))</f>
        <v>0</v>
      </c>
      <c r="U147" s="63">
        <f>IF($B$4="в базовых ценах",калькулятор!L152,Z147*SUMPRODUCT(($B$2=Таблица2[Филиал])*($B$3=Таблица2[ФЕР/ТЕР])*(F147=Таблица2[Наименование работ])*(G147=Таблица2[ТПиР/НСиР])/Таблица2[ПНР2013]))</f>
        <v>0</v>
      </c>
      <c r="V147" s="63">
        <f>IF($B$4="в базовых ценах",калькулятор!M152,AA147*SUMPRODUCT(($B$2=Таблица2[Филиал])*($B$3=Таблица2[ФЕР/ТЕР])*(F147=Таблица2[Наименование работ])*(G147=Таблица2[ТПиР/НСиР])/Таблица2[Оборудование2013]))</f>
        <v>0</v>
      </c>
      <c r="W147" s="63">
        <f>IF($B$4="в базовых ценах",калькулятор!N152,AB147*SUMPRODUCT(($B$2=Таблица2[Филиал])*($B$3=Таблица2[ФЕР/ТЕР])*(F147=Таблица2[Наименование работ])*(G147=Таблица2[ТПиР/НСиР])/Таблица2[Прочие3]))</f>
        <v>0</v>
      </c>
      <c r="X147" s="63">
        <f>IF($B$4="в текущих ценах",калькулятор!J152,S147*SUMPRODUCT(($B$2=Таблица2[Филиал])*($B$3=Таблица2[ФЕР/ТЕР])*(F147=Таблица2[Наименование работ])*(G147=Таблица2[ТПиР/НСиР])*Таблица2[ПИР2013]))</f>
        <v>0</v>
      </c>
      <c r="Y147" s="63">
        <f>IF($B$4="в текущих ценах",калькулятор!K152,T147*SUMPRODUCT(($B$2=Таблица2[Филиал])*($B$3=Таблица2[ФЕР/ТЕР])*(F147=Таблица2[Наименование работ])*(G147=Таблица2[ТПиР/НСиР])*Таблица2[СМР2013]))</f>
        <v>0</v>
      </c>
      <c r="Z147" s="63">
        <f>IF($B$4="в текущих ценах",калькулятор!L152,U147*SUMPRODUCT(($B$2=Таблица2[Филиал])*($B$3=Таблица2[ФЕР/ТЕР])*(F147=Таблица2[Наименование работ])*(G147=Таблица2[ТПиР/НСиР])*Таблица2[ПНР2013]))</f>
        <v>0</v>
      </c>
      <c r="AA147" s="63">
        <f>IF($B$4="в текущих ценах",калькулятор!M152,V147*SUMPRODUCT(($B$2=Таблица2[Филиал])*($B$3=Таблица2[ФЕР/ТЕР])*(F147=Таблица2[Наименование работ])*(G147=Таблица2[ТПиР/НСиР])*Таблица2[Оборудование2013]))</f>
        <v>0</v>
      </c>
      <c r="AB147" s="63">
        <f>IF($B$4="в текущих ценах",калькулятор!N152,W147*SUMPRODUCT(($B$2=Таблица2[Филиал])*($B$3=Таблица2[ФЕР/ТЕР])*(F147=Таблица2[Наименование работ])*(G147=Таблица2[ТПиР/НСиР])*Таблица2[Прочие3]))</f>
        <v>0</v>
      </c>
      <c r="AC147" s="63">
        <f>SUM(данные!$I147:$M147)</f>
        <v>0</v>
      </c>
      <c r="AD147" s="63">
        <f>IF(SUM(данные!$N147:$R147)&gt;данные!$AF147,данные!$AF147*0.9*1.058,SUM(данные!$N147:$R147))</f>
        <v>0</v>
      </c>
      <c r="AE147" s="63">
        <f>SUM(данные!$S147:$W147)</f>
        <v>0</v>
      </c>
      <c r="AF147" s="63">
        <f>SUM(данные!$X147:$AB147)</f>
        <v>0</v>
      </c>
      <c r="AG147" s="63">
        <f>IF($B$4="в текущих ценах",S147*SUMPRODUCT(($B$2=Таблица2[Филиал])*($B$3=Таблица2[ФЕР/ТЕР])*(F147=Таблица2[Наименование работ])*(G147=Таблица2[ТПиР/НСиР])*Таблица2[ПИР2012]),S147*SUMPRODUCT(($B$2=Таблица2[Филиал])*($B$3=Таблица2[ФЕР/ТЕР])*(F147=Таблица2[Наименование работ])*(G147=Таблица2[ТПиР/НСиР])*Таблица2[ПИР2012]))</f>
        <v>0</v>
      </c>
      <c r="AH147" s="63">
        <f>IF($B$4="в текущих ценах",T147*SUMPRODUCT(($B$2=Таблица2[Филиал])*($B$3=Таблица2[ФЕР/ТЕР])*(F147=Таблица2[Наименование работ])*(G147=Таблица2[ТПиР/НСиР])*Таблица2[СМР2012]),T147*SUMPRODUCT(($B$2=Таблица2[Филиал])*($B$3=Таблица2[ФЕР/ТЕР])*(F147=Таблица2[Наименование работ])*(G147=Таблица2[ТПиР/НСиР])*Таблица2[СМР2012]))</f>
        <v>0</v>
      </c>
      <c r="AI147" s="63">
        <f>IF($B$4="в текущих ценах",U147*SUMPRODUCT(($B$2=Таблица2[Филиал])*($B$3=Таблица2[ФЕР/ТЕР])*(F147=Таблица2[Наименование работ])*(G147=Таблица2[ТПиР/НСиР])*Таблица2[ПНР2012]),U147*SUMPRODUCT(($B$2=Таблица2[Филиал])*($B$3=Таблица2[ФЕР/ТЕР])*(F147=Таблица2[Наименование работ])*(G147=Таблица2[ТПиР/НСиР])*Таблица2[ПНР2012]))</f>
        <v>0</v>
      </c>
      <c r="AJ147" s="63">
        <f>IF($B$4="в текущих ценах",V147*SUMPRODUCT(($B$2=Таблица2[Филиал])*($B$3=Таблица2[ФЕР/ТЕР])*(F147=Таблица2[Наименование работ])*(G147=Таблица2[ТПиР/НСиР])*Таблица2[Оборудование2012]),V147*SUMPRODUCT(($B$2=Таблица2[Филиал])*($B$3=Таблица2[ФЕР/ТЕР])*(F147=Таблица2[Наименование работ])*(G147=Таблица2[ТПиР/НСиР])*Таблица2[Оборудование2012]))</f>
        <v>0</v>
      </c>
      <c r="AK147" s="63">
        <f>IF($B$4="в текущих ценах",W147*SUMPRODUCT(($B$2=Таблица2[Филиал])*($B$3=Таблица2[ФЕР/ТЕР])*(F147=Таблица2[Наименование работ])*(G147=Таблица2[ТПиР/НСиР])*Таблица2[Прочее2012]),W147*SUMPRODUCT(($B$2=Таблица2[Филиал])*($B$3=Таблица2[ФЕР/ТЕР])*(F147=Таблица2[Наименование работ])*(G147=Таблица2[ТПиР/НСиР])*Таблица2[Прочее2012]))</f>
        <v>0</v>
      </c>
      <c r="AL147" s="63">
        <f>данные!$X147+данные!$Y147+данные!$Z147+данные!$AA147+данные!$AB147</f>
        <v>0</v>
      </c>
      <c r="AM147" s="63">
        <v>1.03639035</v>
      </c>
      <c r="AN147" s="63">
        <v>1.0114049394</v>
      </c>
      <c r="AO147" s="63">
        <v>0.98210394336149998</v>
      </c>
      <c r="AP147" s="63">
        <v>0.93762413895893393</v>
      </c>
      <c r="AQ147" s="63"/>
      <c r="AR147" s="63"/>
      <c r="AS147" s="64"/>
      <c r="AU147" s="66">
        <f t="shared" si="12"/>
        <v>0</v>
      </c>
      <c r="AX147" s="66">
        <f t="shared" si="13"/>
        <v>0</v>
      </c>
      <c r="AY147" s="66">
        <f t="shared" si="14"/>
        <v>0</v>
      </c>
      <c r="AZ147" s="66">
        <f t="shared" si="15"/>
        <v>0</v>
      </c>
      <c r="BA147" s="66">
        <f t="shared" si="16"/>
        <v>0</v>
      </c>
      <c r="BB147" s="66">
        <f t="shared" si="17"/>
        <v>0</v>
      </c>
    </row>
    <row r="148" spans="4:54" x14ac:dyDescent="0.25">
      <c r="D148" s="62">
        <f>калькулятор!C153</f>
        <v>0</v>
      </c>
      <c r="E148" s="62">
        <f>калькулятор!F153</f>
        <v>0</v>
      </c>
      <c r="F148" s="62">
        <f>калькулятор!G153</f>
        <v>0</v>
      </c>
      <c r="G148" s="62">
        <f>калькулятор!H153</f>
        <v>0</v>
      </c>
      <c r="H148" s="62">
        <f>калькулятор!I153</f>
        <v>0</v>
      </c>
      <c r="I148" s="63">
        <f>S148*SUMPRODUCT(($B$2=Таблица2[Филиал])*($B$3=Таблица2[ФЕР/ТЕР])*(F148=Таблица2[Наименование работ])*(G148=Таблица2[ТПиР/НСиР])*Таблица2[ПИР2010])</f>
        <v>0</v>
      </c>
      <c r="J148" s="63">
        <f>T148*SUMPRODUCT(($B$2=Таблица2[Филиал])*($B$3=Таблица2[ФЕР/ТЕР])*(F148=Таблица2[Наименование работ])*(G148=Таблица2[ТПиР/НСиР])*Таблица2[СМР2010])</f>
        <v>0</v>
      </c>
      <c r="K148" s="63">
        <f>U148*SUMPRODUCT(($B$2=Таблица2[Филиал])*($B$3=Таблица2[ФЕР/ТЕР])*(F148=Таблица2[Наименование работ])*(G148=Таблица2[ТПиР/НСиР])*Таблица2[ПНР2010])</f>
        <v>0</v>
      </c>
      <c r="L148" s="63">
        <f>V148*SUMPRODUCT(($B$2=Таблица2[Филиал])*($B$3=Таблица2[ФЕР/ТЕР])*(F148=Таблица2[Наименование работ])*(G148=Таблица2[ТПиР/НСиР])*Таблица2[Оборудование2010])</f>
        <v>0</v>
      </c>
      <c r="M148" s="63">
        <f>W148*SUMPRODUCT(($B$2=Таблица2[Филиал])*($B$3=Таблица2[ФЕР/ТЕР])*(F148=Таблица2[Наименование работ])*(G148=Таблица2[ТПиР/НСиР])*Таблица2[Прочие2010])</f>
        <v>0</v>
      </c>
      <c r="N148" s="63">
        <f>S148*SUMPRODUCT(($B$2=Таблица2[Филиал])*($B$3=Таблица2[ФЕР/ТЕР])*(F148=Таблица2[Наименование работ])*(G148=Таблица2[ТПиР/НСиР])*Таблица2[ПИР2013-10])</f>
        <v>0</v>
      </c>
      <c r="O148" s="63">
        <f>T148*SUMPRODUCT(($B$2=Таблица2[Филиал])*($B$3=Таблица2[ФЕР/ТЕР])*(F148=Таблица2[Наименование работ])*(G148=Таблица2[ТПиР/НСиР])*Таблица2[СМР2013-10])</f>
        <v>0</v>
      </c>
      <c r="P148" s="63">
        <f>U148*SUMPRODUCT(($B$2=Таблица2[Филиал])*($B$3=Таблица2[ФЕР/ТЕР])*(F148=Таблица2[Наименование работ])*(G148=Таблица2[ТПиР/НСиР])*Таблица2[ПНР2013-10])</f>
        <v>0</v>
      </c>
      <c r="Q148" s="63">
        <f>V148*SUMPRODUCT(($B$2=Таблица2[Филиал])*($B$3=Таблица2[ФЕР/ТЕР])*(F148=Таблица2[Наименование работ])*(G148=Таблица2[ТПиР/НСиР])*Таблица2[Оборудование2013-10])</f>
        <v>0</v>
      </c>
      <c r="R148" s="63">
        <f>W148*SUMPRODUCT(($B$2=Таблица2[Филиал])*($B$3=Таблица2[ФЕР/ТЕР])*(F148=Таблица2[Наименование работ])*(G148=Таблица2[ТПиР/НСиР])*Таблица2[Прочие2013-10])</f>
        <v>0</v>
      </c>
      <c r="S148" s="63">
        <f>IF($B$4="в базовых ценах",калькулятор!J153,X148*SUMPRODUCT(($B$2=Таблица2[Филиал])*($B$3=Таблица2[ФЕР/ТЕР])*(F148=Таблица2[Наименование работ])*(G148=Таблица2[ТПиР/НСиР])/Таблица2[ПИР2013]))</f>
        <v>0</v>
      </c>
      <c r="T148" s="63">
        <f>IF($B$4="в базовых ценах",калькулятор!K153,Y148*SUMPRODUCT(($B$2=Таблица2[Филиал])*($B$3=Таблица2[ФЕР/ТЕР])*(F148=Таблица2[Наименование работ])*(G148=Таблица2[ТПиР/НСиР])/Таблица2[СМР2013]))</f>
        <v>0</v>
      </c>
      <c r="U148" s="63">
        <f>IF($B$4="в базовых ценах",калькулятор!L153,Z148*SUMPRODUCT(($B$2=Таблица2[Филиал])*($B$3=Таблица2[ФЕР/ТЕР])*(F148=Таблица2[Наименование работ])*(G148=Таблица2[ТПиР/НСиР])/Таблица2[ПНР2013]))</f>
        <v>0</v>
      </c>
      <c r="V148" s="63">
        <f>IF($B$4="в базовых ценах",калькулятор!M153,AA148*SUMPRODUCT(($B$2=Таблица2[Филиал])*($B$3=Таблица2[ФЕР/ТЕР])*(F148=Таблица2[Наименование работ])*(G148=Таблица2[ТПиР/НСиР])/Таблица2[Оборудование2013]))</f>
        <v>0</v>
      </c>
      <c r="W148" s="63">
        <f>IF($B$4="в базовых ценах",калькулятор!N153,AB148*SUMPRODUCT(($B$2=Таблица2[Филиал])*($B$3=Таблица2[ФЕР/ТЕР])*(F148=Таблица2[Наименование работ])*(G148=Таблица2[ТПиР/НСиР])/Таблица2[Прочие3]))</f>
        <v>0</v>
      </c>
      <c r="X148" s="63">
        <f>IF($B$4="в текущих ценах",калькулятор!J153,S148*SUMPRODUCT(($B$2=Таблица2[Филиал])*($B$3=Таблица2[ФЕР/ТЕР])*(F148=Таблица2[Наименование работ])*(G148=Таблица2[ТПиР/НСиР])*Таблица2[ПИР2013]))</f>
        <v>0</v>
      </c>
      <c r="Y148" s="63">
        <f>IF($B$4="в текущих ценах",калькулятор!K153,T148*SUMPRODUCT(($B$2=Таблица2[Филиал])*($B$3=Таблица2[ФЕР/ТЕР])*(F148=Таблица2[Наименование работ])*(G148=Таблица2[ТПиР/НСиР])*Таблица2[СМР2013]))</f>
        <v>0</v>
      </c>
      <c r="Z148" s="63">
        <f>IF($B$4="в текущих ценах",калькулятор!L153,U148*SUMPRODUCT(($B$2=Таблица2[Филиал])*($B$3=Таблица2[ФЕР/ТЕР])*(F148=Таблица2[Наименование работ])*(G148=Таблица2[ТПиР/НСиР])*Таблица2[ПНР2013]))</f>
        <v>0</v>
      </c>
      <c r="AA148" s="63">
        <f>IF($B$4="в текущих ценах",калькулятор!M153,V148*SUMPRODUCT(($B$2=Таблица2[Филиал])*($B$3=Таблица2[ФЕР/ТЕР])*(F148=Таблица2[Наименование работ])*(G148=Таблица2[ТПиР/НСиР])*Таблица2[Оборудование2013]))</f>
        <v>0</v>
      </c>
      <c r="AB148" s="63">
        <f>IF($B$4="в текущих ценах",калькулятор!N153,W148*SUMPRODUCT(($B$2=Таблица2[Филиал])*($B$3=Таблица2[ФЕР/ТЕР])*(F148=Таблица2[Наименование работ])*(G148=Таблица2[ТПиР/НСиР])*Таблица2[Прочие3]))</f>
        <v>0</v>
      </c>
      <c r="AC148" s="63">
        <f>SUM(данные!$I148:$M148)</f>
        <v>0</v>
      </c>
      <c r="AD148" s="63">
        <f>IF(SUM(данные!$N148:$R148)&gt;данные!$AF148,данные!$AF148*0.9*1.058,SUM(данные!$N148:$R148))</f>
        <v>0</v>
      </c>
      <c r="AE148" s="63">
        <f>SUM(данные!$S148:$W148)</f>
        <v>0</v>
      </c>
      <c r="AF148" s="63">
        <f>SUM(данные!$X148:$AB148)</f>
        <v>0</v>
      </c>
      <c r="AG148" s="63">
        <f>IF($B$4="в текущих ценах",S148*SUMPRODUCT(($B$2=Таблица2[Филиал])*($B$3=Таблица2[ФЕР/ТЕР])*(F148=Таблица2[Наименование работ])*(G148=Таблица2[ТПиР/НСиР])*Таблица2[ПИР2012]),S148*SUMPRODUCT(($B$2=Таблица2[Филиал])*($B$3=Таблица2[ФЕР/ТЕР])*(F148=Таблица2[Наименование работ])*(G148=Таблица2[ТПиР/НСиР])*Таблица2[ПИР2012]))</f>
        <v>0</v>
      </c>
      <c r="AH148" s="63">
        <f>IF($B$4="в текущих ценах",T148*SUMPRODUCT(($B$2=Таблица2[Филиал])*($B$3=Таблица2[ФЕР/ТЕР])*(F148=Таблица2[Наименование работ])*(G148=Таблица2[ТПиР/НСиР])*Таблица2[СМР2012]),T148*SUMPRODUCT(($B$2=Таблица2[Филиал])*($B$3=Таблица2[ФЕР/ТЕР])*(F148=Таблица2[Наименование работ])*(G148=Таблица2[ТПиР/НСиР])*Таблица2[СМР2012]))</f>
        <v>0</v>
      </c>
      <c r="AI148" s="63">
        <f>IF($B$4="в текущих ценах",U148*SUMPRODUCT(($B$2=Таблица2[Филиал])*($B$3=Таблица2[ФЕР/ТЕР])*(F148=Таблица2[Наименование работ])*(G148=Таблица2[ТПиР/НСиР])*Таблица2[ПНР2012]),U148*SUMPRODUCT(($B$2=Таблица2[Филиал])*($B$3=Таблица2[ФЕР/ТЕР])*(F148=Таблица2[Наименование работ])*(G148=Таблица2[ТПиР/НСиР])*Таблица2[ПНР2012]))</f>
        <v>0</v>
      </c>
      <c r="AJ148" s="63">
        <f>IF($B$4="в текущих ценах",V148*SUMPRODUCT(($B$2=Таблица2[Филиал])*($B$3=Таблица2[ФЕР/ТЕР])*(F148=Таблица2[Наименование работ])*(G148=Таблица2[ТПиР/НСиР])*Таблица2[Оборудование2012]),V148*SUMPRODUCT(($B$2=Таблица2[Филиал])*($B$3=Таблица2[ФЕР/ТЕР])*(F148=Таблица2[Наименование работ])*(G148=Таблица2[ТПиР/НСиР])*Таблица2[Оборудование2012]))</f>
        <v>0</v>
      </c>
      <c r="AK148" s="63">
        <f>IF($B$4="в текущих ценах",W148*SUMPRODUCT(($B$2=Таблица2[Филиал])*($B$3=Таблица2[ФЕР/ТЕР])*(F148=Таблица2[Наименование работ])*(G148=Таблица2[ТПиР/НСиР])*Таблица2[Прочее2012]),W148*SUMPRODUCT(($B$2=Таблица2[Филиал])*($B$3=Таблица2[ФЕР/ТЕР])*(F148=Таблица2[Наименование работ])*(G148=Таблица2[ТПиР/НСиР])*Таблица2[Прочее2012]))</f>
        <v>0</v>
      </c>
      <c r="AL148" s="63">
        <f>данные!$X148+данные!$Y148+данные!$Z148+данные!$AA148+данные!$AB148</f>
        <v>0</v>
      </c>
      <c r="AM148" s="63">
        <v>1.03639035</v>
      </c>
      <c r="AN148" s="63">
        <v>1.0114049394</v>
      </c>
      <c r="AO148" s="63">
        <v>0.98210394336149998</v>
      </c>
      <c r="AP148" s="63">
        <v>0.93762413895893393</v>
      </c>
      <c r="AQ148" s="63"/>
      <c r="AR148" s="63"/>
      <c r="AS148" s="64"/>
      <c r="AU148" s="66">
        <f t="shared" si="12"/>
        <v>0</v>
      </c>
      <c r="AX148" s="66">
        <f t="shared" si="13"/>
        <v>0</v>
      </c>
      <c r="AY148" s="66">
        <f t="shared" si="14"/>
        <v>0</v>
      </c>
      <c r="AZ148" s="66">
        <f t="shared" si="15"/>
        <v>0</v>
      </c>
      <c r="BA148" s="66">
        <f t="shared" si="16"/>
        <v>0</v>
      </c>
      <c r="BB148" s="66">
        <f t="shared" si="17"/>
        <v>0</v>
      </c>
    </row>
    <row r="149" spans="4:54" x14ac:dyDescent="0.25">
      <c r="D149" s="62">
        <f>калькулятор!C154</f>
        <v>0</v>
      </c>
      <c r="E149" s="62">
        <f>калькулятор!F154</f>
        <v>0</v>
      </c>
      <c r="F149" s="62">
        <f>калькулятор!G154</f>
        <v>0</v>
      </c>
      <c r="G149" s="62">
        <f>калькулятор!H154</f>
        <v>0</v>
      </c>
      <c r="H149" s="62">
        <f>калькулятор!I154</f>
        <v>0</v>
      </c>
      <c r="I149" s="63">
        <f>S149*SUMPRODUCT(($B$2=Таблица2[Филиал])*($B$3=Таблица2[ФЕР/ТЕР])*(F149=Таблица2[Наименование работ])*(G149=Таблица2[ТПиР/НСиР])*Таблица2[ПИР2010])</f>
        <v>0</v>
      </c>
      <c r="J149" s="63">
        <f>T149*SUMPRODUCT(($B$2=Таблица2[Филиал])*($B$3=Таблица2[ФЕР/ТЕР])*(F149=Таблица2[Наименование работ])*(G149=Таблица2[ТПиР/НСиР])*Таблица2[СМР2010])</f>
        <v>0</v>
      </c>
      <c r="K149" s="63">
        <f>U149*SUMPRODUCT(($B$2=Таблица2[Филиал])*($B$3=Таблица2[ФЕР/ТЕР])*(F149=Таблица2[Наименование работ])*(G149=Таблица2[ТПиР/НСиР])*Таблица2[ПНР2010])</f>
        <v>0</v>
      </c>
      <c r="L149" s="63">
        <f>V149*SUMPRODUCT(($B$2=Таблица2[Филиал])*($B$3=Таблица2[ФЕР/ТЕР])*(F149=Таблица2[Наименование работ])*(G149=Таблица2[ТПиР/НСиР])*Таблица2[Оборудование2010])</f>
        <v>0</v>
      </c>
      <c r="M149" s="63">
        <f>W149*SUMPRODUCT(($B$2=Таблица2[Филиал])*($B$3=Таблица2[ФЕР/ТЕР])*(F149=Таблица2[Наименование работ])*(G149=Таблица2[ТПиР/НСиР])*Таблица2[Прочие2010])</f>
        <v>0</v>
      </c>
      <c r="N149" s="63">
        <f>S149*SUMPRODUCT(($B$2=Таблица2[Филиал])*($B$3=Таблица2[ФЕР/ТЕР])*(F149=Таблица2[Наименование работ])*(G149=Таблица2[ТПиР/НСиР])*Таблица2[ПИР2013-10])</f>
        <v>0</v>
      </c>
      <c r="O149" s="63">
        <f>T149*SUMPRODUCT(($B$2=Таблица2[Филиал])*($B$3=Таблица2[ФЕР/ТЕР])*(F149=Таблица2[Наименование работ])*(G149=Таблица2[ТПиР/НСиР])*Таблица2[СМР2013-10])</f>
        <v>0</v>
      </c>
      <c r="P149" s="63">
        <f>U149*SUMPRODUCT(($B$2=Таблица2[Филиал])*($B$3=Таблица2[ФЕР/ТЕР])*(F149=Таблица2[Наименование работ])*(G149=Таблица2[ТПиР/НСиР])*Таблица2[ПНР2013-10])</f>
        <v>0</v>
      </c>
      <c r="Q149" s="63">
        <f>V149*SUMPRODUCT(($B$2=Таблица2[Филиал])*($B$3=Таблица2[ФЕР/ТЕР])*(F149=Таблица2[Наименование работ])*(G149=Таблица2[ТПиР/НСиР])*Таблица2[Оборудование2013-10])</f>
        <v>0</v>
      </c>
      <c r="R149" s="63">
        <f>W149*SUMPRODUCT(($B$2=Таблица2[Филиал])*($B$3=Таблица2[ФЕР/ТЕР])*(F149=Таблица2[Наименование работ])*(G149=Таблица2[ТПиР/НСиР])*Таблица2[Прочие2013-10])</f>
        <v>0</v>
      </c>
      <c r="S149" s="63">
        <f>IF($B$4="в базовых ценах",калькулятор!J154,X149*SUMPRODUCT(($B$2=Таблица2[Филиал])*($B$3=Таблица2[ФЕР/ТЕР])*(F149=Таблица2[Наименование работ])*(G149=Таблица2[ТПиР/НСиР])/Таблица2[ПИР2013]))</f>
        <v>0</v>
      </c>
      <c r="T149" s="63">
        <f>IF($B$4="в базовых ценах",калькулятор!K154,Y149*SUMPRODUCT(($B$2=Таблица2[Филиал])*($B$3=Таблица2[ФЕР/ТЕР])*(F149=Таблица2[Наименование работ])*(G149=Таблица2[ТПиР/НСиР])/Таблица2[СМР2013]))</f>
        <v>0</v>
      </c>
      <c r="U149" s="63">
        <f>IF($B$4="в базовых ценах",калькулятор!L154,Z149*SUMPRODUCT(($B$2=Таблица2[Филиал])*($B$3=Таблица2[ФЕР/ТЕР])*(F149=Таблица2[Наименование работ])*(G149=Таблица2[ТПиР/НСиР])/Таблица2[ПНР2013]))</f>
        <v>0</v>
      </c>
      <c r="V149" s="63">
        <f>IF($B$4="в базовых ценах",калькулятор!M154,AA149*SUMPRODUCT(($B$2=Таблица2[Филиал])*($B$3=Таблица2[ФЕР/ТЕР])*(F149=Таблица2[Наименование работ])*(G149=Таблица2[ТПиР/НСиР])/Таблица2[Оборудование2013]))</f>
        <v>0</v>
      </c>
      <c r="W149" s="63">
        <f>IF($B$4="в базовых ценах",калькулятор!N154,AB149*SUMPRODUCT(($B$2=Таблица2[Филиал])*($B$3=Таблица2[ФЕР/ТЕР])*(F149=Таблица2[Наименование работ])*(G149=Таблица2[ТПиР/НСиР])/Таблица2[Прочие3]))</f>
        <v>0</v>
      </c>
      <c r="X149" s="63">
        <f>IF($B$4="в текущих ценах",калькулятор!J154,S149*SUMPRODUCT(($B$2=Таблица2[Филиал])*($B$3=Таблица2[ФЕР/ТЕР])*(F149=Таблица2[Наименование работ])*(G149=Таблица2[ТПиР/НСиР])*Таблица2[ПИР2013]))</f>
        <v>0</v>
      </c>
      <c r="Y149" s="63">
        <f>IF($B$4="в текущих ценах",калькулятор!K154,T149*SUMPRODUCT(($B$2=Таблица2[Филиал])*($B$3=Таблица2[ФЕР/ТЕР])*(F149=Таблица2[Наименование работ])*(G149=Таблица2[ТПиР/НСиР])*Таблица2[СМР2013]))</f>
        <v>0</v>
      </c>
      <c r="Z149" s="63">
        <f>IF($B$4="в текущих ценах",калькулятор!L154,U149*SUMPRODUCT(($B$2=Таблица2[Филиал])*($B$3=Таблица2[ФЕР/ТЕР])*(F149=Таблица2[Наименование работ])*(G149=Таблица2[ТПиР/НСиР])*Таблица2[ПНР2013]))</f>
        <v>0</v>
      </c>
      <c r="AA149" s="63">
        <f>IF($B$4="в текущих ценах",калькулятор!M154,V149*SUMPRODUCT(($B$2=Таблица2[Филиал])*($B$3=Таблица2[ФЕР/ТЕР])*(F149=Таблица2[Наименование работ])*(G149=Таблица2[ТПиР/НСиР])*Таблица2[Оборудование2013]))</f>
        <v>0</v>
      </c>
      <c r="AB149" s="63">
        <f>IF($B$4="в текущих ценах",калькулятор!N154,W149*SUMPRODUCT(($B$2=Таблица2[Филиал])*($B$3=Таблица2[ФЕР/ТЕР])*(F149=Таблица2[Наименование работ])*(G149=Таблица2[ТПиР/НСиР])*Таблица2[Прочие3]))</f>
        <v>0</v>
      </c>
      <c r="AC149" s="63">
        <f>SUM(данные!$I149:$M149)</f>
        <v>0</v>
      </c>
      <c r="AD149" s="63">
        <f>IF(SUM(данные!$N149:$R149)&gt;данные!$AF149,данные!$AF149*0.9*1.058,SUM(данные!$N149:$R149))</f>
        <v>0</v>
      </c>
      <c r="AE149" s="63">
        <f>SUM(данные!$S149:$W149)</f>
        <v>0</v>
      </c>
      <c r="AF149" s="63">
        <f>SUM(данные!$X149:$AB149)</f>
        <v>0</v>
      </c>
      <c r="AG149" s="63">
        <f>IF($B$4="в текущих ценах",S149*SUMPRODUCT(($B$2=Таблица2[Филиал])*($B$3=Таблица2[ФЕР/ТЕР])*(F149=Таблица2[Наименование работ])*(G149=Таблица2[ТПиР/НСиР])*Таблица2[ПИР2012]),S149*SUMPRODUCT(($B$2=Таблица2[Филиал])*($B$3=Таблица2[ФЕР/ТЕР])*(F149=Таблица2[Наименование работ])*(G149=Таблица2[ТПиР/НСиР])*Таблица2[ПИР2012]))</f>
        <v>0</v>
      </c>
      <c r="AH149" s="63">
        <f>IF($B$4="в текущих ценах",T149*SUMPRODUCT(($B$2=Таблица2[Филиал])*($B$3=Таблица2[ФЕР/ТЕР])*(F149=Таблица2[Наименование работ])*(G149=Таблица2[ТПиР/НСиР])*Таблица2[СМР2012]),T149*SUMPRODUCT(($B$2=Таблица2[Филиал])*($B$3=Таблица2[ФЕР/ТЕР])*(F149=Таблица2[Наименование работ])*(G149=Таблица2[ТПиР/НСиР])*Таблица2[СМР2012]))</f>
        <v>0</v>
      </c>
      <c r="AI149" s="63">
        <f>IF($B$4="в текущих ценах",U149*SUMPRODUCT(($B$2=Таблица2[Филиал])*($B$3=Таблица2[ФЕР/ТЕР])*(F149=Таблица2[Наименование работ])*(G149=Таблица2[ТПиР/НСиР])*Таблица2[ПНР2012]),U149*SUMPRODUCT(($B$2=Таблица2[Филиал])*($B$3=Таблица2[ФЕР/ТЕР])*(F149=Таблица2[Наименование работ])*(G149=Таблица2[ТПиР/НСиР])*Таблица2[ПНР2012]))</f>
        <v>0</v>
      </c>
      <c r="AJ149" s="63">
        <f>IF($B$4="в текущих ценах",V149*SUMPRODUCT(($B$2=Таблица2[Филиал])*($B$3=Таблица2[ФЕР/ТЕР])*(F149=Таблица2[Наименование работ])*(G149=Таблица2[ТПиР/НСиР])*Таблица2[Оборудование2012]),V149*SUMPRODUCT(($B$2=Таблица2[Филиал])*($B$3=Таблица2[ФЕР/ТЕР])*(F149=Таблица2[Наименование работ])*(G149=Таблица2[ТПиР/НСиР])*Таблица2[Оборудование2012]))</f>
        <v>0</v>
      </c>
      <c r="AK149" s="63">
        <f>IF($B$4="в текущих ценах",W149*SUMPRODUCT(($B$2=Таблица2[Филиал])*($B$3=Таблица2[ФЕР/ТЕР])*(F149=Таблица2[Наименование работ])*(G149=Таблица2[ТПиР/НСиР])*Таблица2[Прочее2012]),W149*SUMPRODUCT(($B$2=Таблица2[Филиал])*($B$3=Таблица2[ФЕР/ТЕР])*(F149=Таблица2[Наименование работ])*(G149=Таблица2[ТПиР/НСиР])*Таблица2[Прочее2012]))</f>
        <v>0</v>
      </c>
      <c r="AL149" s="63">
        <f>данные!$X149+данные!$Y149+данные!$Z149+данные!$AA149+данные!$AB149</f>
        <v>0</v>
      </c>
      <c r="AM149" s="63">
        <v>1.03639035</v>
      </c>
      <c r="AN149" s="63">
        <v>1.0114049394</v>
      </c>
      <c r="AO149" s="63">
        <v>0.98210394336149998</v>
      </c>
      <c r="AP149" s="63">
        <v>0.93762413895893393</v>
      </c>
      <c r="AQ149" s="63"/>
      <c r="AR149" s="63"/>
      <c r="AS149" s="64"/>
      <c r="AU149" s="66">
        <f t="shared" si="12"/>
        <v>0</v>
      </c>
      <c r="AX149" s="66">
        <f t="shared" si="13"/>
        <v>0</v>
      </c>
      <c r="AY149" s="66">
        <f t="shared" si="14"/>
        <v>0</v>
      </c>
      <c r="AZ149" s="66">
        <f t="shared" si="15"/>
        <v>0</v>
      </c>
      <c r="BA149" s="66">
        <f t="shared" si="16"/>
        <v>0</v>
      </c>
      <c r="BB149" s="66">
        <f t="shared" si="17"/>
        <v>0</v>
      </c>
    </row>
    <row r="150" spans="4:54" x14ac:dyDescent="0.25">
      <c r="D150" s="62">
        <f>калькулятор!C155</f>
        <v>0</v>
      </c>
      <c r="E150" s="62">
        <f>калькулятор!F155</f>
        <v>0</v>
      </c>
      <c r="F150" s="62">
        <f>калькулятор!G155</f>
        <v>0</v>
      </c>
      <c r="G150" s="62">
        <f>калькулятор!H155</f>
        <v>0</v>
      </c>
      <c r="H150" s="62">
        <f>калькулятор!I155</f>
        <v>0</v>
      </c>
      <c r="I150" s="63">
        <f>S150*SUMPRODUCT(($B$2=Таблица2[Филиал])*($B$3=Таблица2[ФЕР/ТЕР])*(F150=Таблица2[Наименование работ])*(G150=Таблица2[ТПиР/НСиР])*Таблица2[ПИР2010])</f>
        <v>0</v>
      </c>
      <c r="J150" s="63">
        <f>T150*SUMPRODUCT(($B$2=Таблица2[Филиал])*($B$3=Таблица2[ФЕР/ТЕР])*(F150=Таблица2[Наименование работ])*(G150=Таблица2[ТПиР/НСиР])*Таблица2[СМР2010])</f>
        <v>0</v>
      </c>
      <c r="K150" s="63">
        <f>U150*SUMPRODUCT(($B$2=Таблица2[Филиал])*($B$3=Таблица2[ФЕР/ТЕР])*(F150=Таблица2[Наименование работ])*(G150=Таблица2[ТПиР/НСиР])*Таблица2[ПНР2010])</f>
        <v>0</v>
      </c>
      <c r="L150" s="63">
        <f>V150*SUMPRODUCT(($B$2=Таблица2[Филиал])*($B$3=Таблица2[ФЕР/ТЕР])*(F150=Таблица2[Наименование работ])*(G150=Таблица2[ТПиР/НСиР])*Таблица2[Оборудование2010])</f>
        <v>0</v>
      </c>
      <c r="M150" s="63">
        <f>W150*SUMPRODUCT(($B$2=Таблица2[Филиал])*($B$3=Таблица2[ФЕР/ТЕР])*(F150=Таблица2[Наименование работ])*(G150=Таблица2[ТПиР/НСиР])*Таблица2[Прочие2010])</f>
        <v>0</v>
      </c>
      <c r="N150" s="63">
        <f>S150*SUMPRODUCT(($B$2=Таблица2[Филиал])*($B$3=Таблица2[ФЕР/ТЕР])*(F150=Таблица2[Наименование работ])*(G150=Таблица2[ТПиР/НСиР])*Таблица2[ПИР2013-10])</f>
        <v>0</v>
      </c>
      <c r="O150" s="63">
        <f>T150*SUMPRODUCT(($B$2=Таблица2[Филиал])*($B$3=Таблица2[ФЕР/ТЕР])*(F150=Таблица2[Наименование работ])*(G150=Таблица2[ТПиР/НСиР])*Таблица2[СМР2013-10])</f>
        <v>0</v>
      </c>
      <c r="P150" s="63">
        <f>U150*SUMPRODUCT(($B$2=Таблица2[Филиал])*($B$3=Таблица2[ФЕР/ТЕР])*(F150=Таблица2[Наименование работ])*(G150=Таблица2[ТПиР/НСиР])*Таблица2[ПНР2013-10])</f>
        <v>0</v>
      </c>
      <c r="Q150" s="63">
        <f>V150*SUMPRODUCT(($B$2=Таблица2[Филиал])*($B$3=Таблица2[ФЕР/ТЕР])*(F150=Таблица2[Наименование работ])*(G150=Таблица2[ТПиР/НСиР])*Таблица2[Оборудование2013-10])</f>
        <v>0</v>
      </c>
      <c r="R150" s="63">
        <f>W150*SUMPRODUCT(($B$2=Таблица2[Филиал])*($B$3=Таблица2[ФЕР/ТЕР])*(F150=Таблица2[Наименование работ])*(G150=Таблица2[ТПиР/НСиР])*Таблица2[Прочие2013-10])</f>
        <v>0</v>
      </c>
      <c r="S150" s="63">
        <f>IF($B$4="в базовых ценах",калькулятор!J155,X150*SUMPRODUCT(($B$2=Таблица2[Филиал])*($B$3=Таблица2[ФЕР/ТЕР])*(F150=Таблица2[Наименование работ])*(G150=Таблица2[ТПиР/НСиР])/Таблица2[ПИР2013]))</f>
        <v>0</v>
      </c>
      <c r="T150" s="63">
        <f>IF($B$4="в базовых ценах",калькулятор!K155,Y150*SUMPRODUCT(($B$2=Таблица2[Филиал])*($B$3=Таблица2[ФЕР/ТЕР])*(F150=Таблица2[Наименование работ])*(G150=Таблица2[ТПиР/НСиР])/Таблица2[СМР2013]))</f>
        <v>0</v>
      </c>
      <c r="U150" s="63">
        <f>IF($B$4="в базовых ценах",калькулятор!L155,Z150*SUMPRODUCT(($B$2=Таблица2[Филиал])*($B$3=Таблица2[ФЕР/ТЕР])*(F150=Таблица2[Наименование работ])*(G150=Таблица2[ТПиР/НСиР])/Таблица2[ПНР2013]))</f>
        <v>0</v>
      </c>
      <c r="V150" s="63">
        <f>IF($B$4="в базовых ценах",калькулятор!M155,AA150*SUMPRODUCT(($B$2=Таблица2[Филиал])*($B$3=Таблица2[ФЕР/ТЕР])*(F150=Таблица2[Наименование работ])*(G150=Таблица2[ТПиР/НСиР])/Таблица2[Оборудование2013]))</f>
        <v>0</v>
      </c>
      <c r="W150" s="63">
        <f>IF($B$4="в базовых ценах",калькулятор!N155,AB150*SUMPRODUCT(($B$2=Таблица2[Филиал])*($B$3=Таблица2[ФЕР/ТЕР])*(F150=Таблица2[Наименование работ])*(G150=Таблица2[ТПиР/НСиР])/Таблица2[Прочие3]))</f>
        <v>0</v>
      </c>
      <c r="X150" s="63">
        <f>IF($B$4="в текущих ценах",калькулятор!J155,S150*SUMPRODUCT(($B$2=Таблица2[Филиал])*($B$3=Таблица2[ФЕР/ТЕР])*(F150=Таблица2[Наименование работ])*(G150=Таблица2[ТПиР/НСиР])*Таблица2[ПИР2013]))</f>
        <v>0</v>
      </c>
      <c r="Y150" s="63">
        <f>IF($B$4="в текущих ценах",калькулятор!K155,T150*SUMPRODUCT(($B$2=Таблица2[Филиал])*($B$3=Таблица2[ФЕР/ТЕР])*(F150=Таблица2[Наименование работ])*(G150=Таблица2[ТПиР/НСиР])*Таблица2[СМР2013]))</f>
        <v>0</v>
      </c>
      <c r="Z150" s="63">
        <f>IF($B$4="в текущих ценах",калькулятор!L155,U150*SUMPRODUCT(($B$2=Таблица2[Филиал])*($B$3=Таблица2[ФЕР/ТЕР])*(F150=Таблица2[Наименование работ])*(G150=Таблица2[ТПиР/НСиР])*Таблица2[ПНР2013]))</f>
        <v>0</v>
      </c>
      <c r="AA150" s="63">
        <f>IF($B$4="в текущих ценах",калькулятор!M155,V150*SUMPRODUCT(($B$2=Таблица2[Филиал])*($B$3=Таблица2[ФЕР/ТЕР])*(F150=Таблица2[Наименование работ])*(G150=Таблица2[ТПиР/НСиР])*Таблица2[Оборудование2013]))</f>
        <v>0</v>
      </c>
      <c r="AB150" s="63">
        <f>IF($B$4="в текущих ценах",калькулятор!N155,W150*SUMPRODUCT(($B$2=Таблица2[Филиал])*($B$3=Таблица2[ФЕР/ТЕР])*(F150=Таблица2[Наименование работ])*(G150=Таблица2[ТПиР/НСиР])*Таблица2[Прочие3]))</f>
        <v>0</v>
      </c>
      <c r="AC150" s="63">
        <f>SUM(данные!$I150:$M150)</f>
        <v>0</v>
      </c>
      <c r="AD150" s="63">
        <f>IF(SUM(данные!$N150:$R150)&gt;данные!$AF150,данные!$AF150*0.9*1.058,SUM(данные!$N150:$R150))</f>
        <v>0</v>
      </c>
      <c r="AE150" s="63">
        <f>SUM(данные!$S150:$W150)</f>
        <v>0</v>
      </c>
      <c r="AF150" s="63">
        <f>SUM(данные!$X150:$AB150)</f>
        <v>0</v>
      </c>
      <c r="AG150" s="63">
        <f>IF($B$4="в текущих ценах",S150*SUMPRODUCT(($B$2=Таблица2[Филиал])*($B$3=Таблица2[ФЕР/ТЕР])*(F150=Таблица2[Наименование работ])*(G150=Таблица2[ТПиР/НСиР])*Таблица2[ПИР2012]),S150*SUMPRODUCT(($B$2=Таблица2[Филиал])*($B$3=Таблица2[ФЕР/ТЕР])*(F150=Таблица2[Наименование работ])*(G150=Таблица2[ТПиР/НСиР])*Таблица2[ПИР2012]))</f>
        <v>0</v>
      </c>
      <c r="AH150" s="63">
        <f>IF($B$4="в текущих ценах",T150*SUMPRODUCT(($B$2=Таблица2[Филиал])*($B$3=Таблица2[ФЕР/ТЕР])*(F150=Таблица2[Наименование работ])*(G150=Таблица2[ТПиР/НСиР])*Таблица2[СМР2012]),T150*SUMPRODUCT(($B$2=Таблица2[Филиал])*($B$3=Таблица2[ФЕР/ТЕР])*(F150=Таблица2[Наименование работ])*(G150=Таблица2[ТПиР/НСиР])*Таблица2[СМР2012]))</f>
        <v>0</v>
      </c>
      <c r="AI150" s="63">
        <f>IF($B$4="в текущих ценах",U150*SUMPRODUCT(($B$2=Таблица2[Филиал])*($B$3=Таблица2[ФЕР/ТЕР])*(F150=Таблица2[Наименование работ])*(G150=Таблица2[ТПиР/НСиР])*Таблица2[ПНР2012]),U150*SUMPRODUCT(($B$2=Таблица2[Филиал])*($B$3=Таблица2[ФЕР/ТЕР])*(F150=Таблица2[Наименование работ])*(G150=Таблица2[ТПиР/НСиР])*Таблица2[ПНР2012]))</f>
        <v>0</v>
      </c>
      <c r="AJ150" s="63">
        <f>IF($B$4="в текущих ценах",V150*SUMPRODUCT(($B$2=Таблица2[Филиал])*($B$3=Таблица2[ФЕР/ТЕР])*(F150=Таблица2[Наименование работ])*(G150=Таблица2[ТПиР/НСиР])*Таблица2[Оборудование2012]),V150*SUMPRODUCT(($B$2=Таблица2[Филиал])*($B$3=Таблица2[ФЕР/ТЕР])*(F150=Таблица2[Наименование работ])*(G150=Таблица2[ТПиР/НСиР])*Таблица2[Оборудование2012]))</f>
        <v>0</v>
      </c>
      <c r="AK150" s="63">
        <f>IF($B$4="в текущих ценах",W150*SUMPRODUCT(($B$2=Таблица2[Филиал])*($B$3=Таблица2[ФЕР/ТЕР])*(F150=Таблица2[Наименование работ])*(G150=Таблица2[ТПиР/НСиР])*Таблица2[Прочее2012]),W150*SUMPRODUCT(($B$2=Таблица2[Филиал])*($B$3=Таблица2[ФЕР/ТЕР])*(F150=Таблица2[Наименование работ])*(G150=Таблица2[ТПиР/НСиР])*Таблица2[Прочее2012]))</f>
        <v>0</v>
      </c>
      <c r="AL150" s="63">
        <f>данные!$X150+данные!$Y150+данные!$Z150+данные!$AA150+данные!$AB150</f>
        <v>0</v>
      </c>
      <c r="AM150" s="63">
        <v>1.03639035</v>
      </c>
      <c r="AN150" s="63">
        <v>1.0114049394</v>
      </c>
      <c r="AO150" s="63">
        <v>0.98210394336149998</v>
      </c>
      <c r="AP150" s="63">
        <v>0.93762413895893393</v>
      </c>
      <c r="AQ150" s="63"/>
      <c r="AR150" s="63"/>
      <c r="AS150" s="64"/>
      <c r="AU150" s="66">
        <f t="shared" si="12"/>
        <v>0</v>
      </c>
      <c r="AX150" s="66">
        <f t="shared" si="13"/>
        <v>0</v>
      </c>
      <c r="AY150" s="66">
        <f t="shared" si="14"/>
        <v>0</v>
      </c>
      <c r="AZ150" s="66">
        <f t="shared" si="15"/>
        <v>0</v>
      </c>
      <c r="BA150" s="66">
        <f t="shared" si="16"/>
        <v>0</v>
      </c>
      <c r="BB150" s="66">
        <f t="shared" si="17"/>
        <v>0</v>
      </c>
    </row>
    <row r="151" spans="4:54" x14ac:dyDescent="0.25">
      <c r="D151" s="62">
        <f>калькулятор!C156</f>
        <v>0</v>
      </c>
      <c r="E151" s="62">
        <f>калькулятор!F156</f>
        <v>0</v>
      </c>
      <c r="F151" s="62">
        <f>калькулятор!G156</f>
        <v>0</v>
      </c>
      <c r="G151" s="62">
        <f>калькулятор!H156</f>
        <v>0</v>
      </c>
      <c r="H151" s="62">
        <f>калькулятор!I156</f>
        <v>0</v>
      </c>
      <c r="I151" s="63">
        <f>S151*SUMPRODUCT(($B$2=Таблица2[Филиал])*($B$3=Таблица2[ФЕР/ТЕР])*(F151=Таблица2[Наименование работ])*(G151=Таблица2[ТПиР/НСиР])*Таблица2[ПИР2010])</f>
        <v>0</v>
      </c>
      <c r="J151" s="63">
        <f>T151*SUMPRODUCT(($B$2=Таблица2[Филиал])*($B$3=Таблица2[ФЕР/ТЕР])*(F151=Таблица2[Наименование работ])*(G151=Таблица2[ТПиР/НСиР])*Таблица2[СМР2010])</f>
        <v>0</v>
      </c>
      <c r="K151" s="63">
        <f>U151*SUMPRODUCT(($B$2=Таблица2[Филиал])*($B$3=Таблица2[ФЕР/ТЕР])*(F151=Таблица2[Наименование работ])*(G151=Таблица2[ТПиР/НСиР])*Таблица2[ПНР2010])</f>
        <v>0</v>
      </c>
      <c r="L151" s="63">
        <f>V151*SUMPRODUCT(($B$2=Таблица2[Филиал])*($B$3=Таблица2[ФЕР/ТЕР])*(F151=Таблица2[Наименование работ])*(G151=Таблица2[ТПиР/НСиР])*Таблица2[Оборудование2010])</f>
        <v>0</v>
      </c>
      <c r="M151" s="63">
        <f>W151*SUMPRODUCT(($B$2=Таблица2[Филиал])*($B$3=Таблица2[ФЕР/ТЕР])*(F151=Таблица2[Наименование работ])*(G151=Таблица2[ТПиР/НСиР])*Таблица2[Прочие2010])</f>
        <v>0</v>
      </c>
      <c r="N151" s="63">
        <f>S151*SUMPRODUCT(($B$2=Таблица2[Филиал])*($B$3=Таблица2[ФЕР/ТЕР])*(F151=Таблица2[Наименование работ])*(G151=Таблица2[ТПиР/НСиР])*Таблица2[ПИР2013-10])</f>
        <v>0</v>
      </c>
      <c r="O151" s="63">
        <f>T151*SUMPRODUCT(($B$2=Таблица2[Филиал])*($B$3=Таблица2[ФЕР/ТЕР])*(F151=Таблица2[Наименование работ])*(G151=Таблица2[ТПиР/НСиР])*Таблица2[СМР2013-10])</f>
        <v>0</v>
      </c>
      <c r="P151" s="63">
        <f>U151*SUMPRODUCT(($B$2=Таблица2[Филиал])*($B$3=Таблица2[ФЕР/ТЕР])*(F151=Таблица2[Наименование работ])*(G151=Таблица2[ТПиР/НСиР])*Таблица2[ПНР2013-10])</f>
        <v>0</v>
      </c>
      <c r="Q151" s="63">
        <f>V151*SUMPRODUCT(($B$2=Таблица2[Филиал])*($B$3=Таблица2[ФЕР/ТЕР])*(F151=Таблица2[Наименование работ])*(G151=Таблица2[ТПиР/НСиР])*Таблица2[Оборудование2013-10])</f>
        <v>0</v>
      </c>
      <c r="R151" s="63">
        <f>W151*SUMPRODUCT(($B$2=Таблица2[Филиал])*($B$3=Таблица2[ФЕР/ТЕР])*(F151=Таблица2[Наименование работ])*(G151=Таблица2[ТПиР/НСиР])*Таблица2[Прочие2013-10])</f>
        <v>0</v>
      </c>
      <c r="S151" s="63">
        <f>IF($B$4="в базовых ценах",калькулятор!J156,X151*SUMPRODUCT(($B$2=Таблица2[Филиал])*($B$3=Таблица2[ФЕР/ТЕР])*(F151=Таблица2[Наименование работ])*(G151=Таблица2[ТПиР/НСиР])/Таблица2[ПИР2013]))</f>
        <v>0</v>
      </c>
      <c r="T151" s="63">
        <f>IF($B$4="в базовых ценах",калькулятор!K156,Y151*SUMPRODUCT(($B$2=Таблица2[Филиал])*($B$3=Таблица2[ФЕР/ТЕР])*(F151=Таблица2[Наименование работ])*(G151=Таблица2[ТПиР/НСиР])/Таблица2[СМР2013]))</f>
        <v>0</v>
      </c>
      <c r="U151" s="63">
        <f>IF($B$4="в базовых ценах",калькулятор!L156,Z151*SUMPRODUCT(($B$2=Таблица2[Филиал])*($B$3=Таблица2[ФЕР/ТЕР])*(F151=Таблица2[Наименование работ])*(G151=Таблица2[ТПиР/НСиР])/Таблица2[ПНР2013]))</f>
        <v>0</v>
      </c>
      <c r="V151" s="63">
        <f>IF($B$4="в базовых ценах",калькулятор!M156,AA151*SUMPRODUCT(($B$2=Таблица2[Филиал])*($B$3=Таблица2[ФЕР/ТЕР])*(F151=Таблица2[Наименование работ])*(G151=Таблица2[ТПиР/НСиР])/Таблица2[Оборудование2013]))</f>
        <v>0</v>
      </c>
      <c r="W151" s="63">
        <f>IF($B$4="в базовых ценах",калькулятор!N156,AB151*SUMPRODUCT(($B$2=Таблица2[Филиал])*($B$3=Таблица2[ФЕР/ТЕР])*(F151=Таблица2[Наименование работ])*(G151=Таблица2[ТПиР/НСиР])/Таблица2[Прочие3]))</f>
        <v>0</v>
      </c>
      <c r="X151" s="63">
        <f>IF($B$4="в текущих ценах",калькулятор!J156,S151*SUMPRODUCT(($B$2=Таблица2[Филиал])*($B$3=Таблица2[ФЕР/ТЕР])*(F151=Таблица2[Наименование работ])*(G151=Таблица2[ТПиР/НСиР])*Таблица2[ПИР2013]))</f>
        <v>0</v>
      </c>
      <c r="Y151" s="63">
        <f>IF($B$4="в текущих ценах",калькулятор!K156,T151*SUMPRODUCT(($B$2=Таблица2[Филиал])*($B$3=Таблица2[ФЕР/ТЕР])*(F151=Таблица2[Наименование работ])*(G151=Таблица2[ТПиР/НСиР])*Таблица2[СМР2013]))</f>
        <v>0</v>
      </c>
      <c r="Z151" s="63">
        <f>IF($B$4="в текущих ценах",калькулятор!L156,U151*SUMPRODUCT(($B$2=Таблица2[Филиал])*($B$3=Таблица2[ФЕР/ТЕР])*(F151=Таблица2[Наименование работ])*(G151=Таблица2[ТПиР/НСиР])*Таблица2[ПНР2013]))</f>
        <v>0</v>
      </c>
      <c r="AA151" s="63">
        <f>IF($B$4="в текущих ценах",калькулятор!M156,V151*SUMPRODUCT(($B$2=Таблица2[Филиал])*($B$3=Таблица2[ФЕР/ТЕР])*(F151=Таблица2[Наименование работ])*(G151=Таблица2[ТПиР/НСиР])*Таблица2[Оборудование2013]))</f>
        <v>0</v>
      </c>
      <c r="AB151" s="63">
        <f>IF($B$4="в текущих ценах",калькулятор!N156,W151*SUMPRODUCT(($B$2=Таблица2[Филиал])*($B$3=Таблица2[ФЕР/ТЕР])*(F151=Таблица2[Наименование работ])*(G151=Таблица2[ТПиР/НСиР])*Таблица2[Прочие3]))</f>
        <v>0</v>
      </c>
      <c r="AC151" s="63">
        <f>SUM(данные!$I151:$M151)</f>
        <v>0</v>
      </c>
      <c r="AD151" s="63">
        <f>IF(SUM(данные!$N151:$R151)&gt;данные!$AF151,данные!$AF151*0.9*1.058,SUM(данные!$N151:$R151))</f>
        <v>0</v>
      </c>
      <c r="AE151" s="63">
        <f>SUM(данные!$S151:$W151)</f>
        <v>0</v>
      </c>
      <c r="AF151" s="63">
        <f>SUM(данные!$X151:$AB151)</f>
        <v>0</v>
      </c>
      <c r="AG151" s="63">
        <f>IF($B$4="в текущих ценах",S151*SUMPRODUCT(($B$2=Таблица2[Филиал])*($B$3=Таблица2[ФЕР/ТЕР])*(F151=Таблица2[Наименование работ])*(G151=Таблица2[ТПиР/НСиР])*Таблица2[ПИР2012]),S151*SUMPRODUCT(($B$2=Таблица2[Филиал])*($B$3=Таблица2[ФЕР/ТЕР])*(F151=Таблица2[Наименование работ])*(G151=Таблица2[ТПиР/НСиР])*Таблица2[ПИР2012]))</f>
        <v>0</v>
      </c>
      <c r="AH151" s="63">
        <f>IF($B$4="в текущих ценах",T151*SUMPRODUCT(($B$2=Таблица2[Филиал])*($B$3=Таблица2[ФЕР/ТЕР])*(F151=Таблица2[Наименование работ])*(G151=Таблица2[ТПиР/НСиР])*Таблица2[СМР2012]),T151*SUMPRODUCT(($B$2=Таблица2[Филиал])*($B$3=Таблица2[ФЕР/ТЕР])*(F151=Таблица2[Наименование работ])*(G151=Таблица2[ТПиР/НСиР])*Таблица2[СМР2012]))</f>
        <v>0</v>
      </c>
      <c r="AI151" s="63">
        <f>IF($B$4="в текущих ценах",U151*SUMPRODUCT(($B$2=Таблица2[Филиал])*($B$3=Таблица2[ФЕР/ТЕР])*(F151=Таблица2[Наименование работ])*(G151=Таблица2[ТПиР/НСиР])*Таблица2[ПНР2012]),U151*SUMPRODUCT(($B$2=Таблица2[Филиал])*($B$3=Таблица2[ФЕР/ТЕР])*(F151=Таблица2[Наименование работ])*(G151=Таблица2[ТПиР/НСиР])*Таблица2[ПНР2012]))</f>
        <v>0</v>
      </c>
      <c r="AJ151" s="63">
        <f>IF($B$4="в текущих ценах",V151*SUMPRODUCT(($B$2=Таблица2[Филиал])*($B$3=Таблица2[ФЕР/ТЕР])*(F151=Таблица2[Наименование работ])*(G151=Таблица2[ТПиР/НСиР])*Таблица2[Оборудование2012]),V151*SUMPRODUCT(($B$2=Таблица2[Филиал])*($B$3=Таблица2[ФЕР/ТЕР])*(F151=Таблица2[Наименование работ])*(G151=Таблица2[ТПиР/НСиР])*Таблица2[Оборудование2012]))</f>
        <v>0</v>
      </c>
      <c r="AK151" s="63">
        <f>IF($B$4="в текущих ценах",W151*SUMPRODUCT(($B$2=Таблица2[Филиал])*($B$3=Таблица2[ФЕР/ТЕР])*(F151=Таблица2[Наименование работ])*(G151=Таблица2[ТПиР/НСиР])*Таблица2[Прочее2012]),W151*SUMPRODUCT(($B$2=Таблица2[Филиал])*($B$3=Таблица2[ФЕР/ТЕР])*(F151=Таблица2[Наименование работ])*(G151=Таблица2[ТПиР/НСиР])*Таблица2[Прочее2012]))</f>
        <v>0</v>
      </c>
      <c r="AL151" s="63">
        <f>данные!$X151+данные!$Y151+данные!$Z151+данные!$AA151+данные!$AB151</f>
        <v>0</v>
      </c>
      <c r="AM151" s="63">
        <v>1.03639035</v>
      </c>
      <c r="AN151" s="63">
        <v>1.0114049394</v>
      </c>
      <c r="AO151" s="63">
        <v>0.98210394336149998</v>
      </c>
      <c r="AP151" s="63">
        <v>0.93762413895893393</v>
      </c>
      <c r="AQ151" s="63"/>
      <c r="AR151" s="63"/>
      <c r="AS151" s="64"/>
      <c r="AU151" s="66">
        <f t="shared" si="12"/>
        <v>0</v>
      </c>
      <c r="AX151" s="66">
        <f t="shared" si="13"/>
        <v>0</v>
      </c>
      <c r="AY151" s="66">
        <f t="shared" si="14"/>
        <v>0</v>
      </c>
      <c r="AZ151" s="66">
        <f t="shared" si="15"/>
        <v>0</v>
      </c>
      <c r="BA151" s="66">
        <f t="shared" si="16"/>
        <v>0</v>
      </c>
      <c r="BB151" s="66">
        <f t="shared" si="17"/>
        <v>0</v>
      </c>
    </row>
    <row r="152" spans="4:54" x14ac:dyDescent="0.25">
      <c r="D152" s="62">
        <f>калькулятор!C157</f>
        <v>0</v>
      </c>
      <c r="E152" s="62">
        <f>калькулятор!F157</f>
        <v>0</v>
      </c>
      <c r="F152" s="62">
        <f>калькулятор!G157</f>
        <v>0</v>
      </c>
      <c r="G152" s="62">
        <f>калькулятор!H157</f>
        <v>0</v>
      </c>
      <c r="H152" s="62">
        <f>калькулятор!I157</f>
        <v>0</v>
      </c>
      <c r="I152" s="63">
        <f>S152*SUMPRODUCT(($B$2=Таблица2[Филиал])*($B$3=Таблица2[ФЕР/ТЕР])*(F152=Таблица2[Наименование работ])*(G152=Таблица2[ТПиР/НСиР])*Таблица2[ПИР2010])</f>
        <v>0</v>
      </c>
      <c r="J152" s="63">
        <f>T152*SUMPRODUCT(($B$2=Таблица2[Филиал])*($B$3=Таблица2[ФЕР/ТЕР])*(F152=Таблица2[Наименование работ])*(G152=Таблица2[ТПиР/НСиР])*Таблица2[СМР2010])</f>
        <v>0</v>
      </c>
      <c r="K152" s="63">
        <f>U152*SUMPRODUCT(($B$2=Таблица2[Филиал])*($B$3=Таблица2[ФЕР/ТЕР])*(F152=Таблица2[Наименование работ])*(G152=Таблица2[ТПиР/НСиР])*Таблица2[ПНР2010])</f>
        <v>0</v>
      </c>
      <c r="L152" s="63">
        <f>V152*SUMPRODUCT(($B$2=Таблица2[Филиал])*($B$3=Таблица2[ФЕР/ТЕР])*(F152=Таблица2[Наименование работ])*(G152=Таблица2[ТПиР/НСиР])*Таблица2[Оборудование2010])</f>
        <v>0</v>
      </c>
      <c r="M152" s="63">
        <f>W152*SUMPRODUCT(($B$2=Таблица2[Филиал])*($B$3=Таблица2[ФЕР/ТЕР])*(F152=Таблица2[Наименование работ])*(G152=Таблица2[ТПиР/НСиР])*Таблица2[Прочие2010])</f>
        <v>0</v>
      </c>
      <c r="N152" s="63">
        <f>S152*SUMPRODUCT(($B$2=Таблица2[Филиал])*($B$3=Таблица2[ФЕР/ТЕР])*(F152=Таблица2[Наименование работ])*(G152=Таблица2[ТПиР/НСиР])*Таблица2[ПИР2013-10])</f>
        <v>0</v>
      </c>
      <c r="O152" s="63">
        <f>T152*SUMPRODUCT(($B$2=Таблица2[Филиал])*($B$3=Таблица2[ФЕР/ТЕР])*(F152=Таблица2[Наименование работ])*(G152=Таблица2[ТПиР/НСиР])*Таблица2[СМР2013-10])</f>
        <v>0</v>
      </c>
      <c r="P152" s="63">
        <f>U152*SUMPRODUCT(($B$2=Таблица2[Филиал])*($B$3=Таблица2[ФЕР/ТЕР])*(F152=Таблица2[Наименование работ])*(G152=Таблица2[ТПиР/НСиР])*Таблица2[ПНР2013-10])</f>
        <v>0</v>
      </c>
      <c r="Q152" s="63">
        <f>V152*SUMPRODUCT(($B$2=Таблица2[Филиал])*($B$3=Таблица2[ФЕР/ТЕР])*(F152=Таблица2[Наименование работ])*(G152=Таблица2[ТПиР/НСиР])*Таблица2[Оборудование2013-10])</f>
        <v>0</v>
      </c>
      <c r="R152" s="63">
        <f>W152*SUMPRODUCT(($B$2=Таблица2[Филиал])*($B$3=Таблица2[ФЕР/ТЕР])*(F152=Таблица2[Наименование работ])*(G152=Таблица2[ТПиР/НСиР])*Таблица2[Прочие2013-10])</f>
        <v>0</v>
      </c>
      <c r="S152" s="63">
        <f>IF($B$4="в базовых ценах",калькулятор!J157,X152*SUMPRODUCT(($B$2=Таблица2[Филиал])*($B$3=Таблица2[ФЕР/ТЕР])*(F152=Таблица2[Наименование работ])*(G152=Таблица2[ТПиР/НСиР])/Таблица2[ПИР2013]))</f>
        <v>0</v>
      </c>
      <c r="T152" s="63">
        <f>IF($B$4="в базовых ценах",калькулятор!K157,Y152*SUMPRODUCT(($B$2=Таблица2[Филиал])*($B$3=Таблица2[ФЕР/ТЕР])*(F152=Таблица2[Наименование работ])*(G152=Таблица2[ТПиР/НСиР])/Таблица2[СМР2013]))</f>
        <v>0</v>
      </c>
      <c r="U152" s="63">
        <f>IF($B$4="в базовых ценах",калькулятор!L157,Z152*SUMPRODUCT(($B$2=Таблица2[Филиал])*($B$3=Таблица2[ФЕР/ТЕР])*(F152=Таблица2[Наименование работ])*(G152=Таблица2[ТПиР/НСиР])/Таблица2[ПНР2013]))</f>
        <v>0</v>
      </c>
      <c r="V152" s="63">
        <f>IF($B$4="в базовых ценах",калькулятор!M157,AA152*SUMPRODUCT(($B$2=Таблица2[Филиал])*($B$3=Таблица2[ФЕР/ТЕР])*(F152=Таблица2[Наименование работ])*(G152=Таблица2[ТПиР/НСиР])/Таблица2[Оборудование2013]))</f>
        <v>0</v>
      </c>
      <c r="W152" s="63">
        <f>IF($B$4="в базовых ценах",калькулятор!N157,AB152*SUMPRODUCT(($B$2=Таблица2[Филиал])*($B$3=Таблица2[ФЕР/ТЕР])*(F152=Таблица2[Наименование работ])*(G152=Таблица2[ТПиР/НСиР])/Таблица2[Прочие3]))</f>
        <v>0</v>
      </c>
      <c r="X152" s="63">
        <f>IF($B$4="в текущих ценах",калькулятор!J157,S152*SUMPRODUCT(($B$2=Таблица2[Филиал])*($B$3=Таблица2[ФЕР/ТЕР])*(F152=Таблица2[Наименование работ])*(G152=Таблица2[ТПиР/НСиР])*Таблица2[ПИР2013]))</f>
        <v>0</v>
      </c>
      <c r="Y152" s="63">
        <f>IF($B$4="в текущих ценах",калькулятор!K157,T152*SUMPRODUCT(($B$2=Таблица2[Филиал])*($B$3=Таблица2[ФЕР/ТЕР])*(F152=Таблица2[Наименование работ])*(G152=Таблица2[ТПиР/НСиР])*Таблица2[СМР2013]))</f>
        <v>0</v>
      </c>
      <c r="Z152" s="63">
        <f>IF($B$4="в текущих ценах",калькулятор!L157,U152*SUMPRODUCT(($B$2=Таблица2[Филиал])*($B$3=Таблица2[ФЕР/ТЕР])*(F152=Таблица2[Наименование работ])*(G152=Таблица2[ТПиР/НСиР])*Таблица2[ПНР2013]))</f>
        <v>0</v>
      </c>
      <c r="AA152" s="63">
        <f>IF($B$4="в текущих ценах",калькулятор!M157,V152*SUMPRODUCT(($B$2=Таблица2[Филиал])*($B$3=Таблица2[ФЕР/ТЕР])*(F152=Таблица2[Наименование работ])*(G152=Таблица2[ТПиР/НСиР])*Таблица2[Оборудование2013]))</f>
        <v>0</v>
      </c>
      <c r="AB152" s="63">
        <f>IF($B$4="в текущих ценах",калькулятор!N157,W152*SUMPRODUCT(($B$2=Таблица2[Филиал])*($B$3=Таблица2[ФЕР/ТЕР])*(F152=Таблица2[Наименование работ])*(G152=Таблица2[ТПиР/НСиР])*Таблица2[Прочие3]))</f>
        <v>0</v>
      </c>
      <c r="AC152" s="63">
        <f>SUM(данные!$I152:$M152)</f>
        <v>0</v>
      </c>
      <c r="AD152" s="63">
        <f>IF(SUM(данные!$N152:$R152)&gt;данные!$AF152,данные!$AF152*0.9*1.058,SUM(данные!$N152:$R152))</f>
        <v>0</v>
      </c>
      <c r="AE152" s="63">
        <f>SUM(данные!$S152:$W152)</f>
        <v>0</v>
      </c>
      <c r="AF152" s="63">
        <f>SUM(данные!$X152:$AB152)</f>
        <v>0</v>
      </c>
      <c r="AG152" s="63">
        <f>IF($B$4="в текущих ценах",S152*SUMPRODUCT(($B$2=Таблица2[Филиал])*($B$3=Таблица2[ФЕР/ТЕР])*(F152=Таблица2[Наименование работ])*(G152=Таблица2[ТПиР/НСиР])*Таблица2[ПИР2012]),S152*SUMPRODUCT(($B$2=Таблица2[Филиал])*($B$3=Таблица2[ФЕР/ТЕР])*(F152=Таблица2[Наименование работ])*(G152=Таблица2[ТПиР/НСиР])*Таблица2[ПИР2012]))</f>
        <v>0</v>
      </c>
      <c r="AH152" s="63">
        <f>IF($B$4="в текущих ценах",T152*SUMPRODUCT(($B$2=Таблица2[Филиал])*($B$3=Таблица2[ФЕР/ТЕР])*(F152=Таблица2[Наименование работ])*(G152=Таблица2[ТПиР/НСиР])*Таблица2[СМР2012]),T152*SUMPRODUCT(($B$2=Таблица2[Филиал])*($B$3=Таблица2[ФЕР/ТЕР])*(F152=Таблица2[Наименование работ])*(G152=Таблица2[ТПиР/НСиР])*Таблица2[СМР2012]))</f>
        <v>0</v>
      </c>
      <c r="AI152" s="63">
        <f>IF($B$4="в текущих ценах",U152*SUMPRODUCT(($B$2=Таблица2[Филиал])*($B$3=Таблица2[ФЕР/ТЕР])*(F152=Таблица2[Наименование работ])*(G152=Таблица2[ТПиР/НСиР])*Таблица2[ПНР2012]),U152*SUMPRODUCT(($B$2=Таблица2[Филиал])*($B$3=Таблица2[ФЕР/ТЕР])*(F152=Таблица2[Наименование работ])*(G152=Таблица2[ТПиР/НСиР])*Таблица2[ПНР2012]))</f>
        <v>0</v>
      </c>
      <c r="AJ152" s="63">
        <f>IF($B$4="в текущих ценах",V152*SUMPRODUCT(($B$2=Таблица2[Филиал])*($B$3=Таблица2[ФЕР/ТЕР])*(F152=Таблица2[Наименование работ])*(G152=Таблица2[ТПиР/НСиР])*Таблица2[Оборудование2012]),V152*SUMPRODUCT(($B$2=Таблица2[Филиал])*($B$3=Таблица2[ФЕР/ТЕР])*(F152=Таблица2[Наименование работ])*(G152=Таблица2[ТПиР/НСиР])*Таблица2[Оборудование2012]))</f>
        <v>0</v>
      </c>
      <c r="AK152" s="63">
        <f>IF($B$4="в текущих ценах",W152*SUMPRODUCT(($B$2=Таблица2[Филиал])*($B$3=Таблица2[ФЕР/ТЕР])*(F152=Таблица2[Наименование работ])*(G152=Таблица2[ТПиР/НСиР])*Таблица2[Прочее2012]),W152*SUMPRODUCT(($B$2=Таблица2[Филиал])*($B$3=Таблица2[ФЕР/ТЕР])*(F152=Таблица2[Наименование работ])*(G152=Таблица2[ТПиР/НСиР])*Таблица2[Прочее2012]))</f>
        <v>0</v>
      </c>
      <c r="AL152" s="63">
        <f>данные!$X152+данные!$Y152+данные!$Z152+данные!$AA152+данные!$AB152</f>
        <v>0</v>
      </c>
      <c r="AM152" s="63">
        <v>1.03639035</v>
      </c>
      <c r="AN152" s="63">
        <v>1.0114049394</v>
      </c>
      <c r="AO152" s="63">
        <v>0.98210394336149998</v>
      </c>
      <c r="AP152" s="63">
        <v>0.93762413895893393</v>
      </c>
      <c r="AQ152" s="63"/>
      <c r="AR152" s="63"/>
      <c r="AS152" s="64"/>
      <c r="AU152" s="66">
        <f t="shared" si="12"/>
        <v>0</v>
      </c>
      <c r="AX152" s="66">
        <f t="shared" si="13"/>
        <v>0</v>
      </c>
      <c r="AY152" s="66">
        <f t="shared" si="14"/>
        <v>0</v>
      </c>
      <c r="AZ152" s="66">
        <f t="shared" si="15"/>
        <v>0</v>
      </c>
      <c r="BA152" s="66">
        <f t="shared" si="16"/>
        <v>0</v>
      </c>
      <c r="BB152" s="66">
        <f t="shared" si="17"/>
        <v>0</v>
      </c>
    </row>
    <row r="153" spans="4:54" x14ac:dyDescent="0.25">
      <c r="D153" s="62">
        <f>калькулятор!C158</f>
        <v>0</v>
      </c>
      <c r="E153" s="62">
        <f>калькулятор!F158</f>
        <v>0</v>
      </c>
      <c r="F153" s="62">
        <f>калькулятор!G158</f>
        <v>0</v>
      </c>
      <c r="G153" s="62">
        <f>калькулятор!H158</f>
        <v>0</v>
      </c>
      <c r="H153" s="62">
        <f>калькулятор!I158</f>
        <v>0</v>
      </c>
      <c r="I153" s="63">
        <f>S153*SUMPRODUCT(($B$2=Таблица2[Филиал])*($B$3=Таблица2[ФЕР/ТЕР])*(F153=Таблица2[Наименование работ])*(G153=Таблица2[ТПиР/НСиР])*Таблица2[ПИР2010])</f>
        <v>0</v>
      </c>
      <c r="J153" s="63">
        <f>T153*SUMPRODUCT(($B$2=Таблица2[Филиал])*($B$3=Таблица2[ФЕР/ТЕР])*(F153=Таблица2[Наименование работ])*(G153=Таблица2[ТПиР/НСиР])*Таблица2[СМР2010])</f>
        <v>0</v>
      </c>
      <c r="K153" s="63">
        <f>U153*SUMPRODUCT(($B$2=Таблица2[Филиал])*($B$3=Таблица2[ФЕР/ТЕР])*(F153=Таблица2[Наименование работ])*(G153=Таблица2[ТПиР/НСиР])*Таблица2[ПНР2010])</f>
        <v>0</v>
      </c>
      <c r="L153" s="63">
        <f>V153*SUMPRODUCT(($B$2=Таблица2[Филиал])*($B$3=Таблица2[ФЕР/ТЕР])*(F153=Таблица2[Наименование работ])*(G153=Таблица2[ТПиР/НСиР])*Таблица2[Оборудование2010])</f>
        <v>0</v>
      </c>
      <c r="M153" s="63">
        <f>W153*SUMPRODUCT(($B$2=Таблица2[Филиал])*($B$3=Таблица2[ФЕР/ТЕР])*(F153=Таблица2[Наименование работ])*(G153=Таблица2[ТПиР/НСиР])*Таблица2[Прочие2010])</f>
        <v>0</v>
      </c>
      <c r="N153" s="63">
        <f>S153*SUMPRODUCT(($B$2=Таблица2[Филиал])*($B$3=Таблица2[ФЕР/ТЕР])*(F153=Таблица2[Наименование работ])*(G153=Таблица2[ТПиР/НСиР])*Таблица2[ПИР2013-10])</f>
        <v>0</v>
      </c>
      <c r="O153" s="63">
        <f>T153*SUMPRODUCT(($B$2=Таблица2[Филиал])*($B$3=Таблица2[ФЕР/ТЕР])*(F153=Таблица2[Наименование работ])*(G153=Таблица2[ТПиР/НСиР])*Таблица2[СМР2013-10])</f>
        <v>0</v>
      </c>
      <c r="P153" s="63">
        <f>U153*SUMPRODUCT(($B$2=Таблица2[Филиал])*($B$3=Таблица2[ФЕР/ТЕР])*(F153=Таблица2[Наименование работ])*(G153=Таблица2[ТПиР/НСиР])*Таблица2[ПНР2013-10])</f>
        <v>0</v>
      </c>
      <c r="Q153" s="63">
        <f>V153*SUMPRODUCT(($B$2=Таблица2[Филиал])*($B$3=Таблица2[ФЕР/ТЕР])*(F153=Таблица2[Наименование работ])*(G153=Таблица2[ТПиР/НСиР])*Таблица2[Оборудование2013-10])</f>
        <v>0</v>
      </c>
      <c r="R153" s="63">
        <f>W153*SUMPRODUCT(($B$2=Таблица2[Филиал])*($B$3=Таблица2[ФЕР/ТЕР])*(F153=Таблица2[Наименование работ])*(G153=Таблица2[ТПиР/НСиР])*Таблица2[Прочие2013-10])</f>
        <v>0</v>
      </c>
      <c r="S153" s="63">
        <f>IF($B$4="в базовых ценах",калькулятор!J158,X153*SUMPRODUCT(($B$2=Таблица2[Филиал])*($B$3=Таблица2[ФЕР/ТЕР])*(F153=Таблица2[Наименование работ])*(G153=Таблица2[ТПиР/НСиР])/Таблица2[ПИР2013]))</f>
        <v>0</v>
      </c>
      <c r="T153" s="63">
        <f>IF($B$4="в базовых ценах",калькулятор!K158,Y153*SUMPRODUCT(($B$2=Таблица2[Филиал])*($B$3=Таблица2[ФЕР/ТЕР])*(F153=Таблица2[Наименование работ])*(G153=Таблица2[ТПиР/НСиР])/Таблица2[СМР2013]))</f>
        <v>0</v>
      </c>
      <c r="U153" s="63">
        <f>IF($B$4="в базовых ценах",калькулятор!L158,Z153*SUMPRODUCT(($B$2=Таблица2[Филиал])*($B$3=Таблица2[ФЕР/ТЕР])*(F153=Таблица2[Наименование работ])*(G153=Таблица2[ТПиР/НСиР])/Таблица2[ПНР2013]))</f>
        <v>0</v>
      </c>
      <c r="V153" s="63">
        <f>IF($B$4="в базовых ценах",калькулятор!M158,AA153*SUMPRODUCT(($B$2=Таблица2[Филиал])*($B$3=Таблица2[ФЕР/ТЕР])*(F153=Таблица2[Наименование работ])*(G153=Таблица2[ТПиР/НСиР])/Таблица2[Оборудование2013]))</f>
        <v>0</v>
      </c>
      <c r="W153" s="63">
        <f>IF($B$4="в базовых ценах",калькулятор!N158,AB153*SUMPRODUCT(($B$2=Таблица2[Филиал])*($B$3=Таблица2[ФЕР/ТЕР])*(F153=Таблица2[Наименование работ])*(G153=Таблица2[ТПиР/НСиР])/Таблица2[Прочие3]))</f>
        <v>0</v>
      </c>
      <c r="X153" s="63">
        <f>IF($B$4="в текущих ценах",калькулятор!J158,S153*SUMPRODUCT(($B$2=Таблица2[Филиал])*($B$3=Таблица2[ФЕР/ТЕР])*(F153=Таблица2[Наименование работ])*(G153=Таблица2[ТПиР/НСиР])*Таблица2[ПИР2013]))</f>
        <v>0</v>
      </c>
      <c r="Y153" s="63">
        <f>IF($B$4="в текущих ценах",калькулятор!K158,T153*SUMPRODUCT(($B$2=Таблица2[Филиал])*($B$3=Таблица2[ФЕР/ТЕР])*(F153=Таблица2[Наименование работ])*(G153=Таблица2[ТПиР/НСиР])*Таблица2[СМР2013]))</f>
        <v>0</v>
      </c>
      <c r="Z153" s="63">
        <f>IF($B$4="в текущих ценах",калькулятор!L158,U153*SUMPRODUCT(($B$2=Таблица2[Филиал])*($B$3=Таблица2[ФЕР/ТЕР])*(F153=Таблица2[Наименование работ])*(G153=Таблица2[ТПиР/НСиР])*Таблица2[ПНР2013]))</f>
        <v>0</v>
      </c>
      <c r="AA153" s="63">
        <f>IF($B$4="в текущих ценах",калькулятор!M158,V153*SUMPRODUCT(($B$2=Таблица2[Филиал])*($B$3=Таблица2[ФЕР/ТЕР])*(F153=Таблица2[Наименование работ])*(G153=Таблица2[ТПиР/НСиР])*Таблица2[Оборудование2013]))</f>
        <v>0</v>
      </c>
      <c r="AB153" s="63">
        <f>IF($B$4="в текущих ценах",калькулятор!N158,W153*SUMPRODUCT(($B$2=Таблица2[Филиал])*($B$3=Таблица2[ФЕР/ТЕР])*(F153=Таблица2[Наименование работ])*(G153=Таблица2[ТПиР/НСиР])*Таблица2[Прочие3]))</f>
        <v>0</v>
      </c>
      <c r="AC153" s="63">
        <f>SUM(данные!$I153:$M153)</f>
        <v>0</v>
      </c>
      <c r="AD153" s="63">
        <f>IF(SUM(данные!$N153:$R153)&gt;данные!$AF153,данные!$AF153*0.9*1.058,SUM(данные!$N153:$R153))</f>
        <v>0</v>
      </c>
      <c r="AE153" s="63">
        <f>SUM(данные!$S153:$W153)</f>
        <v>0</v>
      </c>
      <c r="AF153" s="63">
        <f>SUM(данные!$X153:$AB153)</f>
        <v>0</v>
      </c>
      <c r="AG153" s="63">
        <f>IF($B$4="в текущих ценах",S153*SUMPRODUCT(($B$2=Таблица2[Филиал])*($B$3=Таблица2[ФЕР/ТЕР])*(F153=Таблица2[Наименование работ])*(G153=Таблица2[ТПиР/НСиР])*Таблица2[ПИР2012]),S153*SUMPRODUCT(($B$2=Таблица2[Филиал])*($B$3=Таблица2[ФЕР/ТЕР])*(F153=Таблица2[Наименование работ])*(G153=Таблица2[ТПиР/НСиР])*Таблица2[ПИР2012]))</f>
        <v>0</v>
      </c>
      <c r="AH153" s="63">
        <f>IF($B$4="в текущих ценах",T153*SUMPRODUCT(($B$2=Таблица2[Филиал])*($B$3=Таблица2[ФЕР/ТЕР])*(F153=Таблица2[Наименование работ])*(G153=Таблица2[ТПиР/НСиР])*Таблица2[СМР2012]),T153*SUMPRODUCT(($B$2=Таблица2[Филиал])*($B$3=Таблица2[ФЕР/ТЕР])*(F153=Таблица2[Наименование работ])*(G153=Таблица2[ТПиР/НСиР])*Таблица2[СМР2012]))</f>
        <v>0</v>
      </c>
      <c r="AI153" s="63">
        <f>IF($B$4="в текущих ценах",U153*SUMPRODUCT(($B$2=Таблица2[Филиал])*($B$3=Таблица2[ФЕР/ТЕР])*(F153=Таблица2[Наименование работ])*(G153=Таблица2[ТПиР/НСиР])*Таблица2[ПНР2012]),U153*SUMPRODUCT(($B$2=Таблица2[Филиал])*($B$3=Таблица2[ФЕР/ТЕР])*(F153=Таблица2[Наименование работ])*(G153=Таблица2[ТПиР/НСиР])*Таблица2[ПНР2012]))</f>
        <v>0</v>
      </c>
      <c r="AJ153" s="63">
        <f>IF($B$4="в текущих ценах",V153*SUMPRODUCT(($B$2=Таблица2[Филиал])*($B$3=Таблица2[ФЕР/ТЕР])*(F153=Таблица2[Наименование работ])*(G153=Таблица2[ТПиР/НСиР])*Таблица2[Оборудование2012]),V153*SUMPRODUCT(($B$2=Таблица2[Филиал])*($B$3=Таблица2[ФЕР/ТЕР])*(F153=Таблица2[Наименование работ])*(G153=Таблица2[ТПиР/НСиР])*Таблица2[Оборудование2012]))</f>
        <v>0</v>
      </c>
      <c r="AK153" s="63">
        <f>IF($B$4="в текущих ценах",W153*SUMPRODUCT(($B$2=Таблица2[Филиал])*($B$3=Таблица2[ФЕР/ТЕР])*(F153=Таблица2[Наименование работ])*(G153=Таблица2[ТПиР/НСиР])*Таблица2[Прочее2012]),W153*SUMPRODUCT(($B$2=Таблица2[Филиал])*($B$3=Таблица2[ФЕР/ТЕР])*(F153=Таблица2[Наименование работ])*(G153=Таблица2[ТПиР/НСиР])*Таблица2[Прочее2012]))</f>
        <v>0</v>
      </c>
      <c r="AL153" s="63">
        <f>данные!$X153+данные!$Y153+данные!$Z153+данные!$AA153+данные!$AB153</f>
        <v>0</v>
      </c>
      <c r="AM153" s="63">
        <v>1.03639035</v>
      </c>
      <c r="AN153" s="63">
        <v>1.0114049394</v>
      </c>
      <c r="AO153" s="63">
        <v>0.98210394336149998</v>
      </c>
      <c r="AP153" s="63">
        <v>0.93762413895893393</v>
      </c>
      <c r="AQ153" s="63"/>
      <c r="AR153" s="63"/>
      <c r="AS153" s="64"/>
      <c r="AU153" s="66">
        <f t="shared" si="12"/>
        <v>0</v>
      </c>
      <c r="AX153" s="66">
        <f t="shared" si="13"/>
        <v>0</v>
      </c>
      <c r="AY153" s="66">
        <f t="shared" si="14"/>
        <v>0</v>
      </c>
      <c r="AZ153" s="66">
        <f t="shared" si="15"/>
        <v>0</v>
      </c>
      <c r="BA153" s="66">
        <f t="shared" si="16"/>
        <v>0</v>
      </c>
      <c r="BB153" s="66">
        <f t="shared" si="17"/>
        <v>0</v>
      </c>
    </row>
    <row r="154" spans="4:54" x14ac:dyDescent="0.25">
      <c r="D154" s="62">
        <f>калькулятор!C159</f>
        <v>0</v>
      </c>
      <c r="E154" s="62">
        <f>калькулятор!F159</f>
        <v>0</v>
      </c>
      <c r="F154" s="62">
        <f>калькулятор!G159</f>
        <v>0</v>
      </c>
      <c r="G154" s="62">
        <f>калькулятор!H159</f>
        <v>0</v>
      </c>
      <c r="H154" s="62">
        <f>калькулятор!I159</f>
        <v>0</v>
      </c>
      <c r="I154" s="63">
        <f>S154*SUMPRODUCT(($B$2=Таблица2[Филиал])*($B$3=Таблица2[ФЕР/ТЕР])*(F154=Таблица2[Наименование работ])*(G154=Таблица2[ТПиР/НСиР])*Таблица2[ПИР2010])</f>
        <v>0</v>
      </c>
      <c r="J154" s="63">
        <f>T154*SUMPRODUCT(($B$2=Таблица2[Филиал])*($B$3=Таблица2[ФЕР/ТЕР])*(F154=Таблица2[Наименование работ])*(G154=Таблица2[ТПиР/НСиР])*Таблица2[СМР2010])</f>
        <v>0</v>
      </c>
      <c r="K154" s="63">
        <f>U154*SUMPRODUCT(($B$2=Таблица2[Филиал])*($B$3=Таблица2[ФЕР/ТЕР])*(F154=Таблица2[Наименование работ])*(G154=Таблица2[ТПиР/НСиР])*Таблица2[ПНР2010])</f>
        <v>0</v>
      </c>
      <c r="L154" s="63">
        <f>V154*SUMPRODUCT(($B$2=Таблица2[Филиал])*($B$3=Таблица2[ФЕР/ТЕР])*(F154=Таблица2[Наименование работ])*(G154=Таблица2[ТПиР/НСиР])*Таблица2[Оборудование2010])</f>
        <v>0</v>
      </c>
      <c r="M154" s="63">
        <f>W154*SUMPRODUCT(($B$2=Таблица2[Филиал])*($B$3=Таблица2[ФЕР/ТЕР])*(F154=Таблица2[Наименование работ])*(G154=Таблица2[ТПиР/НСиР])*Таблица2[Прочие2010])</f>
        <v>0</v>
      </c>
      <c r="N154" s="63">
        <f>S154*SUMPRODUCT(($B$2=Таблица2[Филиал])*($B$3=Таблица2[ФЕР/ТЕР])*(F154=Таблица2[Наименование работ])*(G154=Таблица2[ТПиР/НСиР])*Таблица2[ПИР2013-10])</f>
        <v>0</v>
      </c>
      <c r="O154" s="63">
        <f>T154*SUMPRODUCT(($B$2=Таблица2[Филиал])*($B$3=Таблица2[ФЕР/ТЕР])*(F154=Таблица2[Наименование работ])*(G154=Таблица2[ТПиР/НСиР])*Таблица2[СМР2013-10])</f>
        <v>0</v>
      </c>
      <c r="P154" s="63">
        <f>U154*SUMPRODUCT(($B$2=Таблица2[Филиал])*($B$3=Таблица2[ФЕР/ТЕР])*(F154=Таблица2[Наименование работ])*(G154=Таблица2[ТПиР/НСиР])*Таблица2[ПНР2013-10])</f>
        <v>0</v>
      </c>
      <c r="Q154" s="63">
        <f>V154*SUMPRODUCT(($B$2=Таблица2[Филиал])*($B$3=Таблица2[ФЕР/ТЕР])*(F154=Таблица2[Наименование работ])*(G154=Таблица2[ТПиР/НСиР])*Таблица2[Оборудование2013-10])</f>
        <v>0</v>
      </c>
      <c r="R154" s="63">
        <f>W154*SUMPRODUCT(($B$2=Таблица2[Филиал])*($B$3=Таблица2[ФЕР/ТЕР])*(F154=Таблица2[Наименование работ])*(G154=Таблица2[ТПиР/НСиР])*Таблица2[Прочие2013-10])</f>
        <v>0</v>
      </c>
      <c r="S154" s="63">
        <f>IF($B$4="в базовых ценах",калькулятор!J159,X154*SUMPRODUCT(($B$2=Таблица2[Филиал])*($B$3=Таблица2[ФЕР/ТЕР])*(F154=Таблица2[Наименование работ])*(G154=Таблица2[ТПиР/НСиР])/Таблица2[ПИР2013]))</f>
        <v>0</v>
      </c>
      <c r="T154" s="63">
        <f>IF($B$4="в базовых ценах",калькулятор!K159,Y154*SUMPRODUCT(($B$2=Таблица2[Филиал])*($B$3=Таблица2[ФЕР/ТЕР])*(F154=Таблица2[Наименование работ])*(G154=Таблица2[ТПиР/НСиР])/Таблица2[СМР2013]))</f>
        <v>0</v>
      </c>
      <c r="U154" s="63">
        <f>IF($B$4="в базовых ценах",калькулятор!L159,Z154*SUMPRODUCT(($B$2=Таблица2[Филиал])*($B$3=Таблица2[ФЕР/ТЕР])*(F154=Таблица2[Наименование работ])*(G154=Таблица2[ТПиР/НСиР])/Таблица2[ПНР2013]))</f>
        <v>0</v>
      </c>
      <c r="V154" s="63">
        <f>IF($B$4="в базовых ценах",калькулятор!M159,AA154*SUMPRODUCT(($B$2=Таблица2[Филиал])*($B$3=Таблица2[ФЕР/ТЕР])*(F154=Таблица2[Наименование работ])*(G154=Таблица2[ТПиР/НСиР])/Таблица2[Оборудование2013]))</f>
        <v>0</v>
      </c>
      <c r="W154" s="63">
        <f>IF($B$4="в базовых ценах",калькулятор!N159,AB154*SUMPRODUCT(($B$2=Таблица2[Филиал])*($B$3=Таблица2[ФЕР/ТЕР])*(F154=Таблица2[Наименование работ])*(G154=Таблица2[ТПиР/НСиР])/Таблица2[Прочие3]))</f>
        <v>0</v>
      </c>
      <c r="X154" s="63">
        <f>IF($B$4="в текущих ценах",калькулятор!J159,S154*SUMPRODUCT(($B$2=Таблица2[Филиал])*($B$3=Таблица2[ФЕР/ТЕР])*(F154=Таблица2[Наименование работ])*(G154=Таблица2[ТПиР/НСиР])*Таблица2[ПИР2013]))</f>
        <v>0</v>
      </c>
      <c r="Y154" s="63">
        <f>IF($B$4="в текущих ценах",калькулятор!K159,T154*SUMPRODUCT(($B$2=Таблица2[Филиал])*($B$3=Таблица2[ФЕР/ТЕР])*(F154=Таблица2[Наименование работ])*(G154=Таблица2[ТПиР/НСиР])*Таблица2[СМР2013]))</f>
        <v>0</v>
      </c>
      <c r="Z154" s="63">
        <f>IF($B$4="в текущих ценах",калькулятор!L159,U154*SUMPRODUCT(($B$2=Таблица2[Филиал])*($B$3=Таблица2[ФЕР/ТЕР])*(F154=Таблица2[Наименование работ])*(G154=Таблица2[ТПиР/НСиР])*Таблица2[ПНР2013]))</f>
        <v>0</v>
      </c>
      <c r="AA154" s="63">
        <f>IF($B$4="в текущих ценах",калькулятор!M159,V154*SUMPRODUCT(($B$2=Таблица2[Филиал])*($B$3=Таблица2[ФЕР/ТЕР])*(F154=Таблица2[Наименование работ])*(G154=Таблица2[ТПиР/НСиР])*Таблица2[Оборудование2013]))</f>
        <v>0</v>
      </c>
      <c r="AB154" s="63">
        <f>IF($B$4="в текущих ценах",калькулятор!N159,W154*SUMPRODUCT(($B$2=Таблица2[Филиал])*($B$3=Таблица2[ФЕР/ТЕР])*(F154=Таблица2[Наименование работ])*(G154=Таблица2[ТПиР/НСиР])*Таблица2[Прочие3]))</f>
        <v>0</v>
      </c>
      <c r="AC154" s="63">
        <f>SUM(данные!$I154:$M154)</f>
        <v>0</v>
      </c>
      <c r="AD154" s="63">
        <f>IF(SUM(данные!$N154:$R154)&gt;данные!$AF154,данные!$AF154*0.9*1.058,SUM(данные!$N154:$R154))</f>
        <v>0</v>
      </c>
      <c r="AE154" s="63">
        <f>SUM(данные!$S154:$W154)</f>
        <v>0</v>
      </c>
      <c r="AF154" s="63">
        <f>SUM(данные!$X154:$AB154)</f>
        <v>0</v>
      </c>
      <c r="AG154" s="63">
        <f>IF($B$4="в текущих ценах",S154*SUMPRODUCT(($B$2=Таблица2[Филиал])*($B$3=Таблица2[ФЕР/ТЕР])*(F154=Таблица2[Наименование работ])*(G154=Таблица2[ТПиР/НСиР])*Таблица2[ПИР2012]),S154*SUMPRODUCT(($B$2=Таблица2[Филиал])*($B$3=Таблица2[ФЕР/ТЕР])*(F154=Таблица2[Наименование работ])*(G154=Таблица2[ТПиР/НСиР])*Таблица2[ПИР2012]))</f>
        <v>0</v>
      </c>
      <c r="AH154" s="63">
        <f>IF($B$4="в текущих ценах",T154*SUMPRODUCT(($B$2=Таблица2[Филиал])*($B$3=Таблица2[ФЕР/ТЕР])*(F154=Таблица2[Наименование работ])*(G154=Таблица2[ТПиР/НСиР])*Таблица2[СМР2012]),T154*SUMPRODUCT(($B$2=Таблица2[Филиал])*($B$3=Таблица2[ФЕР/ТЕР])*(F154=Таблица2[Наименование работ])*(G154=Таблица2[ТПиР/НСиР])*Таблица2[СМР2012]))</f>
        <v>0</v>
      </c>
      <c r="AI154" s="63">
        <f>IF($B$4="в текущих ценах",U154*SUMPRODUCT(($B$2=Таблица2[Филиал])*($B$3=Таблица2[ФЕР/ТЕР])*(F154=Таблица2[Наименование работ])*(G154=Таблица2[ТПиР/НСиР])*Таблица2[ПНР2012]),U154*SUMPRODUCT(($B$2=Таблица2[Филиал])*($B$3=Таблица2[ФЕР/ТЕР])*(F154=Таблица2[Наименование работ])*(G154=Таблица2[ТПиР/НСиР])*Таблица2[ПНР2012]))</f>
        <v>0</v>
      </c>
      <c r="AJ154" s="63">
        <f>IF($B$4="в текущих ценах",V154*SUMPRODUCT(($B$2=Таблица2[Филиал])*($B$3=Таблица2[ФЕР/ТЕР])*(F154=Таблица2[Наименование работ])*(G154=Таблица2[ТПиР/НСиР])*Таблица2[Оборудование2012]),V154*SUMPRODUCT(($B$2=Таблица2[Филиал])*($B$3=Таблица2[ФЕР/ТЕР])*(F154=Таблица2[Наименование работ])*(G154=Таблица2[ТПиР/НСиР])*Таблица2[Оборудование2012]))</f>
        <v>0</v>
      </c>
      <c r="AK154" s="63">
        <f>IF($B$4="в текущих ценах",W154*SUMPRODUCT(($B$2=Таблица2[Филиал])*($B$3=Таблица2[ФЕР/ТЕР])*(F154=Таблица2[Наименование работ])*(G154=Таблица2[ТПиР/НСиР])*Таблица2[Прочее2012]),W154*SUMPRODUCT(($B$2=Таблица2[Филиал])*($B$3=Таблица2[ФЕР/ТЕР])*(F154=Таблица2[Наименование работ])*(G154=Таблица2[ТПиР/НСиР])*Таблица2[Прочее2012]))</f>
        <v>0</v>
      </c>
      <c r="AL154" s="63">
        <f>данные!$X154+данные!$Y154+данные!$Z154+данные!$AA154+данные!$AB154</f>
        <v>0</v>
      </c>
      <c r="AM154" s="63">
        <v>1.03639035</v>
      </c>
      <c r="AN154" s="63">
        <v>1.0114049394</v>
      </c>
      <c r="AO154" s="63">
        <v>0.98210394336149998</v>
      </c>
      <c r="AP154" s="63">
        <v>0.93762413895893393</v>
      </c>
      <c r="AQ154" s="63"/>
      <c r="AR154" s="63"/>
      <c r="AS154" s="64"/>
      <c r="AU154" s="66">
        <f t="shared" si="12"/>
        <v>0</v>
      </c>
      <c r="AX154" s="66">
        <f t="shared" si="13"/>
        <v>0</v>
      </c>
      <c r="AY154" s="66">
        <f t="shared" si="14"/>
        <v>0</v>
      </c>
      <c r="AZ154" s="66">
        <f t="shared" si="15"/>
        <v>0</v>
      </c>
      <c r="BA154" s="66">
        <f t="shared" si="16"/>
        <v>0</v>
      </c>
      <c r="BB154" s="66">
        <f t="shared" si="17"/>
        <v>0</v>
      </c>
    </row>
    <row r="155" spans="4:54" x14ac:dyDescent="0.25">
      <c r="D155" s="62">
        <f>калькулятор!C160</f>
        <v>0</v>
      </c>
      <c r="E155" s="62">
        <f>калькулятор!F160</f>
        <v>0</v>
      </c>
      <c r="F155" s="62">
        <f>калькулятор!G160</f>
        <v>0</v>
      </c>
      <c r="G155" s="62">
        <f>калькулятор!H160</f>
        <v>0</v>
      </c>
      <c r="H155" s="62">
        <f>калькулятор!I160</f>
        <v>0</v>
      </c>
      <c r="I155" s="63">
        <f>S155*SUMPRODUCT(($B$2=Таблица2[Филиал])*($B$3=Таблица2[ФЕР/ТЕР])*(F155=Таблица2[Наименование работ])*(G155=Таблица2[ТПиР/НСиР])*Таблица2[ПИР2010])</f>
        <v>0</v>
      </c>
      <c r="J155" s="63">
        <f>T155*SUMPRODUCT(($B$2=Таблица2[Филиал])*($B$3=Таблица2[ФЕР/ТЕР])*(F155=Таблица2[Наименование работ])*(G155=Таблица2[ТПиР/НСиР])*Таблица2[СМР2010])</f>
        <v>0</v>
      </c>
      <c r="K155" s="63">
        <f>U155*SUMPRODUCT(($B$2=Таблица2[Филиал])*($B$3=Таблица2[ФЕР/ТЕР])*(F155=Таблица2[Наименование работ])*(G155=Таблица2[ТПиР/НСиР])*Таблица2[ПНР2010])</f>
        <v>0</v>
      </c>
      <c r="L155" s="63">
        <f>V155*SUMPRODUCT(($B$2=Таблица2[Филиал])*($B$3=Таблица2[ФЕР/ТЕР])*(F155=Таблица2[Наименование работ])*(G155=Таблица2[ТПиР/НСиР])*Таблица2[Оборудование2010])</f>
        <v>0</v>
      </c>
      <c r="M155" s="63">
        <f>W155*SUMPRODUCT(($B$2=Таблица2[Филиал])*($B$3=Таблица2[ФЕР/ТЕР])*(F155=Таблица2[Наименование работ])*(G155=Таблица2[ТПиР/НСиР])*Таблица2[Прочие2010])</f>
        <v>0</v>
      </c>
      <c r="N155" s="63">
        <f>S155*SUMPRODUCT(($B$2=Таблица2[Филиал])*($B$3=Таблица2[ФЕР/ТЕР])*(F155=Таблица2[Наименование работ])*(G155=Таблица2[ТПиР/НСиР])*Таблица2[ПИР2013-10])</f>
        <v>0</v>
      </c>
      <c r="O155" s="63">
        <f>T155*SUMPRODUCT(($B$2=Таблица2[Филиал])*($B$3=Таблица2[ФЕР/ТЕР])*(F155=Таблица2[Наименование работ])*(G155=Таблица2[ТПиР/НСиР])*Таблица2[СМР2013-10])</f>
        <v>0</v>
      </c>
      <c r="P155" s="63">
        <f>U155*SUMPRODUCT(($B$2=Таблица2[Филиал])*($B$3=Таблица2[ФЕР/ТЕР])*(F155=Таблица2[Наименование работ])*(G155=Таблица2[ТПиР/НСиР])*Таблица2[ПНР2013-10])</f>
        <v>0</v>
      </c>
      <c r="Q155" s="63">
        <f>V155*SUMPRODUCT(($B$2=Таблица2[Филиал])*($B$3=Таблица2[ФЕР/ТЕР])*(F155=Таблица2[Наименование работ])*(G155=Таблица2[ТПиР/НСиР])*Таблица2[Оборудование2013-10])</f>
        <v>0</v>
      </c>
      <c r="R155" s="63">
        <f>W155*SUMPRODUCT(($B$2=Таблица2[Филиал])*($B$3=Таблица2[ФЕР/ТЕР])*(F155=Таблица2[Наименование работ])*(G155=Таблица2[ТПиР/НСиР])*Таблица2[Прочие2013-10])</f>
        <v>0</v>
      </c>
      <c r="S155" s="63">
        <f>IF($B$4="в базовых ценах",калькулятор!J160,X155*SUMPRODUCT(($B$2=Таблица2[Филиал])*($B$3=Таблица2[ФЕР/ТЕР])*(F155=Таблица2[Наименование работ])*(G155=Таблица2[ТПиР/НСиР])/Таблица2[ПИР2013]))</f>
        <v>0</v>
      </c>
      <c r="T155" s="63">
        <f>IF($B$4="в базовых ценах",калькулятор!K160,Y155*SUMPRODUCT(($B$2=Таблица2[Филиал])*($B$3=Таблица2[ФЕР/ТЕР])*(F155=Таблица2[Наименование работ])*(G155=Таблица2[ТПиР/НСиР])/Таблица2[СМР2013]))</f>
        <v>0</v>
      </c>
      <c r="U155" s="63">
        <f>IF($B$4="в базовых ценах",калькулятор!L160,Z155*SUMPRODUCT(($B$2=Таблица2[Филиал])*($B$3=Таблица2[ФЕР/ТЕР])*(F155=Таблица2[Наименование работ])*(G155=Таблица2[ТПиР/НСиР])/Таблица2[ПНР2013]))</f>
        <v>0</v>
      </c>
      <c r="V155" s="63">
        <f>IF($B$4="в базовых ценах",калькулятор!M160,AA155*SUMPRODUCT(($B$2=Таблица2[Филиал])*($B$3=Таблица2[ФЕР/ТЕР])*(F155=Таблица2[Наименование работ])*(G155=Таблица2[ТПиР/НСиР])/Таблица2[Оборудование2013]))</f>
        <v>0</v>
      </c>
      <c r="W155" s="63">
        <f>IF($B$4="в базовых ценах",калькулятор!N160,AB155*SUMPRODUCT(($B$2=Таблица2[Филиал])*($B$3=Таблица2[ФЕР/ТЕР])*(F155=Таблица2[Наименование работ])*(G155=Таблица2[ТПиР/НСиР])/Таблица2[Прочие3]))</f>
        <v>0</v>
      </c>
      <c r="X155" s="63">
        <f>IF($B$4="в текущих ценах",калькулятор!J160,S155*SUMPRODUCT(($B$2=Таблица2[Филиал])*($B$3=Таблица2[ФЕР/ТЕР])*(F155=Таблица2[Наименование работ])*(G155=Таблица2[ТПиР/НСиР])*Таблица2[ПИР2013]))</f>
        <v>0</v>
      </c>
      <c r="Y155" s="63">
        <f>IF($B$4="в текущих ценах",калькулятор!K160,T155*SUMPRODUCT(($B$2=Таблица2[Филиал])*($B$3=Таблица2[ФЕР/ТЕР])*(F155=Таблица2[Наименование работ])*(G155=Таблица2[ТПиР/НСиР])*Таблица2[СМР2013]))</f>
        <v>0</v>
      </c>
      <c r="Z155" s="63">
        <f>IF($B$4="в текущих ценах",калькулятор!L160,U155*SUMPRODUCT(($B$2=Таблица2[Филиал])*($B$3=Таблица2[ФЕР/ТЕР])*(F155=Таблица2[Наименование работ])*(G155=Таблица2[ТПиР/НСиР])*Таблица2[ПНР2013]))</f>
        <v>0</v>
      </c>
      <c r="AA155" s="63">
        <f>IF($B$4="в текущих ценах",калькулятор!M160,V155*SUMPRODUCT(($B$2=Таблица2[Филиал])*($B$3=Таблица2[ФЕР/ТЕР])*(F155=Таблица2[Наименование работ])*(G155=Таблица2[ТПиР/НСиР])*Таблица2[Оборудование2013]))</f>
        <v>0</v>
      </c>
      <c r="AB155" s="63">
        <f>IF($B$4="в текущих ценах",калькулятор!N160,W155*SUMPRODUCT(($B$2=Таблица2[Филиал])*($B$3=Таблица2[ФЕР/ТЕР])*(F155=Таблица2[Наименование работ])*(G155=Таблица2[ТПиР/НСиР])*Таблица2[Прочие3]))</f>
        <v>0</v>
      </c>
      <c r="AC155" s="63">
        <f>SUM(данные!$I155:$M155)</f>
        <v>0</v>
      </c>
      <c r="AD155" s="63">
        <f>IF(SUM(данные!$N155:$R155)&gt;данные!$AF155,данные!$AF155*0.9*1.058,SUM(данные!$N155:$R155))</f>
        <v>0</v>
      </c>
      <c r="AE155" s="63">
        <f>SUM(данные!$S155:$W155)</f>
        <v>0</v>
      </c>
      <c r="AF155" s="63">
        <f>SUM(данные!$X155:$AB155)</f>
        <v>0</v>
      </c>
      <c r="AG155" s="63">
        <f>IF($B$4="в текущих ценах",S155*SUMPRODUCT(($B$2=Таблица2[Филиал])*($B$3=Таблица2[ФЕР/ТЕР])*(F155=Таблица2[Наименование работ])*(G155=Таблица2[ТПиР/НСиР])*Таблица2[ПИР2012]),S155*SUMPRODUCT(($B$2=Таблица2[Филиал])*($B$3=Таблица2[ФЕР/ТЕР])*(F155=Таблица2[Наименование работ])*(G155=Таблица2[ТПиР/НСиР])*Таблица2[ПИР2012]))</f>
        <v>0</v>
      </c>
      <c r="AH155" s="63">
        <f>IF($B$4="в текущих ценах",T155*SUMPRODUCT(($B$2=Таблица2[Филиал])*($B$3=Таблица2[ФЕР/ТЕР])*(F155=Таблица2[Наименование работ])*(G155=Таблица2[ТПиР/НСиР])*Таблица2[СМР2012]),T155*SUMPRODUCT(($B$2=Таблица2[Филиал])*($B$3=Таблица2[ФЕР/ТЕР])*(F155=Таблица2[Наименование работ])*(G155=Таблица2[ТПиР/НСиР])*Таблица2[СМР2012]))</f>
        <v>0</v>
      </c>
      <c r="AI155" s="63">
        <f>IF($B$4="в текущих ценах",U155*SUMPRODUCT(($B$2=Таблица2[Филиал])*($B$3=Таблица2[ФЕР/ТЕР])*(F155=Таблица2[Наименование работ])*(G155=Таблица2[ТПиР/НСиР])*Таблица2[ПНР2012]),U155*SUMPRODUCT(($B$2=Таблица2[Филиал])*($B$3=Таблица2[ФЕР/ТЕР])*(F155=Таблица2[Наименование работ])*(G155=Таблица2[ТПиР/НСиР])*Таблица2[ПНР2012]))</f>
        <v>0</v>
      </c>
      <c r="AJ155" s="63">
        <f>IF($B$4="в текущих ценах",V155*SUMPRODUCT(($B$2=Таблица2[Филиал])*($B$3=Таблица2[ФЕР/ТЕР])*(F155=Таблица2[Наименование работ])*(G155=Таблица2[ТПиР/НСиР])*Таблица2[Оборудование2012]),V155*SUMPRODUCT(($B$2=Таблица2[Филиал])*($B$3=Таблица2[ФЕР/ТЕР])*(F155=Таблица2[Наименование работ])*(G155=Таблица2[ТПиР/НСиР])*Таблица2[Оборудование2012]))</f>
        <v>0</v>
      </c>
      <c r="AK155" s="63">
        <f>IF($B$4="в текущих ценах",W155*SUMPRODUCT(($B$2=Таблица2[Филиал])*($B$3=Таблица2[ФЕР/ТЕР])*(F155=Таблица2[Наименование работ])*(G155=Таблица2[ТПиР/НСиР])*Таблица2[Прочее2012]),W155*SUMPRODUCT(($B$2=Таблица2[Филиал])*($B$3=Таблица2[ФЕР/ТЕР])*(F155=Таблица2[Наименование работ])*(G155=Таблица2[ТПиР/НСиР])*Таблица2[Прочее2012]))</f>
        <v>0</v>
      </c>
      <c r="AL155" s="63">
        <f>данные!$X155+данные!$Y155+данные!$Z155+данные!$AA155+данные!$AB155</f>
        <v>0</v>
      </c>
      <c r="AM155" s="63">
        <v>1.03639035</v>
      </c>
      <c r="AN155" s="63">
        <v>1.0114049394</v>
      </c>
      <c r="AO155" s="63">
        <v>0.98210394336149998</v>
      </c>
      <c r="AP155" s="63">
        <v>0.93762413895893393</v>
      </c>
      <c r="AQ155" s="63"/>
      <c r="AR155" s="63"/>
      <c r="AS155" s="64"/>
      <c r="AU155" s="66">
        <f t="shared" si="12"/>
        <v>0</v>
      </c>
      <c r="AX155" s="66">
        <f t="shared" si="13"/>
        <v>0</v>
      </c>
      <c r="AY155" s="66">
        <f t="shared" si="14"/>
        <v>0</v>
      </c>
      <c r="AZ155" s="66">
        <f t="shared" si="15"/>
        <v>0</v>
      </c>
      <c r="BA155" s="66">
        <f t="shared" si="16"/>
        <v>0</v>
      </c>
      <c r="BB155" s="66">
        <f t="shared" si="17"/>
        <v>0</v>
      </c>
    </row>
    <row r="156" spans="4:54" x14ac:dyDescent="0.25">
      <c r="D156" s="62">
        <f>калькулятор!C161</f>
        <v>0</v>
      </c>
      <c r="E156" s="62">
        <f>калькулятор!F161</f>
        <v>0</v>
      </c>
      <c r="F156" s="62">
        <f>калькулятор!G161</f>
        <v>0</v>
      </c>
      <c r="G156" s="62">
        <f>калькулятор!H161</f>
        <v>0</v>
      </c>
      <c r="H156" s="62">
        <f>калькулятор!I161</f>
        <v>0</v>
      </c>
      <c r="I156" s="63">
        <f>S156*SUMPRODUCT(($B$2=Таблица2[Филиал])*($B$3=Таблица2[ФЕР/ТЕР])*(F156=Таблица2[Наименование работ])*(G156=Таблица2[ТПиР/НСиР])*Таблица2[ПИР2010])</f>
        <v>0</v>
      </c>
      <c r="J156" s="63">
        <f>T156*SUMPRODUCT(($B$2=Таблица2[Филиал])*($B$3=Таблица2[ФЕР/ТЕР])*(F156=Таблица2[Наименование работ])*(G156=Таблица2[ТПиР/НСиР])*Таблица2[СМР2010])</f>
        <v>0</v>
      </c>
      <c r="K156" s="63">
        <f>U156*SUMPRODUCT(($B$2=Таблица2[Филиал])*($B$3=Таблица2[ФЕР/ТЕР])*(F156=Таблица2[Наименование работ])*(G156=Таблица2[ТПиР/НСиР])*Таблица2[ПНР2010])</f>
        <v>0</v>
      </c>
      <c r="L156" s="63">
        <f>V156*SUMPRODUCT(($B$2=Таблица2[Филиал])*($B$3=Таблица2[ФЕР/ТЕР])*(F156=Таблица2[Наименование работ])*(G156=Таблица2[ТПиР/НСиР])*Таблица2[Оборудование2010])</f>
        <v>0</v>
      </c>
      <c r="M156" s="63">
        <f>W156*SUMPRODUCT(($B$2=Таблица2[Филиал])*($B$3=Таблица2[ФЕР/ТЕР])*(F156=Таблица2[Наименование работ])*(G156=Таблица2[ТПиР/НСиР])*Таблица2[Прочие2010])</f>
        <v>0</v>
      </c>
      <c r="N156" s="63">
        <f>S156*SUMPRODUCT(($B$2=Таблица2[Филиал])*($B$3=Таблица2[ФЕР/ТЕР])*(F156=Таблица2[Наименование работ])*(G156=Таблица2[ТПиР/НСиР])*Таблица2[ПИР2013-10])</f>
        <v>0</v>
      </c>
      <c r="O156" s="63">
        <f>T156*SUMPRODUCT(($B$2=Таблица2[Филиал])*($B$3=Таблица2[ФЕР/ТЕР])*(F156=Таблица2[Наименование работ])*(G156=Таблица2[ТПиР/НСиР])*Таблица2[СМР2013-10])</f>
        <v>0</v>
      </c>
      <c r="P156" s="63">
        <f>U156*SUMPRODUCT(($B$2=Таблица2[Филиал])*($B$3=Таблица2[ФЕР/ТЕР])*(F156=Таблица2[Наименование работ])*(G156=Таблица2[ТПиР/НСиР])*Таблица2[ПНР2013-10])</f>
        <v>0</v>
      </c>
      <c r="Q156" s="63">
        <f>V156*SUMPRODUCT(($B$2=Таблица2[Филиал])*($B$3=Таблица2[ФЕР/ТЕР])*(F156=Таблица2[Наименование работ])*(G156=Таблица2[ТПиР/НСиР])*Таблица2[Оборудование2013-10])</f>
        <v>0</v>
      </c>
      <c r="R156" s="63">
        <f>W156*SUMPRODUCT(($B$2=Таблица2[Филиал])*($B$3=Таблица2[ФЕР/ТЕР])*(F156=Таблица2[Наименование работ])*(G156=Таблица2[ТПиР/НСиР])*Таблица2[Прочие2013-10])</f>
        <v>0</v>
      </c>
      <c r="S156" s="63">
        <f>IF($B$4="в базовых ценах",калькулятор!J161,X156*SUMPRODUCT(($B$2=Таблица2[Филиал])*($B$3=Таблица2[ФЕР/ТЕР])*(F156=Таблица2[Наименование работ])*(G156=Таблица2[ТПиР/НСиР])/Таблица2[ПИР2013]))</f>
        <v>0</v>
      </c>
      <c r="T156" s="63">
        <f>IF($B$4="в базовых ценах",калькулятор!K161,Y156*SUMPRODUCT(($B$2=Таблица2[Филиал])*($B$3=Таблица2[ФЕР/ТЕР])*(F156=Таблица2[Наименование работ])*(G156=Таблица2[ТПиР/НСиР])/Таблица2[СМР2013]))</f>
        <v>0</v>
      </c>
      <c r="U156" s="63">
        <f>IF($B$4="в базовых ценах",калькулятор!L161,Z156*SUMPRODUCT(($B$2=Таблица2[Филиал])*($B$3=Таблица2[ФЕР/ТЕР])*(F156=Таблица2[Наименование работ])*(G156=Таблица2[ТПиР/НСиР])/Таблица2[ПНР2013]))</f>
        <v>0</v>
      </c>
      <c r="V156" s="63">
        <f>IF($B$4="в базовых ценах",калькулятор!M161,AA156*SUMPRODUCT(($B$2=Таблица2[Филиал])*($B$3=Таблица2[ФЕР/ТЕР])*(F156=Таблица2[Наименование работ])*(G156=Таблица2[ТПиР/НСиР])/Таблица2[Оборудование2013]))</f>
        <v>0</v>
      </c>
      <c r="W156" s="63">
        <f>IF($B$4="в базовых ценах",калькулятор!N161,AB156*SUMPRODUCT(($B$2=Таблица2[Филиал])*($B$3=Таблица2[ФЕР/ТЕР])*(F156=Таблица2[Наименование работ])*(G156=Таблица2[ТПиР/НСиР])/Таблица2[Прочие3]))</f>
        <v>0</v>
      </c>
      <c r="X156" s="63">
        <f>IF($B$4="в текущих ценах",калькулятор!J161,S156*SUMPRODUCT(($B$2=Таблица2[Филиал])*($B$3=Таблица2[ФЕР/ТЕР])*(F156=Таблица2[Наименование работ])*(G156=Таблица2[ТПиР/НСиР])*Таблица2[ПИР2013]))</f>
        <v>0</v>
      </c>
      <c r="Y156" s="63">
        <f>IF($B$4="в текущих ценах",калькулятор!K161,T156*SUMPRODUCT(($B$2=Таблица2[Филиал])*($B$3=Таблица2[ФЕР/ТЕР])*(F156=Таблица2[Наименование работ])*(G156=Таблица2[ТПиР/НСиР])*Таблица2[СМР2013]))</f>
        <v>0</v>
      </c>
      <c r="Z156" s="63">
        <f>IF($B$4="в текущих ценах",калькулятор!L161,U156*SUMPRODUCT(($B$2=Таблица2[Филиал])*($B$3=Таблица2[ФЕР/ТЕР])*(F156=Таблица2[Наименование работ])*(G156=Таблица2[ТПиР/НСиР])*Таблица2[ПНР2013]))</f>
        <v>0</v>
      </c>
      <c r="AA156" s="63">
        <f>IF($B$4="в текущих ценах",калькулятор!M161,V156*SUMPRODUCT(($B$2=Таблица2[Филиал])*($B$3=Таблица2[ФЕР/ТЕР])*(F156=Таблица2[Наименование работ])*(G156=Таблица2[ТПиР/НСиР])*Таблица2[Оборудование2013]))</f>
        <v>0</v>
      </c>
      <c r="AB156" s="63">
        <f>IF($B$4="в текущих ценах",калькулятор!N161,W156*SUMPRODUCT(($B$2=Таблица2[Филиал])*($B$3=Таблица2[ФЕР/ТЕР])*(F156=Таблица2[Наименование работ])*(G156=Таблица2[ТПиР/НСиР])*Таблица2[Прочие3]))</f>
        <v>0</v>
      </c>
      <c r="AC156" s="63">
        <f>SUM(данные!$I156:$M156)</f>
        <v>0</v>
      </c>
      <c r="AD156" s="63">
        <f>IF(SUM(данные!$N156:$R156)&gt;данные!$AF156,данные!$AF156*0.9*1.058,SUM(данные!$N156:$R156))</f>
        <v>0</v>
      </c>
      <c r="AE156" s="63">
        <f>SUM(данные!$S156:$W156)</f>
        <v>0</v>
      </c>
      <c r="AF156" s="63">
        <f>SUM(данные!$X156:$AB156)</f>
        <v>0</v>
      </c>
      <c r="AG156" s="63">
        <f>IF($B$4="в текущих ценах",S156*SUMPRODUCT(($B$2=Таблица2[Филиал])*($B$3=Таблица2[ФЕР/ТЕР])*(F156=Таблица2[Наименование работ])*(G156=Таблица2[ТПиР/НСиР])*Таблица2[ПИР2012]),S156*SUMPRODUCT(($B$2=Таблица2[Филиал])*($B$3=Таблица2[ФЕР/ТЕР])*(F156=Таблица2[Наименование работ])*(G156=Таблица2[ТПиР/НСиР])*Таблица2[ПИР2012]))</f>
        <v>0</v>
      </c>
      <c r="AH156" s="63">
        <f>IF($B$4="в текущих ценах",T156*SUMPRODUCT(($B$2=Таблица2[Филиал])*($B$3=Таблица2[ФЕР/ТЕР])*(F156=Таблица2[Наименование работ])*(G156=Таблица2[ТПиР/НСиР])*Таблица2[СМР2012]),T156*SUMPRODUCT(($B$2=Таблица2[Филиал])*($B$3=Таблица2[ФЕР/ТЕР])*(F156=Таблица2[Наименование работ])*(G156=Таблица2[ТПиР/НСиР])*Таблица2[СМР2012]))</f>
        <v>0</v>
      </c>
      <c r="AI156" s="63">
        <f>IF($B$4="в текущих ценах",U156*SUMPRODUCT(($B$2=Таблица2[Филиал])*($B$3=Таблица2[ФЕР/ТЕР])*(F156=Таблица2[Наименование работ])*(G156=Таблица2[ТПиР/НСиР])*Таблица2[ПНР2012]),U156*SUMPRODUCT(($B$2=Таблица2[Филиал])*($B$3=Таблица2[ФЕР/ТЕР])*(F156=Таблица2[Наименование работ])*(G156=Таблица2[ТПиР/НСиР])*Таблица2[ПНР2012]))</f>
        <v>0</v>
      </c>
      <c r="AJ156" s="63">
        <f>IF($B$4="в текущих ценах",V156*SUMPRODUCT(($B$2=Таблица2[Филиал])*($B$3=Таблица2[ФЕР/ТЕР])*(F156=Таблица2[Наименование работ])*(G156=Таблица2[ТПиР/НСиР])*Таблица2[Оборудование2012]),V156*SUMPRODUCT(($B$2=Таблица2[Филиал])*($B$3=Таблица2[ФЕР/ТЕР])*(F156=Таблица2[Наименование работ])*(G156=Таблица2[ТПиР/НСиР])*Таблица2[Оборудование2012]))</f>
        <v>0</v>
      </c>
      <c r="AK156" s="63">
        <f>IF($B$4="в текущих ценах",W156*SUMPRODUCT(($B$2=Таблица2[Филиал])*($B$3=Таблица2[ФЕР/ТЕР])*(F156=Таблица2[Наименование работ])*(G156=Таблица2[ТПиР/НСиР])*Таблица2[Прочее2012]),W156*SUMPRODUCT(($B$2=Таблица2[Филиал])*($B$3=Таблица2[ФЕР/ТЕР])*(F156=Таблица2[Наименование работ])*(G156=Таблица2[ТПиР/НСиР])*Таблица2[Прочее2012]))</f>
        <v>0</v>
      </c>
      <c r="AL156" s="63">
        <f>данные!$X156+данные!$Y156+данные!$Z156+данные!$AA156+данные!$AB156</f>
        <v>0</v>
      </c>
      <c r="AM156" s="63">
        <v>1.03639035</v>
      </c>
      <c r="AN156" s="63">
        <v>1.0114049394</v>
      </c>
      <c r="AO156" s="63">
        <v>0.98210394336149998</v>
      </c>
      <c r="AP156" s="63">
        <v>0.93762413895893393</v>
      </c>
      <c r="AQ156" s="63"/>
      <c r="AR156" s="63"/>
      <c r="AS156" s="64"/>
      <c r="AU156" s="66">
        <f t="shared" si="12"/>
        <v>0</v>
      </c>
      <c r="AX156" s="66">
        <f t="shared" si="13"/>
        <v>0</v>
      </c>
      <c r="AY156" s="66">
        <f t="shared" si="14"/>
        <v>0</v>
      </c>
      <c r="AZ156" s="66">
        <f t="shared" si="15"/>
        <v>0</v>
      </c>
      <c r="BA156" s="66">
        <f t="shared" si="16"/>
        <v>0</v>
      </c>
      <c r="BB156" s="66">
        <f t="shared" si="17"/>
        <v>0</v>
      </c>
    </row>
    <row r="157" spans="4:54" x14ac:dyDescent="0.25">
      <c r="D157" s="62">
        <f>калькулятор!C162</f>
        <v>0</v>
      </c>
      <c r="E157" s="62">
        <f>калькулятор!F162</f>
        <v>0</v>
      </c>
      <c r="F157" s="62">
        <f>калькулятор!G162</f>
        <v>0</v>
      </c>
      <c r="G157" s="62">
        <f>калькулятор!H162</f>
        <v>0</v>
      </c>
      <c r="H157" s="62">
        <f>калькулятор!I162</f>
        <v>0</v>
      </c>
      <c r="I157" s="63">
        <f>S157*SUMPRODUCT(($B$2=Таблица2[Филиал])*($B$3=Таблица2[ФЕР/ТЕР])*(F157=Таблица2[Наименование работ])*(G157=Таблица2[ТПиР/НСиР])*Таблица2[ПИР2010])</f>
        <v>0</v>
      </c>
      <c r="J157" s="63">
        <f>T157*SUMPRODUCT(($B$2=Таблица2[Филиал])*($B$3=Таблица2[ФЕР/ТЕР])*(F157=Таблица2[Наименование работ])*(G157=Таблица2[ТПиР/НСиР])*Таблица2[СМР2010])</f>
        <v>0</v>
      </c>
      <c r="K157" s="63">
        <f>U157*SUMPRODUCT(($B$2=Таблица2[Филиал])*($B$3=Таблица2[ФЕР/ТЕР])*(F157=Таблица2[Наименование работ])*(G157=Таблица2[ТПиР/НСиР])*Таблица2[ПНР2010])</f>
        <v>0</v>
      </c>
      <c r="L157" s="63">
        <f>V157*SUMPRODUCT(($B$2=Таблица2[Филиал])*($B$3=Таблица2[ФЕР/ТЕР])*(F157=Таблица2[Наименование работ])*(G157=Таблица2[ТПиР/НСиР])*Таблица2[Оборудование2010])</f>
        <v>0</v>
      </c>
      <c r="M157" s="63">
        <f>W157*SUMPRODUCT(($B$2=Таблица2[Филиал])*($B$3=Таблица2[ФЕР/ТЕР])*(F157=Таблица2[Наименование работ])*(G157=Таблица2[ТПиР/НСиР])*Таблица2[Прочие2010])</f>
        <v>0</v>
      </c>
      <c r="N157" s="63">
        <f>S157*SUMPRODUCT(($B$2=Таблица2[Филиал])*($B$3=Таблица2[ФЕР/ТЕР])*(F157=Таблица2[Наименование работ])*(G157=Таблица2[ТПиР/НСиР])*Таблица2[ПИР2013-10])</f>
        <v>0</v>
      </c>
      <c r="O157" s="63">
        <f>T157*SUMPRODUCT(($B$2=Таблица2[Филиал])*($B$3=Таблица2[ФЕР/ТЕР])*(F157=Таблица2[Наименование работ])*(G157=Таблица2[ТПиР/НСиР])*Таблица2[СМР2013-10])</f>
        <v>0</v>
      </c>
      <c r="P157" s="63">
        <f>U157*SUMPRODUCT(($B$2=Таблица2[Филиал])*($B$3=Таблица2[ФЕР/ТЕР])*(F157=Таблица2[Наименование работ])*(G157=Таблица2[ТПиР/НСиР])*Таблица2[ПНР2013-10])</f>
        <v>0</v>
      </c>
      <c r="Q157" s="63">
        <f>V157*SUMPRODUCT(($B$2=Таблица2[Филиал])*($B$3=Таблица2[ФЕР/ТЕР])*(F157=Таблица2[Наименование работ])*(G157=Таблица2[ТПиР/НСиР])*Таблица2[Оборудование2013-10])</f>
        <v>0</v>
      </c>
      <c r="R157" s="63">
        <f>W157*SUMPRODUCT(($B$2=Таблица2[Филиал])*($B$3=Таблица2[ФЕР/ТЕР])*(F157=Таблица2[Наименование работ])*(G157=Таблица2[ТПиР/НСиР])*Таблица2[Прочие2013-10])</f>
        <v>0</v>
      </c>
      <c r="S157" s="63">
        <f>IF($B$4="в базовых ценах",калькулятор!J162,X157*SUMPRODUCT(($B$2=Таблица2[Филиал])*($B$3=Таблица2[ФЕР/ТЕР])*(F157=Таблица2[Наименование работ])*(G157=Таблица2[ТПиР/НСиР])/Таблица2[ПИР2013]))</f>
        <v>0</v>
      </c>
      <c r="T157" s="63">
        <f>IF($B$4="в базовых ценах",калькулятор!K162,Y157*SUMPRODUCT(($B$2=Таблица2[Филиал])*($B$3=Таблица2[ФЕР/ТЕР])*(F157=Таблица2[Наименование работ])*(G157=Таблица2[ТПиР/НСиР])/Таблица2[СМР2013]))</f>
        <v>0</v>
      </c>
      <c r="U157" s="63">
        <f>IF($B$4="в базовых ценах",калькулятор!L162,Z157*SUMPRODUCT(($B$2=Таблица2[Филиал])*($B$3=Таблица2[ФЕР/ТЕР])*(F157=Таблица2[Наименование работ])*(G157=Таблица2[ТПиР/НСиР])/Таблица2[ПНР2013]))</f>
        <v>0</v>
      </c>
      <c r="V157" s="63">
        <f>IF($B$4="в базовых ценах",калькулятор!M162,AA157*SUMPRODUCT(($B$2=Таблица2[Филиал])*($B$3=Таблица2[ФЕР/ТЕР])*(F157=Таблица2[Наименование работ])*(G157=Таблица2[ТПиР/НСиР])/Таблица2[Оборудование2013]))</f>
        <v>0</v>
      </c>
      <c r="W157" s="63">
        <f>IF($B$4="в базовых ценах",калькулятор!N162,AB157*SUMPRODUCT(($B$2=Таблица2[Филиал])*($B$3=Таблица2[ФЕР/ТЕР])*(F157=Таблица2[Наименование работ])*(G157=Таблица2[ТПиР/НСиР])/Таблица2[Прочие3]))</f>
        <v>0</v>
      </c>
      <c r="X157" s="63">
        <f>IF($B$4="в текущих ценах",калькулятор!J162,S157*SUMPRODUCT(($B$2=Таблица2[Филиал])*($B$3=Таблица2[ФЕР/ТЕР])*(F157=Таблица2[Наименование работ])*(G157=Таблица2[ТПиР/НСиР])*Таблица2[ПИР2013]))</f>
        <v>0</v>
      </c>
      <c r="Y157" s="63">
        <f>IF($B$4="в текущих ценах",калькулятор!K162,T157*SUMPRODUCT(($B$2=Таблица2[Филиал])*($B$3=Таблица2[ФЕР/ТЕР])*(F157=Таблица2[Наименование работ])*(G157=Таблица2[ТПиР/НСиР])*Таблица2[СМР2013]))</f>
        <v>0</v>
      </c>
      <c r="Z157" s="63">
        <f>IF($B$4="в текущих ценах",калькулятор!L162,U157*SUMPRODUCT(($B$2=Таблица2[Филиал])*($B$3=Таблица2[ФЕР/ТЕР])*(F157=Таблица2[Наименование работ])*(G157=Таблица2[ТПиР/НСиР])*Таблица2[ПНР2013]))</f>
        <v>0</v>
      </c>
      <c r="AA157" s="63">
        <f>IF($B$4="в текущих ценах",калькулятор!M162,V157*SUMPRODUCT(($B$2=Таблица2[Филиал])*($B$3=Таблица2[ФЕР/ТЕР])*(F157=Таблица2[Наименование работ])*(G157=Таблица2[ТПиР/НСиР])*Таблица2[Оборудование2013]))</f>
        <v>0</v>
      </c>
      <c r="AB157" s="63">
        <f>IF($B$4="в текущих ценах",калькулятор!N162,W157*SUMPRODUCT(($B$2=Таблица2[Филиал])*($B$3=Таблица2[ФЕР/ТЕР])*(F157=Таблица2[Наименование работ])*(G157=Таблица2[ТПиР/НСиР])*Таблица2[Прочие3]))</f>
        <v>0</v>
      </c>
      <c r="AC157" s="63">
        <f>SUM(данные!$I157:$M157)</f>
        <v>0</v>
      </c>
      <c r="AD157" s="63">
        <f>IF(SUM(данные!$N157:$R157)&gt;данные!$AF157,данные!$AF157*0.9*1.058,SUM(данные!$N157:$R157))</f>
        <v>0</v>
      </c>
      <c r="AE157" s="63">
        <f>SUM(данные!$S157:$W157)</f>
        <v>0</v>
      </c>
      <c r="AF157" s="63">
        <f>SUM(данные!$X157:$AB157)</f>
        <v>0</v>
      </c>
      <c r="AG157" s="63">
        <f>IF($B$4="в текущих ценах",S157*SUMPRODUCT(($B$2=Таблица2[Филиал])*($B$3=Таблица2[ФЕР/ТЕР])*(F157=Таблица2[Наименование работ])*(G157=Таблица2[ТПиР/НСиР])*Таблица2[ПИР2012]),S157*SUMPRODUCT(($B$2=Таблица2[Филиал])*($B$3=Таблица2[ФЕР/ТЕР])*(F157=Таблица2[Наименование работ])*(G157=Таблица2[ТПиР/НСиР])*Таблица2[ПИР2012]))</f>
        <v>0</v>
      </c>
      <c r="AH157" s="63">
        <f>IF($B$4="в текущих ценах",T157*SUMPRODUCT(($B$2=Таблица2[Филиал])*($B$3=Таблица2[ФЕР/ТЕР])*(F157=Таблица2[Наименование работ])*(G157=Таблица2[ТПиР/НСиР])*Таблица2[СМР2012]),T157*SUMPRODUCT(($B$2=Таблица2[Филиал])*($B$3=Таблица2[ФЕР/ТЕР])*(F157=Таблица2[Наименование работ])*(G157=Таблица2[ТПиР/НСиР])*Таблица2[СМР2012]))</f>
        <v>0</v>
      </c>
      <c r="AI157" s="63">
        <f>IF($B$4="в текущих ценах",U157*SUMPRODUCT(($B$2=Таблица2[Филиал])*($B$3=Таблица2[ФЕР/ТЕР])*(F157=Таблица2[Наименование работ])*(G157=Таблица2[ТПиР/НСиР])*Таблица2[ПНР2012]),U157*SUMPRODUCT(($B$2=Таблица2[Филиал])*($B$3=Таблица2[ФЕР/ТЕР])*(F157=Таблица2[Наименование работ])*(G157=Таблица2[ТПиР/НСиР])*Таблица2[ПНР2012]))</f>
        <v>0</v>
      </c>
      <c r="AJ157" s="63">
        <f>IF($B$4="в текущих ценах",V157*SUMPRODUCT(($B$2=Таблица2[Филиал])*($B$3=Таблица2[ФЕР/ТЕР])*(F157=Таблица2[Наименование работ])*(G157=Таблица2[ТПиР/НСиР])*Таблица2[Оборудование2012]),V157*SUMPRODUCT(($B$2=Таблица2[Филиал])*($B$3=Таблица2[ФЕР/ТЕР])*(F157=Таблица2[Наименование работ])*(G157=Таблица2[ТПиР/НСиР])*Таблица2[Оборудование2012]))</f>
        <v>0</v>
      </c>
      <c r="AK157" s="63">
        <f>IF($B$4="в текущих ценах",W157*SUMPRODUCT(($B$2=Таблица2[Филиал])*($B$3=Таблица2[ФЕР/ТЕР])*(F157=Таблица2[Наименование работ])*(G157=Таблица2[ТПиР/НСиР])*Таблица2[Прочее2012]),W157*SUMPRODUCT(($B$2=Таблица2[Филиал])*($B$3=Таблица2[ФЕР/ТЕР])*(F157=Таблица2[Наименование работ])*(G157=Таблица2[ТПиР/НСиР])*Таблица2[Прочее2012]))</f>
        <v>0</v>
      </c>
      <c r="AL157" s="63">
        <f>данные!$X157+данные!$Y157+данные!$Z157+данные!$AA157+данные!$AB157</f>
        <v>0</v>
      </c>
      <c r="AM157" s="63">
        <v>1.03639035</v>
      </c>
      <c r="AN157" s="63">
        <v>1.0114049394</v>
      </c>
      <c r="AO157" s="63">
        <v>0.98210394336149998</v>
      </c>
      <c r="AP157" s="63">
        <v>0.93762413895893393</v>
      </c>
      <c r="AQ157" s="63"/>
      <c r="AR157" s="63"/>
      <c r="AS157" s="64"/>
      <c r="AU157" s="66">
        <f t="shared" si="12"/>
        <v>0</v>
      </c>
      <c r="AX157" s="66">
        <f t="shared" si="13"/>
        <v>0</v>
      </c>
      <c r="AY157" s="66">
        <f t="shared" si="14"/>
        <v>0</v>
      </c>
      <c r="AZ157" s="66">
        <f t="shared" si="15"/>
        <v>0</v>
      </c>
      <c r="BA157" s="66">
        <f t="shared" si="16"/>
        <v>0</v>
      </c>
      <c r="BB157" s="66">
        <f t="shared" si="17"/>
        <v>0</v>
      </c>
    </row>
    <row r="158" spans="4:54" x14ac:dyDescent="0.25">
      <c r="D158" s="62">
        <f>калькулятор!C163</f>
        <v>0</v>
      </c>
      <c r="E158" s="62">
        <f>калькулятор!F163</f>
        <v>0</v>
      </c>
      <c r="F158" s="62">
        <f>калькулятор!G163</f>
        <v>0</v>
      </c>
      <c r="G158" s="62">
        <f>калькулятор!H163</f>
        <v>0</v>
      </c>
      <c r="H158" s="62">
        <f>калькулятор!I163</f>
        <v>0</v>
      </c>
      <c r="I158" s="63">
        <f>S158*SUMPRODUCT(($B$2=Таблица2[Филиал])*($B$3=Таблица2[ФЕР/ТЕР])*(F158=Таблица2[Наименование работ])*(G158=Таблица2[ТПиР/НСиР])*Таблица2[ПИР2010])</f>
        <v>0</v>
      </c>
      <c r="J158" s="63">
        <f>T158*SUMPRODUCT(($B$2=Таблица2[Филиал])*($B$3=Таблица2[ФЕР/ТЕР])*(F158=Таблица2[Наименование работ])*(G158=Таблица2[ТПиР/НСиР])*Таблица2[СМР2010])</f>
        <v>0</v>
      </c>
      <c r="K158" s="63">
        <f>U158*SUMPRODUCT(($B$2=Таблица2[Филиал])*($B$3=Таблица2[ФЕР/ТЕР])*(F158=Таблица2[Наименование работ])*(G158=Таблица2[ТПиР/НСиР])*Таблица2[ПНР2010])</f>
        <v>0</v>
      </c>
      <c r="L158" s="63">
        <f>V158*SUMPRODUCT(($B$2=Таблица2[Филиал])*($B$3=Таблица2[ФЕР/ТЕР])*(F158=Таблица2[Наименование работ])*(G158=Таблица2[ТПиР/НСиР])*Таблица2[Оборудование2010])</f>
        <v>0</v>
      </c>
      <c r="M158" s="63">
        <f>W158*SUMPRODUCT(($B$2=Таблица2[Филиал])*($B$3=Таблица2[ФЕР/ТЕР])*(F158=Таблица2[Наименование работ])*(G158=Таблица2[ТПиР/НСиР])*Таблица2[Прочие2010])</f>
        <v>0</v>
      </c>
      <c r="N158" s="63">
        <f>S158*SUMPRODUCT(($B$2=Таблица2[Филиал])*($B$3=Таблица2[ФЕР/ТЕР])*(F158=Таблица2[Наименование работ])*(G158=Таблица2[ТПиР/НСиР])*Таблица2[ПИР2013-10])</f>
        <v>0</v>
      </c>
      <c r="O158" s="63">
        <f>T158*SUMPRODUCT(($B$2=Таблица2[Филиал])*($B$3=Таблица2[ФЕР/ТЕР])*(F158=Таблица2[Наименование работ])*(G158=Таблица2[ТПиР/НСиР])*Таблица2[СМР2013-10])</f>
        <v>0</v>
      </c>
      <c r="P158" s="63">
        <f>U158*SUMPRODUCT(($B$2=Таблица2[Филиал])*($B$3=Таблица2[ФЕР/ТЕР])*(F158=Таблица2[Наименование работ])*(G158=Таблица2[ТПиР/НСиР])*Таблица2[ПНР2013-10])</f>
        <v>0</v>
      </c>
      <c r="Q158" s="63">
        <f>V158*SUMPRODUCT(($B$2=Таблица2[Филиал])*($B$3=Таблица2[ФЕР/ТЕР])*(F158=Таблица2[Наименование работ])*(G158=Таблица2[ТПиР/НСиР])*Таблица2[Оборудование2013-10])</f>
        <v>0</v>
      </c>
      <c r="R158" s="63">
        <f>W158*SUMPRODUCT(($B$2=Таблица2[Филиал])*($B$3=Таблица2[ФЕР/ТЕР])*(F158=Таблица2[Наименование работ])*(G158=Таблица2[ТПиР/НСиР])*Таблица2[Прочие2013-10])</f>
        <v>0</v>
      </c>
      <c r="S158" s="63">
        <f>IF($B$4="в базовых ценах",калькулятор!J163,X158*SUMPRODUCT(($B$2=Таблица2[Филиал])*($B$3=Таблица2[ФЕР/ТЕР])*(F158=Таблица2[Наименование работ])*(G158=Таблица2[ТПиР/НСиР])/Таблица2[ПИР2013]))</f>
        <v>0</v>
      </c>
      <c r="T158" s="63">
        <f>IF($B$4="в базовых ценах",калькулятор!K163,Y158*SUMPRODUCT(($B$2=Таблица2[Филиал])*($B$3=Таблица2[ФЕР/ТЕР])*(F158=Таблица2[Наименование работ])*(G158=Таблица2[ТПиР/НСиР])/Таблица2[СМР2013]))</f>
        <v>0</v>
      </c>
      <c r="U158" s="63">
        <f>IF($B$4="в базовых ценах",калькулятор!L163,Z158*SUMPRODUCT(($B$2=Таблица2[Филиал])*($B$3=Таблица2[ФЕР/ТЕР])*(F158=Таблица2[Наименование работ])*(G158=Таблица2[ТПиР/НСиР])/Таблица2[ПНР2013]))</f>
        <v>0</v>
      </c>
      <c r="V158" s="63">
        <f>IF($B$4="в базовых ценах",калькулятор!M163,AA158*SUMPRODUCT(($B$2=Таблица2[Филиал])*($B$3=Таблица2[ФЕР/ТЕР])*(F158=Таблица2[Наименование работ])*(G158=Таблица2[ТПиР/НСиР])/Таблица2[Оборудование2013]))</f>
        <v>0</v>
      </c>
      <c r="W158" s="63">
        <f>IF($B$4="в базовых ценах",калькулятор!N163,AB158*SUMPRODUCT(($B$2=Таблица2[Филиал])*($B$3=Таблица2[ФЕР/ТЕР])*(F158=Таблица2[Наименование работ])*(G158=Таблица2[ТПиР/НСиР])/Таблица2[Прочие3]))</f>
        <v>0</v>
      </c>
      <c r="X158" s="63">
        <f>IF($B$4="в текущих ценах",калькулятор!J163,S158*SUMPRODUCT(($B$2=Таблица2[Филиал])*($B$3=Таблица2[ФЕР/ТЕР])*(F158=Таблица2[Наименование работ])*(G158=Таблица2[ТПиР/НСиР])*Таблица2[ПИР2013]))</f>
        <v>0</v>
      </c>
      <c r="Y158" s="63">
        <f>IF($B$4="в текущих ценах",калькулятор!K163,T158*SUMPRODUCT(($B$2=Таблица2[Филиал])*($B$3=Таблица2[ФЕР/ТЕР])*(F158=Таблица2[Наименование работ])*(G158=Таблица2[ТПиР/НСиР])*Таблица2[СМР2013]))</f>
        <v>0</v>
      </c>
      <c r="Z158" s="63">
        <f>IF($B$4="в текущих ценах",калькулятор!L163,U158*SUMPRODUCT(($B$2=Таблица2[Филиал])*($B$3=Таблица2[ФЕР/ТЕР])*(F158=Таблица2[Наименование работ])*(G158=Таблица2[ТПиР/НСиР])*Таблица2[ПНР2013]))</f>
        <v>0</v>
      </c>
      <c r="AA158" s="63">
        <f>IF($B$4="в текущих ценах",калькулятор!M163,V158*SUMPRODUCT(($B$2=Таблица2[Филиал])*($B$3=Таблица2[ФЕР/ТЕР])*(F158=Таблица2[Наименование работ])*(G158=Таблица2[ТПиР/НСиР])*Таблица2[Оборудование2013]))</f>
        <v>0</v>
      </c>
      <c r="AB158" s="63">
        <f>IF($B$4="в текущих ценах",калькулятор!N163,W158*SUMPRODUCT(($B$2=Таблица2[Филиал])*($B$3=Таблица2[ФЕР/ТЕР])*(F158=Таблица2[Наименование работ])*(G158=Таблица2[ТПиР/НСиР])*Таблица2[Прочие3]))</f>
        <v>0</v>
      </c>
      <c r="AC158" s="63">
        <f>SUM(данные!$I158:$M158)</f>
        <v>0</v>
      </c>
      <c r="AD158" s="63">
        <f>IF(SUM(данные!$N158:$R158)&gt;данные!$AF158,данные!$AF158*0.9*1.058,SUM(данные!$N158:$R158))</f>
        <v>0</v>
      </c>
      <c r="AE158" s="63">
        <f>SUM(данные!$S158:$W158)</f>
        <v>0</v>
      </c>
      <c r="AF158" s="63">
        <f>SUM(данные!$X158:$AB158)</f>
        <v>0</v>
      </c>
      <c r="AG158" s="63">
        <f>IF($B$4="в текущих ценах",S158*SUMPRODUCT(($B$2=Таблица2[Филиал])*($B$3=Таблица2[ФЕР/ТЕР])*(F158=Таблица2[Наименование работ])*(G158=Таблица2[ТПиР/НСиР])*Таблица2[ПИР2012]),S158*SUMPRODUCT(($B$2=Таблица2[Филиал])*($B$3=Таблица2[ФЕР/ТЕР])*(F158=Таблица2[Наименование работ])*(G158=Таблица2[ТПиР/НСиР])*Таблица2[ПИР2012]))</f>
        <v>0</v>
      </c>
      <c r="AH158" s="63">
        <f>IF($B$4="в текущих ценах",T158*SUMPRODUCT(($B$2=Таблица2[Филиал])*($B$3=Таблица2[ФЕР/ТЕР])*(F158=Таблица2[Наименование работ])*(G158=Таблица2[ТПиР/НСиР])*Таблица2[СМР2012]),T158*SUMPRODUCT(($B$2=Таблица2[Филиал])*($B$3=Таблица2[ФЕР/ТЕР])*(F158=Таблица2[Наименование работ])*(G158=Таблица2[ТПиР/НСиР])*Таблица2[СМР2012]))</f>
        <v>0</v>
      </c>
      <c r="AI158" s="63">
        <f>IF($B$4="в текущих ценах",U158*SUMPRODUCT(($B$2=Таблица2[Филиал])*($B$3=Таблица2[ФЕР/ТЕР])*(F158=Таблица2[Наименование работ])*(G158=Таблица2[ТПиР/НСиР])*Таблица2[ПНР2012]),U158*SUMPRODUCT(($B$2=Таблица2[Филиал])*($B$3=Таблица2[ФЕР/ТЕР])*(F158=Таблица2[Наименование работ])*(G158=Таблица2[ТПиР/НСиР])*Таблица2[ПНР2012]))</f>
        <v>0</v>
      </c>
      <c r="AJ158" s="63">
        <f>IF($B$4="в текущих ценах",V158*SUMPRODUCT(($B$2=Таблица2[Филиал])*($B$3=Таблица2[ФЕР/ТЕР])*(F158=Таблица2[Наименование работ])*(G158=Таблица2[ТПиР/НСиР])*Таблица2[Оборудование2012]),V158*SUMPRODUCT(($B$2=Таблица2[Филиал])*($B$3=Таблица2[ФЕР/ТЕР])*(F158=Таблица2[Наименование работ])*(G158=Таблица2[ТПиР/НСиР])*Таблица2[Оборудование2012]))</f>
        <v>0</v>
      </c>
      <c r="AK158" s="63">
        <f>IF($B$4="в текущих ценах",W158*SUMPRODUCT(($B$2=Таблица2[Филиал])*($B$3=Таблица2[ФЕР/ТЕР])*(F158=Таблица2[Наименование работ])*(G158=Таблица2[ТПиР/НСиР])*Таблица2[Прочее2012]),W158*SUMPRODUCT(($B$2=Таблица2[Филиал])*($B$3=Таблица2[ФЕР/ТЕР])*(F158=Таблица2[Наименование работ])*(G158=Таблица2[ТПиР/НСиР])*Таблица2[Прочее2012]))</f>
        <v>0</v>
      </c>
      <c r="AL158" s="63">
        <f>данные!$X158+данные!$Y158+данные!$Z158+данные!$AA158+данные!$AB158</f>
        <v>0</v>
      </c>
      <c r="AM158" s="63">
        <v>1.03639035</v>
      </c>
      <c r="AN158" s="63">
        <v>1.0114049394</v>
      </c>
      <c r="AO158" s="63">
        <v>0.98210394336149998</v>
      </c>
      <c r="AP158" s="63">
        <v>0.93762413895893393</v>
      </c>
      <c r="AQ158" s="63"/>
      <c r="AR158" s="63"/>
      <c r="AS158" s="64"/>
      <c r="AU158" s="66">
        <f t="shared" si="12"/>
        <v>0</v>
      </c>
      <c r="AX158" s="66">
        <f t="shared" si="13"/>
        <v>0</v>
      </c>
      <c r="AY158" s="66">
        <f t="shared" si="14"/>
        <v>0</v>
      </c>
      <c r="AZ158" s="66">
        <f t="shared" si="15"/>
        <v>0</v>
      </c>
      <c r="BA158" s="66">
        <f t="shared" si="16"/>
        <v>0</v>
      </c>
      <c r="BB158" s="66">
        <f t="shared" si="17"/>
        <v>0</v>
      </c>
    </row>
    <row r="159" spans="4:54" x14ac:dyDescent="0.25">
      <c r="D159" s="62">
        <f>калькулятор!C164</f>
        <v>0</v>
      </c>
      <c r="E159" s="62">
        <f>калькулятор!F164</f>
        <v>0</v>
      </c>
      <c r="F159" s="62">
        <f>калькулятор!G164</f>
        <v>0</v>
      </c>
      <c r="G159" s="62">
        <f>калькулятор!H164</f>
        <v>0</v>
      </c>
      <c r="H159" s="62">
        <f>калькулятор!I164</f>
        <v>0</v>
      </c>
      <c r="I159" s="63">
        <f>S159*SUMPRODUCT(($B$2=Таблица2[Филиал])*($B$3=Таблица2[ФЕР/ТЕР])*(F159=Таблица2[Наименование работ])*(G159=Таблица2[ТПиР/НСиР])*Таблица2[ПИР2010])</f>
        <v>0</v>
      </c>
      <c r="J159" s="63">
        <f>T159*SUMPRODUCT(($B$2=Таблица2[Филиал])*($B$3=Таблица2[ФЕР/ТЕР])*(F159=Таблица2[Наименование работ])*(G159=Таблица2[ТПиР/НСиР])*Таблица2[СМР2010])</f>
        <v>0</v>
      </c>
      <c r="K159" s="63">
        <f>U159*SUMPRODUCT(($B$2=Таблица2[Филиал])*($B$3=Таблица2[ФЕР/ТЕР])*(F159=Таблица2[Наименование работ])*(G159=Таблица2[ТПиР/НСиР])*Таблица2[ПНР2010])</f>
        <v>0</v>
      </c>
      <c r="L159" s="63">
        <f>V159*SUMPRODUCT(($B$2=Таблица2[Филиал])*($B$3=Таблица2[ФЕР/ТЕР])*(F159=Таблица2[Наименование работ])*(G159=Таблица2[ТПиР/НСиР])*Таблица2[Оборудование2010])</f>
        <v>0</v>
      </c>
      <c r="M159" s="63">
        <f>W159*SUMPRODUCT(($B$2=Таблица2[Филиал])*($B$3=Таблица2[ФЕР/ТЕР])*(F159=Таблица2[Наименование работ])*(G159=Таблица2[ТПиР/НСиР])*Таблица2[Прочие2010])</f>
        <v>0</v>
      </c>
      <c r="N159" s="63">
        <f>S159*SUMPRODUCT(($B$2=Таблица2[Филиал])*($B$3=Таблица2[ФЕР/ТЕР])*(F159=Таблица2[Наименование работ])*(G159=Таблица2[ТПиР/НСиР])*Таблица2[ПИР2013-10])</f>
        <v>0</v>
      </c>
      <c r="O159" s="63">
        <f>T159*SUMPRODUCT(($B$2=Таблица2[Филиал])*($B$3=Таблица2[ФЕР/ТЕР])*(F159=Таблица2[Наименование работ])*(G159=Таблица2[ТПиР/НСиР])*Таблица2[СМР2013-10])</f>
        <v>0</v>
      </c>
      <c r="P159" s="63">
        <f>U159*SUMPRODUCT(($B$2=Таблица2[Филиал])*($B$3=Таблица2[ФЕР/ТЕР])*(F159=Таблица2[Наименование работ])*(G159=Таблица2[ТПиР/НСиР])*Таблица2[ПНР2013-10])</f>
        <v>0</v>
      </c>
      <c r="Q159" s="63">
        <f>V159*SUMPRODUCT(($B$2=Таблица2[Филиал])*($B$3=Таблица2[ФЕР/ТЕР])*(F159=Таблица2[Наименование работ])*(G159=Таблица2[ТПиР/НСиР])*Таблица2[Оборудование2013-10])</f>
        <v>0</v>
      </c>
      <c r="R159" s="63">
        <f>W159*SUMPRODUCT(($B$2=Таблица2[Филиал])*($B$3=Таблица2[ФЕР/ТЕР])*(F159=Таблица2[Наименование работ])*(G159=Таблица2[ТПиР/НСиР])*Таблица2[Прочие2013-10])</f>
        <v>0</v>
      </c>
      <c r="S159" s="63">
        <f>IF($B$4="в базовых ценах",калькулятор!J164,X159*SUMPRODUCT(($B$2=Таблица2[Филиал])*($B$3=Таблица2[ФЕР/ТЕР])*(F159=Таблица2[Наименование работ])*(G159=Таблица2[ТПиР/НСиР])/Таблица2[ПИР2013]))</f>
        <v>0</v>
      </c>
      <c r="T159" s="63">
        <f>IF($B$4="в базовых ценах",калькулятор!K164,Y159*SUMPRODUCT(($B$2=Таблица2[Филиал])*($B$3=Таблица2[ФЕР/ТЕР])*(F159=Таблица2[Наименование работ])*(G159=Таблица2[ТПиР/НСиР])/Таблица2[СМР2013]))</f>
        <v>0</v>
      </c>
      <c r="U159" s="63">
        <f>IF($B$4="в базовых ценах",калькулятор!L164,Z159*SUMPRODUCT(($B$2=Таблица2[Филиал])*($B$3=Таблица2[ФЕР/ТЕР])*(F159=Таблица2[Наименование работ])*(G159=Таблица2[ТПиР/НСиР])/Таблица2[ПНР2013]))</f>
        <v>0</v>
      </c>
      <c r="V159" s="63">
        <f>IF($B$4="в базовых ценах",калькулятор!M164,AA159*SUMPRODUCT(($B$2=Таблица2[Филиал])*($B$3=Таблица2[ФЕР/ТЕР])*(F159=Таблица2[Наименование работ])*(G159=Таблица2[ТПиР/НСиР])/Таблица2[Оборудование2013]))</f>
        <v>0</v>
      </c>
      <c r="W159" s="63">
        <f>IF($B$4="в базовых ценах",калькулятор!N164,AB159*SUMPRODUCT(($B$2=Таблица2[Филиал])*($B$3=Таблица2[ФЕР/ТЕР])*(F159=Таблица2[Наименование работ])*(G159=Таблица2[ТПиР/НСиР])/Таблица2[Прочие3]))</f>
        <v>0</v>
      </c>
      <c r="X159" s="63">
        <f>IF($B$4="в текущих ценах",калькулятор!J164,S159*SUMPRODUCT(($B$2=Таблица2[Филиал])*($B$3=Таблица2[ФЕР/ТЕР])*(F159=Таблица2[Наименование работ])*(G159=Таблица2[ТПиР/НСиР])*Таблица2[ПИР2013]))</f>
        <v>0</v>
      </c>
      <c r="Y159" s="63">
        <f>IF($B$4="в текущих ценах",калькулятор!K164,T159*SUMPRODUCT(($B$2=Таблица2[Филиал])*($B$3=Таблица2[ФЕР/ТЕР])*(F159=Таблица2[Наименование работ])*(G159=Таблица2[ТПиР/НСиР])*Таблица2[СМР2013]))</f>
        <v>0</v>
      </c>
      <c r="Z159" s="63">
        <f>IF($B$4="в текущих ценах",калькулятор!L164,U159*SUMPRODUCT(($B$2=Таблица2[Филиал])*($B$3=Таблица2[ФЕР/ТЕР])*(F159=Таблица2[Наименование работ])*(G159=Таблица2[ТПиР/НСиР])*Таблица2[ПНР2013]))</f>
        <v>0</v>
      </c>
      <c r="AA159" s="63">
        <f>IF($B$4="в текущих ценах",калькулятор!M164,V159*SUMPRODUCT(($B$2=Таблица2[Филиал])*($B$3=Таблица2[ФЕР/ТЕР])*(F159=Таблица2[Наименование работ])*(G159=Таблица2[ТПиР/НСиР])*Таблица2[Оборудование2013]))</f>
        <v>0</v>
      </c>
      <c r="AB159" s="63">
        <f>IF($B$4="в текущих ценах",калькулятор!N164,W159*SUMPRODUCT(($B$2=Таблица2[Филиал])*($B$3=Таблица2[ФЕР/ТЕР])*(F159=Таблица2[Наименование работ])*(G159=Таблица2[ТПиР/НСиР])*Таблица2[Прочие3]))</f>
        <v>0</v>
      </c>
      <c r="AC159" s="63">
        <f>SUM(данные!$I159:$M159)</f>
        <v>0</v>
      </c>
      <c r="AD159" s="63">
        <f>IF(SUM(данные!$N159:$R159)&gt;данные!$AF159,данные!$AF159*0.9*1.058,SUM(данные!$N159:$R159))</f>
        <v>0</v>
      </c>
      <c r="AE159" s="63">
        <f>SUM(данные!$S159:$W159)</f>
        <v>0</v>
      </c>
      <c r="AF159" s="63">
        <f>SUM(данные!$X159:$AB159)</f>
        <v>0</v>
      </c>
      <c r="AG159" s="63">
        <f>IF($B$4="в текущих ценах",S159*SUMPRODUCT(($B$2=Таблица2[Филиал])*($B$3=Таблица2[ФЕР/ТЕР])*(F159=Таблица2[Наименование работ])*(G159=Таблица2[ТПиР/НСиР])*Таблица2[ПИР2012]),S159*SUMPRODUCT(($B$2=Таблица2[Филиал])*($B$3=Таблица2[ФЕР/ТЕР])*(F159=Таблица2[Наименование работ])*(G159=Таблица2[ТПиР/НСиР])*Таблица2[ПИР2012]))</f>
        <v>0</v>
      </c>
      <c r="AH159" s="63">
        <f>IF($B$4="в текущих ценах",T159*SUMPRODUCT(($B$2=Таблица2[Филиал])*($B$3=Таблица2[ФЕР/ТЕР])*(F159=Таблица2[Наименование работ])*(G159=Таблица2[ТПиР/НСиР])*Таблица2[СМР2012]),T159*SUMPRODUCT(($B$2=Таблица2[Филиал])*($B$3=Таблица2[ФЕР/ТЕР])*(F159=Таблица2[Наименование работ])*(G159=Таблица2[ТПиР/НСиР])*Таблица2[СМР2012]))</f>
        <v>0</v>
      </c>
      <c r="AI159" s="63">
        <f>IF($B$4="в текущих ценах",U159*SUMPRODUCT(($B$2=Таблица2[Филиал])*($B$3=Таблица2[ФЕР/ТЕР])*(F159=Таблица2[Наименование работ])*(G159=Таблица2[ТПиР/НСиР])*Таблица2[ПНР2012]),U159*SUMPRODUCT(($B$2=Таблица2[Филиал])*($B$3=Таблица2[ФЕР/ТЕР])*(F159=Таблица2[Наименование работ])*(G159=Таблица2[ТПиР/НСиР])*Таблица2[ПНР2012]))</f>
        <v>0</v>
      </c>
      <c r="AJ159" s="63">
        <f>IF($B$4="в текущих ценах",V159*SUMPRODUCT(($B$2=Таблица2[Филиал])*($B$3=Таблица2[ФЕР/ТЕР])*(F159=Таблица2[Наименование работ])*(G159=Таблица2[ТПиР/НСиР])*Таблица2[Оборудование2012]),V159*SUMPRODUCT(($B$2=Таблица2[Филиал])*($B$3=Таблица2[ФЕР/ТЕР])*(F159=Таблица2[Наименование работ])*(G159=Таблица2[ТПиР/НСиР])*Таблица2[Оборудование2012]))</f>
        <v>0</v>
      </c>
      <c r="AK159" s="63">
        <f>IF($B$4="в текущих ценах",W159*SUMPRODUCT(($B$2=Таблица2[Филиал])*($B$3=Таблица2[ФЕР/ТЕР])*(F159=Таблица2[Наименование работ])*(G159=Таблица2[ТПиР/НСиР])*Таблица2[Прочее2012]),W159*SUMPRODUCT(($B$2=Таблица2[Филиал])*($B$3=Таблица2[ФЕР/ТЕР])*(F159=Таблица2[Наименование работ])*(G159=Таблица2[ТПиР/НСиР])*Таблица2[Прочее2012]))</f>
        <v>0</v>
      </c>
      <c r="AL159" s="63">
        <f>данные!$X159+данные!$Y159+данные!$Z159+данные!$AA159+данные!$AB159</f>
        <v>0</v>
      </c>
      <c r="AM159" s="63">
        <v>1.03639035</v>
      </c>
      <c r="AN159" s="63">
        <v>1.0114049394</v>
      </c>
      <c r="AO159" s="63">
        <v>0.98210394336149998</v>
      </c>
      <c r="AP159" s="63">
        <v>0.93762413895893393</v>
      </c>
      <c r="AQ159" s="63"/>
      <c r="AR159" s="63"/>
      <c r="AS159" s="64"/>
      <c r="AU159" s="66">
        <f t="shared" si="12"/>
        <v>0</v>
      </c>
      <c r="AX159" s="66">
        <f t="shared" si="13"/>
        <v>0</v>
      </c>
      <c r="AY159" s="66">
        <f t="shared" si="14"/>
        <v>0</v>
      </c>
      <c r="AZ159" s="66">
        <f t="shared" si="15"/>
        <v>0</v>
      </c>
      <c r="BA159" s="66">
        <f t="shared" si="16"/>
        <v>0</v>
      </c>
      <c r="BB159" s="66">
        <f t="shared" si="17"/>
        <v>0</v>
      </c>
    </row>
    <row r="160" spans="4:54" x14ac:dyDescent="0.25">
      <c r="D160" s="62">
        <f>калькулятор!C165</f>
        <v>0</v>
      </c>
      <c r="E160" s="62">
        <f>калькулятор!F165</f>
        <v>0</v>
      </c>
      <c r="F160" s="62">
        <f>калькулятор!G165</f>
        <v>0</v>
      </c>
      <c r="G160" s="62">
        <f>калькулятор!H165</f>
        <v>0</v>
      </c>
      <c r="H160" s="62">
        <f>калькулятор!I165</f>
        <v>0</v>
      </c>
      <c r="I160" s="63">
        <f>S160*SUMPRODUCT(($B$2=Таблица2[Филиал])*($B$3=Таблица2[ФЕР/ТЕР])*(F160=Таблица2[Наименование работ])*(G160=Таблица2[ТПиР/НСиР])*Таблица2[ПИР2010])</f>
        <v>0</v>
      </c>
      <c r="J160" s="63">
        <f>T160*SUMPRODUCT(($B$2=Таблица2[Филиал])*($B$3=Таблица2[ФЕР/ТЕР])*(F160=Таблица2[Наименование работ])*(G160=Таблица2[ТПиР/НСиР])*Таблица2[СМР2010])</f>
        <v>0</v>
      </c>
      <c r="K160" s="63">
        <f>U160*SUMPRODUCT(($B$2=Таблица2[Филиал])*($B$3=Таблица2[ФЕР/ТЕР])*(F160=Таблица2[Наименование работ])*(G160=Таблица2[ТПиР/НСиР])*Таблица2[ПНР2010])</f>
        <v>0</v>
      </c>
      <c r="L160" s="63">
        <f>V160*SUMPRODUCT(($B$2=Таблица2[Филиал])*($B$3=Таблица2[ФЕР/ТЕР])*(F160=Таблица2[Наименование работ])*(G160=Таблица2[ТПиР/НСиР])*Таблица2[Оборудование2010])</f>
        <v>0</v>
      </c>
      <c r="M160" s="63">
        <f>W160*SUMPRODUCT(($B$2=Таблица2[Филиал])*($B$3=Таблица2[ФЕР/ТЕР])*(F160=Таблица2[Наименование работ])*(G160=Таблица2[ТПиР/НСиР])*Таблица2[Прочие2010])</f>
        <v>0</v>
      </c>
      <c r="N160" s="63">
        <f>S160*SUMPRODUCT(($B$2=Таблица2[Филиал])*($B$3=Таблица2[ФЕР/ТЕР])*(F160=Таблица2[Наименование работ])*(G160=Таблица2[ТПиР/НСиР])*Таблица2[ПИР2013-10])</f>
        <v>0</v>
      </c>
      <c r="O160" s="63">
        <f>T160*SUMPRODUCT(($B$2=Таблица2[Филиал])*($B$3=Таблица2[ФЕР/ТЕР])*(F160=Таблица2[Наименование работ])*(G160=Таблица2[ТПиР/НСиР])*Таблица2[СМР2013-10])</f>
        <v>0</v>
      </c>
      <c r="P160" s="63">
        <f>U160*SUMPRODUCT(($B$2=Таблица2[Филиал])*($B$3=Таблица2[ФЕР/ТЕР])*(F160=Таблица2[Наименование работ])*(G160=Таблица2[ТПиР/НСиР])*Таблица2[ПНР2013-10])</f>
        <v>0</v>
      </c>
      <c r="Q160" s="63">
        <f>V160*SUMPRODUCT(($B$2=Таблица2[Филиал])*($B$3=Таблица2[ФЕР/ТЕР])*(F160=Таблица2[Наименование работ])*(G160=Таблица2[ТПиР/НСиР])*Таблица2[Оборудование2013-10])</f>
        <v>0</v>
      </c>
      <c r="R160" s="63">
        <f>W160*SUMPRODUCT(($B$2=Таблица2[Филиал])*($B$3=Таблица2[ФЕР/ТЕР])*(F160=Таблица2[Наименование работ])*(G160=Таблица2[ТПиР/НСиР])*Таблица2[Прочие2013-10])</f>
        <v>0</v>
      </c>
      <c r="S160" s="63">
        <f>IF($B$4="в базовых ценах",калькулятор!J165,X160*SUMPRODUCT(($B$2=Таблица2[Филиал])*($B$3=Таблица2[ФЕР/ТЕР])*(F160=Таблица2[Наименование работ])*(G160=Таблица2[ТПиР/НСиР])/Таблица2[ПИР2013]))</f>
        <v>0</v>
      </c>
      <c r="T160" s="63">
        <f>IF($B$4="в базовых ценах",калькулятор!K165,Y160*SUMPRODUCT(($B$2=Таблица2[Филиал])*($B$3=Таблица2[ФЕР/ТЕР])*(F160=Таблица2[Наименование работ])*(G160=Таблица2[ТПиР/НСиР])/Таблица2[СМР2013]))</f>
        <v>0</v>
      </c>
      <c r="U160" s="63">
        <f>IF($B$4="в базовых ценах",калькулятор!L165,Z160*SUMPRODUCT(($B$2=Таблица2[Филиал])*($B$3=Таблица2[ФЕР/ТЕР])*(F160=Таблица2[Наименование работ])*(G160=Таблица2[ТПиР/НСиР])/Таблица2[ПНР2013]))</f>
        <v>0</v>
      </c>
      <c r="V160" s="63">
        <f>IF($B$4="в базовых ценах",калькулятор!M165,AA160*SUMPRODUCT(($B$2=Таблица2[Филиал])*($B$3=Таблица2[ФЕР/ТЕР])*(F160=Таблица2[Наименование работ])*(G160=Таблица2[ТПиР/НСиР])/Таблица2[Оборудование2013]))</f>
        <v>0</v>
      </c>
      <c r="W160" s="63">
        <f>IF($B$4="в базовых ценах",калькулятор!N165,AB160*SUMPRODUCT(($B$2=Таблица2[Филиал])*($B$3=Таблица2[ФЕР/ТЕР])*(F160=Таблица2[Наименование работ])*(G160=Таблица2[ТПиР/НСиР])/Таблица2[Прочие3]))</f>
        <v>0</v>
      </c>
      <c r="X160" s="63">
        <f>IF($B$4="в текущих ценах",калькулятор!J165,S160*SUMPRODUCT(($B$2=Таблица2[Филиал])*($B$3=Таблица2[ФЕР/ТЕР])*(F160=Таблица2[Наименование работ])*(G160=Таблица2[ТПиР/НСиР])*Таблица2[ПИР2013]))</f>
        <v>0</v>
      </c>
      <c r="Y160" s="63">
        <f>IF($B$4="в текущих ценах",калькулятор!K165,T160*SUMPRODUCT(($B$2=Таблица2[Филиал])*($B$3=Таблица2[ФЕР/ТЕР])*(F160=Таблица2[Наименование работ])*(G160=Таблица2[ТПиР/НСиР])*Таблица2[СМР2013]))</f>
        <v>0</v>
      </c>
      <c r="Z160" s="63">
        <f>IF($B$4="в текущих ценах",калькулятор!L165,U160*SUMPRODUCT(($B$2=Таблица2[Филиал])*($B$3=Таблица2[ФЕР/ТЕР])*(F160=Таблица2[Наименование работ])*(G160=Таблица2[ТПиР/НСиР])*Таблица2[ПНР2013]))</f>
        <v>0</v>
      </c>
      <c r="AA160" s="63">
        <f>IF($B$4="в текущих ценах",калькулятор!M165,V160*SUMPRODUCT(($B$2=Таблица2[Филиал])*($B$3=Таблица2[ФЕР/ТЕР])*(F160=Таблица2[Наименование работ])*(G160=Таблица2[ТПиР/НСиР])*Таблица2[Оборудование2013]))</f>
        <v>0</v>
      </c>
      <c r="AB160" s="63">
        <f>IF($B$4="в текущих ценах",калькулятор!N165,W160*SUMPRODUCT(($B$2=Таблица2[Филиал])*($B$3=Таблица2[ФЕР/ТЕР])*(F160=Таблица2[Наименование работ])*(G160=Таблица2[ТПиР/НСиР])*Таблица2[Прочие3]))</f>
        <v>0</v>
      </c>
      <c r="AC160" s="63">
        <f>SUM(данные!$I160:$M160)</f>
        <v>0</v>
      </c>
      <c r="AD160" s="63">
        <f>IF(SUM(данные!$N160:$R160)&gt;данные!$AF160,данные!$AF160*0.9*1.058,SUM(данные!$N160:$R160))</f>
        <v>0</v>
      </c>
      <c r="AE160" s="63">
        <f>SUM(данные!$S160:$W160)</f>
        <v>0</v>
      </c>
      <c r="AF160" s="63">
        <f>SUM(данные!$X160:$AB160)</f>
        <v>0</v>
      </c>
      <c r="AG160" s="63">
        <f>IF($B$4="в текущих ценах",S160*SUMPRODUCT(($B$2=Таблица2[Филиал])*($B$3=Таблица2[ФЕР/ТЕР])*(F160=Таблица2[Наименование работ])*(G160=Таблица2[ТПиР/НСиР])*Таблица2[ПИР2012]),S160*SUMPRODUCT(($B$2=Таблица2[Филиал])*($B$3=Таблица2[ФЕР/ТЕР])*(F160=Таблица2[Наименование работ])*(G160=Таблица2[ТПиР/НСиР])*Таблица2[ПИР2012]))</f>
        <v>0</v>
      </c>
      <c r="AH160" s="63">
        <f>IF($B$4="в текущих ценах",T160*SUMPRODUCT(($B$2=Таблица2[Филиал])*($B$3=Таблица2[ФЕР/ТЕР])*(F160=Таблица2[Наименование работ])*(G160=Таблица2[ТПиР/НСиР])*Таблица2[СМР2012]),T160*SUMPRODUCT(($B$2=Таблица2[Филиал])*($B$3=Таблица2[ФЕР/ТЕР])*(F160=Таблица2[Наименование работ])*(G160=Таблица2[ТПиР/НСиР])*Таблица2[СМР2012]))</f>
        <v>0</v>
      </c>
      <c r="AI160" s="63">
        <f>IF($B$4="в текущих ценах",U160*SUMPRODUCT(($B$2=Таблица2[Филиал])*($B$3=Таблица2[ФЕР/ТЕР])*(F160=Таблица2[Наименование работ])*(G160=Таблица2[ТПиР/НСиР])*Таблица2[ПНР2012]),U160*SUMPRODUCT(($B$2=Таблица2[Филиал])*($B$3=Таблица2[ФЕР/ТЕР])*(F160=Таблица2[Наименование работ])*(G160=Таблица2[ТПиР/НСиР])*Таблица2[ПНР2012]))</f>
        <v>0</v>
      </c>
      <c r="AJ160" s="63">
        <f>IF($B$4="в текущих ценах",V160*SUMPRODUCT(($B$2=Таблица2[Филиал])*($B$3=Таблица2[ФЕР/ТЕР])*(F160=Таблица2[Наименование работ])*(G160=Таблица2[ТПиР/НСиР])*Таблица2[Оборудование2012]),V160*SUMPRODUCT(($B$2=Таблица2[Филиал])*($B$3=Таблица2[ФЕР/ТЕР])*(F160=Таблица2[Наименование работ])*(G160=Таблица2[ТПиР/НСиР])*Таблица2[Оборудование2012]))</f>
        <v>0</v>
      </c>
      <c r="AK160" s="63">
        <f>IF($B$4="в текущих ценах",W160*SUMPRODUCT(($B$2=Таблица2[Филиал])*($B$3=Таблица2[ФЕР/ТЕР])*(F160=Таблица2[Наименование работ])*(G160=Таблица2[ТПиР/НСиР])*Таблица2[Прочее2012]),W160*SUMPRODUCT(($B$2=Таблица2[Филиал])*($B$3=Таблица2[ФЕР/ТЕР])*(F160=Таблица2[Наименование работ])*(G160=Таблица2[ТПиР/НСиР])*Таблица2[Прочее2012]))</f>
        <v>0</v>
      </c>
      <c r="AL160" s="63">
        <f>данные!$X160+данные!$Y160+данные!$Z160+данные!$AA160+данные!$AB160</f>
        <v>0</v>
      </c>
      <c r="AM160" s="63">
        <v>1.03639035</v>
      </c>
      <c r="AN160" s="63">
        <v>1.0114049394</v>
      </c>
      <c r="AO160" s="63">
        <v>0.98210394336149998</v>
      </c>
      <c r="AP160" s="63">
        <v>0.93762413895893393</v>
      </c>
      <c r="AQ160" s="63"/>
      <c r="AR160" s="63"/>
      <c r="AS160" s="64"/>
      <c r="AU160" s="66">
        <f t="shared" si="12"/>
        <v>0</v>
      </c>
      <c r="AX160" s="66">
        <f t="shared" si="13"/>
        <v>0</v>
      </c>
      <c r="AY160" s="66">
        <f t="shared" si="14"/>
        <v>0</v>
      </c>
      <c r="AZ160" s="66">
        <f t="shared" si="15"/>
        <v>0</v>
      </c>
      <c r="BA160" s="66">
        <f t="shared" si="16"/>
        <v>0</v>
      </c>
      <c r="BB160" s="66">
        <f t="shared" si="17"/>
        <v>0</v>
      </c>
    </row>
    <row r="161" spans="4:54" x14ac:dyDescent="0.25">
      <c r="D161" s="62">
        <f>калькулятор!C166</f>
        <v>0</v>
      </c>
      <c r="E161" s="62">
        <f>калькулятор!F166</f>
        <v>0</v>
      </c>
      <c r="F161" s="62">
        <f>калькулятор!G166</f>
        <v>0</v>
      </c>
      <c r="G161" s="62">
        <f>калькулятор!H166</f>
        <v>0</v>
      </c>
      <c r="H161" s="62">
        <f>калькулятор!I166</f>
        <v>0</v>
      </c>
      <c r="I161" s="63">
        <f>S161*SUMPRODUCT(($B$2=Таблица2[Филиал])*($B$3=Таблица2[ФЕР/ТЕР])*(F161=Таблица2[Наименование работ])*(G161=Таблица2[ТПиР/НСиР])*Таблица2[ПИР2010])</f>
        <v>0</v>
      </c>
      <c r="J161" s="63">
        <f>T161*SUMPRODUCT(($B$2=Таблица2[Филиал])*($B$3=Таблица2[ФЕР/ТЕР])*(F161=Таблица2[Наименование работ])*(G161=Таблица2[ТПиР/НСиР])*Таблица2[СМР2010])</f>
        <v>0</v>
      </c>
      <c r="K161" s="63">
        <f>U161*SUMPRODUCT(($B$2=Таблица2[Филиал])*($B$3=Таблица2[ФЕР/ТЕР])*(F161=Таблица2[Наименование работ])*(G161=Таблица2[ТПиР/НСиР])*Таблица2[ПНР2010])</f>
        <v>0</v>
      </c>
      <c r="L161" s="63">
        <f>V161*SUMPRODUCT(($B$2=Таблица2[Филиал])*($B$3=Таблица2[ФЕР/ТЕР])*(F161=Таблица2[Наименование работ])*(G161=Таблица2[ТПиР/НСиР])*Таблица2[Оборудование2010])</f>
        <v>0</v>
      </c>
      <c r="M161" s="63">
        <f>W161*SUMPRODUCT(($B$2=Таблица2[Филиал])*($B$3=Таблица2[ФЕР/ТЕР])*(F161=Таблица2[Наименование работ])*(G161=Таблица2[ТПиР/НСиР])*Таблица2[Прочие2010])</f>
        <v>0</v>
      </c>
      <c r="N161" s="63">
        <f>S161*SUMPRODUCT(($B$2=Таблица2[Филиал])*($B$3=Таблица2[ФЕР/ТЕР])*(F161=Таблица2[Наименование работ])*(G161=Таблица2[ТПиР/НСиР])*Таблица2[ПИР2013-10])</f>
        <v>0</v>
      </c>
      <c r="O161" s="63">
        <f>T161*SUMPRODUCT(($B$2=Таблица2[Филиал])*($B$3=Таблица2[ФЕР/ТЕР])*(F161=Таблица2[Наименование работ])*(G161=Таблица2[ТПиР/НСиР])*Таблица2[СМР2013-10])</f>
        <v>0</v>
      </c>
      <c r="P161" s="63">
        <f>U161*SUMPRODUCT(($B$2=Таблица2[Филиал])*($B$3=Таблица2[ФЕР/ТЕР])*(F161=Таблица2[Наименование работ])*(G161=Таблица2[ТПиР/НСиР])*Таблица2[ПНР2013-10])</f>
        <v>0</v>
      </c>
      <c r="Q161" s="63">
        <f>V161*SUMPRODUCT(($B$2=Таблица2[Филиал])*($B$3=Таблица2[ФЕР/ТЕР])*(F161=Таблица2[Наименование работ])*(G161=Таблица2[ТПиР/НСиР])*Таблица2[Оборудование2013-10])</f>
        <v>0</v>
      </c>
      <c r="R161" s="63">
        <f>W161*SUMPRODUCT(($B$2=Таблица2[Филиал])*($B$3=Таблица2[ФЕР/ТЕР])*(F161=Таблица2[Наименование работ])*(G161=Таблица2[ТПиР/НСиР])*Таблица2[Прочие2013-10])</f>
        <v>0</v>
      </c>
      <c r="S161" s="63">
        <f>IF($B$4="в базовых ценах",калькулятор!J166,X161*SUMPRODUCT(($B$2=Таблица2[Филиал])*($B$3=Таблица2[ФЕР/ТЕР])*(F161=Таблица2[Наименование работ])*(G161=Таблица2[ТПиР/НСиР])/Таблица2[ПИР2013]))</f>
        <v>0</v>
      </c>
      <c r="T161" s="63">
        <f>IF($B$4="в базовых ценах",калькулятор!K166,Y161*SUMPRODUCT(($B$2=Таблица2[Филиал])*($B$3=Таблица2[ФЕР/ТЕР])*(F161=Таблица2[Наименование работ])*(G161=Таблица2[ТПиР/НСиР])/Таблица2[СМР2013]))</f>
        <v>0</v>
      </c>
      <c r="U161" s="63">
        <f>IF($B$4="в базовых ценах",калькулятор!L166,Z161*SUMPRODUCT(($B$2=Таблица2[Филиал])*($B$3=Таблица2[ФЕР/ТЕР])*(F161=Таблица2[Наименование работ])*(G161=Таблица2[ТПиР/НСиР])/Таблица2[ПНР2013]))</f>
        <v>0</v>
      </c>
      <c r="V161" s="63">
        <f>IF($B$4="в базовых ценах",калькулятор!M166,AA161*SUMPRODUCT(($B$2=Таблица2[Филиал])*($B$3=Таблица2[ФЕР/ТЕР])*(F161=Таблица2[Наименование работ])*(G161=Таблица2[ТПиР/НСиР])/Таблица2[Оборудование2013]))</f>
        <v>0</v>
      </c>
      <c r="W161" s="63">
        <f>IF($B$4="в базовых ценах",калькулятор!N166,AB161*SUMPRODUCT(($B$2=Таблица2[Филиал])*($B$3=Таблица2[ФЕР/ТЕР])*(F161=Таблица2[Наименование работ])*(G161=Таблица2[ТПиР/НСиР])/Таблица2[Прочие3]))</f>
        <v>0</v>
      </c>
      <c r="X161" s="63">
        <f>IF($B$4="в текущих ценах",калькулятор!J166,S161*SUMPRODUCT(($B$2=Таблица2[Филиал])*($B$3=Таблица2[ФЕР/ТЕР])*(F161=Таблица2[Наименование работ])*(G161=Таблица2[ТПиР/НСиР])*Таблица2[ПИР2013]))</f>
        <v>0</v>
      </c>
      <c r="Y161" s="63">
        <f>IF($B$4="в текущих ценах",калькулятор!K166,T161*SUMPRODUCT(($B$2=Таблица2[Филиал])*($B$3=Таблица2[ФЕР/ТЕР])*(F161=Таблица2[Наименование работ])*(G161=Таблица2[ТПиР/НСиР])*Таблица2[СМР2013]))</f>
        <v>0</v>
      </c>
      <c r="Z161" s="63">
        <f>IF($B$4="в текущих ценах",калькулятор!L166,U161*SUMPRODUCT(($B$2=Таблица2[Филиал])*($B$3=Таблица2[ФЕР/ТЕР])*(F161=Таблица2[Наименование работ])*(G161=Таблица2[ТПиР/НСиР])*Таблица2[ПНР2013]))</f>
        <v>0</v>
      </c>
      <c r="AA161" s="63">
        <f>IF($B$4="в текущих ценах",калькулятор!M166,V161*SUMPRODUCT(($B$2=Таблица2[Филиал])*($B$3=Таблица2[ФЕР/ТЕР])*(F161=Таблица2[Наименование работ])*(G161=Таблица2[ТПиР/НСиР])*Таблица2[Оборудование2013]))</f>
        <v>0</v>
      </c>
      <c r="AB161" s="63">
        <f>IF($B$4="в текущих ценах",калькулятор!N166,W161*SUMPRODUCT(($B$2=Таблица2[Филиал])*($B$3=Таблица2[ФЕР/ТЕР])*(F161=Таблица2[Наименование работ])*(G161=Таблица2[ТПиР/НСиР])*Таблица2[Прочие3]))</f>
        <v>0</v>
      </c>
      <c r="AC161" s="63">
        <f>SUM(данные!$I161:$M161)</f>
        <v>0</v>
      </c>
      <c r="AD161" s="63">
        <f>IF(SUM(данные!$N161:$R161)&gt;данные!$AF161,данные!$AF161*0.9*1.058,SUM(данные!$N161:$R161))</f>
        <v>0</v>
      </c>
      <c r="AE161" s="63">
        <f>SUM(данные!$S161:$W161)</f>
        <v>0</v>
      </c>
      <c r="AF161" s="63">
        <f>SUM(данные!$X161:$AB161)</f>
        <v>0</v>
      </c>
      <c r="AG161" s="63">
        <f>IF($B$4="в текущих ценах",S161*SUMPRODUCT(($B$2=Таблица2[Филиал])*($B$3=Таблица2[ФЕР/ТЕР])*(F161=Таблица2[Наименование работ])*(G161=Таблица2[ТПиР/НСиР])*Таблица2[ПИР2012]),S161*SUMPRODUCT(($B$2=Таблица2[Филиал])*($B$3=Таблица2[ФЕР/ТЕР])*(F161=Таблица2[Наименование работ])*(G161=Таблица2[ТПиР/НСиР])*Таблица2[ПИР2012]))</f>
        <v>0</v>
      </c>
      <c r="AH161" s="63">
        <f>IF($B$4="в текущих ценах",T161*SUMPRODUCT(($B$2=Таблица2[Филиал])*($B$3=Таблица2[ФЕР/ТЕР])*(F161=Таблица2[Наименование работ])*(G161=Таблица2[ТПиР/НСиР])*Таблица2[СМР2012]),T161*SUMPRODUCT(($B$2=Таблица2[Филиал])*($B$3=Таблица2[ФЕР/ТЕР])*(F161=Таблица2[Наименование работ])*(G161=Таблица2[ТПиР/НСиР])*Таблица2[СМР2012]))</f>
        <v>0</v>
      </c>
      <c r="AI161" s="63">
        <f>IF($B$4="в текущих ценах",U161*SUMPRODUCT(($B$2=Таблица2[Филиал])*($B$3=Таблица2[ФЕР/ТЕР])*(F161=Таблица2[Наименование работ])*(G161=Таблица2[ТПиР/НСиР])*Таблица2[ПНР2012]),U161*SUMPRODUCT(($B$2=Таблица2[Филиал])*($B$3=Таблица2[ФЕР/ТЕР])*(F161=Таблица2[Наименование работ])*(G161=Таблица2[ТПиР/НСиР])*Таблица2[ПНР2012]))</f>
        <v>0</v>
      </c>
      <c r="AJ161" s="63">
        <f>IF($B$4="в текущих ценах",V161*SUMPRODUCT(($B$2=Таблица2[Филиал])*($B$3=Таблица2[ФЕР/ТЕР])*(F161=Таблица2[Наименование работ])*(G161=Таблица2[ТПиР/НСиР])*Таблица2[Оборудование2012]),V161*SUMPRODUCT(($B$2=Таблица2[Филиал])*($B$3=Таблица2[ФЕР/ТЕР])*(F161=Таблица2[Наименование работ])*(G161=Таблица2[ТПиР/НСиР])*Таблица2[Оборудование2012]))</f>
        <v>0</v>
      </c>
      <c r="AK161" s="63">
        <f>IF($B$4="в текущих ценах",W161*SUMPRODUCT(($B$2=Таблица2[Филиал])*($B$3=Таблица2[ФЕР/ТЕР])*(F161=Таблица2[Наименование работ])*(G161=Таблица2[ТПиР/НСиР])*Таблица2[Прочее2012]),W161*SUMPRODUCT(($B$2=Таблица2[Филиал])*($B$3=Таблица2[ФЕР/ТЕР])*(F161=Таблица2[Наименование работ])*(G161=Таблица2[ТПиР/НСиР])*Таблица2[Прочее2012]))</f>
        <v>0</v>
      </c>
      <c r="AL161" s="63">
        <f>данные!$X161+данные!$Y161+данные!$Z161+данные!$AA161+данные!$AB161</f>
        <v>0</v>
      </c>
      <c r="AM161" s="63">
        <v>1.03639035</v>
      </c>
      <c r="AN161" s="63">
        <v>1.0114049394</v>
      </c>
      <c r="AO161" s="63">
        <v>0.98210394336149998</v>
      </c>
      <c r="AP161" s="63">
        <v>0.93762413895893393</v>
      </c>
      <c r="AQ161" s="63"/>
      <c r="AR161" s="63"/>
      <c r="AS161" s="64"/>
      <c r="AU161" s="66">
        <f t="shared" si="12"/>
        <v>0</v>
      </c>
      <c r="AX161" s="66">
        <f t="shared" si="13"/>
        <v>0</v>
      </c>
      <c r="AY161" s="66">
        <f t="shared" si="14"/>
        <v>0</v>
      </c>
      <c r="AZ161" s="66">
        <f t="shared" si="15"/>
        <v>0</v>
      </c>
      <c r="BA161" s="66">
        <f t="shared" si="16"/>
        <v>0</v>
      </c>
      <c r="BB161" s="66">
        <f t="shared" si="17"/>
        <v>0</v>
      </c>
    </row>
    <row r="162" spans="4:54" x14ac:dyDescent="0.25">
      <c r="D162" s="62">
        <f>калькулятор!C167</f>
        <v>0</v>
      </c>
      <c r="E162" s="62">
        <f>калькулятор!F167</f>
        <v>0</v>
      </c>
      <c r="F162" s="62">
        <f>калькулятор!G167</f>
        <v>0</v>
      </c>
      <c r="G162" s="62">
        <f>калькулятор!H167</f>
        <v>0</v>
      </c>
      <c r="H162" s="62">
        <f>калькулятор!I167</f>
        <v>0</v>
      </c>
      <c r="I162" s="63">
        <f>S162*SUMPRODUCT(($B$2=Таблица2[Филиал])*($B$3=Таблица2[ФЕР/ТЕР])*(F162=Таблица2[Наименование работ])*(G162=Таблица2[ТПиР/НСиР])*Таблица2[ПИР2010])</f>
        <v>0</v>
      </c>
      <c r="J162" s="63">
        <f>T162*SUMPRODUCT(($B$2=Таблица2[Филиал])*($B$3=Таблица2[ФЕР/ТЕР])*(F162=Таблица2[Наименование работ])*(G162=Таблица2[ТПиР/НСиР])*Таблица2[СМР2010])</f>
        <v>0</v>
      </c>
      <c r="K162" s="63">
        <f>U162*SUMPRODUCT(($B$2=Таблица2[Филиал])*($B$3=Таблица2[ФЕР/ТЕР])*(F162=Таблица2[Наименование работ])*(G162=Таблица2[ТПиР/НСиР])*Таблица2[ПНР2010])</f>
        <v>0</v>
      </c>
      <c r="L162" s="63">
        <f>V162*SUMPRODUCT(($B$2=Таблица2[Филиал])*($B$3=Таблица2[ФЕР/ТЕР])*(F162=Таблица2[Наименование работ])*(G162=Таблица2[ТПиР/НСиР])*Таблица2[Оборудование2010])</f>
        <v>0</v>
      </c>
      <c r="M162" s="63">
        <f>W162*SUMPRODUCT(($B$2=Таблица2[Филиал])*($B$3=Таблица2[ФЕР/ТЕР])*(F162=Таблица2[Наименование работ])*(G162=Таблица2[ТПиР/НСиР])*Таблица2[Прочие2010])</f>
        <v>0</v>
      </c>
      <c r="N162" s="63">
        <f>S162*SUMPRODUCT(($B$2=Таблица2[Филиал])*($B$3=Таблица2[ФЕР/ТЕР])*(F162=Таблица2[Наименование работ])*(G162=Таблица2[ТПиР/НСиР])*Таблица2[ПИР2013-10])</f>
        <v>0</v>
      </c>
      <c r="O162" s="63">
        <f>T162*SUMPRODUCT(($B$2=Таблица2[Филиал])*($B$3=Таблица2[ФЕР/ТЕР])*(F162=Таблица2[Наименование работ])*(G162=Таблица2[ТПиР/НСиР])*Таблица2[СМР2013-10])</f>
        <v>0</v>
      </c>
      <c r="P162" s="63">
        <f>U162*SUMPRODUCT(($B$2=Таблица2[Филиал])*($B$3=Таблица2[ФЕР/ТЕР])*(F162=Таблица2[Наименование работ])*(G162=Таблица2[ТПиР/НСиР])*Таблица2[ПНР2013-10])</f>
        <v>0</v>
      </c>
      <c r="Q162" s="63">
        <f>V162*SUMPRODUCT(($B$2=Таблица2[Филиал])*($B$3=Таблица2[ФЕР/ТЕР])*(F162=Таблица2[Наименование работ])*(G162=Таблица2[ТПиР/НСиР])*Таблица2[Оборудование2013-10])</f>
        <v>0</v>
      </c>
      <c r="R162" s="63">
        <f>W162*SUMPRODUCT(($B$2=Таблица2[Филиал])*($B$3=Таблица2[ФЕР/ТЕР])*(F162=Таблица2[Наименование работ])*(G162=Таблица2[ТПиР/НСиР])*Таблица2[Прочие2013-10])</f>
        <v>0</v>
      </c>
      <c r="S162" s="63">
        <f>IF($B$4="в базовых ценах",калькулятор!J167,X162*SUMPRODUCT(($B$2=Таблица2[Филиал])*($B$3=Таблица2[ФЕР/ТЕР])*(F162=Таблица2[Наименование работ])*(G162=Таблица2[ТПиР/НСиР])/Таблица2[ПИР2013]))</f>
        <v>0</v>
      </c>
      <c r="T162" s="63">
        <f>IF($B$4="в базовых ценах",калькулятор!K167,Y162*SUMPRODUCT(($B$2=Таблица2[Филиал])*($B$3=Таблица2[ФЕР/ТЕР])*(F162=Таблица2[Наименование работ])*(G162=Таблица2[ТПиР/НСиР])/Таблица2[СМР2013]))</f>
        <v>0</v>
      </c>
      <c r="U162" s="63">
        <f>IF($B$4="в базовых ценах",калькулятор!L167,Z162*SUMPRODUCT(($B$2=Таблица2[Филиал])*($B$3=Таблица2[ФЕР/ТЕР])*(F162=Таблица2[Наименование работ])*(G162=Таблица2[ТПиР/НСиР])/Таблица2[ПНР2013]))</f>
        <v>0</v>
      </c>
      <c r="V162" s="63">
        <f>IF($B$4="в базовых ценах",калькулятор!M167,AA162*SUMPRODUCT(($B$2=Таблица2[Филиал])*($B$3=Таблица2[ФЕР/ТЕР])*(F162=Таблица2[Наименование работ])*(G162=Таблица2[ТПиР/НСиР])/Таблица2[Оборудование2013]))</f>
        <v>0</v>
      </c>
      <c r="W162" s="63">
        <f>IF($B$4="в базовых ценах",калькулятор!N167,AB162*SUMPRODUCT(($B$2=Таблица2[Филиал])*($B$3=Таблица2[ФЕР/ТЕР])*(F162=Таблица2[Наименование работ])*(G162=Таблица2[ТПиР/НСиР])/Таблица2[Прочие3]))</f>
        <v>0</v>
      </c>
      <c r="X162" s="63">
        <f>IF($B$4="в текущих ценах",калькулятор!J167,S162*SUMPRODUCT(($B$2=Таблица2[Филиал])*($B$3=Таблица2[ФЕР/ТЕР])*(F162=Таблица2[Наименование работ])*(G162=Таблица2[ТПиР/НСиР])*Таблица2[ПИР2013]))</f>
        <v>0</v>
      </c>
      <c r="Y162" s="63">
        <f>IF($B$4="в текущих ценах",калькулятор!K167,T162*SUMPRODUCT(($B$2=Таблица2[Филиал])*($B$3=Таблица2[ФЕР/ТЕР])*(F162=Таблица2[Наименование работ])*(G162=Таблица2[ТПиР/НСиР])*Таблица2[СМР2013]))</f>
        <v>0</v>
      </c>
      <c r="Z162" s="63">
        <f>IF($B$4="в текущих ценах",калькулятор!L167,U162*SUMPRODUCT(($B$2=Таблица2[Филиал])*($B$3=Таблица2[ФЕР/ТЕР])*(F162=Таблица2[Наименование работ])*(G162=Таблица2[ТПиР/НСиР])*Таблица2[ПНР2013]))</f>
        <v>0</v>
      </c>
      <c r="AA162" s="63">
        <f>IF($B$4="в текущих ценах",калькулятор!M167,V162*SUMPRODUCT(($B$2=Таблица2[Филиал])*($B$3=Таблица2[ФЕР/ТЕР])*(F162=Таблица2[Наименование работ])*(G162=Таблица2[ТПиР/НСиР])*Таблица2[Оборудование2013]))</f>
        <v>0</v>
      </c>
      <c r="AB162" s="63">
        <f>IF($B$4="в текущих ценах",калькулятор!N167,W162*SUMPRODUCT(($B$2=Таблица2[Филиал])*($B$3=Таблица2[ФЕР/ТЕР])*(F162=Таблица2[Наименование работ])*(G162=Таблица2[ТПиР/НСиР])*Таблица2[Прочие3]))</f>
        <v>0</v>
      </c>
      <c r="AC162" s="63">
        <f>SUM(данные!$I162:$M162)</f>
        <v>0</v>
      </c>
      <c r="AD162" s="63">
        <f>IF(SUM(данные!$N162:$R162)&gt;данные!$AF162,данные!$AF162*0.9*1.058,SUM(данные!$N162:$R162))</f>
        <v>0</v>
      </c>
      <c r="AE162" s="63">
        <f>SUM(данные!$S162:$W162)</f>
        <v>0</v>
      </c>
      <c r="AF162" s="63">
        <f>SUM(данные!$X162:$AB162)</f>
        <v>0</v>
      </c>
      <c r="AG162" s="63">
        <f>IF($B$4="в текущих ценах",S162*SUMPRODUCT(($B$2=Таблица2[Филиал])*($B$3=Таблица2[ФЕР/ТЕР])*(F162=Таблица2[Наименование работ])*(G162=Таблица2[ТПиР/НСиР])*Таблица2[ПИР2012]),S162*SUMPRODUCT(($B$2=Таблица2[Филиал])*($B$3=Таблица2[ФЕР/ТЕР])*(F162=Таблица2[Наименование работ])*(G162=Таблица2[ТПиР/НСиР])*Таблица2[ПИР2012]))</f>
        <v>0</v>
      </c>
      <c r="AH162" s="63">
        <f>IF($B$4="в текущих ценах",T162*SUMPRODUCT(($B$2=Таблица2[Филиал])*($B$3=Таблица2[ФЕР/ТЕР])*(F162=Таблица2[Наименование работ])*(G162=Таблица2[ТПиР/НСиР])*Таблица2[СМР2012]),T162*SUMPRODUCT(($B$2=Таблица2[Филиал])*($B$3=Таблица2[ФЕР/ТЕР])*(F162=Таблица2[Наименование работ])*(G162=Таблица2[ТПиР/НСиР])*Таблица2[СМР2012]))</f>
        <v>0</v>
      </c>
      <c r="AI162" s="63">
        <f>IF($B$4="в текущих ценах",U162*SUMPRODUCT(($B$2=Таблица2[Филиал])*($B$3=Таблица2[ФЕР/ТЕР])*(F162=Таблица2[Наименование работ])*(G162=Таблица2[ТПиР/НСиР])*Таблица2[ПНР2012]),U162*SUMPRODUCT(($B$2=Таблица2[Филиал])*($B$3=Таблица2[ФЕР/ТЕР])*(F162=Таблица2[Наименование работ])*(G162=Таблица2[ТПиР/НСиР])*Таблица2[ПНР2012]))</f>
        <v>0</v>
      </c>
      <c r="AJ162" s="63">
        <f>IF($B$4="в текущих ценах",V162*SUMPRODUCT(($B$2=Таблица2[Филиал])*($B$3=Таблица2[ФЕР/ТЕР])*(F162=Таблица2[Наименование работ])*(G162=Таблица2[ТПиР/НСиР])*Таблица2[Оборудование2012]),V162*SUMPRODUCT(($B$2=Таблица2[Филиал])*($B$3=Таблица2[ФЕР/ТЕР])*(F162=Таблица2[Наименование работ])*(G162=Таблица2[ТПиР/НСиР])*Таблица2[Оборудование2012]))</f>
        <v>0</v>
      </c>
      <c r="AK162" s="63">
        <f>IF($B$4="в текущих ценах",W162*SUMPRODUCT(($B$2=Таблица2[Филиал])*($B$3=Таблица2[ФЕР/ТЕР])*(F162=Таблица2[Наименование работ])*(G162=Таблица2[ТПиР/НСиР])*Таблица2[Прочее2012]),W162*SUMPRODUCT(($B$2=Таблица2[Филиал])*($B$3=Таблица2[ФЕР/ТЕР])*(F162=Таблица2[Наименование работ])*(G162=Таблица2[ТПиР/НСиР])*Таблица2[Прочее2012]))</f>
        <v>0</v>
      </c>
      <c r="AL162" s="63">
        <f>данные!$X162+данные!$Y162+данные!$Z162+данные!$AA162+данные!$AB162</f>
        <v>0</v>
      </c>
      <c r="AM162" s="63">
        <v>1.03639035</v>
      </c>
      <c r="AN162" s="63">
        <v>1.0114049394</v>
      </c>
      <c r="AO162" s="63">
        <v>0.98210394336149998</v>
      </c>
      <c r="AP162" s="63">
        <v>0.93762413895893393</v>
      </c>
      <c r="AQ162" s="63"/>
      <c r="AR162" s="63"/>
      <c r="AS162" s="64"/>
      <c r="AU162" s="66">
        <f t="shared" si="12"/>
        <v>0</v>
      </c>
      <c r="AX162" s="66">
        <f t="shared" si="13"/>
        <v>0</v>
      </c>
      <c r="AY162" s="66">
        <f t="shared" si="14"/>
        <v>0</v>
      </c>
      <c r="AZ162" s="66">
        <f t="shared" si="15"/>
        <v>0</v>
      </c>
      <c r="BA162" s="66">
        <f t="shared" si="16"/>
        <v>0</v>
      </c>
      <c r="BB162" s="66">
        <f t="shared" si="17"/>
        <v>0</v>
      </c>
    </row>
    <row r="163" spans="4:54" x14ac:dyDescent="0.25">
      <c r="D163" s="62">
        <f>калькулятор!C168</f>
        <v>0</v>
      </c>
      <c r="E163" s="62">
        <f>калькулятор!F168</f>
        <v>0</v>
      </c>
      <c r="F163" s="62">
        <f>калькулятор!G168</f>
        <v>0</v>
      </c>
      <c r="G163" s="62">
        <f>калькулятор!H168</f>
        <v>0</v>
      </c>
      <c r="H163" s="62">
        <f>калькулятор!I168</f>
        <v>0</v>
      </c>
      <c r="I163" s="63">
        <f>S163*SUMPRODUCT(($B$2=Таблица2[Филиал])*($B$3=Таблица2[ФЕР/ТЕР])*(F163=Таблица2[Наименование работ])*(G163=Таблица2[ТПиР/НСиР])*Таблица2[ПИР2010])</f>
        <v>0</v>
      </c>
      <c r="J163" s="63">
        <f>T163*SUMPRODUCT(($B$2=Таблица2[Филиал])*($B$3=Таблица2[ФЕР/ТЕР])*(F163=Таблица2[Наименование работ])*(G163=Таблица2[ТПиР/НСиР])*Таблица2[СМР2010])</f>
        <v>0</v>
      </c>
      <c r="K163" s="63">
        <f>U163*SUMPRODUCT(($B$2=Таблица2[Филиал])*($B$3=Таблица2[ФЕР/ТЕР])*(F163=Таблица2[Наименование работ])*(G163=Таблица2[ТПиР/НСиР])*Таблица2[ПНР2010])</f>
        <v>0</v>
      </c>
      <c r="L163" s="63">
        <f>V163*SUMPRODUCT(($B$2=Таблица2[Филиал])*($B$3=Таблица2[ФЕР/ТЕР])*(F163=Таблица2[Наименование работ])*(G163=Таблица2[ТПиР/НСиР])*Таблица2[Оборудование2010])</f>
        <v>0</v>
      </c>
      <c r="M163" s="63">
        <f>W163*SUMPRODUCT(($B$2=Таблица2[Филиал])*($B$3=Таблица2[ФЕР/ТЕР])*(F163=Таблица2[Наименование работ])*(G163=Таблица2[ТПиР/НСиР])*Таблица2[Прочие2010])</f>
        <v>0</v>
      </c>
      <c r="N163" s="63">
        <f>S163*SUMPRODUCT(($B$2=Таблица2[Филиал])*($B$3=Таблица2[ФЕР/ТЕР])*(F163=Таблица2[Наименование работ])*(G163=Таблица2[ТПиР/НСиР])*Таблица2[ПИР2013-10])</f>
        <v>0</v>
      </c>
      <c r="O163" s="63">
        <f>T163*SUMPRODUCT(($B$2=Таблица2[Филиал])*($B$3=Таблица2[ФЕР/ТЕР])*(F163=Таблица2[Наименование работ])*(G163=Таблица2[ТПиР/НСиР])*Таблица2[СМР2013-10])</f>
        <v>0</v>
      </c>
      <c r="P163" s="63">
        <f>U163*SUMPRODUCT(($B$2=Таблица2[Филиал])*($B$3=Таблица2[ФЕР/ТЕР])*(F163=Таблица2[Наименование работ])*(G163=Таблица2[ТПиР/НСиР])*Таблица2[ПНР2013-10])</f>
        <v>0</v>
      </c>
      <c r="Q163" s="63">
        <f>V163*SUMPRODUCT(($B$2=Таблица2[Филиал])*($B$3=Таблица2[ФЕР/ТЕР])*(F163=Таблица2[Наименование работ])*(G163=Таблица2[ТПиР/НСиР])*Таблица2[Оборудование2013-10])</f>
        <v>0</v>
      </c>
      <c r="R163" s="63">
        <f>W163*SUMPRODUCT(($B$2=Таблица2[Филиал])*($B$3=Таблица2[ФЕР/ТЕР])*(F163=Таблица2[Наименование работ])*(G163=Таблица2[ТПиР/НСиР])*Таблица2[Прочие2013-10])</f>
        <v>0</v>
      </c>
      <c r="S163" s="63">
        <f>IF($B$4="в базовых ценах",калькулятор!J168,X163*SUMPRODUCT(($B$2=Таблица2[Филиал])*($B$3=Таблица2[ФЕР/ТЕР])*(F163=Таблица2[Наименование работ])*(G163=Таблица2[ТПиР/НСиР])/Таблица2[ПИР2013]))</f>
        <v>0</v>
      </c>
      <c r="T163" s="63">
        <f>IF($B$4="в базовых ценах",калькулятор!K168,Y163*SUMPRODUCT(($B$2=Таблица2[Филиал])*($B$3=Таблица2[ФЕР/ТЕР])*(F163=Таблица2[Наименование работ])*(G163=Таблица2[ТПиР/НСиР])/Таблица2[СМР2013]))</f>
        <v>0</v>
      </c>
      <c r="U163" s="63">
        <f>IF($B$4="в базовых ценах",калькулятор!L168,Z163*SUMPRODUCT(($B$2=Таблица2[Филиал])*($B$3=Таблица2[ФЕР/ТЕР])*(F163=Таблица2[Наименование работ])*(G163=Таблица2[ТПиР/НСиР])/Таблица2[ПНР2013]))</f>
        <v>0</v>
      </c>
      <c r="V163" s="63">
        <f>IF($B$4="в базовых ценах",калькулятор!M168,AA163*SUMPRODUCT(($B$2=Таблица2[Филиал])*($B$3=Таблица2[ФЕР/ТЕР])*(F163=Таблица2[Наименование работ])*(G163=Таблица2[ТПиР/НСиР])/Таблица2[Оборудование2013]))</f>
        <v>0</v>
      </c>
      <c r="W163" s="63">
        <f>IF($B$4="в базовых ценах",калькулятор!N168,AB163*SUMPRODUCT(($B$2=Таблица2[Филиал])*($B$3=Таблица2[ФЕР/ТЕР])*(F163=Таблица2[Наименование работ])*(G163=Таблица2[ТПиР/НСиР])/Таблица2[Прочие3]))</f>
        <v>0</v>
      </c>
      <c r="X163" s="63">
        <f>IF($B$4="в текущих ценах",калькулятор!J168,S163*SUMPRODUCT(($B$2=Таблица2[Филиал])*($B$3=Таблица2[ФЕР/ТЕР])*(F163=Таблица2[Наименование работ])*(G163=Таблица2[ТПиР/НСиР])*Таблица2[ПИР2013]))</f>
        <v>0</v>
      </c>
      <c r="Y163" s="63">
        <f>IF($B$4="в текущих ценах",калькулятор!K168,T163*SUMPRODUCT(($B$2=Таблица2[Филиал])*($B$3=Таблица2[ФЕР/ТЕР])*(F163=Таблица2[Наименование работ])*(G163=Таблица2[ТПиР/НСиР])*Таблица2[СМР2013]))</f>
        <v>0</v>
      </c>
      <c r="Z163" s="63">
        <f>IF($B$4="в текущих ценах",калькулятор!L168,U163*SUMPRODUCT(($B$2=Таблица2[Филиал])*($B$3=Таблица2[ФЕР/ТЕР])*(F163=Таблица2[Наименование работ])*(G163=Таблица2[ТПиР/НСиР])*Таблица2[ПНР2013]))</f>
        <v>0</v>
      </c>
      <c r="AA163" s="63">
        <f>IF($B$4="в текущих ценах",калькулятор!M168,V163*SUMPRODUCT(($B$2=Таблица2[Филиал])*($B$3=Таблица2[ФЕР/ТЕР])*(F163=Таблица2[Наименование работ])*(G163=Таблица2[ТПиР/НСиР])*Таблица2[Оборудование2013]))</f>
        <v>0</v>
      </c>
      <c r="AB163" s="63">
        <f>IF($B$4="в текущих ценах",калькулятор!N168,W163*SUMPRODUCT(($B$2=Таблица2[Филиал])*($B$3=Таблица2[ФЕР/ТЕР])*(F163=Таблица2[Наименование работ])*(G163=Таблица2[ТПиР/НСиР])*Таблица2[Прочие3]))</f>
        <v>0</v>
      </c>
      <c r="AC163" s="63">
        <f>SUM(данные!$I163:$M163)</f>
        <v>0</v>
      </c>
      <c r="AD163" s="63">
        <f>IF(SUM(данные!$N163:$R163)&gt;данные!$AF163,данные!$AF163*0.9*1.058,SUM(данные!$N163:$R163))</f>
        <v>0</v>
      </c>
      <c r="AE163" s="63">
        <f>SUM(данные!$S163:$W163)</f>
        <v>0</v>
      </c>
      <c r="AF163" s="63">
        <f>SUM(данные!$X163:$AB163)</f>
        <v>0</v>
      </c>
      <c r="AG163" s="63">
        <f>IF($B$4="в текущих ценах",S163*SUMPRODUCT(($B$2=Таблица2[Филиал])*($B$3=Таблица2[ФЕР/ТЕР])*(F163=Таблица2[Наименование работ])*(G163=Таблица2[ТПиР/НСиР])*Таблица2[ПИР2012]),S163*SUMPRODUCT(($B$2=Таблица2[Филиал])*($B$3=Таблица2[ФЕР/ТЕР])*(F163=Таблица2[Наименование работ])*(G163=Таблица2[ТПиР/НСиР])*Таблица2[ПИР2012]))</f>
        <v>0</v>
      </c>
      <c r="AH163" s="63">
        <f>IF($B$4="в текущих ценах",T163*SUMPRODUCT(($B$2=Таблица2[Филиал])*($B$3=Таблица2[ФЕР/ТЕР])*(F163=Таблица2[Наименование работ])*(G163=Таблица2[ТПиР/НСиР])*Таблица2[СМР2012]),T163*SUMPRODUCT(($B$2=Таблица2[Филиал])*($B$3=Таблица2[ФЕР/ТЕР])*(F163=Таблица2[Наименование работ])*(G163=Таблица2[ТПиР/НСиР])*Таблица2[СМР2012]))</f>
        <v>0</v>
      </c>
      <c r="AI163" s="63">
        <f>IF($B$4="в текущих ценах",U163*SUMPRODUCT(($B$2=Таблица2[Филиал])*($B$3=Таблица2[ФЕР/ТЕР])*(F163=Таблица2[Наименование работ])*(G163=Таблица2[ТПиР/НСиР])*Таблица2[ПНР2012]),U163*SUMPRODUCT(($B$2=Таблица2[Филиал])*($B$3=Таблица2[ФЕР/ТЕР])*(F163=Таблица2[Наименование работ])*(G163=Таблица2[ТПиР/НСиР])*Таблица2[ПНР2012]))</f>
        <v>0</v>
      </c>
      <c r="AJ163" s="63">
        <f>IF($B$4="в текущих ценах",V163*SUMPRODUCT(($B$2=Таблица2[Филиал])*($B$3=Таблица2[ФЕР/ТЕР])*(F163=Таблица2[Наименование работ])*(G163=Таблица2[ТПиР/НСиР])*Таблица2[Оборудование2012]),V163*SUMPRODUCT(($B$2=Таблица2[Филиал])*($B$3=Таблица2[ФЕР/ТЕР])*(F163=Таблица2[Наименование работ])*(G163=Таблица2[ТПиР/НСиР])*Таблица2[Оборудование2012]))</f>
        <v>0</v>
      </c>
      <c r="AK163" s="63">
        <f>IF($B$4="в текущих ценах",W163*SUMPRODUCT(($B$2=Таблица2[Филиал])*($B$3=Таблица2[ФЕР/ТЕР])*(F163=Таблица2[Наименование работ])*(G163=Таблица2[ТПиР/НСиР])*Таблица2[Прочее2012]),W163*SUMPRODUCT(($B$2=Таблица2[Филиал])*($B$3=Таблица2[ФЕР/ТЕР])*(F163=Таблица2[Наименование работ])*(G163=Таблица2[ТПиР/НСиР])*Таблица2[Прочее2012]))</f>
        <v>0</v>
      </c>
      <c r="AL163" s="63">
        <f>данные!$X163+данные!$Y163+данные!$Z163+данные!$AA163+данные!$AB163</f>
        <v>0</v>
      </c>
      <c r="AM163" s="63">
        <v>1.03639035</v>
      </c>
      <c r="AN163" s="63">
        <v>1.0114049394</v>
      </c>
      <c r="AO163" s="63">
        <v>0.98210394336149998</v>
      </c>
      <c r="AP163" s="63">
        <v>0.93762413895893393</v>
      </c>
      <c r="AQ163" s="63"/>
      <c r="AR163" s="63"/>
      <c r="AS163" s="64"/>
      <c r="AU163" s="66">
        <f t="shared" si="12"/>
        <v>0</v>
      </c>
      <c r="AX163" s="66">
        <f t="shared" si="13"/>
        <v>0</v>
      </c>
      <c r="AY163" s="66">
        <f t="shared" si="14"/>
        <v>0</v>
      </c>
      <c r="AZ163" s="66">
        <f t="shared" si="15"/>
        <v>0</v>
      </c>
      <c r="BA163" s="66">
        <f t="shared" si="16"/>
        <v>0</v>
      </c>
      <c r="BB163" s="66">
        <f t="shared" si="17"/>
        <v>0</v>
      </c>
    </row>
    <row r="164" spans="4:54" x14ac:dyDescent="0.25">
      <c r="D164" s="62">
        <f>калькулятор!C169</f>
        <v>0</v>
      </c>
      <c r="E164" s="62">
        <f>калькулятор!F169</f>
        <v>0</v>
      </c>
      <c r="F164" s="62">
        <f>калькулятор!G169</f>
        <v>0</v>
      </c>
      <c r="G164" s="62">
        <f>калькулятор!H169</f>
        <v>0</v>
      </c>
      <c r="H164" s="62">
        <f>калькулятор!I169</f>
        <v>0</v>
      </c>
      <c r="I164" s="63">
        <f>S164*SUMPRODUCT(($B$2=Таблица2[Филиал])*($B$3=Таблица2[ФЕР/ТЕР])*(F164=Таблица2[Наименование работ])*(G164=Таблица2[ТПиР/НСиР])*Таблица2[ПИР2010])</f>
        <v>0</v>
      </c>
      <c r="J164" s="63">
        <f>T164*SUMPRODUCT(($B$2=Таблица2[Филиал])*($B$3=Таблица2[ФЕР/ТЕР])*(F164=Таблица2[Наименование работ])*(G164=Таблица2[ТПиР/НСиР])*Таблица2[СМР2010])</f>
        <v>0</v>
      </c>
      <c r="K164" s="63">
        <f>U164*SUMPRODUCT(($B$2=Таблица2[Филиал])*($B$3=Таблица2[ФЕР/ТЕР])*(F164=Таблица2[Наименование работ])*(G164=Таблица2[ТПиР/НСиР])*Таблица2[ПНР2010])</f>
        <v>0</v>
      </c>
      <c r="L164" s="63">
        <f>V164*SUMPRODUCT(($B$2=Таблица2[Филиал])*($B$3=Таблица2[ФЕР/ТЕР])*(F164=Таблица2[Наименование работ])*(G164=Таблица2[ТПиР/НСиР])*Таблица2[Оборудование2010])</f>
        <v>0</v>
      </c>
      <c r="M164" s="63">
        <f>W164*SUMPRODUCT(($B$2=Таблица2[Филиал])*($B$3=Таблица2[ФЕР/ТЕР])*(F164=Таблица2[Наименование работ])*(G164=Таблица2[ТПиР/НСиР])*Таблица2[Прочие2010])</f>
        <v>0</v>
      </c>
      <c r="N164" s="63">
        <f>S164*SUMPRODUCT(($B$2=Таблица2[Филиал])*($B$3=Таблица2[ФЕР/ТЕР])*(F164=Таблица2[Наименование работ])*(G164=Таблица2[ТПиР/НСиР])*Таблица2[ПИР2013-10])</f>
        <v>0</v>
      </c>
      <c r="O164" s="63">
        <f>T164*SUMPRODUCT(($B$2=Таблица2[Филиал])*($B$3=Таблица2[ФЕР/ТЕР])*(F164=Таблица2[Наименование работ])*(G164=Таблица2[ТПиР/НСиР])*Таблица2[СМР2013-10])</f>
        <v>0</v>
      </c>
      <c r="P164" s="63">
        <f>U164*SUMPRODUCT(($B$2=Таблица2[Филиал])*($B$3=Таблица2[ФЕР/ТЕР])*(F164=Таблица2[Наименование работ])*(G164=Таблица2[ТПиР/НСиР])*Таблица2[ПНР2013-10])</f>
        <v>0</v>
      </c>
      <c r="Q164" s="63">
        <f>V164*SUMPRODUCT(($B$2=Таблица2[Филиал])*($B$3=Таблица2[ФЕР/ТЕР])*(F164=Таблица2[Наименование работ])*(G164=Таблица2[ТПиР/НСиР])*Таблица2[Оборудование2013-10])</f>
        <v>0</v>
      </c>
      <c r="R164" s="63">
        <f>W164*SUMPRODUCT(($B$2=Таблица2[Филиал])*($B$3=Таблица2[ФЕР/ТЕР])*(F164=Таблица2[Наименование работ])*(G164=Таблица2[ТПиР/НСиР])*Таблица2[Прочие2013-10])</f>
        <v>0</v>
      </c>
      <c r="S164" s="63">
        <f>IF($B$4="в базовых ценах",калькулятор!J169,X164*SUMPRODUCT(($B$2=Таблица2[Филиал])*($B$3=Таблица2[ФЕР/ТЕР])*(F164=Таблица2[Наименование работ])*(G164=Таблица2[ТПиР/НСиР])/Таблица2[ПИР2013]))</f>
        <v>0</v>
      </c>
      <c r="T164" s="63">
        <f>IF($B$4="в базовых ценах",калькулятор!K169,Y164*SUMPRODUCT(($B$2=Таблица2[Филиал])*($B$3=Таблица2[ФЕР/ТЕР])*(F164=Таблица2[Наименование работ])*(G164=Таблица2[ТПиР/НСиР])/Таблица2[СМР2013]))</f>
        <v>0</v>
      </c>
      <c r="U164" s="63">
        <f>IF($B$4="в базовых ценах",калькулятор!L169,Z164*SUMPRODUCT(($B$2=Таблица2[Филиал])*($B$3=Таблица2[ФЕР/ТЕР])*(F164=Таблица2[Наименование работ])*(G164=Таблица2[ТПиР/НСиР])/Таблица2[ПНР2013]))</f>
        <v>0</v>
      </c>
      <c r="V164" s="63">
        <f>IF($B$4="в базовых ценах",калькулятор!M169,AA164*SUMPRODUCT(($B$2=Таблица2[Филиал])*($B$3=Таблица2[ФЕР/ТЕР])*(F164=Таблица2[Наименование работ])*(G164=Таблица2[ТПиР/НСиР])/Таблица2[Оборудование2013]))</f>
        <v>0</v>
      </c>
      <c r="W164" s="63">
        <f>IF($B$4="в базовых ценах",калькулятор!N169,AB164*SUMPRODUCT(($B$2=Таблица2[Филиал])*($B$3=Таблица2[ФЕР/ТЕР])*(F164=Таблица2[Наименование работ])*(G164=Таблица2[ТПиР/НСиР])/Таблица2[Прочие3]))</f>
        <v>0</v>
      </c>
      <c r="X164" s="63">
        <f>IF($B$4="в текущих ценах",калькулятор!J169,S164*SUMPRODUCT(($B$2=Таблица2[Филиал])*($B$3=Таблица2[ФЕР/ТЕР])*(F164=Таблица2[Наименование работ])*(G164=Таблица2[ТПиР/НСиР])*Таблица2[ПИР2013]))</f>
        <v>0</v>
      </c>
      <c r="Y164" s="63">
        <f>IF($B$4="в текущих ценах",калькулятор!K169,T164*SUMPRODUCT(($B$2=Таблица2[Филиал])*($B$3=Таблица2[ФЕР/ТЕР])*(F164=Таблица2[Наименование работ])*(G164=Таблица2[ТПиР/НСиР])*Таблица2[СМР2013]))</f>
        <v>0</v>
      </c>
      <c r="Z164" s="63">
        <f>IF($B$4="в текущих ценах",калькулятор!L169,U164*SUMPRODUCT(($B$2=Таблица2[Филиал])*($B$3=Таблица2[ФЕР/ТЕР])*(F164=Таблица2[Наименование работ])*(G164=Таблица2[ТПиР/НСиР])*Таблица2[ПНР2013]))</f>
        <v>0</v>
      </c>
      <c r="AA164" s="63">
        <f>IF($B$4="в текущих ценах",калькулятор!M169,V164*SUMPRODUCT(($B$2=Таблица2[Филиал])*($B$3=Таблица2[ФЕР/ТЕР])*(F164=Таблица2[Наименование работ])*(G164=Таблица2[ТПиР/НСиР])*Таблица2[Оборудование2013]))</f>
        <v>0</v>
      </c>
      <c r="AB164" s="63">
        <f>IF($B$4="в текущих ценах",калькулятор!N169,W164*SUMPRODUCT(($B$2=Таблица2[Филиал])*($B$3=Таблица2[ФЕР/ТЕР])*(F164=Таблица2[Наименование работ])*(G164=Таблица2[ТПиР/НСиР])*Таблица2[Прочие3]))</f>
        <v>0</v>
      </c>
      <c r="AC164" s="63">
        <f>SUM(данные!$I164:$M164)</f>
        <v>0</v>
      </c>
      <c r="AD164" s="63">
        <f>IF(SUM(данные!$N164:$R164)&gt;данные!$AF164,данные!$AF164*0.9*1.058,SUM(данные!$N164:$R164))</f>
        <v>0</v>
      </c>
      <c r="AE164" s="63">
        <f>SUM(данные!$S164:$W164)</f>
        <v>0</v>
      </c>
      <c r="AF164" s="63">
        <f>SUM(данные!$X164:$AB164)</f>
        <v>0</v>
      </c>
      <c r="AG164" s="63">
        <f>IF($B$4="в текущих ценах",S164*SUMPRODUCT(($B$2=Таблица2[Филиал])*($B$3=Таблица2[ФЕР/ТЕР])*(F164=Таблица2[Наименование работ])*(G164=Таблица2[ТПиР/НСиР])*Таблица2[ПИР2012]),S164*SUMPRODUCT(($B$2=Таблица2[Филиал])*($B$3=Таблица2[ФЕР/ТЕР])*(F164=Таблица2[Наименование работ])*(G164=Таблица2[ТПиР/НСиР])*Таблица2[ПИР2012]))</f>
        <v>0</v>
      </c>
      <c r="AH164" s="63">
        <f>IF($B$4="в текущих ценах",T164*SUMPRODUCT(($B$2=Таблица2[Филиал])*($B$3=Таблица2[ФЕР/ТЕР])*(F164=Таблица2[Наименование работ])*(G164=Таблица2[ТПиР/НСиР])*Таблица2[СМР2012]),T164*SUMPRODUCT(($B$2=Таблица2[Филиал])*($B$3=Таблица2[ФЕР/ТЕР])*(F164=Таблица2[Наименование работ])*(G164=Таблица2[ТПиР/НСиР])*Таблица2[СМР2012]))</f>
        <v>0</v>
      </c>
      <c r="AI164" s="63">
        <f>IF($B$4="в текущих ценах",U164*SUMPRODUCT(($B$2=Таблица2[Филиал])*($B$3=Таблица2[ФЕР/ТЕР])*(F164=Таблица2[Наименование работ])*(G164=Таблица2[ТПиР/НСиР])*Таблица2[ПНР2012]),U164*SUMPRODUCT(($B$2=Таблица2[Филиал])*($B$3=Таблица2[ФЕР/ТЕР])*(F164=Таблица2[Наименование работ])*(G164=Таблица2[ТПиР/НСиР])*Таблица2[ПНР2012]))</f>
        <v>0</v>
      </c>
      <c r="AJ164" s="63">
        <f>IF($B$4="в текущих ценах",V164*SUMPRODUCT(($B$2=Таблица2[Филиал])*($B$3=Таблица2[ФЕР/ТЕР])*(F164=Таблица2[Наименование работ])*(G164=Таблица2[ТПиР/НСиР])*Таблица2[Оборудование2012]),V164*SUMPRODUCT(($B$2=Таблица2[Филиал])*($B$3=Таблица2[ФЕР/ТЕР])*(F164=Таблица2[Наименование работ])*(G164=Таблица2[ТПиР/НСиР])*Таблица2[Оборудование2012]))</f>
        <v>0</v>
      </c>
      <c r="AK164" s="63">
        <f>IF($B$4="в текущих ценах",W164*SUMPRODUCT(($B$2=Таблица2[Филиал])*($B$3=Таблица2[ФЕР/ТЕР])*(F164=Таблица2[Наименование работ])*(G164=Таблица2[ТПиР/НСиР])*Таблица2[Прочее2012]),W164*SUMPRODUCT(($B$2=Таблица2[Филиал])*($B$3=Таблица2[ФЕР/ТЕР])*(F164=Таблица2[Наименование работ])*(G164=Таблица2[ТПиР/НСиР])*Таблица2[Прочее2012]))</f>
        <v>0</v>
      </c>
      <c r="AL164" s="63">
        <f>данные!$X164+данные!$Y164+данные!$Z164+данные!$AA164+данные!$AB164</f>
        <v>0</v>
      </c>
      <c r="AM164" s="63">
        <v>1.03639035</v>
      </c>
      <c r="AN164" s="63">
        <v>1.0114049394</v>
      </c>
      <c r="AO164" s="63">
        <v>0.98210394336149998</v>
      </c>
      <c r="AP164" s="63">
        <v>0.93762413895893393</v>
      </c>
      <c r="AQ164" s="63"/>
      <c r="AR164" s="63"/>
      <c r="AS164" s="64"/>
      <c r="AU164" s="66">
        <f t="shared" si="12"/>
        <v>0</v>
      </c>
      <c r="AX164" s="66">
        <f t="shared" si="13"/>
        <v>0</v>
      </c>
      <c r="AY164" s="66">
        <f t="shared" si="14"/>
        <v>0</v>
      </c>
      <c r="AZ164" s="66">
        <f t="shared" si="15"/>
        <v>0</v>
      </c>
      <c r="BA164" s="66">
        <f t="shared" si="16"/>
        <v>0</v>
      </c>
      <c r="BB164" s="66">
        <f t="shared" si="17"/>
        <v>0</v>
      </c>
    </row>
    <row r="165" spans="4:54" x14ac:dyDescent="0.25">
      <c r="D165" s="62">
        <f>калькулятор!C170</f>
        <v>0</v>
      </c>
      <c r="E165" s="62">
        <f>калькулятор!F170</f>
        <v>0</v>
      </c>
      <c r="F165" s="62">
        <f>калькулятор!G170</f>
        <v>0</v>
      </c>
      <c r="G165" s="62">
        <f>калькулятор!H170</f>
        <v>0</v>
      </c>
      <c r="H165" s="62">
        <f>калькулятор!I170</f>
        <v>0</v>
      </c>
      <c r="I165" s="63">
        <f>S165*SUMPRODUCT(($B$2=Таблица2[Филиал])*($B$3=Таблица2[ФЕР/ТЕР])*(F165=Таблица2[Наименование работ])*(G165=Таблица2[ТПиР/НСиР])*Таблица2[ПИР2010])</f>
        <v>0</v>
      </c>
      <c r="J165" s="63">
        <f>T165*SUMPRODUCT(($B$2=Таблица2[Филиал])*($B$3=Таблица2[ФЕР/ТЕР])*(F165=Таблица2[Наименование работ])*(G165=Таблица2[ТПиР/НСиР])*Таблица2[СМР2010])</f>
        <v>0</v>
      </c>
      <c r="K165" s="63">
        <f>U165*SUMPRODUCT(($B$2=Таблица2[Филиал])*($B$3=Таблица2[ФЕР/ТЕР])*(F165=Таблица2[Наименование работ])*(G165=Таблица2[ТПиР/НСиР])*Таблица2[ПНР2010])</f>
        <v>0</v>
      </c>
      <c r="L165" s="63">
        <f>V165*SUMPRODUCT(($B$2=Таблица2[Филиал])*($B$3=Таблица2[ФЕР/ТЕР])*(F165=Таблица2[Наименование работ])*(G165=Таблица2[ТПиР/НСиР])*Таблица2[Оборудование2010])</f>
        <v>0</v>
      </c>
      <c r="M165" s="63">
        <f>W165*SUMPRODUCT(($B$2=Таблица2[Филиал])*($B$3=Таблица2[ФЕР/ТЕР])*(F165=Таблица2[Наименование работ])*(G165=Таблица2[ТПиР/НСиР])*Таблица2[Прочие2010])</f>
        <v>0</v>
      </c>
      <c r="N165" s="63">
        <f>S165*SUMPRODUCT(($B$2=Таблица2[Филиал])*($B$3=Таблица2[ФЕР/ТЕР])*(F165=Таблица2[Наименование работ])*(G165=Таблица2[ТПиР/НСиР])*Таблица2[ПИР2013-10])</f>
        <v>0</v>
      </c>
      <c r="O165" s="63">
        <f>T165*SUMPRODUCT(($B$2=Таблица2[Филиал])*($B$3=Таблица2[ФЕР/ТЕР])*(F165=Таблица2[Наименование работ])*(G165=Таблица2[ТПиР/НСиР])*Таблица2[СМР2013-10])</f>
        <v>0</v>
      </c>
      <c r="P165" s="63">
        <f>U165*SUMPRODUCT(($B$2=Таблица2[Филиал])*($B$3=Таблица2[ФЕР/ТЕР])*(F165=Таблица2[Наименование работ])*(G165=Таблица2[ТПиР/НСиР])*Таблица2[ПНР2013-10])</f>
        <v>0</v>
      </c>
      <c r="Q165" s="63">
        <f>V165*SUMPRODUCT(($B$2=Таблица2[Филиал])*($B$3=Таблица2[ФЕР/ТЕР])*(F165=Таблица2[Наименование работ])*(G165=Таблица2[ТПиР/НСиР])*Таблица2[Оборудование2013-10])</f>
        <v>0</v>
      </c>
      <c r="R165" s="63">
        <f>W165*SUMPRODUCT(($B$2=Таблица2[Филиал])*($B$3=Таблица2[ФЕР/ТЕР])*(F165=Таблица2[Наименование работ])*(G165=Таблица2[ТПиР/НСиР])*Таблица2[Прочие2013-10])</f>
        <v>0</v>
      </c>
      <c r="S165" s="63">
        <f>IF($B$4="в базовых ценах",калькулятор!J170,X165*SUMPRODUCT(($B$2=Таблица2[Филиал])*($B$3=Таблица2[ФЕР/ТЕР])*(F165=Таблица2[Наименование работ])*(G165=Таблица2[ТПиР/НСиР])/Таблица2[ПИР2013]))</f>
        <v>0</v>
      </c>
      <c r="T165" s="63">
        <f>IF($B$4="в базовых ценах",калькулятор!K170,Y165*SUMPRODUCT(($B$2=Таблица2[Филиал])*($B$3=Таблица2[ФЕР/ТЕР])*(F165=Таблица2[Наименование работ])*(G165=Таблица2[ТПиР/НСиР])/Таблица2[СМР2013]))</f>
        <v>0</v>
      </c>
      <c r="U165" s="63">
        <f>IF($B$4="в базовых ценах",калькулятор!L170,Z165*SUMPRODUCT(($B$2=Таблица2[Филиал])*($B$3=Таблица2[ФЕР/ТЕР])*(F165=Таблица2[Наименование работ])*(G165=Таблица2[ТПиР/НСиР])/Таблица2[ПНР2013]))</f>
        <v>0</v>
      </c>
      <c r="V165" s="63">
        <f>IF($B$4="в базовых ценах",калькулятор!M170,AA165*SUMPRODUCT(($B$2=Таблица2[Филиал])*($B$3=Таблица2[ФЕР/ТЕР])*(F165=Таблица2[Наименование работ])*(G165=Таблица2[ТПиР/НСиР])/Таблица2[Оборудование2013]))</f>
        <v>0</v>
      </c>
      <c r="W165" s="63">
        <f>IF($B$4="в базовых ценах",калькулятор!N170,AB165*SUMPRODUCT(($B$2=Таблица2[Филиал])*($B$3=Таблица2[ФЕР/ТЕР])*(F165=Таблица2[Наименование работ])*(G165=Таблица2[ТПиР/НСиР])/Таблица2[Прочие3]))</f>
        <v>0</v>
      </c>
      <c r="X165" s="63">
        <f>IF($B$4="в текущих ценах",калькулятор!J170,S165*SUMPRODUCT(($B$2=Таблица2[Филиал])*($B$3=Таблица2[ФЕР/ТЕР])*(F165=Таблица2[Наименование работ])*(G165=Таблица2[ТПиР/НСиР])*Таблица2[ПИР2013]))</f>
        <v>0</v>
      </c>
      <c r="Y165" s="63">
        <f>IF($B$4="в текущих ценах",калькулятор!K170,T165*SUMPRODUCT(($B$2=Таблица2[Филиал])*($B$3=Таблица2[ФЕР/ТЕР])*(F165=Таблица2[Наименование работ])*(G165=Таблица2[ТПиР/НСиР])*Таблица2[СМР2013]))</f>
        <v>0</v>
      </c>
      <c r="Z165" s="63">
        <f>IF($B$4="в текущих ценах",калькулятор!L170,U165*SUMPRODUCT(($B$2=Таблица2[Филиал])*($B$3=Таблица2[ФЕР/ТЕР])*(F165=Таблица2[Наименование работ])*(G165=Таблица2[ТПиР/НСиР])*Таблица2[ПНР2013]))</f>
        <v>0</v>
      </c>
      <c r="AA165" s="63">
        <f>IF($B$4="в текущих ценах",калькулятор!M170,V165*SUMPRODUCT(($B$2=Таблица2[Филиал])*($B$3=Таблица2[ФЕР/ТЕР])*(F165=Таблица2[Наименование работ])*(G165=Таблица2[ТПиР/НСиР])*Таблица2[Оборудование2013]))</f>
        <v>0</v>
      </c>
      <c r="AB165" s="63">
        <f>IF($B$4="в текущих ценах",калькулятор!N170,W165*SUMPRODUCT(($B$2=Таблица2[Филиал])*($B$3=Таблица2[ФЕР/ТЕР])*(F165=Таблица2[Наименование работ])*(G165=Таблица2[ТПиР/НСиР])*Таблица2[Прочие3]))</f>
        <v>0</v>
      </c>
      <c r="AC165" s="63">
        <f>SUM(данные!$I165:$M165)</f>
        <v>0</v>
      </c>
      <c r="AD165" s="63">
        <f>IF(SUM(данные!$N165:$R165)&gt;данные!$AF165,данные!$AF165*0.9*1.058,SUM(данные!$N165:$R165))</f>
        <v>0</v>
      </c>
      <c r="AE165" s="63">
        <f>SUM(данные!$S165:$W165)</f>
        <v>0</v>
      </c>
      <c r="AF165" s="63">
        <f>SUM(данные!$X165:$AB165)</f>
        <v>0</v>
      </c>
      <c r="AG165" s="63">
        <f>IF($B$4="в текущих ценах",S165*SUMPRODUCT(($B$2=Таблица2[Филиал])*($B$3=Таблица2[ФЕР/ТЕР])*(F165=Таблица2[Наименование работ])*(G165=Таблица2[ТПиР/НСиР])*Таблица2[ПИР2012]),S165*SUMPRODUCT(($B$2=Таблица2[Филиал])*($B$3=Таблица2[ФЕР/ТЕР])*(F165=Таблица2[Наименование работ])*(G165=Таблица2[ТПиР/НСиР])*Таблица2[ПИР2012]))</f>
        <v>0</v>
      </c>
      <c r="AH165" s="63">
        <f>IF($B$4="в текущих ценах",T165*SUMPRODUCT(($B$2=Таблица2[Филиал])*($B$3=Таблица2[ФЕР/ТЕР])*(F165=Таблица2[Наименование работ])*(G165=Таблица2[ТПиР/НСиР])*Таблица2[СМР2012]),T165*SUMPRODUCT(($B$2=Таблица2[Филиал])*($B$3=Таблица2[ФЕР/ТЕР])*(F165=Таблица2[Наименование работ])*(G165=Таблица2[ТПиР/НСиР])*Таблица2[СМР2012]))</f>
        <v>0</v>
      </c>
      <c r="AI165" s="63">
        <f>IF($B$4="в текущих ценах",U165*SUMPRODUCT(($B$2=Таблица2[Филиал])*($B$3=Таблица2[ФЕР/ТЕР])*(F165=Таблица2[Наименование работ])*(G165=Таблица2[ТПиР/НСиР])*Таблица2[ПНР2012]),U165*SUMPRODUCT(($B$2=Таблица2[Филиал])*($B$3=Таблица2[ФЕР/ТЕР])*(F165=Таблица2[Наименование работ])*(G165=Таблица2[ТПиР/НСиР])*Таблица2[ПНР2012]))</f>
        <v>0</v>
      </c>
      <c r="AJ165" s="63">
        <f>IF($B$4="в текущих ценах",V165*SUMPRODUCT(($B$2=Таблица2[Филиал])*($B$3=Таблица2[ФЕР/ТЕР])*(F165=Таблица2[Наименование работ])*(G165=Таблица2[ТПиР/НСиР])*Таблица2[Оборудование2012]),V165*SUMPRODUCT(($B$2=Таблица2[Филиал])*($B$3=Таблица2[ФЕР/ТЕР])*(F165=Таблица2[Наименование работ])*(G165=Таблица2[ТПиР/НСиР])*Таблица2[Оборудование2012]))</f>
        <v>0</v>
      </c>
      <c r="AK165" s="63">
        <f>IF($B$4="в текущих ценах",W165*SUMPRODUCT(($B$2=Таблица2[Филиал])*($B$3=Таблица2[ФЕР/ТЕР])*(F165=Таблица2[Наименование работ])*(G165=Таблица2[ТПиР/НСиР])*Таблица2[Прочее2012]),W165*SUMPRODUCT(($B$2=Таблица2[Филиал])*($B$3=Таблица2[ФЕР/ТЕР])*(F165=Таблица2[Наименование работ])*(G165=Таблица2[ТПиР/НСиР])*Таблица2[Прочее2012]))</f>
        <v>0</v>
      </c>
      <c r="AL165" s="63">
        <f>данные!$X165+данные!$Y165+данные!$Z165+данные!$AA165+данные!$AB165</f>
        <v>0</v>
      </c>
      <c r="AM165" s="63">
        <v>1.03639035</v>
      </c>
      <c r="AN165" s="63">
        <v>1.0114049394</v>
      </c>
      <c r="AO165" s="63">
        <v>0.98210394336149998</v>
      </c>
      <c r="AP165" s="63">
        <v>0.93762413895893393</v>
      </c>
      <c r="AQ165" s="63"/>
      <c r="AR165" s="63"/>
      <c r="AS165" s="64"/>
      <c r="AU165" s="66">
        <f t="shared" si="12"/>
        <v>0</v>
      </c>
      <c r="AX165" s="66">
        <f t="shared" si="13"/>
        <v>0</v>
      </c>
      <c r="AY165" s="66">
        <f t="shared" si="14"/>
        <v>0</v>
      </c>
      <c r="AZ165" s="66">
        <f t="shared" si="15"/>
        <v>0</v>
      </c>
      <c r="BA165" s="66">
        <f t="shared" si="16"/>
        <v>0</v>
      </c>
      <c r="BB165" s="66">
        <f t="shared" si="17"/>
        <v>0</v>
      </c>
    </row>
    <row r="166" spans="4:54" x14ac:dyDescent="0.25">
      <c r="D166" s="62">
        <f>калькулятор!C171</f>
        <v>0</v>
      </c>
      <c r="E166" s="62">
        <f>калькулятор!F171</f>
        <v>0</v>
      </c>
      <c r="F166" s="62">
        <f>калькулятор!G171</f>
        <v>0</v>
      </c>
      <c r="G166" s="62">
        <f>калькулятор!H171</f>
        <v>0</v>
      </c>
      <c r="H166" s="62">
        <f>калькулятор!I171</f>
        <v>0</v>
      </c>
      <c r="I166" s="63">
        <f>S166*SUMPRODUCT(($B$2=Таблица2[Филиал])*($B$3=Таблица2[ФЕР/ТЕР])*(F166=Таблица2[Наименование работ])*(G166=Таблица2[ТПиР/НСиР])*Таблица2[ПИР2010])</f>
        <v>0</v>
      </c>
      <c r="J166" s="63">
        <f>T166*SUMPRODUCT(($B$2=Таблица2[Филиал])*($B$3=Таблица2[ФЕР/ТЕР])*(F166=Таблица2[Наименование работ])*(G166=Таблица2[ТПиР/НСиР])*Таблица2[СМР2010])</f>
        <v>0</v>
      </c>
      <c r="K166" s="63">
        <f>U166*SUMPRODUCT(($B$2=Таблица2[Филиал])*($B$3=Таблица2[ФЕР/ТЕР])*(F166=Таблица2[Наименование работ])*(G166=Таблица2[ТПиР/НСиР])*Таблица2[ПНР2010])</f>
        <v>0</v>
      </c>
      <c r="L166" s="63">
        <f>V166*SUMPRODUCT(($B$2=Таблица2[Филиал])*($B$3=Таблица2[ФЕР/ТЕР])*(F166=Таблица2[Наименование работ])*(G166=Таблица2[ТПиР/НСиР])*Таблица2[Оборудование2010])</f>
        <v>0</v>
      </c>
      <c r="M166" s="63">
        <f>W166*SUMPRODUCT(($B$2=Таблица2[Филиал])*($B$3=Таблица2[ФЕР/ТЕР])*(F166=Таблица2[Наименование работ])*(G166=Таблица2[ТПиР/НСиР])*Таблица2[Прочие2010])</f>
        <v>0</v>
      </c>
      <c r="N166" s="63">
        <f>S166*SUMPRODUCT(($B$2=Таблица2[Филиал])*($B$3=Таблица2[ФЕР/ТЕР])*(F166=Таблица2[Наименование работ])*(G166=Таблица2[ТПиР/НСиР])*Таблица2[ПИР2013-10])</f>
        <v>0</v>
      </c>
      <c r="O166" s="63">
        <f>T166*SUMPRODUCT(($B$2=Таблица2[Филиал])*($B$3=Таблица2[ФЕР/ТЕР])*(F166=Таблица2[Наименование работ])*(G166=Таблица2[ТПиР/НСиР])*Таблица2[СМР2013-10])</f>
        <v>0</v>
      </c>
      <c r="P166" s="63">
        <f>U166*SUMPRODUCT(($B$2=Таблица2[Филиал])*($B$3=Таблица2[ФЕР/ТЕР])*(F166=Таблица2[Наименование работ])*(G166=Таблица2[ТПиР/НСиР])*Таблица2[ПНР2013-10])</f>
        <v>0</v>
      </c>
      <c r="Q166" s="63">
        <f>V166*SUMPRODUCT(($B$2=Таблица2[Филиал])*($B$3=Таблица2[ФЕР/ТЕР])*(F166=Таблица2[Наименование работ])*(G166=Таблица2[ТПиР/НСиР])*Таблица2[Оборудование2013-10])</f>
        <v>0</v>
      </c>
      <c r="R166" s="63">
        <f>W166*SUMPRODUCT(($B$2=Таблица2[Филиал])*($B$3=Таблица2[ФЕР/ТЕР])*(F166=Таблица2[Наименование работ])*(G166=Таблица2[ТПиР/НСиР])*Таблица2[Прочие2013-10])</f>
        <v>0</v>
      </c>
      <c r="S166" s="63">
        <f>IF($B$4="в базовых ценах",калькулятор!J171,X166*SUMPRODUCT(($B$2=Таблица2[Филиал])*($B$3=Таблица2[ФЕР/ТЕР])*(F166=Таблица2[Наименование работ])*(G166=Таблица2[ТПиР/НСиР])/Таблица2[ПИР2013]))</f>
        <v>0</v>
      </c>
      <c r="T166" s="63">
        <f>IF($B$4="в базовых ценах",калькулятор!K171,Y166*SUMPRODUCT(($B$2=Таблица2[Филиал])*($B$3=Таблица2[ФЕР/ТЕР])*(F166=Таблица2[Наименование работ])*(G166=Таблица2[ТПиР/НСиР])/Таблица2[СМР2013]))</f>
        <v>0</v>
      </c>
      <c r="U166" s="63">
        <f>IF($B$4="в базовых ценах",калькулятор!L171,Z166*SUMPRODUCT(($B$2=Таблица2[Филиал])*($B$3=Таблица2[ФЕР/ТЕР])*(F166=Таблица2[Наименование работ])*(G166=Таблица2[ТПиР/НСиР])/Таблица2[ПНР2013]))</f>
        <v>0</v>
      </c>
      <c r="V166" s="63">
        <f>IF($B$4="в базовых ценах",калькулятор!M171,AA166*SUMPRODUCT(($B$2=Таблица2[Филиал])*($B$3=Таблица2[ФЕР/ТЕР])*(F166=Таблица2[Наименование работ])*(G166=Таблица2[ТПиР/НСиР])/Таблица2[Оборудование2013]))</f>
        <v>0</v>
      </c>
      <c r="W166" s="63">
        <f>IF($B$4="в базовых ценах",калькулятор!N171,AB166*SUMPRODUCT(($B$2=Таблица2[Филиал])*($B$3=Таблица2[ФЕР/ТЕР])*(F166=Таблица2[Наименование работ])*(G166=Таблица2[ТПиР/НСиР])/Таблица2[Прочие3]))</f>
        <v>0</v>
      </c>
      <c r="X166" s="63">
        <f>IF($B$4="в текущих ценах",калькулятор!J171,S166*SUMPRODUCT(($B$2=Таблица2[Филиал])*($B$3=Таблица2[ФЕР/ТЕР])*(F166=Таблица2[Наименование работ])*(G166=Таблица2[ТПиР/НСиР])*Таблица2[ПИР2013]))</f>
        <v>0</v>
      </c>
      <c r="Y166" s="63">
        <f>IF($B$4="в текущих ценах",калькулятор!K171,T166*SUMPRODUCT(($B$2=Таблица2[Филиал])*($B$3=Таблица2[ФЕР/ТЕР])*(F166=Таблица2[Наименование работ])*(G166=Таблица2[ТПиР/НСиР])*Таблица2[СМР2013]))</f>
        <v>0</v>
      </c>
      <c r="Z166" s="63">
        <f>IF($B$4="в текущих ценах",калькулятор!L171,U166*SUMPRODUCT(($B$2=Таблица2[Филиал])*($B$3=Таблица2[ФЕР/ТЕР])*(F166=Таблица2[Наименование работ])*(G166=Таблица2[ТПиР/НСиР])*Таблица2[ПНР2013]))</f>
        <v>0</v>
      </c>
      <c r="AA166" s="63">
        <f>IF($B$4="в текущих ценах",калькулятор!M171,V166*SUMPRODUCT(($B$2=Таблица2[Филиал])*($B$3=Таблица2[ФЕР/ТЕР])*(F166=Таблица2[Наименование работ])*(G166=Таблица2[ТПиР/НСиР])*Таблица2[Оборудование2013]))</f>
        <v>0</v>
      </c>
      <c r="AB166" s="63">
        <f>IF($B$4="в текущих ценах",калькулятор!N171,W166*SUMPRODUCT(($B$2=Таблица2[Филиал])*($B$3=Таблица2[ФЕР/ТЕР])*(F166=Таблица2[Наименование работ])*(G166=Таблица2[ТПиР/НСиР])*Таблица2[Прочие3]))</f>
        <v>0</v>
      </c>
      <c r="AC166" s="63">
        <f>SUM(данные!$I166:$M166)</f>
        <v>0</v>
      </c>
      <c r="AD166" s="63">
        <f>IF(SUM(данные!$N166:$R166)&gt;данные!$AF166,данные!$AF166*0.9*1.058,SUM(данные!$N166:$R166))</f>
        <v>0</v>
      </c>
      <c r="AE166" s="63">
        <f>SUM(данные!$S166:$W166)</f>
        <v>0</v>
      </c>
      <c r="AF166" s="63">
        <f>SUM(данные!$X166:$AB166)</f>
        <v>0</v>
      </c>
      <c r="AG166" s="63">
        <f>IF($B$4="в текущих ценах",S166*SUMPRODUCT(($B$2=Таблица2[Филиал])*($B$3=Таблица2[ФЕР/ТЕР])*(F166=Таблица2[Наименование работ])*(G166=Таблица2[ТПиР/НСиР])*Таблица2[ПИР2012]),S166*SUMPRODUCT(($B$2=Таблица2[Филиал])*($B$3=Таблица2[ФЕР/ТЕР])*(F166=Таблица2[Наименование работ])*(G166=Таблица2[ТПиР/НСиР])*Таблица2[ПИР2012]))</f>
        <v>0</v>
      </c>
      <c r="AH166" s="63">
        <f>IF($B$4="в текущих ценах",T166*SUMPRODUCT(($B$2=Таблица2[Филиал])*($B$3=Таблица2[ФЕР/ТЕР])*(F166=Таблица2[Наименование работ])*(G166=Таблица2[ТПиР/НСиР])*Таблица2[СМР2012]),T166*SUMPRODUCT(($B$2=Таблица2[Филиал])*($B$3=Таблица2[ФЕР/ТЕР])*(F166=Таблица2[Наименование работ])*(G166=Таблица2[ТПиР/НСиР])*Таблица2[СМР2012]))</f>
        <v>0</v>
      </c>
      <c r="AI166" s="63">
        <f>IF($B$4="в текущих ценах",U166*SUMPRODUCT(($B$2=Таблица2[Филиал])*($B$3=Таблица2[ФЕР/ТЕР])*(F166=Таблица2[Наименование работ])*(G166=Таблица2[ТПиР/НСиР])*Таблица2[ПНР2012]),U166*SUMPRODUCT(($B$2=Таблица2[Филиал])*($B$3=Таблица2[ФЕР/ТЕР])*(F166=Таблица2[Наименование работ])*(G166=Таблица2[ТПиР/НСиР])*Таблица2[ПНР2012]))</f>
        <v>0</v>
      </c>
      <c r="AJ166" s="63">
        <f>IF($B$4="в текущих ценах",V166*SUMPRODUCT(($B$2=Таблица2[Филиал])*($B$3=Таблица2[ФЕР/ТЕР])*(F166=Таблица2[Наименование работ])*(G166=Таблица2[ТПиР/НСиР])*Таблица2[Оборудование2012]),V166*SUMPRODUCT(($B$2=Таблица2[Филиал])*($B$3=Таблица2[ФЕР/ТЕР])*(F166=Таблица2[Наименование работ])*(G166=Таблица2[ТПиР/НСиР])*Таблица2[Оборудование2012]))</f>
        <v>0</v>
      </c>
      <c r="AK166" s="63">
        <f>IF($B$4="в текущих ценах",W166*SUMPRODUCT(($B$2=Таблица2[Филиал])*($B$3=Таблица2[ФЕР/ТЕР])*(F166=Таблица2[Наименование работ])*(G166=Таблица2[ТПиР/НСиР])*Таблица2[Прочее2012]),W166*SUMPRODUCT(($B$2=Таблица2[Филиал])*($B$3=Таблица2[ФЕР/ТЕР])*(F166=Таблица2[Наименование работ])*(G166=Таблица2[ТПиР/НСиР])*Таблица2[Прочее2012]))</f>
        <v>0</v>
      </c>
      <c r="AL166" s="63">
        <f>данные!$X166+данные!$Y166+данные!$Z166+данные!$AA166+данные!$AB166</f>
        <v>0</v>
      </c>
      <c r="AM166" s="63">
        <v>1.03639035</v>
      </c>
      <c r="AN166" s="63">
        <v>1.0114049394</v>
      </c>
      <c r="AO166" s="63">
        <v>0.98210394336149998</v>
      </c>
      <c r="AP166" s="63">
        <v>0.93762413895893393</v>
      </c>
      <c r="AQ166" s="63"/>
      <c r="AR166" s="63"/>
      <c r="AS166" s="64"/>
      <c r="AU166" s="66">
        <f t="shared" si="12"/>
        <v>0</v>
      </c>
      <c r="AX166" s="66">
        <f t="shared" si="13"/>
        <v>0</v>
      </c>
      <c r="AY166" s="66">
        <f t="shared" si="14"/>
        <v>0</v>
      </c>
      <c r="AZ166" s="66">
        <f t="shared" si="15"/>
        <v>0</v>
      </c>
      <c r="BA166" s="66">
        <f t="shared" si="16"/>
        <v>0</v>
      </c>
      <c r="BB166" s="66">
        <f t="shared" si="17"/>
        <v>0</v>
      </c>
    </row>
    <row r="167" spans="4:54" x14ac:dyDescent="0.25">
      <c r="D167" s="62">
        <f>калькулятор!C172</f>
        <v>0</v>
      </c>
      <c r="E167" s="62">
        <f>калькулятор!F172</f>
        <v>0</v>
      </c>
      <c r="F167" s="62">
        <f>калькулятор!G172</f>
        <v>0</v>
      </c>
      <c r="G167" s="62">
        <f>калькулятор!H172</f>
        <v>0</v>
      </c>
      <c r="H167" s="62">
        <f>калькулятор!I172</f>
        <v>0</v>
      </c>
      <c r="I167" s="63">
        <f>S167*SUMPRODUCT(($B$2=Таблица2[Филиал])*($B$3=Таблица2[ФЕР/ТЕР])*(F167=Таблица2[Наименование работ])*(G167=Таблица2[ТПиР/НСиР])*Таблица2[ПИР2010])</f>
        <v>0</v>
      </c>
      <c r="J167" s="63">
        <f>T167*SUMPRODUCT(($B$2=Таблица2[Филиал])*($B$3=Таблица2[ФЕР/ТЕР])*(F167=Таблица2[Наименование работ])*(G167=Таблица2[ТПиР/НСиР])*Таблица2[СМР2010])</f>
        <v>0</v>
      </c>
      <c r="K167" s="63">
        <f>U167*SUMPRODUCT(($B$2=Таблица2[Филиал])*($B$3=Таблица2[ФЕР/ТЕР])*(F167=Таблица2[Наименование работ])*(G167=Таблица2[ТПиР/НСиР])*Таблица2[ПНР2010])</f>
        <v>0</v>
      </c>
      <c r="L167" s="63">
        <f>V167*SUMPRODUCT(($B$2=Таблица2[Филиал])*($B$3=Таблица2[ФЕР/ТЕР])*(F167=Таблица2[Наименование работ])*(G167=Таблица2[ТПиР/НСиР])*Таблица2[Оборудование2010])</f>
        <v>0</v>
      </c>
      <c r="M167" s="63">
        <f>W167*SUMPRODUCT(($B$2=Таблица2[Филиал])*($B$3=Таблица2[ФЕР/ТЕР])*(F167=Таблица2[Наименование работ])*(G167=Таблица2[ТПиР/НСиР])*Таблица2[Прочие2010])</f>
        <v>0</v>
      </c>
      <c r="N167" s="63">
        <f>S167*SUMPRODUCT(($B$2=Таблица2[Филиал])*($B$3=Таблица2[ФЕР/ТЕР])*(F167=Таблица2[Наименование работ])*(G167=Таблица2[ТПиР/НСиР])*Таблица2[ПИР2013-10])</f>
        <v>0</v>
      </c>
      <c r="O167" s="63">
        <f>T167*SUMPRODUCT(($B$2=Таблица2[Филиал])*($B$3=Таблица2[ФЕР/ТЕР])*(F167=Таблица2[Наименование работ])*(G167=Таблица2[ТПиР/НСиР])*Таблица2[СМР2013-10])</f>
        <v>0</v>
      </c>
      <c r="P167" s="63">
        <f>U167*SUMPRODUCT(($B$2=Таблица2[Филиал])*($B$3=Таблица2[ФЕР/ТЕР])*(F167=Таблица2[Наименование работ])*(G167=Таблица2[ТПиР/НСиР])*Таблица2[ПНР2013-10])</f>
        <v>0</v>
      </c>
      <c r="Q167" s="63">
        <f>V167*SUMPRODUCT(($B$2=Таблица2[Филиал])*($B$3=Таблица2[ФЕР/ТЕР])*(F167=Таблица2[Наименование работ])*(G167=Таблица2[ТПиР/НСиР])*Таблица2[Оборудование2013-10])</f>
        <v>0</v>
      </c>
      <c r="R167" s="63">
        <f>W167*SUMPRODUCT(($B$2=Таблица2[Филиал])*($B$3=Таблица2[ФЕР/ТЕР])*(F167=Таблица2[Наименование работ])*(G167=Таблица2[ТПиР/НСиР])*Таблица2[Прочие2013-10])</f>
        <v>0</v>
      </c>
      <c r="S167" s="63">
        <f>IF($B$4="в базовых ценах",калькулятор!J172,X167*SUMPRODUCT(($B$2=Таблица2[Филиал])*($B$3=Таблица2[ФЕР/ТЕР])*(F167=Таблица2[Наименование работ])*(G167=Таблица2[ТПиР/НСиР])/Таблица2[ПИР2013]))</f>
        <v>0</v>
      </c>
      <c r="T167" s="63">
        <f>IF($B$4="в базовых ценах",калькулятор!K172,Y167*SUMPRODUCT(($B$2=Таблица2[Филиал])*($B$3=Таблица2[ФЕР/ТЕР])*(F167=Таблица2[Наименование работ])*(G167=Таблица2[ТПиР/НСиР])/Таблица2[СМР2013]))</f>
        <v>0</v>
      </c>
      <c r="U167" s="63">
        <f>IF($B$4="в базовых ценах",калькулятор!L172,Z167*SUMPRODUCT(($B$2=Таблица2[Филиал])*($B$3=Таблица2[ФЕР/ТЕР])*(F167=Таблица2[Наименование работ])*(G167=Таблица2[ТПиР/НСиР])/Таблица2[ПНР2013]))</f>
        <v>0</v>
      </c>
      <c r="V167" s="63">
        <f>IF($B$4="в базовых ценах",калькулятор!M172,AA167*SUMPRODUCT(($B$2=Таблица2[Филиал])*($B$3=Таблица2[ФЕР/ТЕР])*(F167=Таблица2[Наименование работ])*(G167=Таблица2[ТПиР/НСиР])/Таблица2[Оборудование2013]))</f>
        <v>0</v>
      </c>
      <c r="W167" s="63">
        <f>IF($B$4="в базовых ценах",калькулятор!N172,AB167*SUMPRODUCT(($B$2=Таблица2[Филиал])*($B$3=Таблица2[ФЕР/ТЕР])*(F167=Таблица2[Наименование работ])*(G167=Таблица2[ТПиР/НСиР])/Таблица2[Прочие3]))</f>
        <v>0</v>
      </c>
      <c r="X167" s="63">
        <f>IF($B$4="в текущих ценах",калькулятор!J172,S167*SUMPRODUCT(($B$2=Таблица2[Филиал])*($B$3=Таблица2[ФЕР/ТЕР])*(F167=Таблица2[Наименование работ])*(G167=Таблица2[ТПиР/НСиР])*Таблица2[ПИР2013]))</f>
        <v>0</v>
      </c>
      <c r="Y167" s="63">
        <f>IF($B$4="в текущих ценах",калькулятор!K172,T167*SUMPRODUCT(($B$2=Таблица2[Филиал])*($B$3=Таблица2[ФЕР/ТЕР])*(F167=Таблица2[Наименование работ])*(G167=Таблица2[ТПиР/НСиР])*Таблица2[СМР2013]))</f>
        <v>0</v>
      </c>
      <c r="Z167" s="63">
        <f>IF($B$4="в текущих ценах",калькулятор!L172,U167*SUMPRODUCT(($B$2=Таблица2[Филиал])*($B$3=Таблица2[ФЕР/ТЕР])*(F167=Таблица2[Наименование работ])*(G167=Таблица2[ТПиР/НСиР])*Таблица2[ПНР2013]))</f>
        <v>0</v>
      </c>
      <c r="AA167" s="63">
        <f>IF($B$4="в текущих ценах",калькулятор!M172,V167*SUMPRODUCT(($B$2=Таблица2[Филиал])*($B$3=Таблица2[ФЕР/ТЕР])*(F167=Таблица2[Наименование работ])*(G167=Таблица2[ТПиР/НСиР])*Таблица2[Оборудование2013]))</f>
        <v>0</v>
      </c>
      <c r="AB167" s="63">
        <f>IF($B$4="в текущих ценах",калькулятор!N172,W167*SUMPRODUCT(($B$2=Таблица2[Филиал])*($B$3=Таблица2[ФЕР/ТЕР])*(F167=Таблица2[Наименование работ])*(G167=Таблица2[ТПиР/НСиР])*Таблица2[Прочие3]))</f>
        <v>0</v>
      </c>
      <c r="AC167" s="63">
        <f>SUM(данные!$I167:$M167)</f>
        <v>0</v>
      </c>
      <c r="AD167" s="63">
        <f>IF(SUM(данные!$N167:$R167)&gt;данные!$AF167,данные!$AF167*0.9*1.058,SUM(данные!$N167:$R167))</f>
        <v>0</v>
      </c>
      <c r="AE167" s="63">
        <f>SUM(данные!$S167:$W167)</f>
        <v>0</v>
      </c>
      <c r="AF167" s="63">
        <f>SUM(данные!$X167:$AB167)</f>
        <v>0</v>
      </c>
      <c r="AG167" s="63">
        <f>IF($B$4="в текущих ценах",S167*SUMPRODUCT(($B$2=Таблица2[Филиал])*($B$3=Таблица2[ФЕР/ТЕР])*(F167=Таблица2[Наименование работ])*(G167=Таблица2[ТПиР/НСиР])*Таблица2[ПИР2012]),S167*SUMPRODUCT(($B$2=Таблица2[Филиал])*($B$3=Таблица2[ФЕР/ТЕР])*(F167=Таблица2[Наименование работ])*(G167=Таблица2[ТПиР/НСиР])*Таблица2[ПИР2012]))</f>
        <v>0</v>
      </c>
      <c r="AH167" s="63">
        <f>IF($B$4="в текущих ценах",T167*SUMPRODUCT(($B$2=Таблица2[Филиал])*($B$3=Таблица2[ФЕР/ТЕР])*(F167=Таблица2[Наименование работ])*(G167=Таблица2[ТПиР/НСиР])*Таблица2[СМР2012]),T167*SUMPRODUCT(($B$2=Таблица2[Филиал])*($B$3=Таблица2[ФЕР/ТЕР])*(F167=Таблица2[Наименование работ])*(G167=Таблица2[ТПиР/НСиР])*Таблица2[СМР2012]))</f>
        <v>0</v>
      </c>
      <c r="AI167" s="63">
        <f>IF($B$4="в текущих ценах",U167*SUMPRODUCT(($B$2=Таблица2[Филиал])*($B$3=Таблица2[ФЕР/ТЕР])*(F167=Таблица2[Наименование работ])*(G167=Таблица2[ТПиР/НСиР])*Таблица2[ПНР2012]),U167*SUMPRODUCT(($B$2=Таблица2[Филиал])*($B$3=Таблица2[ФЕР/ТЕР])*(F167=Таблица2[Наименование работ])*(G167=Таблица2[ТПиР/НСиР])*Таблица2[ПНР2012]))</f>
        <v>0</v>
      </c>
      <c r="AJ167" s="63">
        <f>IF($B$4="в текущих ценах",V167*SUMPRODUCT(($B$2=Таблица2[Филиал])*($B$3=Таблица2[ФЕР/ТЕР])*(F167=Таблица2[Наименование работ])*(G167=Таблица2[ТПиР/НСиР])*Таблица2[Оборудование2012]),V167*SUMPRODUCT(($B$2=Таблица2[Филиал])*($B$3=Таблица2[ФЕР/ТЕР])*(F167=Таблица2[Наименование работ])*(G167=Таблица2[ТПиР/НСиР])*Таблица2[Оборудование2012]))</f>
        <v>0</v>
      </c>
      <c r="AK167" s="63">
        <f>IF($B$4="в текущих ценах",W167*SUMPRODUCT(($B$2=Таблица2[Филиал])*($B$3=Таблица2[ФЕР/ТЕР])*(F167=Таблица2[Наименование работ])*(G167=Таблица2[ТПиР/НСиР])*Таблица2[Прочее2012]),W167*SUMPRODUCT(($B$2=Таблица2[Филиал])*($B$3=Таблица2[ФЕР/ТЕР])*(F167=Таблица2[Наименование работ])*(G167=Таблица2[ТПиР/НСиР])*Таблица2[Прочее2012]))</f>
        <v>0</v>
      </c>
      <c r="AL167" s="63">
        <f>данные!$X167+данные!$Y167+данные!$Z167+данные!$AA167+данные!$AB167</f>
        <v>0</v>
      </c>
      <c r="AM167" s="63">
        <v>1.03639035</v>
      </c>
      <c r="AN167" s="63">
        <v>1.0114049394</v>
      </c>
      <c r="AO167" s="63">
        <v>0.98210394336149998</v>
      </c>
      <c r="AP167" s="63">
        <v>0.93762413895893393</v>
      </c>
      <c r="AQ167" s="63"/>
      <c r="AR167" s="63"/>
      <c r="AS167" s="64"/>
      <c r="AU167" s="66">
        <f t="shared" si="12"/>
        <v>0</v>
      </c>
      <c r="AX167" s="66">
        <f t="shared" si="13"/>
        <v>0</v>
      </c>
      <c r="AY167" s="66">
        <f t="shared" si="14"/>
        <v>0</v>
      </c>
      <c r="AZ167" s="66">
        <f t="shared" si="15"/>
        <v>0</v>
      </c>
      <c r="BA167" s="66">
        <f t="shared" si="16"/>
        <v>0</v>
      </c>
      <c r="BB167" s="66">
        <f t="shared" si="17"/>
        <v>0</v>
      </c>
    </row>
    <row r="168" spans="4:54" x14ac:dyDescent="0.25">
      <c r="D168" s="62">
        <f>калькулятор!C173</f>
        <v>0</v>
      </c>
      <c r="E168" s="62">
        <f>калькулятор!F173</f>
        <v>0</v>
      </c>
      <c r="F168" s="62">
        <f>калькулятор!G173</f>
        <v>0</v>
      </c>
      <c r="G168" s="62">
        <f>калькулятор!H173</f>
        <v>0</v>
      </c>
      <c r="H168" s="62">
        <f>калькулятор!I173</f>
        <v>0</v>
      </c>
      <c r="I168" s="63">
        <f>S168*SUMPRODUCT(($B$2=Таблица2[Филиал])*($B$3=Таблица2[ФЕР/ТЕР])*(F168=Таблица2[Наименование работ])*(G168=Таблица2[ТПиР/НСиР])*Таблица2[ПИР2010])</f>
        <v>0</v>
      </c>
      <c r="J168" s="63">
        <f>T168*SUMPRODUCT(($B$2=Таблица2[Филиал])*($B$3=Таблица2[ФЕР/ТЕР])*(F168=Таблица2[Наименование работ])*(G168=Таблица2[ТПиР/НСиР])*Таблица2[СМР2010])</f>
        <v>0</v>
      </c>
      <c r="K168" s="63">
        <f>U168*SUMPRODUCT(($B$2=Таблица2[Филиал])*($B$3=Таблица2[ФЕР/ТЕР])*(F168=Таблица2[Наименование работ])*(G168=Таблица2[ТПиР/НСиР])*Таблица2[ПНР2010])</f>
        <v>0</v>
      </c>
      <c r="L168" s="63">
        <f>V168*SUMPRODUCT(($B$2=Таблица2[Филиал])*($B$3=Таблица2[ФЕР/ТЕР])*(F168=Таблица2[Наименование работ])*(G168=Таблица2[ТПиР/НСиР])*Таблица2[Оборудование2010])</f>
        <v>0</v>
      </c>
      <c r="M168" s="63">
        <f>W168*SUMPRODUCT(($B$2=Таблица2[Филиал])*($B$3=Таблица2[ФЕР/ТЕР])*(F168=Таблица2[Наименование работ])*(G168=Таблица2[ТПиР/НСиР])*Таблица2[Прочие2010])</f>
        <v>0</v>
      </c>
      <c r="N168" s="63">
        <f>S168*SUMPRODUCT(($B$2=Таблица2[Филиал])*($B$3=Таблица2[ФЕР/ТЕР])*(F168=Таблица2[Наименование работ])*(G168=Таблица2[ТПиР/НСиР])*Таблица2[ПИР2013-10])</f>
        <v>0</v>
      </c>
      <c r="O168" s="63">
        <f>T168*SUMPRODUCT(($B$2=Таблица2[Филиал])*($B$3=Таблица2[ФЕР/ТЕР])*(F168=Таблица2[Наименование работ])*(G168=Таблица2[ТПиР/НСиР])*Таблица2[СМР2013-10])</f>
        <v>0</v>
      </c>
      <c r="P168" s="63">
        <f>U168*SUMPRODUCT(($B$2=Таблица2[Филиал])*($B$3=Таблица2[ФЕР/ТЕР])*(F168=Таблица2[Наименование работ])*(G168=Таблица2[ТПиР/НСиР])*Таблица2[ПНР2013-10])</f>
        <v>0</v>
      </c>
      <c r="Q168" s="63">
        <f>V168*SUMPRODUCT(($B$2=Таблица2[Филиал])*($B$3=Таблица2[ФЕР/ТЕР])*(F168=Таблица2[Наименование работ])*(G168=Таблица2[ТПиР/НСиР])*Таблица2[Оборудование2013-10])</f>
        <v>0</v>
      </c>
      <c r="R168" s="63">
        <f>W168*SUMPRODUCT(($B$2=Таблица2[Филиал])*($B$3=Таблица2[ФЕР/ТЕР])*(F168=Таблица2[Наименование работ])*(G168=Таблица2[ТПиР/НСиР])*Таблица2[Прочие2013-10])</f>
        <v>0</v>
      </c>
      <c r="S168" s="63">
        <f>IF($B$4="в базовых ценах",калькулятор!J173,X168*SUMPRODUCT(($B$2=Таблица2[Филиал])*($B$3=Таблица2[ФЕР/ТЕР])*(F168=Таблица2[Наименование работ])*(G168=Таблица2[ТПиР/НСиР])/Таблица2[ПИР2013]))</f>
        <v>0</v>
      </c>
      <c r="T168" s="63">
        <f>IF($B$4="в базовых ценах",калькулятор!K173,Y168*SUMPRODUCT(($B$2=Таблица2[Филиал])*($B$3=Таблица2[ФЕР/ТЕР])*(F168=Таблица2[Наименование работ])*(G168=Таблица2[ТПиР/НСиР])/Таблица2[СМР2013]))</f>
        <v>0</v>
      </c>
      <c r="U168" s="63">
        <f>IF($B$4="в базовых ценах",калькулятор!L173,Z168*SUMPRODUCT(($B$2=Таблица2[Филиал])*($B$3=Таблица2[ФЕР/ТЕР])*(F168=Таблица2[Наименование работ])*(G168=Таблица2[ТПиР/НСиР])/Таблица2[ПНР2013]))</f>
        <v>0</v>
      </c>
      <c r="V168" s="63">
        <f>IF($B$4="в базовых ценах",калькулятор!M173,AA168*SUMPRODUCT(($B$2=Таблица2[Филиал])*($B$3=Таблица2[ФЕР/ТЕР])*(F168=Таблица2[Наименование работ])*(G168=Таблица2[ТПиР/НСиР])/Таблица2[Оборудование2013]))</f>
        <v>0</v>
      </c>
      <c r="W168" s="63">
        <f>IF($B$4="в базовых ценах",калькулятор!N173,AB168*SUMPRODUCT(($B$2=Таблица2[Филиал])*($B$3=Таблица2[ФЕР/ТЕР])*(F168=Таблица2[Наименование работ])*(G168=Таблица2[ТПиР/НСиР])/Таблица2[Прочие3]))</f>
        <v>0</v>
      </c>
      <c r="X168" s="63">
        <f>IF($B$4="в текущих ценах",калькулятор!J173,S168*SUMPRODUCT(($B$2=Таблица2[Филиал])*($B$3=Таблица2[ФЕР/ТЕР])*(F168=Таблица2[Наименование работ])*(G168=Таблица2[ТПиР/НСиР])*Таблица2[ПИР2013]))</f>
        <v>0</v>
      </c>
      <c r="Y168" s="63">
        <f>IF($B$4="в текущих ценах",калькулятор!K173,T168*SUMPRODUCT(($B$2=Таблица2[Филиал])*($B$3=Таблица2[ФЕР/ТЕР])*(F168=Таблица2[Наименование работ])*(G168=Таблица2[ТПиР/НСиР])*Таблица2[СМР2013]))</f>
        <v>0</v>
      </c>
      <c r="Z168" s="63">
        <f>IF($B$4="в текущих ценах",калькулятор!L173,U168*SUMPRODUCT(($B$2=Таблица2[Филиал])*($B$3=Таблица2[ФЕР/ТЕР])*(F168=Таблица2[Наименование работ])*(G168=Таблица2[ТПиР/НСиР])*Таблица2[ПНР2013]))</f>
        <v>0</v>
      </c>
      <c r="AA168" s="63">
        <f>IF($B$4="в текущих ценах",калькулятор!M173,V168*SUMPRODUCT(($B$2=Таблица2[Филиал])*($B$3=Таблица2[ФЕР/ТЕР])*(F168=Таблица2[Наименование работ])*(G168=Таблица2[ТПиР/НСиР])*Таблица2[Оборудование2013]))</f>
        <v>0</v>
      </c>
      <c r="AB168" s="63">
        <f>IF($B$4="в текущих ценах",калькулятор!N173,W168*SUMPRODUCT(($B$2=Таблица2[Филиал])*($B$3=Таблица2[ФЕР/ТЕР])*(F168=Таблица2[Наименование работ])*(G168=Таблица2[ТПиР/НСиР])*Таблица2[Прочие3]))</f>
        <v>0</v>
      </c>
      <c r="AC168" s="63">
        <f>SUM(данные!$I168:$M168)</f>
        <v>0</v>
      </c>
      <c r="AD168" s="63">
        <f>IF(SUM(данные!$N168:$R168)&gt;данные!$AF168,данные!$AF168*0.9*1.058,SUM(данные!$N168:$R168))</f>
        <v>0</v>
      </c>
      <c r="AE168" s="63">
        <f>SUM(данные!$S168:$W168)</f>
        <v>0</v>
      </c>
      <c r="AF168" s="63">
        <f>SUM(данные!$X168:$AB168)</f>
        <v>0</v>
      </c>
      <c r="AG168" s="63">
        <f>IF($B$4="в текущих ценах",S168*SUMPRODUCT(($B$2=Таблица2[Филиал])*($B$3=Таблица2[ФЕР/ТЕР])*(F168=Таблица2[Наименование работ])*(G168=Таблица2[ТПиР/НСиР])*Таблица2[ПИР2012]),S168*SUMPRODUCT(($B$2=Таблица2[Филиал])*($B$3=Таблица2[ФЕР/ТЕР])*(F168=Таблица2[Наименование работ])*(G168=Таблица2[ТПиР/НСиР])*Таблица2[ПИР2012]))</f>
        <v>0</v>
      </c>
      <c r="AH168" s="63">
        <f>IF($B$4="в текущих ценах",T168*SUMPRODUCT(($B$2=Таблица2[Филиал])*($B$3=Таблица2[ФЕР/ТЕР])*(F168=Таблица2[Наименование работ])*(G168=Таблица2[ТПиР/НСиР])*Таблица2[СМР2012]),T168*SUMPRODUCT(($B$2=Таблица2[Филиал])*($B$3=Таблица2[ФЕР/ТЕР])*(F168=Таблица2[Наименование работ])*(G168=Таблица2[ТПиР/НСиР])*Таблица2[СМР2012]))</f>
        <v>0</v>
      </c>
      <c r="AI168" s="63">
        <f>IF($B$4="в текущих ценах",U168*SUMPRODUCT(($B$2=Таблица2[Филиал])*($B$3=Таблица2[ФЕР/ТЕР])*(F168=Таблица2[Наименование работ])*(G168=Таблица2[ТПиР/НСиР])*Таблица2[ПНР2012]),U168*SUMPRODUCT(($B$2=Таблица2[Филиал])*($B$3=Таблица2[ФЕР/ТЕР])*(F168=Таблица2[Наименование работ])*(G168=Таблица2[ТПиР/НСиР])*Таблица2[ПНР2012]))</f>
        <v>0</v>
      </c>
      <c r="AJ168" s="63">
        <f>IF($B$4="в текущих ценах",V168*SUMPRODUCT(($B$2=Таблица2[Филиал])*($B$3=Таблица2[ФЕР/ТЕР])*(F168=Таблица2[Наименование работ])*(G168=Таблица2[ТПиР/НСиР])*Таблица2[Оборудование2012]),V168*SUMPRODUCT(($B$2=Таблица2[Филиал])*($B$3=Таблица2[ФЕР/ТЕР])*(F168=Таблица2[Наименование работ])*(G168=Таблица2[ТПиР/НСиР])*Таблица2[Оборудование2012]))</f>
        <v>0</v>
      </c>
      <c r="AK168" s="63">
        <f>IF($B$4="в текущих ценах",W168*SUMPRODUCT(($B$2=Таблица2[Филиал])*($B$3=Таблица2[ФЕР/ТЕР])*(F168=Таблица2[Наименование работ])*(G168=Таблица2[ТПиР/НСиР])*Таблица2[Прочее2012]),W168*SUMPRODUCT(($B$2=Таблица2[Филиал])*($B$3=Таблица2[ФЕР/ТЕР])*(F168=Таблица2[Наименование работ])*(G168=Таблица2[ТПиР/НСиР])*Таблица2[Прочее2012]))</f>
        <v>0</v>
      </c>
      <c r="AL168" s="63">
        <f>данные!$X168+данные!$Y168+данные!$Z168+данные!$AA168+данные!$AB168</f>
        <v>0</v>
      </c>
      <c r="AM168" s="63">
        <v>1.03639035</v>
      </c>
      <c r="AN168" s="63">
        <v>1.0114049394</v>
      </c>
      <c r="AO168" s="63">
        <v>0.98210394336149998</v>
      </c>
      <c r="AP168" s="63">
        <v>0.93762413895893393</v>
      </c>
      <c r="AQ168" s="63"/>
      <c r="AR168" s="63"/>
      <c r="AS168" s="64"/>
      <c r="AU168" s="66">
        <f t="shared" si="12"/>
        <v>0</v>
      </c>
      <c r="AX168" s="66">
        <f t="shared" si="13"/>
        <v>0</v>
      </c>
      <c r="AY168" s="66">
        <f t="shared" si="14"/>
        <v>0</v>
      </c>
      <c r="AZ168" s="66">
        <f t="shared" si="15"/>
        <v>0</v>
      </c>
      <c r="BA168" s="66">
        <f t="shared" si="16"/>
        <v>0</v>
      </c>
      <c r="BB168" s="66">
        <f t="shared" si="17"/>
        <v>0</v>
      </c>
    </row>
    <row r="169" spans="4:54" x14ac:dyDescent="0.25">
      <c r="D169" s="62">
        <f>калькулятор!C174</f>
        <v>0</v>
      </c>
      <c r="E169" s="62">
        <f>калькулятор!F174</f>
        <v>0</v>
      </c>
      <c r="F169" s="62">
        <f>калькулятор!G174</f>
        <v>0</v>
      </c>
      <c r="G169" s="62">
        <f>калькулятор!H174</f>
        <v>0</v>
      </c>
      <c r="H169" s="62">
        <f>калькулятор!I174</f>
        <v>0</v>
      </c>
      <c r="I169" s="63">
        <f>S169*SUMPRODUCT(($B$2=Таблица2[Филиал])*($B$3=Таблица2[ФЕР/ТЕР])*(F169=Таблица2[Наименование работ])*(G169=Таблица2[ТПиР/НСиР])*Таблица2[ПИР2010])</f>
        <v>0</v>
      </c>
      <c r="J169" s="63">
        <f>T169*SUMPRODUCT(($B$2=Таблица2[Филиал])*($B$3=Таблица2[ФЕР/ТЕР])*(F169=Таблица2[Наименование работ])*(G169=Таблица2[ТПиР/НСиР])*Таблица2[СМР2010])</f>
        <v>0</v>
      </c>
      <c r="K169" s="63">
        <f>U169*SUMPRODUCT(($B$2=Таблица2[Филиал])*($B$3=Таблица2[ФЕР/ТЕР])*(F169=Таблица2[Наименование работ])*(G169=Таблица2[ТПиР/НСиР])*Таблица2[ПНР2010])</f>
        <v>0</v>
      </c>
      <c r="L169" s="63">
        <f>V169*SUMPRODUCT(($B$2=Таблица2[Филиал])*($B$3=Таблица2[ФЕР/ТЕР])*(F169=Таблица2[Наименование работ])*(G169=Таблица2[ТПиР/НСиР])*Таблица2[Оборудование2010])</f>
        <v>0</v>
      </c>
      <c r="M169" s="63">
        <f>W169*SUMPRODUCT(($B$2=Таблица2[Филиал])*($B$3=Таблица2[ФЕР/ТЕР])*(F169=Таблица2[Наименование работ])*(G169=Таблица2[ТПиР/НСиР])*Таблица2[Прочие2010])</f>
        <v>0</v>
      </c>
      <c r="N169" s="63">
        <f>S169*SUMPRODUCT(($B$2=Таблица2[Филиал])*($B$3=Таблица2[ФЕР/ТЕР])*(F169=Таблица2[Наименование работ])*(G169=Таблица2[ТПиР/НСиР])*Таблица2[ПИР2013-10])</f>
        <v>0</v>
      </c>
      <c r="O169" s="63">
        <f>T169*SUMPRODUCT(($B$2=Таблица2[Филиал])*($B$3=Таблица2[ФЕР/ТЕР])*(F169=Таблица2[Наименование работ])*(G169=Таблица2[ТПиР/НСиР])*Таблица2[СМР2013-10])</f>
        <v>0</v>
      </c>
      <c r="P169" s="63">
        <f>U169*SUMPRODUCT(($B$2=Таблица2[Филиал])*($B$3=Таблица2[ФЕР/ТЕР])*(F169=Таблица2[Наименование работ])*(G169=Таблица2[ТПиР/НСиР])*Таблица2[ПНР2013-10])</f>
        <v>0</v>
      </c>
      <c r="Q169" s="63">
        <f>V169*SUMPRODUCT(($B$2=Таблица2[Филиал])*($B$3=Таблица2[ФЕР/ТЕР])*(F169=Таблица2[Наименование работ])*(G169=Таблица2[ТПиР/НСиР])*Таблица2[Оборудование2013-10])</f>
        <v>0</v>
      </c>
      <c r="R169" s="63">
        <f>W169*SUMPRODUCT(($B$2=Таблица2[Филиал])*($B$3=Таблица2[ФЕР/ТЕР])*(F169=Таблица2[Наименование работ])*(G169=Таблица2[ТПиР/НСиР])*Таблица2[Прочие2013-10])</f>
        <v>0</v>
      </c>
      <c r="S169" s="63">
        <f>IF($B$4="в базовых ценах",калькулятор!J174,X169*SUMPRODUCT(($B$2=Таблица2[Филиал])*($B$3=Таблица2[ФЕР/ТЕР])*(F169=Таблица2[Наименование работ])*(G169=Таблица2[ТПиР/НСиР])/Таблица2[ПИР2013]))</f>
        <v>0</v>
      </c>
      <c r="T169" s="63">
        <f>IF($B$4="в базовых ценах",калькулятор!K174,Y169*SUMPRODUCT(($B$2=Таблица2[Филиал])*($B$3=Таблица2[ФЕР/ТЕР])*(F169=Таблица2[Наименование работ])*(G169=Таблица2[ТПиР/НСиР])/Таблица2[СМР2013]))</f>
        <v>0</v>
      </c>
      <c r="U169" s="63">
        <f>IF($B$4="в базовых ценах",калькулятор!L174,Z169*SUMPRODUCT(($B$2=Таблица2[Филиал])*($B$3=Таблица2[ФЕР/ТЕР])*(F169=Таблица2[Наименование работ])*(G169=Таблица2[ТПиР/НСиР])/Таблица2[ПНР2013]))</f>
        <v>0</v>
      </c>
      <c r="V169" s="63">
        <f>IF($B$4="в базовых ценах",калькулятор!M174,AA169*SUMPRODUCT(($B$2=Таблица2[Филиал])*($B$3=Таблица2[ФЕР/ТЕР])*(F169=Таблица2[Наименование работ])*(G169=Таблица2[ТПиР/НСиР])/Таблица2[Оборудование2013]))</f>
        <v>0</v>
      </c>
      <c r="W169" s="63">
        <f>IF($B$4="в базовых ценах",калькулятор!N174,AB169*SUMPRODUCT(($B$2=Таблица2[Филиал])*($B$3=Таблица2[ФЕР/ТЕР])*(F169=Таблица2[Наименование работ])*(G169=Таблица2[ТПиР/НСиР])/Таблица2[Прочие3]))</f>
        <v>0</v>
      </c>
      <c r="X169" s="63">
        <f>IF($B$4="в текущих ценах",калькулятор!J174,S169*SUMPRODUCT(($B$2=Таблица2[Филиал])*($B$3=Таблица2[ФЕР/ТЕР])*(F169=Таблица2[Наименование работ])*(G169=Таблица2[ТПиР/НСиР])*Таблица2[ПИР2013]))</f>
        <v>0</v>
      </c>
      <c r="Y169" s="63">
        <f>IF($B$4="в текущих ценах",калькулятор!K174,T169*SUMPRODUCT(($B$2=Таблица2[Филиал])*($B$3=Таблица2[ФЕР/ТЕР])*(F169=Таблица2[Наименование работ])*(G169=Таблица2[ТПиР/НСиР])*Таблица2[СМР2013]))</f>
        <v>0</v>
      </c>
      <c r="Z169" s="63">
        <f>IF($B$4="в текущих ценах",калькулятор!L174,U169*SUMPRODUCT(($B$2=Таблица2[Филиал])*($B$3=Таблица2[ФЕР/ТЕР])*(F169=Таблица2[Наименование работ])*(G169=Таблица2[ТПиР/НСиР])*Таблица2[ПНР2013]))</f>
        <v>0</v>
      </c>
      <c r="AA169" s="63">
        <f>IF($B$4="в текущих ценах",калькулятор!M174,V169*SUMPRODUCT(($B$2=Таблица2[Филиал])*($B$3=Таблица2[ФЕР/ТЕР])*(F169=Таблица2[Наименование работ])*(G169=Таблица2[ТПиР/НСиР])*Таблица2[Оборудование2013]))</f>
        <v>0</v>
      </c>
      <c r="AB169" s="63">
        <f>IF($B$4="в текущих ценах",калькулятор!N174,W169*SUMPRODUCT(($B$2=Таблица2[Филиал])*($B$3=Таблица2[ФЕР/ТЕР])*(F169=Таблица2[Наименование работ])*(G169=Таблица2[ТПиР/НСиР])*Таблица2[Прочие3]))</f>
        <v>0</v>
      </c>
      <c r="AC169" s="63">
        <f>SUM(данные!$I169:$M169)</f>
        <v>0</v>
      </c>
      <c r="AD169" s="63">
        <f>IF(SUM(данные!$N169:$R169)&gt;данные!$AF169,данные!$AF169*0.9*1.058,SUM(данные!$N169:$R169))</f>
        <v>0</v>
      </c>
      <c r="AE169" s="63">
        <f>SUM(данные!$S169:$W169)</f>
        <v>0</v>
      </c>
      <c r="AF169" s="63">
        <f>SUM(данные!$X169:$AB169)</f>
        <v>0</v>
      </c>
      <c r="AG169" s="63">
        <f>IF($B$4="в текущих ценах",S169*SUMPRODUCT(($B$2=Таблица2[Филиал])*($B$3=Таблица2[ФЕР/ТЕР])*(F169=Таблица2[Наименование работ])*(G169=Таблица2[ТПиР/НСиР])*Таблица2[ПИР2012]),S169*SUMPRODUCT(($B$2=Таблица2[Филиал])*($B$3=Таблица2[ФЕР/ТЕР])*(F169=Таблица2[Наименование работ])*(G169=Таблица2[ТПиР/НСиР])*Таблица2[ПИР2012]))</f>
        <v>0</v>
      </c>
      <c r="AH169" s="63">
        <f>IF($B$4="в текущих ценах",T169*SUMPRODUCT(($B$2=Таблица2[Филиал])*($B$3=Таблица2[ФЕР/ТЕР])*(F169=Таблица2[Наименование работ])*(G169=Таблица2[ТПиР/НСиР])*Таблица2[СМР2012]),T169*SUMPRODUCT(($B$2=Таблица2[Филиал])*($B$3=Таблица2[ФЕР/ТЕР])*(F169=Таблица2[Наименование работ])*(G169=Таблица2[ТПиР/НСиР])*Таблица2[СМР2012]))</f>
        <v>0</v>
      </c>
      <c r="AI169" s="63">
        <f>IF($B$4="в текущих ценах",U169*SUMPRODUCT(($B$2=Таблица2[Филиал])*($B$3=Таблица2[ФЕР/ТЕР])*(F169=Таблица2[Наименование работ])*(G169=Таблица2[ТПиР/НСиР])*Таблица2[ПНР2012]),U169*SUMPRODUCT(($B$2=Таблица2[Филиал])*($B$3=Таблица2[ФЕР/ТЕР])*(F169=Таблица2[Наименование работ])*(G169=Таблица2[ТПиР/НСиР])*Таблица2[ПНР2012]))</f>
        <v>0</v>
      </c>
      <c r="AJ169" s="63">
        <f>IF($B$4="в текущих ценах",V169*SUMPRODUCT(($B$2=Таблица2[Филиал])*($B$3=Таблица2[ФЕР/ТЕР])*(F169=Таблица2[Наименование работ])*(G169=Таблица2[ТПиР/НСиР])*Таблица2[Оборудование2012]),V169*SUMPRODUCT(($B$2=Таблица2[Филиал])*($B$3=Таблица2[ФЕР/ТЕР])*(F169=Таблица2[Наименование работ])*(G169=Таблица2[ТПиР/НСиР])*Таблица2[Оборудование2012]))</f>
        <v>0</v>
      </c>
      <c r="AK169" s="63">
        <f>IF($B$4="в текущих ценах",W169*SUMPRODUCT(($B$2=Таблица2[Филиал])*($B$3=Таблица2[ФЕР/ТЕР])*(F169=Таблица2[Наименование работ])*(G169=Таблица2[ТПиР/НСиР])*Таблица2[Прочее2012]),W169*SUMPRODUCT(($B$2=Таблица2[Филиал])*($B$3=Таблица2[ФЕР/ТЕР])*(F169=Таблица2[Наименование работ])*(G169=Таблица2[ТПиР/НСиР])*Таблица2[Прочее2012]))</f>
        <v>0</v>
      </c>
      <c r="AL169" s="63">
        <f>данные!$X169+данные!$Y169+данные!$Z169+данные!$AA169+данные!$AB169</f>
        <v>0</v>
      </c>
      <c r="AM169" s="63">
        <v>1.03639035</v>
      </c>
      <c r="AN169" s="63">
        <v>1.0114049394</v>
      </c>
      <c r="AO169" s="63">
        <v>0.98210394336149998</v>
      </c>
      <c r="AP169" s="63">
        <v>0.93762413895893393</v>
      </c>
      <c r="AQ169" s="63"/>
      <c r="AR169" s="63"/>
      <c r="AS169" s="64"/>
      <c r="AU169" s="66">
        <f t="shared" si="12"/>
        <v>0</v>
      </c>
      <c r="AX169" s="66">
        <f t="shared" si="13"/>
        <v>0</v>
      </c>
      <c r="AY169" s="66">
        <f t="shared" si="14"/>
        <v>0</v>
      </c>
      <c r="AZ169" s="66">
        <f t="shared" si="15"/>
        <v>0</v>
      </c>
      <c r="BA169" s="66">
        <f t="shared" si="16"/>
        <v>0</v>
      </c>
      <c r="BB169" s="66">
        <f t="shared" si="17"/>
        <v>0</v>
      </c>
    </row>
    <row r="170" spans="4:54" x14ac:dyDescent="0.25">
      <c r="D170" s="62">
        <f>калькулятор!C175</f>
        <v>0</v>
      </c>
      <c r="E170" s="62">
        <f>калькулятор!F175</f>
        <v>0</v>
      </c>
      <c r="F170" s="62">
        <f>калькулятор!G175</f>
        <v>0</v>
      </c>
      <c r="G170" s="62">
        <f>калькулятор!H175</f>
        <v>0</v>
      </c>
      <c r="H170" s="62">
        <f>калькулятор!I175</f>
        <v>0</v>
      </c>
      <c r="I170" s="63">
        <f>S170*SUMPRODUCT(($B$2=Таблица2[Филиал])*($B$3=Таблица2[ФЕР/ТЕР])*(F170=Таблица2[Наименование работ])*(G170=Таблица2[ТПиР/НСиР])*Таблица2[ПИР2010])</f>
        <v>0</v>
      </c>
      <c r="J170" s="63">
        <f>T170*SUMPRODUCT(($B$2=Таблица2[Филиал])*($B$3=Таблица2[ФЕР/ТЕР])*(F170=Таблица2[Наименование работ])*(G170=Таблица2[ТПиР/НСиР])*Таблица2[СМР2010])</f>
        <v>0</v>
      </c>
      <c r="K170" s="63">
        <f>U170*SUMPRODUCT(($B$2=Таблица2[Филиал])*($B$3=Таблица2[ФЕР/ТЕР])*(F170=Таблица2[Наименование работ])*(G170=Таблица2[ТПиР/НСиР])*Таблица2[ПНР2010])</f>
        <v>0</v>
      </c>
      <c r="L170" s="63">
        <f>V170*SUMPRODUCT(($B$2=Таблица2[Филиал])*($B$3=Таблица2[ФЕР/ТЕР])*(F170=Таблица2[Наименование работ])*(G170=Таблица2[ТПиР/НСиР])*Таблица2[Оборудование2010])</f>
        <v>0</v>
      </c>
      <c r="M170" s="63">
        <f>W170*SUMPRODUCT(($B$2=Таблица2[Филиал])*($B$3=Таблица2[ФЕР/ТЕР])*(F170=Таблица2[Наименование работ])*(G170=Таблица2[ТПиР/НСиР])*Таблица2[Прочие2010])</f>
        <v>0</v>
      </c>
      <c r="N170" s="63">
        <f>S170*SUMPRODUCT(($B$2=Таблица2[Филиал])*($B$3=Таблица2[ФЕР/ТЕР])*(F170=Таблица2[Наименование работ])*(G170=Таблица2[ТПиР/НСиР])*Таблица2[ПИР2013-10])</f>
        <v>0</v>
      </c>
      <c r="O170" s="63">
        <f>T170*SUMPRODUCT(($B$2=Таблица2[Филиал])*($B$3=Таблица2[ФЕР/ТЕР])*(F170=Таблица2[Наименование работ])*(G170=Таблица2[ТПиР/НСиР])*Таблица2[СМР2013-10])</f>
        <v>0</v>
      </c>
      <c r="P170" s="63">
        <f>U170*SUMPRODUCT(($B$2=Таблица2[Филиал])*($B$3=Таблица2[ФЕР/ТЕР])*(F170=Таблица2[Наименование работ])*(G170=Таблица2[ТПиР/НСиР])*Таблица2[ПНР2013-10])</f>
        <v>0</v>
      </c>
      <c r="Q170" s="63">
        <f>V170*SUMPRODUCT(($B$2=Таблица2[Филиал])*($B$3=Таблица2[ФЕР/ТЕР])*(F170=Таблица2[Наименование работ])*(G170=Таблица2[ТПиР/НСиР])*Таблица2[Оборудование2013-10])</f>
        <v>0</v>
      </c>
      <c r="R170" s="63">
        <f>W170*SUMPRODUCT(($B$2=Таблица2[Филиал])*($B$3=Таблица2[ФЕР/ТЕР])*(F170=Таблица2[Наименование работ])*(G170=Таблица2[ТПиР/НСиР])*Таблица2[Прочие2013-10])</f>
        <v>0</v>
      </c>
      <c r="S170" s="63">
        <f>IF($B$4="в базовых ценах",калькулятор!J175,X170*SUMPRODUCT(($B$2=Таблица2[Филиал])*($B$3=Таблица2[ФЕР/ТЕР])*(F170=Таблица2[Наименование работ])*(G170=Таблица2[ТПиР/НСиР])/Таблица2[ПИР2013]))</f>
        <v>0</v>
      </c>
      <c r="T170" s="63">
        <f>IF($B$4="в базовых ценах",калькулятор!K175,Y170*SUMPRODUCT(($B$2=Таблица2[Филиал])*($B$3=Таблица2[ФЕР/ТЕР])*(F170=Таблица2[Наименование работ])*(G170=Таблица2[ТПиР/НСиР])/Таблица2[СМР2013]))</f>
        <v>0</v>
      </c>
      <c r="U170" s="63">
        <f>IF($B$4="в базовых ценах",калькулятор!L175,Z170*SUMPRODUCT(($B$2=Таблица2[Филиал])*($B$3=Таблица2[ФЕР/ТЕР])*(F170=Таблица2[Наименование работ])*(G170=Таблица2[ТПиР/НСиР])/Таблица2[ПНР2013]))</f>
        <v>0</v>
      </c>
      <c r="V170" s="63">
        <f>IF($B$4="в базовых ценах",калькулятор!M175,AA170*SUMPRODUCT(($B$2=Таблица2[Филиал])*($B$3=Таблица2[ФЕР/ТЕР])*(F170=Таблица2[Наименование работ])*(G170=Таблица2[ТПиР/НСиР])/Таблица2[Оборудование2013]))</f>
        <v>0</v>
      </c>
      <c r="W170" s="63">
        <f>IF($B$4="в базовых ценах",калькулятор!N175,AB170*SUMPRODUCT(($B$2=Таблица2[Филиал])*($B$3=Таблица2[ФЕР/ТЕР])*(F170=Таблица2[Наименование работ])*(G170=Таблица2[ТПиР/НСиР])/Таблица2[Прочие3]))</f>
        <v>0</v>
      </c>
      <c r="X170" s="63">
        <f>IF($B$4="в текущих ценах",калькулятор!J175,S170*SUMPRODUCT(($B$2=Таблица2[Филиал])*($B$3=Таблица2[ФЕР/ТЕР])*(F170=Таблица2[Наименование работ])*(G170=Таблица2[ТПиР/НСиР])*Таблица2[ПИР2013]))</f>
        <v>0</v>
      </c>
      <c r="Y170" s="63">
        <f>IF($B$4="в текущих ценах",калькулятор!K175,T170*SUMPRODUCT(($B$2=Таблица2[Филиал])*($B$3=Таблица2[ФЕР/ТЕР])*(F170=Таблица2[Наименование работ])*(G170=Таблица2[ТПиР/НСиР])*Таблица2[СМР2013]))</f>
        <v>0</v>
      </c>
      <c r="Z170" s="63">
        <f>IF($B$4="в текущих ценах",калькулятор!L175,U170*SUMPRODUCT(($B$2=Таблица2[Филиал])*($B$3=Таблица2[ФЕР/ТЕР])*(F170=Таблица2[Наименование работ])*(G170=Таблица2[ТПиР/НСиР])*Таблица2[ПНР2013]))</f>
        <v>0</v>
      </c>
      <c r="AA170" s="63">
        <f>IF($B$4="в текущих ценах",калькулятор!M175,V170*SUMPRODUCT(($B$2=Таблица2[Филиал])*($B$3=Таблица2[ФЕР/ТЕР])*(F170=Таблица2[Наименование работ])*(G170=Таблица2[ТПиР/НСиР])*Таблица2[Оборудование2013]))</f>
        <v>0</v>
      </c>
      <c r="AB170" s="63">
        <f>IF($B$4="в текущих ценах",калькулятор!N175,W170*SUMPRODUCT(($B$2=Таблица2[Филиал])*($B$3=Таблица2[ФЕР/ТЕР])*(F170=Таблица2[Наименование работ])*(G170=Таблица2[ТПиР/НСиР])*Таблица2[Прочие3]))</f>
        <v>0</v>
      </c>
      <c r="AC170" s="63">
        <f>SUM(данные!$I170:$M170)</f>
        <v>0</v>
      </c>
      <c r="AD170" s="63">
        <f>IF(SUM(данные!$N170:$R170)&gt;данные!$AF170,данные!$AF170*0.9*1.058,SUM(данные!$N170:$R170))</f>
        <v>0</v>
      </c>
      <c r="AE170" s="63">
        <f>SUM(данные!$S170:$W170)</f>
        <v>0</v>
      </c>
      <c r="AF170" s="63">
        <f>SUM(данные!$X170:$AB170)</f>
        <v>0</v>
      </c>
      <c r="AG170" s="63">
        <f>IF($B$4="в текущих ценах",S170*SUMPRODUCT(($B$2=Таблица2[Филиал])*($B$3=Таблица2[ФЕР/ТЕР])*(F170=Таблица2[Наименование работ])*(G170=Таблица2[ТПиР/НСиР])*Таблица2[ПИР2012]),S170*SUMPRODUCT(($B$2=Таблица2[Филиал])*($B$3=Таблица2[ФЕР/ТЕР])*(F170=Таблица2[Наименование работ])*(G170=Таблица2[ТПиР/НСиР])*Таблица2[ПИР2012]))</f>
        <v>0</v>
      </c>
      <c r="AH170" s="63">
        <f>IF($B$4="в текущих ценах",T170*SUMPRODUCT(($B$2=Таблица2[Филиал])*($B$3=Таблица2[ФЕР/ТЕР])*(F170=Таблица2[Наименование работ])*(G170=Таблица2[ТПиР/НСиР])*Таблица2[СМР2012]),T170*SUMPRODUCT(($B$2=Таблица2[Филиал])*($B$3=Таблица2[ФЕР/ТЕР])*(F170=Таблица2[Наименование работ])*(G170=Таблица2[ТПиР/НСиР])*Таблица2[СМР2012]))</f>
        <v>0</v>
      </c>
      <c r="AI170" s="63">
        <f>IF($B$4="в текущих ценах",U170*SUMPRODUCT(($B$2=Таблица2[Филиал])*($B$3=Таблица2[ФЕР/ТЕР])*(F170=Таблица2[Наименование работ])*(G170=Таблица2[ТПиР/НСиР])*Таблица2[ПНР2012]),U170*SUMPRODUCT(($B$2=Таблица2[Филиал])*($B$3=Таблица2[ФЕР/ТЕР])*(F170=Таблица2[Наименование работ])*(G170=Таблица2[ТПиР/НСиР])*Таблица2[ПНР2012]))</f>
        <v>0</v>
      </c>
      <c r="AJ170" s="63">
        <f>IF($B$4="в текущих ценах",V170*SUMPRODUCT(($B$2=Таблица2[Филиал])*($B$3=Таблица2[ФЕР/ТЕР])*(F170=Таблица2[Наименование работ])*(G170=Таблица2[ТПиР/НСиР])*Таблица2[Оборудование2012]),V170*SUMPRODUCT(($B$2=Таблица2[Филиал])*($B$3=Таблица2[ФЕР/ТЕР])*(F170=Таблица2[Наименование работ])*(G170=Таблица2[ТПиР/НСиР])*Таблица2[Оборудование2012]))</f>
        <v>0</v>
      </c>
      <c r="AK170" s="63">
        <f>IF($B$4="в текущих ценах",W170*SUMPRODUCT(($B$2=Таблица2[Филиал])*($B$3=Таблица2[ФЕР/ТЕР])*(F170=Таблица2[Наименование работ])*(G170=Таблица2[ТПиР/НСиР])*Таблица2[Прочее2012]),W170*SUMPRODUCT(($B$2=Таблица2[Филиал])*($B$3=Таблица2[ФЕР/ТЕР])*(F170=Таблица2[Наименование работ])*(G170=Таблица2[ТПиР/НСиР])*Таблица2[Прочее2012]))</f>
        <v>0</v>
      </c>
      <c r="AL170" s="63">
        <f>данные!$X170+данные!$Y170+данные!$Z170+данные!$AA170+данные!$AB170</f>
        <v>0</v>
      </c>
      <c r="AM170" s="63">
        <v>1.03639035</v>
      </c>
      <c r="AN170" s="63">
        <v>1.0114049394</v>
      </c>
      <c r="AO170" s="63">
        <v>0.98210394336149998</v>
      </c>
      <c r="AP170" s="63">
        <v>0.93762413895893393</v>
      </c>
      <c r="AQ170" s="63"/>
      <c r="AR170" s="63"/>
      <c r="AS170" s="64"/>
      <c r="AU170" s="66">
        <f t="shared" si="12"/>
        <v>0</v>
      </c>
      <c r="AX170" s="66">
        <f t="shared" si="13"/>
        <v>0</v>
      </c>
      <c r="AY170" s="66">
        <f t="shared" si="14"/>
        <v>0</v>
      </c>
      <c r="AZ170" s="66">
        <f t="shared" si="15"/>
        <v>0</v>
      </c>
      <c r="BA170" s="66">
        <f t="shared" si="16"/>
        <v>0</v>
      </c>
      <c r="BB170" s="66">
        <f t="shared" si="17"/>
        <v>0</v>
      </c>
    </row>
    <row r="171" spans="4:54" x14ac:dyDescent="0.25">
      <c r="D171" s="62">
        <f>калькулятор!C176</f>
        <v>0</v>
      </c>
      <c r="E171" s="62">
        <f>калькулятор!F176</f>
        <v>0</v>
      </c>
      <c r="F171" s="62">
        <f>калькулятор!G176</f>
        <v>0</v>
      </c>
      <c r="G171" s="62">
        <f>калькулятор!H176</f>
        <v>0</v>
      </c>
      <c r="H171" s="62">
        <f>калькулятор!I176</f>
        <v>0</v>
      </c>
      <c r="I171" s="63">
        <f>S171*SUMPRODUCT(($B$2=Таблица2[Филиал])*($B$3=Таблица2[ФЕР/ТЕР])*(F171=Таблица2[Наименование работ])*(G171=Таблица2[ТПиР/НСиР])*Таблица2[ПИР2010])</f>
        <v>0</v>
      </c>
      <c r="J171" s="63">
        <f>T171*SUMPRODUCT(($B$2=Таблица2[Филиал])*($B$3=Таблица2[ФЕР/ТЕР])*(F171=Таблица2[Наименование работ])*(G171=Таблица2[ТПиР/НСиР])*Таблица2[СМР2010])</f>
        <v>0</v>
      </c>
      <c r="K171" s="63">
        <f>U171*SUMPRODUCT(($B$2=Таблица2[Филиал])*($B$3=Таблица2[ФЕР/ТЕР])*(F171=Таблица2[Наименование работ])*(G171=Таблица2[ТПиР/НСиР])*Таблица2[ПНР2010])</f>
        <v>0</v>
      </c>
      <c r="L171" s="63">
        <f>V171*SUMPRODUCT(($B$2=Таблица2[Филиал])*($B$3=Таблица2[ФЕР/ТЕР])*(F171=Таблица2[Наименование работ])*(G171=Таблица2[ТПиР/НСиР])*Таблица2[Оборудование2010])</f>
        <v>0</v>
      </c>
      <c r="M171" s="63">
        <f>W171*SUMPRODUCT(($B$2=Таблица2[Филиал])*($B$3=Таблица2[ФЕР/ТЕР])*(F171=Таблица2[Наименование работ])*(G171=Таблица2[ТПиР/НСиР])*Таблица2[Прочие2010])</f>
        <v>0</v>
      </c>
      <c r="N171" s="63">
        <f>S171*SUMPRODUCT(($B$2=Таблица2[Филиал])*($B$3=Таблица2[ФЕР/ТЕР])*(F171=Таблица2[Наименование работ])*(G171=Таблица2[ТПиР/НСиР])*Таблица2[ПИР2013-10])</f>
        <v>0</v>
      </c>
      <c r="O171" s="63">
        <f>T171*SUMPRODUCT(($B$2=Таблица2[Филиал])*($B$3=Таблица2[ФЕР/ТЕР])*(F171=Таблица2[Наименование работ])*(G171=Таблица2[ТПиР/НСиР])*Таблица2[СМР2013-10])</f>
        <v>0</v>
      </c>
      <c r="P171" s="63">
        <f>U171*SUMPRODUCT(($B$2=Таблица2[Филиал])*($B$3=Таблица2[ФЕР/ТЕР])*(F171=Таблица2[Наименование работ])*(G171=Таблица2[ТПиР/НСиР])*Таблица2[ПНР2013-10])</f>
        <v>0</v>
      </c>
      <c r="Q171" s="63">
        <f>V171*SUMPRODUCT(($B$2=Таблица2[Филиал])*($B$3=Таблица2[ФЕР/ТЕР])*(F171=Таблица2[Наименование работ])*(G171=Таблица2[ТПиР/НСиР])*Таблица2[Оборудование2013-10])</f>
        <v>0</v>
      </c>
      <c r="R171" s="63">
        <f>W171*SUMPRODUCT(($B$2=Таблица2[Филиал])*($B$3=Таблица2[ФЕР/ТЕР])*(F171=Таблица2[Наименование работ])*(G171=Таблица2[ТПиР/НСиР])*Таблица2[Прочие2013-10])</f>
        <v>0</v>
      </c>
      <c r="S171" s="63">
        <f>IF($B$4="в базовых ценах",калькулятор!J176,X171*SUMPRODUCT(($B$2=Таблица2[Филиал])*($B$3=Таблица2[ФЕР/ТЕР])*(F171=Таблица2[Наименование работ])*(G171=Таблица2[ТПиР/НСиР])/Таблица2[ПИР2013]))</f>
        <v>0</v>
      </c>
      <c r="T171" s="63">
        <f>IF($B$4="в базовых ценах",калькулятор!K176,Y171*SUMPRODUCT(($B$2=Таблица2[Филиал])*($B$3=Таблица2[ФЕР/ТЕР])*(F171=Таблица2[Наименование работ])*(G171=Таблица2[ТПиР/НСиР])/Таблица2[СМР2013]))</f>
        <v>0</v>
      </c>
      <c r="U171" s="63">
        <f>IF($B$4="в базовых ценах",калькулятор!L176,Z171*SUMPRODUCT(($B$2=Таблица2[Филиал])*($B$3=Таблица2[ФЕР/ТЕР])*(F171=Таблица2[Наименование работ])*(G171=Таблица2[ТПиР/НСиР])/Таблица2[ПНР2013]))</f>
        <v>0</v>
      </c>
      <c r="V171" s="63">
        <f>IF($B$4="в базовых ценах",калькулятор!M176,AA171*SUMPRODUCT(($B$2=Таблица2[Филиал])*($B$3=Таблица2[ФЕР/ТЕР])*(F171=Таблица2[Наименование работ])*(G171=Таблица2[ТПиР/НСиР])/Таблица2[Оборудование2013]))</f>
        <v>0</v>
      </c>
      <c r="W171" s="63">
        <f>IF($B$4="в базовых ценах",калькулятор!N176,AB171*SUMPRODUCT(($B$2=Таблица2[Филиал])*($B$3=Таблица2[ФЕР/ТЕР])*(F171=Таблица2[Наименование работ])*(G171=Таблица2[ТПиР/НСиР])/Таблица2[Прочие3]))</f>
        <v>0</v>
      </c>
      <c r="X171" s="63">
        <f>IF($B$4="в текущих ценах",калькулятор!J176,S171*SUMPRODUCT(($B$2=Таблица2[Филиал])*($B$3=Таблица2[ФЕР/ТЕР])*(F171=Таблица2[Наименование работ])*(G171=Таблица2[ТПиР/НСиР])*Таблица2[ПИР2013]))</f>
        <v>0</v>
      </c>
      <c r="Y171" s="63">
        <f>IF($B$4="в текущих ценах",калькулятор!K176,T171*SUMPRODUCT(($B$2=Таблица2[Филиал])*($B$3=Таблица2[ФЕР/ТЕР])*(F171=Таблица2[Наименование работ])*(G171=Таблица2[ТПиР/НСиР])*Таблица2[СМР2013]))</f>
        <v>0</v>
      </c>
      <c r="Z171" s="63">
        <f>IF($B$4="в текущих ценах",калькулятор!L176,U171*SUMPRODUCT(($B$2=Таблица2[Филиал])*($B$3=Таблица2[ФЕР/ТЕР])*(F171=Таблица2[Наименование работ])*(G171=Таблица2[ТПиР/НСиР])*Таблица2[ПНР2013]))</f>
        <v>0</v>
      </c>
      <c r="AA171" s="63">
        <f>IF($B$4="в текущих ценах",калькулятор!M176,V171*SUMPRODUCT(($B$2=Таблица2[Филиал])*($B$3=Таблица2[ФЕР/ТЕР])*(F171=Таблица2[Наименование работ])*(G171=Таблица2[ТПиР/НСиР])*Таблица2[Оборудование2013]))</f>
        <v>0</v>
      </c>
      <c r="AB171" s="63">
        <f>IF($B$4="в текущих ценах",калькулятор!N176,W171*SUMPRODUCT(($B$2=Таблица2[Филиал])*($B$3=Таблица2[ФЕР/ТЕР])*(F171=Таблица2[Наименование работ])*(G171=Таблица2[ТПиР/НСиР])*Таблица2[Прочие3]))</f>
        <v>0</v>
      </c>
      <c r="AC171" s="63">
        <f>SUM(данные!$I171:$M171)</f>
        <v>0</v>
      </c>
      <c r="AD171" s="63">
        <f>IF(SUM(данные!$N171:$R171)&gt;данные!$AF171,данные!$AF171*0.9*1.058,SUM(данные!$N171:$R171))</f>
        <v>0</v>
      </c>
      <c r="AE171" s="63">
        <f>SUM(данные!$S171:$W171)</f>
        <v>0</v>
      </c>
      <c r="AF171" s="63">
        <f>SUM(данные!$X171:$AB171)</f>
        <v>0</v>
      </c>
      <c r="AG171" s="63">
        <f>IF($B$4="в текущих ценах",S171*SUMPRODUCT(($B$2=Таблица2[Филиал])*($B$3=Таблица2[ФЕР/ТЕР])*(F171=Таблица2[Наименование работ])*(G171=Таблица2[ТПиР/НСиР])*Таблица2[ПИР2012]),S171*SUMPRODUCT(($B$2=Таблица2[Филиал])*($B$3=Таблица2[ФЕР/ТЕР])*(F171=Таблица2[Наименование работ])*(G171=Таблица2[ТПиР/НСиР])*Таблица2[ПИР2012]))</f>
        <v>0</v>
      </c>
      <c r="AH171" s="63">
        <f>IF($B$4="в текущих ценах",T171*SUMPRODUCT(($B$2=Таблица2[Филиал])*($B$3=Таблица2[ФЕР/ТЕР])*(F171=Таблица2[Наименование работ])*(G171=Таблица2[ТПиР/НСиР])*Таблица2[СМР2012]),T171*SUMPRODUCT(($B$2=Таблица2[Филиал])*($B$3=Таблица2[ФЕР/ТЕР])*(F171=Таблица2[Наименование работ])*(G171=Таблица2[ТПиР/НСиР])*Таблица2[СМР2012]))</f>
        <v>0</v>
      </c>
      <c r="AI171" s="63">
        <f>IF($B$4="в текущих ценах",U171*SUMPRODUCT(($B$2=Таблица2[Филиал])*($B$3=Таблица2[ФЕР/ТЕР])*(F171=Таблица2[Наименование работ])*(G171=Таблица2[ТПиР/НСиР])*Таблица2[ПНР2012]),U171*SUMPRODUCT(($B$2=Таблица2[Филиал])*($B$3=Таблица2[ФЕР/ТЕР])*(F171=Таблица2[Наименование работ])*(G171=Таблица2[ТПиР/НСиР])*Таблица2[ПНР2012]))</f>
        <v>0</v>
      </c>
      <c r="AJ171" s="63">
        <f>IF($B$4="в текущих ценах",V171*SUMPRODUCT(($B$2=Таблица2[Филиал])*($B$3=Таблица2[ФЕР/ТЕР])*(F171=Таблица2[Наименование работ])*(G171=Таблица2[ТПиР/НСиР])*Таблица2[Оборудование2012]),V171*SUMPRODUCT(($B$2=Таблица2[Филиал])*($B$3=Таблица2[ФЕР/ТЕР])*(F171=Таблица2[Наименование работ])*(G171=Таблица2[ТПиР/НСиР])*Таблица2[Оборудование2012]))</f>
        <v>0</v>
      </c>
      <c r="AK171" s="63">
        <f>IF($B$4="в текущих ценах",W171*SUMPRODUCT(($B$2=Таблица2[Филиал])*($B$3=Таблица2[ФЕР/ТЕР])*(F171=Таблица2[Наименование работ])*(G171=Таблица2[ТПиР/НСиР])*Таблица2[Прочее2012]),W171*SUMPRODUCT(($B$2=Таблица2[Филиал])*($B$3=Таблица2[ФЕР/ТЕР])*(F171=Таблица2[Наименование работ])*(G171=Таблица2[ТПиР/НСиР])*Таблица2[Прочее2012]))</f>
        <v>0</v>
      </c>
      <c r="AL171" s="63">
        <f>данные!$X171+данные!$Y171+данные!$Z171+данные!$AA171+данные!$AB171</f>
        <v>0</v>
      </c>
      <c r="AM171" s="63">
        <v>1.03639035</v>
      </c>
      <c r="AN171" s="63">
        <v>1.0114049394</v>
      </c>
      <c r="AO171" s="63">
        <v>0.98210394336149998</v>
      </c>
      <c r="AP171" s="63">
        <v>0.93762413895893393</v>
      </c>
      <c r="AQ171" s="63"/>
      <c r="AR171" s="63"/>
      <c r="AS171" s="64"/>
      <c r="AU171" s="66">
        <f t="shared" si="12"/>
        <v>0</v>
      </c>
      <c r="AX171" s="66">
        <f t="shared" si="13"/>
        <v>0</v>
      </c>
      <c r="AY171" s="66">
        <f t="shared" si="14"/>
        <v>0</v>
      </c>
      <c r="AZ171" s="66">
        <f t="shared" si="15"/>
        <v>0</v>
      </c>
      <c r="BA171" s="66">
        <f t="shared" si="16"/>
        <v>0</v>
      </c>
      <c r="BB171" s="66">
        <f t="shared" si="17"/>
        <v>0</v>
      </c>
    </row>
    <row r="172" spans="4:54" x14ac:dyDescent="0.25">
      <c r="D172" s="62">
        <f>калькулятор!C177</f>
        <v>0</v>
      </c>
      <c r="E172" s="62">
        <f>калькулятор!F177</f>
        <v>0</v>
      </c>
      <c r="F172" s="62">
        <f>калькулятор!G177</f>
        <v>0</v>
      </c>
      <c r="G172" s="62">
        <f>калькулятор!H177</f>
        <v>0</v>
      </c>
      <c r="H172" s="62">
        <f>калькулятор!I177</f>
        <v>0</v>
      </c>
      <c r="I172" s="63">
        <f>S172*SUMPRODUCT(($B$2=Таблица2[Филиал])*($B$3=Таблица2[ФЕР/ТЕР])*(F172=Таблица2[Наименование работ])*(G172=Таблица2[ТПиР/НСиР])*Таблица2[ПИР2010])</f>
        <v>0</v>
      </c>
      <c r="J172" s="63">
        <f>T172*SUMPRODUCT(($B$2=Таблица2[Филиал])*($B$3=Таблица2[ФЕР/ТЕР])*(F172=Таблица2[Наименование работ])*(G172=Таблица2[ТПиР/НСиР])*Таблица2[СМР2010])</f>
        <v>0</v>
      </c>
      <c r="K172" s="63">
        <f>U172*SUMPRODUCT(($B$2=Таблица2[Филиал])*($B$3=Таблица2[ФЕР/ТЕР])*(F172=Таблица2[Наименование работ])*(G172=Таблица2[ТПиР/НСиР])*Таблица2[ПНР2010])</f>
        <v>0</v>
      </c>
      <c r="L172" s="63">
        <f>V172*SUMPRODUCT(($B$2=Таблица2[Филиал])*($B$3=Таблица2[ФЕР/ТЕР])*(F172=Таблица2[Наименование работ])*(G172=Таблица2[ТПиР/НСиР])*Таблица2[Оборудование2010])</f>
        <v>0</v>
      </c>
      <c r="M172" s="63">
        <f>W172*SUMPRODUCT(($B$2=Таблица2[Филиал])*($B$3=Таблица2[ФЕР/ТЕР])*(F172=Таблица2[Наименование работ])*(G172=Таблица2[ТПиР/НСиР])*Таблица2[Прочие2010])</f>
        <v>0</v>
      </c>
      <c r="N172" s="63">
        <f>S172*SUMPRODUCT(($B$2=Таблица2[Филиал])*($B$3=Таблица2[ФЕР/ТЕР])*(F172=Таблица2[Наименование работ])*(G172=Таблица2[ТПиР/НСиР])*Таблица2[ПИР2013-10])</f>
        <v>0</v>
      </c>
      <c r="O172" s="63">
        <f>T172*SUMPRODUCT(($B$2=Таблица2[Филиал])*($B$3=Таблица2[ФЕР/ТЕР])*(F172=Таблица2[Наименование работ])*(G172=Таблица2[ТПиР/НСиР])*Таблица2[СМР2013-10])</f>
        <v>0</v>
      </c>
      <c r="P172" s="63">
        <f>U172*SUMPRODUCT(($B$2=Таблица2[Филиал])*($B$3=Таблица2[ФЕР/ТЕР])*(F172=Таблица2[Наименование работ])*(G172=Таблица2[ТПиР/НСиР])*Таблица2[ПНР2013-10])</f>
        <v>0</v>
      </c>
      <c r="Q172" s="63">
        <f>V172*SUMPRODUCT(($B$2=Таблица2[Филиал])*($B$3=Таблица2[ФЕР/ТЕР])*(F172=Таблица2[Наименование работ])*(G172=Таблица2[ТПиР/НСиР])*Таблица2[Оборудование2013-10])</f>
        <v>0</v>
      </c>
      <c r="R172" s="63">
        <f>W172*SUMPRODUCT(($B$2=Таблица2[Филиал])*($B$3=Таблица2[ФЕР/ТЕР])*(F172=Таблица2[Наименование работ])*(G172=Таблица2[ТПиР/НСиР])*Таблица2[Прочие2013-10])</f>
        <v>0</v>
      </c>
      <c r="S172" s="63">
        <f>IF($B$4="в базовых ценах",калькулятор!J177,X172*SUMPRODUCT(($B$2=Таблица2[Филиал])*($B$3=Таблица2[ФЕР/ТЕР])*(F172=Таблица2[Наименование работ])*(G172=Таблица2[ТПиР/НСиР])/Таблица2[ПИР2013]))</f>
        <v>0</v>
      </c>
      <c r="T172" s="63">
        <f>IF($B$4="в базовых ценах",калькулятор!K177,Y172*SUMPRODUCT(($B$2=Таблица2[Филиал])*($B$3=Таблица2[ФЕР/ТЕР])*(F172=Таблица2[Наименование работ])*(G172=Таблица2[ТПиР/НСиР])/Таблица2[СМР2013]))</f>
        <v>0</v>
      </c>
      <c r="U172" s="63">
        <f>IF($B$4="в базовых ценах",калькулятор!L177,Z172*SUMPRODUCT(($B$2=Таблица2[Филиал])*($B$3=Таблица2[ФЕР/ТЕР])*(F172=Таблица2[Наименование работ])*(G172=Таблица2[ТПиР/НСиР])/Таблица2[ПНР2013]))</f>
        <v>0</v>
      </c>
      <c r="V172" s="63">
        <f>IF($B$4="в базовых ценах",калькулятор!M177,AA172*SUMPRODUCT(($B$2=Таблица2[Филиал])*($B$3=Таблица2[ФЕР/ТЕР])*(F172=Таблица2[Наименование работ])*(G172=Таблица2[ТПиР/НСиР])/Таблица2[Оборудование2013]))</f>
        <v>0</v>
      </c>
      <c r="W172" s="63">
        <f>IF($B$4="в базовых ценах",калькулятор!N177,AB172*SUMPRODUCT(($B$2=Таблица2[Филиал])*($B$3=Таблица2[ФЕР/ТЕР])*(F172=Таблица2[Наименование работ])*(G172=Таблица2[ТПиР/НСиР])/Таблица2[Прочие3]))</f>
        <v>0</v>
      </c>
      <c r="X172" s="63">
        <f>IF($B$4="в текущих ценах",калькулятор!J177,S172*SUMPRODUCT(($B$2=Таблица2[Филиал])*($B$3=Таблица2[ФЕР/ТЕР])*(F172=Таблица2[Наименование работ])*(G172=Таблица2[ТПиР/НСиР])*Таблица2[ПИР2013]))</f>
        <v>0</v>
      </c>
      <c r="Y172" s="63">
        <f>IF($B$4="в текущих ценах",калькулятор!K177,T172*SUMPRODUCT(($B$2=Таблица2[Филиал])*($B$3=Таблица2[ФЕР/ТЕР])*(F172=Таблица2[Наименование работ])*(G172=Таблица2[ТПиР/НСиР])*Таблица2[СМР2013]))</f>
        <v>0</v>
      </c>
      <c r="Z172" s="63">
        <f>IF($B$4="в текущих ценах",калькулятор!L177,U172*SUMPRODUCT(($B$2=Таблица2[Филиал])*($B$3=Таблица2[ФЕР/ТЕР])*(F172=Таблица2[Наименование работ])*(G172=Таблица2[ТПиР/НСиР])*Таблица2[ПНР2013]))</f>
        <v>0</v>
      </c>
      <c r="AA172" s="63">
        <f>IF($B$4="в текущих ценах",калькулятор!M177,V172*SUMPRODUCT(($B$2=Таблица2[Филиал])*($B$3=Таблица2[ФЕР/ТЕР])*(F172=Таблица2[Наименование работ])*(G172=Таблица2[ТПиР/НСиР])*Таблица2[Оборудование2013]))</f>
        <v>0</v>
      </c>
      <c r="AB172" s="63">
        <f>IF($B$4="в текущих ценах",калькулятор!N177,W172*SUMPRODUCT(($B$2=Таблица2[Филиал])*($B$3=Таблица2[ФЕР/ТЕР])*(F172=Таблица2[Наименование работ])*(G172=Таблица2[ТПиР/НСиР])*Таблица2[Прочие3]))</f>
        <v>0</v>
      </c>
      <c r="AC172" s="63">
        <f>SUM(данные!$I172:$M172)</f>
        <v>0</v>
      </c>
      <c r="AD172" s="63">
        <f>IF(SUM(данные!$N172:$R172)&gt;данные!$AF172,данные!$AF172*0.9*1.058,SUM(данные!$N172:$R172))</f>
        <v>0</v>
      </c>
      <c r="AE172" s="63">
        <f>SUM(данные!$S172:$W172)</f>
        <v>0</v>
      </c>
      <c r="AF172" s="63">
        <f>SUM(данные!$X172:$AB172)</f>
        <v>0</v>
      </c>
      <c r="AG172" s="63">
        <f>IF($B$4="в текущих ценах",S172*SUMPRODUCT(($B$2=Таблица2[Филиал])*($B$3=Таблица2[ФЕР/ТЕР])*(F172=Таблица2[Наименование работ])*(G172=Таблица2[ТПиР/НСиР])*Таблица2[ПИР2012]),S172*SUMPRODUCT(($B$2=Таблица2[Филиал])*($B$3=Таблица2[ФЕР/ТЕР])*(F172=Таблица2[Наименование работ])*(G172=Таблица2[ТПиР/НСиР])*Таблица2[ПИР2012]))</f>
        <v>0</v>
      </c>
      <c r="AH172" s="63">
        <f>IF($B$4="в текущих ценах",T172*SUMPRODUCT(($B$2=Таблица2[Филиал])*($B$3=Таблица2[ФЕР/ТЕР])*(F172=Таблица2[Наименование работ])*(G172=Таблица2[ТПиР/НСиР])*Таблица2[СМР2012]),T172*SUMPRODUCT(($B$2=Таблица2[Филиал])*($B$3=Таблица2[ФЕР/ТЕР])*(F172=Таблица2[Наименование работ])*(G172=Таблица2[ТПиР/НСиР])*Таблица2[СМР2012]))</f>
        <v>0</v>
      </c>
      <c r="AI172" s="63">
        <f>IF($B$4="в текущих ценах",U172*SUMPRODUCT(($B$2=Таблица2[Филиал])*($B$3=Таблица2[ФЕР/ТЕР])*(F172=Таблица2[Наименование работ])*(G172=Таблица2[ТПиР/НСиР])*Таблица2[ПНР2012]),U172*SUMPRODUCT(($B$2=Таблица2[Филиал])*($B$3=Таблица2[ФЕР/ТЕР])*(F172=Таблица2[Наименование работ])*(G172=Таблица2[ТПиР/НСиР])*Таблица2[ПНР2012]))</f>
        <v>0</v>
      </c>
      <c r="AJ172" s="63">
        <f>IF($B$4="в текущих ценах",V172*SUMPRODUCT(($B$2=Таблица2[Филиал])*($B$3=Таблица2[ФЕР/ТЕР])*(F172=Таблица2[Наименование работ])*(G172=Таблица2[ТПиР/НСиР])*Таблица2[Оборудование2012]),V172*SUMPRODUCT(($B$2=Таблица2[Филиал])*($B$3=Таблица2[ФЕР/ТЕР])*(F172=Таблица2[Наименование работ])*(G172=Таблица2[ТПиР/НСиР])*Таблица2[Оборудование2012]))</f>
        <v>0</v>
      </c>
      <c r="AK172" s="63">
        <f>IF($B$4="в текущих ценах",W172*SUMPRODUCT(($B$2=Таблица2[Филиал])*($B$3=Таблица2[ФЕР/ТЕР])*(F172=Таблица2[Наименование работ])*(G172=Таблица2[ТПиР/НСиР])*Таблица2[Прочее2012]),W172*SUMPRODUCT(($B$2=Таблица2[Филиал])*($B$3=Таблица2[ФЕР/ТЕР])*(F172=Таблица2[Наименование работ])*(G172=Таблица2[ТПиР/НСиР])*Таблица2[Прочее2012]))</f>
        <v>0</v>
      </c>
      <c r="AL172" s="63">
        <f>данные!$X172+данные!$Y172+данные!$Z172+данные!$AA172+данные!$AB172</f>
        <v>0</v>
      </c>
      <c r="AM172" s="63">
        <v>1.03639035</v>
      </c>
      <c r="AN172" s="63">
        <v>1.0114049394</v>
      </c>
      <c r="AO172" s="63">
        <v>0.98210394336149998</v>
      </c>
      <c r="AP172" s="63">
        <v>0.93762413895893393</v>
      </c>
      <c r="AQ172" s="63"/>
      <c r="AR172" s="63"/>
      <c r="AS172" s="64"/>
      <c r="AU172" s="66">
        <f t="shared" si="12"/>
        <v>0</v>
      </c>
      <c r="AX172" s="66">
        <f t="shared" si="13"/>
        <v>0</v>
      </c>
      <c r="AY172" s="66">
        <f t="shared" si="14"/>
        <v>0</v>
      </c>
      <c r="AZ172" s="66">
        <f t="shared" si="15"/>
        <v>0</v>
      </c>
      <c r="BA172" s="66">
        <f t="shared" si="16"/>
        <v>0</v>
      </c>
      <c r="BB172" s="66">
        <f t="shared" si="17"/>
        <v>0</v>
      </c>
    </row>
    <row r="173" spans="4:54" x14ac:dyDescent="0.25">
      <c r="D173" s="62">
        <f>калькулятор!C178</f>
        <v>0</v>
      </c>
      <c r="E173" s="62">
        <f>калькулятор!F178</f>
        <v>0</v>
      </c>
      <c r="F173" s="62">
        <f>калькулятор!G178</f>
        <v>0</v>
      </c>
      <c r="G173" s="62">
        <f>калькулятор!H178</f>
        <v>0</v>
      </c>
      <c r="H173" s="62">
        <f>калькулятор!I178</f>
        <v>0</v>
      </c>
      <c r="I173" s="63">
        <f>S173*SUMPRODUCT(($B$2=Таблица2[Филиал])*($B$3=Таблица2[ФЕР/ТЕР])*(F173=Таблица2[Наименование работ])*(G173=Таблица2[ТПиР/НСиР])*Таблица2[ПИР2010])</f>
        <v>0</v>
      </c>
      <c r="J173" s="63">
        <f>T173*SUMPRODUCT(($B$2=Таблица2[Филиал])*($B$3=Таблица2[ФЕР/ТЕР])*(F173=Таблица2[Наименование работ])*(G173=Таблица2[ТПиР/НСиР])*Таблица2[СМР2010])</f>
        <v>0</v>
      </c>
      <c r="K173" s="63">
        <f>U173*SUMPRODUCT(($B$2=Таблица2[Филиал])*($B$3=Таблица2[ФЕР/ТЕР])*(F173=Таблица2[Наименование работ])*(G173=Таблица2[ТПиР/НСиР])*Таблица2[ПНР2010])</f>
        <v>0</v>
      </c>
      <c r="L173" s="63">
        <f>V173*SUMPRODUCT(($B$2=Таблица2[Филиал])*($B$3=Таблица2[ФЕР/ТЕР])*(F173=Таблица2[Наименование работ])*(G173=Таблица2[ТПиР/НСиР])*Таблица2[Оборудование2010])</f>
        <v>0</v>
      </c>
      <c r="M173" s="63">
        <f>W173*SUMPRODUCT(($B$2=Таблица2[Филиал])*($B$3=Таблица2[ФЕР/ТЕР])*(F173=Таблица2[Наименование работ])*(G173=Таблица2[ТПиР/НСиР])*Таблица2[Прочие2010])</f>
        <v>0</v>
      </c>
      <c r="N173" s="63">
        <f>S173*SUMPRODUCT(($B$2=Таблица2[Филиал])*($B$3=Таблица2[ФЕР/ТЕР])*(F173=Таблица2[Наименование работ])*(G173=Таблица2[ТПиР/НСиР])*Таблица2[ПИР2013-10])</f>
        <v>0</v>
      </c>
      <c r="O173" s="63">
        <f>T173*SUMPRODUCT(($B$2=Таблица2[Филиал])*($B$3=Таблица2[ФЕР/ТЕР])*(F173=Таблица2[Наименование работ])*(G173=Таблица2[ТПиР/НСиР])*Таблица2[СМР2013-10])</f>
        <v>0</v>
      </c>
      <c r="P173" s="63">
        <f>U173*SUMPRODUCT(($B$2=Таблица2[Филиал])*($B$3=Таблица2[ФЕР/ТЕР])*(F173=Таблица2[Наименование работ])*(G173=Таблица2[ТПиР/НСиР])*Таблица2[ПНР2013-10])</f>
        <v>0</v>
      </c>
      <c r="Q173" s="63">
        <f>V173*SUMPRODUCT(($B$2=Таблица2[Филиал])*($B$3=Таблица2[ФЕР/ТЕР])*(F173=Таблица2[Наименование работ])*(G173=Таблица2[ТПиР/НСиР])*Таблица2[Оборудование2013-10])</f>
        <v>0</v>
      </c>
      <c r="R173" s="63">
        <f>W173*SUMPRODUCT(($B$2=Таблица2[Филиал])*($B$3=Таблица2[ФЕР/ТЕР])*(F173=Таблица2[Наименование работ])*(G173=Таблица2[ТПиР/НСиР])*Таблица2[Прочие2013-10])</f>
        <v>0</v>
      </c>
      <c r="S173" s="63">
        <f>IF($B$4="в базовых ценах",калькулятор!J178,X173*SUMPRODUCT(($B$2=Таблица2[Филиал])*($B$3=Таблица2[ФЕР/ТЕР])*(F173=Таблица2[Наименование работ])*(G173=Таблица2[ТПиР/НСиР])/Таблица2[ПИР2013]))</f>
        <v>0</v>
      </c>
      <c r="T173" s="63">
        <f>IF($B$4="в базовых ценах",калькулятор!K178,Y173*SUMPRODUCT(($B$2=Таблица2[Филиал])*($B$3=Таблица2[ФЕР/ТЕР])*(F173=Таблица2[Наименование работ])*(G173=Таблица2[ТПиР/НСиР])/Таблица2[СМР2013]))</f>
        <v>0</v>
      </c>
      <c r="U173" s="63">
        <f>IF($B$4="в базовых ценах",калькулятор!L178,Z173*SUMPRODUCT(($B$2=Таблица2[Филиал])*($B$3=Таблица2[ФЕР/ТЕР])*(F173=Таблица2[Наименование работ])*(G173=Таблица2[ТПиР/НСиР])/Таблица2[ПНР2013]))</f>
        <v>0</v>
      </c>
      <c r="V173" s="63">
        <f>IF($B$4="в базовых ценах",калькулятор!M178,AA173*SUMPRODUCT(($B$2=Таблица2[Филиал])*($B$3=Таблица2[ФЕР/ТЕР])*(F173=Таблица2[Наименование работ])*(G173=Таблица2[ТПиР/НСиР])/Таблица2[Оборудование2013]))</f>
        <v>0</v>
      </c>
      <c r="W173" s="63">
        <f>IF($B$4="в базовых ценах",калькулятор!N178,AB173*SUMPRODUCT(($B$2=Таблица2[Филиал])*($B$3=Таблица2[ФЕР/ТЕР])*(F173=Таблица2[Наименование работ])*(G173=Таблица2[ТПиР/НСиР])/Таблица2[Прочие3]))</f>
        <v>0</v>
      </c>
      <c r="X173" s="63">
        <f>IF($B$4="в текущих ценах",калькулятор!J178,S173*SUMPRODUCT(($B$2=Таблица2[Филиал])*($B$3=Таблица2[ФЕР/ТЕР])*(F173=Таблица2[Наименование работ])*(G173=Таблица2[ТПиР/НСиР])*Таблица2[ПИР2013]))</f>
        <v>0</v>
      </c>
      <c r="Y173" s="63">
        <f>IF($B$4="в текущих ценах",калькулятор!K178,T173*SUMPRODUCT(($B$2=Таблица2[Филиал])*($B$3=Таблица2[ФЕР/ТЕР])*(F173=Таблица2[Наименование работ])*(G173=Таблица2[ТПиР/НСиР])*Таблица2[СМР2013]))</f>
        <v>0</v>
      </c>
      <c r="Z173" s="63">
        <f>IF($B$4="в текущих ценах",калькулятор!L178,U173*SUMPRODUCT(($B$2=Таблица2[Филиал])*($B$3=Таблица2[ФЕР/ТЕР])*(F173=Таблица2[Наименование работ])*(G173=Таблица2[ТПиР/НСиР])*Таблица2[ПНР2013]))</f>
        <v>0</v>
      </c>
      <c r="AA173" s="63">
        <f>IF($B$4="в текущих ценах",калькулятор!M178,V173*SUMPRODUCT(($B$2=Таблица2[Филиал])*($B$3=Таблица2[ФЕР/ТЕР])*(F173=Таблица2[Наименование работ])*(G173=Таблица2[ТПиР/НСиР])*Таблица2[Оборудование2013]))</f>
        <v>0</v>
      </c>
      <c r="AB173" s="63">
        <f>IF($B$4="в текущих ценах",калькулятор!N178,W173*SUMPRODUCT(($B$2=Таблица2[Филиал])*($B$3=Таблица2[ФЕР/ТЕР])*(F173=Таблица2[Наименование работ])*(G173=Таблица2[ТПиР/НСиР])*Таблица2[Прочие3]))</f>
        <v>0</v>
      </c>
      <c r="AC173" s="63">
        <f>SUM(данные!$I173:$M173)</f>
        <v>0</v>
      </c>
      <c r="AD173" s="63">
        <f>IF(SUM(данные!$N173:$R173)&gt;данные!$AF173,данные!$AF173*0.9*1.058,SUM(данные!$N173:$R173))</f>
        <v>0</v>
      </c>
      <c r="AE173" s="63">
        <f>SUM(данные!$S173:$W173)</f>
        <v>0</v>
      </c>
      <c r="AF173" s="63">
        <f>SUM(данные!$X173:$AB173)</f>
        <v>0</v>
      </c>
      <c r="AG173" s="63">
        <f>IF($B$4="в текущих ценах",S173*SUMPRODUCT(($B$2=Таблица2[Филиал])*($B$3=Таблица2[ФЕР/ТЕР])*(F173=Таблица2[Наименование работ])*(G173=Таблица2[ТПиР/НСиР])*Таблица2[ПИР2012]),S173*SUMPRODUCT(($B$2=Таблица2[Филиал])*($B$3=Таблица2[ФЕР/ТЕР])*(F173=Таблица2[Наименование работ])*(G173=Таблица2[ТПиР/НСиР])*Таблица2[ПИР2012]))</f>
        <v>0</v>
      </c>
      <c r="AH173" s="63">
        <f>IF($B$4="в текущих ценах",T173*SUMPRODUCT(($B$2=Таблица2[Филиал])*($B$3=Таблица2[ФЕР/ТЕР])*(F173=Таблица2[Наименование работ])*(G173=Таблица2[ТПиР/НСиР])*Таблица2[СМР2012]),T173*SUMPRODUCT(($B$2=Таблица2[Филиал])*($B$3=Таблица2[ФЕР/ТЕР])*(F173=Таблица2[Наименование работ])*(G173=Таблица2[ТПиР/НСиР])*Таблица2[СМР2012]))</f>
        <v>0</v>
      </c>
      <c r="AI173" s="63">
        <f>IF($B$4="в текущих ценах",U173*SUMPRODUCT(($B$2=Таблица2[Филиал])*($B$3=Таблица2[ФЕР/ТЕР])*(F173=Таблица2[Наименование работ])*(G173=Таблица2[ТПиР/НСиР])*Таблица2[ПНР2012]),U173*SUMPRODUCT(($B$2=Таблица2[Филиал])*($B$3=Таблица2[ФЕР/ТЕР])*(F173=Таблица2[Наименование работ])*(G173=Таблица2[ТПиР/НСиР])*Таблица2[ПНР2012]))</f>
        <v>0</v>
      </c>
      <c r="AJ173" s="63">
        <f>IF($B$4="в текущих ценах",V173*SUMPRODUCT(($B$2=Таблица2[Филиал])*($B$3=Таблица2[ФЕР/ТЕР])*(F173=Таблица2[Наименование работ])*(G173=Таблица2[ТПиР/НСиР])*Таблица2[Оборудование2012]),V173*SUMPRODUCT(($B$2=Таблица2[Филиал])*($B$3=Таблица2[ФЕР/ТЕР])*(F173=Таблица2[Наименование работ])*(G173=Таблица2[ТПиР/НСиР])*Таблица2[Оборудование2012]))</f>
        <v>0</v>
      </c>
      <c r="AK173" s="63">
        <f>IF($B$4="в текущих ценах",W173*SUMPRODUCT(($B$2=Таблица2[Филиал])*($B$3=Таблица2[ФЕР/ТЕР])*(F173=Таблица2[Наименование работ])*(G173=Таблица2[ТПиР/НСиР])*Таблица2[Прочее2012]),W173*SUMPRODUCT(($B$2=Таблица2[Филиал])*($B$3=Таблица2[ФЕР/ТЕР])*(F173=Таблица2[Наименование работ])*(G173=Таблица2[ТПиР/НСиР])*Таблица2[Прочее2012]))</f>
        <v>0</v>
      </c>
      <c r="AL173" s="63">
        <f>данные!$X173+данные!$Y173+данные!$Z173+данные!$AA173+данные!$AB173</f>
        <v>0</v>
      </c>
      <c r="AM173" s="63">
        <v>1.03639035</v>
      </c>
      <c r="AN173" s="63">
        <v>1.0114049394</v>
      </c>
      <c r="AO173" s="63">
        <v>0.98210394336149998</v>
      </c>
      <c r="AP173" s="63">
        <v>0.93762413895893393</v>
      </c>
      <c r="AQ173" s="63"/>
      <c r="AR173" s="63"/>
      <c r="AS173" s="64"/>
      <c r="AU173" s="66">
        <f t="shared" si="12"/>
        <v>0</v>
      </c>
      <c r="AX173" s="66">
        <f t="shared" si="13"/>
        <v>0</v>
      </c>
      <c r="AY173" s="66">
        <f t="shared" si="14"/>
        <v>0</v>
      </c>
      <c r="AZ173" s="66">
        <f t="shared" si="15"/>
        <v>0</v>
      </c>
      <c r="BA173" s="66">
        <f t="shared" si="16"/>
        <v>0</v>
      </c>
      <c r="BB173" s="66">
        <f t="shared" si="17"/>
        <v>0</v>
      </c>
    </row>
    <row r="174" spans="4:54" x14ac:dyDescent="0.25">
      <c r="D174" s="62">
        <f>калькулятор!C179</f>
        <v>0</v>
      </c>
      <c r="E174" s="62">
        <f>калькулятор!F179</f>
        <v>0</v>
      </c>
      <c r="F174" s="62">
        <f>калькулятор!G179</f>
        <v>0</v>
      </c>
      <c r="G174" s="62">
        <f>калькулятор!H179</f>
        <v>0</v>
      </c>
      <c r="H174" s="62">
        <f>калькулятор!I179</f>
        <v>0</v>
      </c>
      <c r="I174" s="63">
        <f>S174*SUMPRODUCT(($B$2=Таблица2[Филиал])*($B$3=Таблица2[ФЕР/ТЕР])*(F174=Таблица2[Наименование работ])*(G174=Таблица2[ТПиР/НСиР])*Таблица2[ПИР2010])</f>
        <v>0</v>
      </c>
      <c r="J174" s="63">
        <f>T174*SUMPRODUCT(($B$2=Таблица2[Филиал])*($B$3=Таблица2[ФЕР/ТЕР])*(F174=Таблица2[Наименование работ])*(G174=Таблица2[ТПиР/НСиР])*Таблица2[СМР2010])</f>
        <v>0</v>
      </c>
      <c r="K174" s="63">
        <f>U174*SUMPRODUCT(($B$2=Таблица2[Филиал])*($B$3=Таблица2[ФЕР/ТЕР])*(F174=Таблица2[Наименование работ])*(G174=Таблица2[ТПиР/НСиР])*Таблица2[ПНР2010])</f>
        <v>0</v>
      </c>
      <c r="L174" s="63">
        <f>V174*SUMPRODUCT(($B$2=Таблица2[Филиал])*($B$3=Таблица2[ФЕР/ТЕР])*(F174=Таблица2[Наименование работ])*(G174=Таблица2[ТПиР/НСиР])*Таблица2[Оборудование2010])</f>
        <v>0</v>
      </c>
      <c r="M174" s="63">
        <f>W174*SUMPRODUCT(($B$2=Таблица2[Филиал])*($B$3=Таблица2[ФЕР/ТЕР])*(F174=Таблица2[Наименование работ])*(G174=Таблица2[ТПиР/НСиР])*Таблица2[Прочие2010])</f>
        <v>0</v>
      </c>
      <c r="N174" s="63">
        <f>S174*SUMPRODUCT(($B$2=Таблица2[Филиал])*($B$3=Таблица2[ФЕР/ТЕР])*(F174=Таблица2[Наименование работ])*(G174=Таблица2[ТПиР/НСиР])*Таблица2[ПИР2013-10])</f>
        <v>0</v>
      </c>
      <c r="O174" s="63">
        <f>T174*SUMPRODUCT(($B$2=Таблица2[Филиал])*($B$3=Таблица2[ФЕР/ТЕР])*(F174=Таблица2[Наименование работ])*(G174=Таблица2[ТПиР/НСиР])*Таблица2[СМР2013-10])</f>
        <v>0</v>
      </c>
      <c r="P174" s="63">
        <f>U174*SUMPRODUCT(($B$2=Таблица2[Филиал])*($B$3=Таблица2[ФЕР/ТЕР])*(F174=Таблица2[Наименование работ])*(G174=Таблица2[ТПиР/НСиР])*Таблица2[ПНР2013-10])</f>
        <v>0</v>
      </c>
      <c r="Q174" s="63">
        <f>V174*SUMPRODUCT(($B$2=Таблица2[Филиал])*($B$3=Таблица2[ФЕР/ТЕР])*(F174=Таблица2[Наименование работ])*(G174=Таблица2[ТПиР/НСиР])*Таблица2[Оборудование2013-10])</f>
        <v>0</v>
      </c>
      <c r="R174" s="63">
        <f>W174*SUMPRODUCT(($B$2=Таблица2[Филиал])*($B$3=Таблица2[ФЕР/ТЕР])*(F174=Таблица2[Наименование работ])*(G174=Таблица2[ТПиР/НСиР])*Таблица2[Прочие2013-10])</f>
        <v>0</v>
      </c>
      <c r="S174" s="63">
        <f>IF($B$4="в базовых ценах",калькулятор!J179,X174*SUMPRODUCT(($B$2=Таблица2[Филиал])*($B$3=Таблица2[ФЕР/ТЕР])*(F174=Таблица2[Наименование работ])*(G174=Таблица2[ТПиР/НСиР])/Таблица2[ПИР2013]))</f>
        <v>0</v>
      </c>
      <c r="T174" s="63">
        <f>IF($B$4="в базовых ценах",калькулятор!K179,Y174*SUMPRODUCT(($B$2=Таблица2[Филиал])*($B$3=Таблица2[ФЕР/ТЕР])*(F174=Таблица2[Наименование работ])*(G174=Таблица2[ТПиР/НСиР])/Таблица2[СМР2013]))</f>
        <v>0</v>
      </c>
      <c r="U174" s="63">
        <f>IF($B$4="в базовых ценах",калькулятор!L179,Z174*SUMPRODUCT(($B$2=Таблица2[Филиал])*($B$3=Таблица2[ФЕР/ТЕР])*(F174=Таблица2[Наименование работ])*(G174=Таблица2[ТПиР/НСиР])/Таблица2[ПНР2013]))</f>
        <v>0</v>
      </c>
      <c r="V174" s="63">
        <f>IF($B$4="в базовых ценах",калькулятор!M179,AA174*SUMPRODUCT(($B$2=Таблица2[Филиал])*($B$3=Таблица2[ФЕР/ТЕР])*(F174=Таблица2[Наименование работ])*(G174=Таблица2[ТПиР/НСиР])/Таблица2[Оборудование2013]))</f>
        <v>0</v>
      </c>
      <c r="W174" s="63">
        <f>IF($B$4="в базовых ценах",калькулятор!N179,AB174*SUMPRODUCT(($B$2=Таблица2[Филиал])*($B$3=Таблица2[ФЕР/ТЕР])*(F174=Таблица2[Наименование работ])*(G174=Таблица2[ТПиР/НСиР])/Таблица2[Прочие3]))</f>
        <v>0</v>
      </c>
      <c r="X174" s="63">
        <f>IF($B$4="в текущих ценах",калькулятор!J179,S174*SUMPRODUCT(($B$2=Таблица2[Филиал])*($B$3=Таблица2[ФЕР/ТЕР])*(F174=Таблица2[Наименование работ])*(G174=Таблица2[ТПиР/НСиР])*Таблица2[ПИР2013]))</f>
        <v>0</v>
      </c>
      <c r="Y174" s="63">
        <f>IF($B$4="в текущих ценах",калькулятор!K179,T174*SUMPRODUCT(($B$2=Таблица2[Филиал])*($B$3=Таблица2[ФЕР/ТЕР])*(F174=Таблица2[Наименование работ])*(G174=Таблица2[ТПиР/НСиР])*Таблица2[СМР2013]))</f>
        <v>0</v>
      </c>
      <c r="Z174" s="63">
        <f>IF($B$4="в текущих ценах",калькулятор!L179,U174*SUMPRODUCT(($B$2=Таблица2[Филиал])*($B$3=Таблица2[ФЕР/ТЕР])*(F174=Таблица2[Наименование работ])*(G174=Таблица2[ТПиР/НСиР])*Таблица2[ПНР2013]))</f>
        <v>0</v>
      </c>
      <c r="AA174" s="63">
        <f>IF($B$4="в текущих ценах",калькулятор!M179,V174*SUMPRODUCT(($B$2=Таблица2[Филиал])*($B$3=Таблица2[ФЕР/ТЕР])*(F174=Таблица2[Наименование работ])*(G174=Таблица2[ТПиР/НСиР])*Таблица2[Оборудование2013]))</f>
        <v>0</v>
      </c>
      <c r="AB174" s="63">
        <f>IF($B$4="в текущих ценах",калькулятор!N179,W174*SUMPRODUCT(($B$2=Таблица2[Филиал])*($B$3=Таблица2[ФЕР/ТЕР])*(F174=Таблица2[Наименование работ])*(G174=Таблица2[ТПиР/НСиР])*Таблица2[Прочие3]))</f>
        <v>0</v>
      </c>
      <c r="AC174" s="63">
        <f>SUM(данные!$I174:$M174)</f>
        <v>0</v>
      </c>
      <c r="AD174" s="63">
        <f>IF(SUM(данные!$N174:$R174)&gt;данные!$AF174,данные!$AF174*0.9*1.058,SUM(данные!$N174:$R174))</f>
        <v>0</v>
      </c>
      <c r="AE174" s="63">
        <f>SUM(данные!$S174:$W174)</f>
        <v>0</v>
      </c>
      <c r="AF174" s="63">
        <f>SUM(данные!$X174:$AB174)</f>
        <v>0</v>
      </c>
      <c r="AG174" s="63">
        <f>IF($B$4="в текущих ценах",S174*SUMPRODUCT(($B$2=Таблица2[Филиал])*($B$3=Таблица2[ФЕР/ТЕР])*(F174=Таблица2[Наименование работ])*(G174=Таблица2[ТПиР/НСиР])*Таблица2[ПИР2012]),S174*SUMPRODUCT(($B$2=Таблица2[Филиал])*($B$3=Таблица2[ФЕР/ТЕР])*(F174=Таблица2[Наименование работ])*(G174=Таблица2[ТПиР/НСиР])*Таблица2[ПИР2012]))</f>
        <v>0</v>
      </c>
      <c r="AH174" s="63">
        <f>IF($B$4="в текущих ценах",T174*SUMPRODUCT(($B$2=Таблица2[Филиал])*($B$3=Таблица2[ФЕР/ТЕР])*(F174=Таблица2[Наименование работ])*(G174=Таблица2[ТПиР/НСиР])*Таблица2[СМР2012]),T174*SUMPRODUCT(($B$2=Таблица2[Филиал])*($B$3=Таблица2[ФЕР/ТЕР])*(F174=Таблица2[Наименование работ])*(G174=Таблица2[ТПиР/НСиР])*Таблица2[СМР2012]))</f>
        <v>0</v>
      </c>
      <c r="AI174" s="63">
        <f>IF($B$4="в текущих ценах",U174*SUMPRODUCT(($B$2=Таблица2[Филиал])*($B$3=Таблица2[ФЕР/ТЕР])*(F174=Таблица2[Наименование работ])*(G174=Таблица2[ТПиР/НСиР])*Таблица2[ПНР2012]),U174*SUMPRODUCT(($B$2=Таблица2[Филиал])*($B$3=Таблица2[ФЕР/ТЕР])*(F174=Таблица2[Наименование работ])*(G174=Таблица2[ТПиР/НСиР])*Таблица2[ПНР2012]))</f>
        <v>0</v>
      </c>
      <c r="AJ174" s="63">
        <f>IF($B$4="в текущих ценах",V174*SUMPRODUCT(($B$2=Таблица2[Филиал])*($B$3=Таблица2[ФЕР/ТЕР])*(F174=Таблица2[Наименование работ])*(G174=Таблица2[ТПиР/НСиР])*Таблица2[Оборудование2012]),V174*SUMPRODUCT(($B$2=Таблица2[Филиал])*($B$3=Таблица2[ФЕР/ТЕР])*(F174=Таблица2[Наименование работ])*(G174=Таблица2[ТПиР/НСиР])*Таблица2[Оборудование2012]))</f>
        <v>0</v>
      </c>
      <c r="AK174" s="63">
        <f>IF($B$4="в текущих ценах",W174*SUMPRODUCT(($B$2=Таблица2[Филиал])*($B$3=Таблица2[ФЕР/ТЕР])*(F174=Таблица2[Наименование работ])*(G174=Таблица2[ТПиР/НСиР])*Таблица2[Прочее2012]),W174*SUMPRODUCT(($B$2=Таблица2[Филиал])*($B$3=Таблица2[ФЕР/ТЕР])*(F174=Таблица2[Наименование работ])*(G174=Таблица2[ТПиР/НСиР])*Таблица2[Прочее2012]))</f>
        <v>0</v>
      </c>
      <c r="AL174" s="63">
        <f>данные!$X174+данные!$Y174+данные!$Z174+данные!$AA174+данные!$AB174</f>
        <v>0</v>
      </c>
      <c r="AM174" s="63">
        <v>1.03639035</v>
      </c>
      <c r="AN174" s="63">
        <v>1.0114049394</v>
      </c>
      <c r="AO174" s="63">
        <v>0.98210394336149998</v>
      </c>
      <c r="AP174" s="63">
        <v>0.93762413895893393</v>
      </c>
      <c r="AQ174" s="63"/>
      <c r="AR174" s="63"/>
      <c r="AS174" s="64"/>
      <c r="AU174" s="66">
        <f t="shared" si="12"/>
        <v>0</v>
      </c>
      <c r="AX174" s="66">
        <f t="shared" si="13"/>
        <v>0</v>
      </c>
      <c r="AY174" s="66">
        <f t="shared" si="14"/>
        <v>0</v>
      </c>
      <c r="AZ174" s="66">
        <f t="shared" si="15"/>
        <v>0</v>
      </c>
      <c r="BA174" s="66">
        <f t="shared" si="16"/>
        <v>0</v>
      </c>
      <c r="BB174" s="66">
        <f t="shared" si="17"/>
        <v>0</v>
      </c>
    </row>
    <row r="175" spans="4:54" x14ac:dyDescent="0.25">
      <c r="D175" s="62">
        <f>калькулятор!C180</f>
        <v>0</v>
      </c>
      <c r="E175" s="62">
        <f>калькулятор!F180</f>
        <v>0</v>
      </c>
      <c r="F175" s="62">
        <f>калькулятор!G180</f>
        <v>0</v>
      </c>
      <c r="G175" s="62">
        <f>калькулятор!H180</f>
        <v>0</v>
      </c>
      <c r="H175" s="62">
        <f>калькулятор!I180</f>
        <v>0</v>
      </c>
      <c r="I175" s="63">
        <f>S175*SUMPRODUCT(($B$2=Таблица2[Филиал])*($B$3=Таблица2[ФЕР/ТЕР])*(F175=Таблица2[Наименование работ])*(G175=Таблица2[ТПиР/НСиР])*Таблица2[ПИР2010])</f>
        <v>0</v>
      </c>
      <c r="J175" s="63">
        <f>T175*SUMPRODUCT(($B$2=Таблица2[Филиал])*($B$3=Таблица2[ФЕР/ТЕР])*(F175=Таблица2[Наименование работ])*(G175=Таблица2[ТПиР/НСиР])*Таблица2[СМР2010])</f>
        <v>0</v>
      </c>
      <c r="K175" s="63">
        <f>U175*SUMPRODUCT(($B$2=Таблица2[Филиал])*($B$3=Таблица2[ФЕР/ТЕР])*(F175=Таблица2[Наименование работ])*(G175=Таблица2[ТПиР/НСиР])*Таблица2[ПНР2010])</f>
        <v>0</v>
      </c>
      <c r="L175" s="63">
        <f>V175*SUMPRODUCT(($B$2=Таблица2[Филиал])*($B$3=Таблица2[ФЕР/ТЕР])*(F175=Таблица2[Наименование работ])*(G175=Таблица2[ТПиР/НСиР])*Таблица2[Оборудование2010])</f>
        <v>0</v>
      </c>
      <c r="M175" s="63">
        <f>W175*SUMPRODUCT(($B$2=Таблица2[Филиал])*($B$3=Таблица2[ФЕР/ТЕР])*(F175=Таблица2[Наименование работ])*(G175=Таблица2[ТПиР/НСиР])*Таблица2[Прочие2010])</f>
        <v>0</v>
      </c>
      <c r="N175" s="63">
        <f>S175*SUMPRODUCT(($B$2=Таблица2[Филиал])*($B$3=Таблица2[ФЕР/ТЕР])*(F175=Таблица2[Наименование работ])*(G175=Таблица2[ТПиР/НСиР])*Таблица2[ПИР2013-10])</f>
        <v>0</v>
      </c>
      <c r="O175" s="63">
        <f>T175*SUMPRODUCT(($B$2=Таблица2[Филиал])*($B$3=Таблица2[ФЕР/ТЕР])*(F175=Таблица2[Наименование работ])*(G175=Таблица2[ТПиР/НСиР])*Таблица2[СМР2013-10])</f>
        <v>0</v>
      </c>
      <c r="P175" s="63">
        <f>U175*SUMPRODUCT(($B$2=Таблица2[Филиал])*($B$3=Таблица2[ФЕР/ТЕР])*(F175=Таблица2[Наименование работ])*(G175=Таблица2[ТПиР/НСиР])*Таблица2[ПНР2013-10])</f>
        <v>0</v>
      </c>
      <c r="Q175" s="63">
        <f>V175*SUMPRODUCT(($B$2=Таблица2[Филиал])*($B$3=Таблица2[ФЕР/ТЕР])*(F175=Таблица2[Наименование работ])*(G175=Таблица2[ТПиР/НСиР])*Таблица2[Оборудование2013-10])</f>
        <v>0</v>
      </c>
      <c r="R175" s="63">
        <f>W175*SUMPRODUCT(($B$2=Таблица2[Филиал])*($B$3=Таблица2[ФЕР/ТЕР])*(F175=Таблица2[Наименование работ])*(G175=Таблица2[ТПиР/НСиР])*Таблица2[Прочие2013-10])</f>
        <v>0</v>
      </c>
      <c r="S175" s="63">
        <f>IF($B$4="в базовых ценах",калькулятор!J180,X175*SUMPRODUCT(($B$2=Таблица2[Филиал])*($B$3=Таблица2[ФЕР/ТЕР])*(F175=Таблица2[Наименование работ])*(G175=Таблица2[ТПиР/НСиР])/Таблица2[ПИР2013]))</f>
        <v>0</v>
      </c>
      <c r="T175" s="63">
        <f>IF($B$4="в базовых ценах",калькулятор!K180,Y175*SUMPRODUCT(($B$2=Таблица2[Филиал])*($B$3=Таблица2[ФЕР/ТЕР])*(F175=Таблица2[Наименование работ])*(G175=Таблица2[ТПиР/НСиР])/Таблица2[СМР2013]))</f>
        <v>0</v>
      </c>
      <c r="U175" s="63">
        <f>IF($B$4="в базовых ценах",калькулятор!L180,Z175*SUMPRODUCT(($B$2=Таблица2[Филиал])*($B$3=Таблица2[ФЕР/ТЕР])*(F175=Таблица2[Наименование работ])*(G175=Таблица2[ТПиР/НСиР])/Таблица2[ПНР2013]))</f>
        <v>0</v>
      </c>
      <c r="V175" s="63">
        <f>IF($B$4="в базовых ценах",калькулятор!M180,AA175*SUMPRODUCT(($B$2=Таблица2[Филиал])*($B$3=Таблица2[ФЕР/ТЕР])*(F175=Таблица2[Наименование работ])*(G175=Таблица2[ТПиР/НСиР])/Таблица2[Оборудование2013]))</f>
        <v>0</v>
      </c>
      <c r="W175" s="63">
        <f>IF($B$4="в базовых ценах",калькулятор!N180,AB175*SUMPRODUCT(($B$2=Таблица2[Филиал])*($B$3=Таблица2[ФЕР/ТЕР])*(F175=Таблица2[Наименование работ])*(G175=Таблица2[ТПиР/НСиР])/Таблица2[Прочие3]))</f>
        <v>0</v>
      </c>
      <c r="X175" s="63">
        <f>IF($B$4="в текущих ценах",калькулятор!J180,S175*SUMPRODUCT(($B$2=Таблица2[Филиал])*($B$3=Таблица2[ФЕР/ТЕР])*(F175=Таблица2[Наименование работ])*(G175=Таблица2[ТПиР/НСиР])*Таблица2[ПИР2013]))</f>
        <v>0</v>
      </c>
      <c r="Y175" s="63">
        <f>IF($B$4="в текущих ценах",калькулятор!K180,T175*SUMPRODUCT(($B$2=Таблица2[Филиал])*($B$3=Таблица2[ФЕР/ТЕР])*(F175=Таблица2[Наименование работ])*(G175=Таблица2[ТПиР/НСиР])*Таблица2[СМР2013]))</f>
        <v>0</v>
      </c>
      <c r="Z175" s="63">
        <f>IF($B$4="в текущих ценах",калькулятор!L180,U175*SUMPRODUCT(($B$2=Таблица2[Филиал])*($B$3=Таблица2[ФЕР/ТЕР])*(F175=Таблица2[Наименование работ])*(G175=Таблица2[ТПиР/НСиР])*Таблица2[ПНР2013]))</f>
        <v>0</v>
      </c>
      <c r="AA175" s="63">
        <f>IF($B$4="в текущих ценах",калькулятор!M180,V175*SUMPRODUCT(($B$2=Таблица2[Филиал])*($B$3=Таблица2[ФЕР/ТЕР])*(F175=Таблица2[Наименование работ])*(G175=Таблица2[ТПиР/НСиР])*Таблица2[Оборудование2013]))</f>
        <v>0</v>
      </c>
      <c r="AB175" s="63">
        <f>IF($B$4="в текущих ценах",калькулятор!N180,W175*SUMPRODUCT(($B$2=Таблица2[Филиал])*($B$3=Таблица2[ФЕР/ТЕР])*(F175=Таблица2[Наименование работ])*(G175=Таблица2[ТПиР/НСиР])*Таблица2[Прочие3]))</f>
        <v>0</v>
      </c>
      <c r="AC175" s="63">
        <f>SUM(данные!$I175:$M175)</f>
        <v>0</v>
      </c>
      <c r="AD175" s="63">
        <f>IF(SUM(данные!$N175:$R175)&gt;данные!$AF175,данные!$AF175*0.9*1.058,SUM(данные!$N175:$R175))</f>
        <v>0</v>
      </c>
      <c r="AE175" s="63">
        <f>SUM(данные!$S175:$W175)</f>
        <v>0</v>
      </c>
      <c r="AF175" s="63">
        <f>SUM(данные!$X175:$AB175)</f>
        <v>0</v>
      </c>
      <c r="AG175" s="63">
        <f>IF($B$4="в текущих ценах",S175*SUMPRODUCT(($B$2=Таблица2[Филиал])*($B$3=Таблица2[ФЕР/ТЕР])*(F175=Таблица2[Наименование работ])*(G175=Таблица2[ТПиР/НСиР])*Таблица2[ПИР2012]),S175*SUMPRODUCT(($B$2=Таблица2[Филиал])*($B$3=Таблица2[ФЕР/ТЕР])*(F175=Таблица2[Наименование работ])*(G175=Таблица2[ТПиР/НСиР])*Таблица2[ПИР2012]))</f>
        <v>0</v>
      </c>
      <c r="AH175" s="63">
        <f>IF($B$4="в текущих ценах",T175*SUMPRODUCT(($B$2=Таблица2[Филиал])*($B$3=Таблица2[ФЕР/ТЕР])*(F175=Таблица2[Наименование работ])*(G175=Таблица2[ТПиР/НСиР])*Таблица2[СМР2012]),T175*SUMPRODUCT(($B$2=Таблица2[Филиал])*($B$3=Таблица2[ФЕР/ТЕР])*(F175=Таблица2[Наименование работ])*(G175=Таблица2[ТПиР/НСиР])*Таблица2[СМР2012]))</f>
        <v>0</v>
      </c>
      <c r="AI175" s="63">
        <f>IF($B$4="в текущих ценах",U175*SUMPRODUCT(($B$2=Таблица2[Филиал])*($B$3=Таблица2[ФЕР/ТЕР])*(F175=Таблица2[Наименование работ])*(G175=Таблица2[ТПиР/НСиР])*Таблица2[ПНР2012]),U175*SUMPRODUCT(($B$2=Таблица2[Филиал])*($B$3=Таблица2[ФЕР/ТЕР])*(F175=Таблица2[Наименование работ])*(G175=Таблица2[ТПиР/НСиР])*Таблица2[ПНР2012]))</f>
        <v>0</v>
      </c>
      <c r="AJ175" s="63">
        <f>IF($B$4="в текущих ценах",V175*SUMPRODUCT(($B$2=Таблица2[Филиал])*($B$3=Таблица2[ФЕР/ТЕР])*(F175=Таблица2[Наименование работ])*(G175=Таблица2[ТПиР/НСиР])*Таблица2[Оборудование2012]),V175*SUMPRODUCT(($B$2=Таблица2[Филиал])*($B$3=Таблица2[ФЕР/ТЕР])*(F175=Таблица2[Наименование работ])*(G175=Таблица2[ТПиР/НСиР])*Таблица2[Оборудование2012]))</f>
        <v>0</v>
      </c>
      <c r="AK175" s="63">
        <f>IF($B$4="в текущих ценах",W175*SUMPRODUCT(($B$2=Таблица2[Филиал])*($B$3=Таблица2[ФЕР/ТЕР])*(F175=Таблица2[Наименование работ])*(G175=Таблица2[ТПиР/НСиР])*Таблица2[Прочее2012]),W175*SUMPRODUCT(($B$2=Таблица2[Филиал])*($B$3=Таблица2[ФЕР/ТЕР])*(F175=Таблица2[Наименование работ])*(G175=Таблица2[ТПиР/НСиР])*Таблица2[Прочее2012]))</f>
        <v>0</v>
      </c>
      <c r="AL175" s="63">
        <f>данные!$X175+данные!$Y175+данные!$Z175+данные!$AA175+данные!$AB175</f>
        <v>0</v>
      </c>
      <c r="AM175" s="63">
        <v>1.03639035</v>
      </c>
      <c r="AN175" s="63">
        <v>1.0114049394</v>
      </c>
      <c r="AO175" s="63">
        <v>0.98210394336149998</v>
      </c>
      <c r="AP175" s="63">
        <v>0.93762413895893393</v>
      </c>
      <c r="AQ175" s="63"/>
      <c r="AR175" s="63"/>
      <c r="AS175" s="64"/>
      <c r="AU175" s="66">
        <f t="shared" si="12"/>
        <v>0</v>
      </c>
      <c r="AX175" s="66">
        <f t="shared" si="13"/>
        <v>0</v>
      </c>
      <c r="AY175" s="66">
        <f t="shared" si="14"/>
        <v>0</v>
      </c>
      <c r="AZ175" s="66">
        <f t="shared" si="15"/>
        <v>0</v>
      </c>
      <c r="BA175" s="66">
        <f t="shared" si="16"/>
        <v>0</v>
      </c>
      <c r="BB175" s="66">
        <f t="shared" si="17"/>
        <v>0</v>
      </c>
    </row>
    <row r="176" spans="4:54" x14ac:dyDescent="0.25">
      <c r="D176" s="62">
        <f>калькулятор!C181</f>
        <v>0</v>
      </c>
      <c r="E176" s="62">
        <f>калькулятор!F181</f>
        <v>0</v>
      </c>
      <c r="F176" s="62">
        <f>калькулятор!G181</f>
        <v>0</v>
      </c>
      <c r="G176" s="62">
        <f>калькулятор!H181</f>
        <v>0</v>
      </c>
      <c r="H176" s="62">
        <f>калькулятор!I181</f>
        <v>0</v>
      </c>
      <c r="I176" s="63">
        <f>S176*SUMPRODUCT(($B$2=Таблица2[Филиал])*($B$3=Таблица2[ФЕР/ТЕР])*(F176=Таблица2[Наименование работ])*(G176=Таблица2[ТПиР/НСиР])*Таблица2[ПИР2010])</f>
        <v>0</v>
      </c>
      <c r="J176" s="63">
        <f>T176*SUMPRODUCT(($B$2=Таблица2[Филиал])*($B$3=Таблица2[ФЕР/ТЕР])*(F176=Таблица2[Наименование работ])*(G176=Таблица2[ТПиР/НСиР])*Таблица2[СМР2010])</f>
        <v>0</v>
      </c>
      <c r="K176" s="63">
        <f>U176*SUMPRODUCT(($B$2=Таблица2[Филиал])*($B$3=Таблица2[ФЕР/ТЕР])*(F176=Таблица2[Наименование работ])*(G176=Таблица2[ТПиР/НСиР])*Таблица2[ПНР2010])</f>
        <v>0</v>
      </c>
      <c r="L176" s="63">
        <f>V176*SUMPRODUCT(($B$2=Таблица2[Филиал])*($B$3=Таблица2[ФЕР/ТЕР])*(F176=Таблица2[Наименование работ])*(G176=Таблица2[ТПиР/НСиР])*Таблица2[Оборудование2010])</f>
        <v>0</v>
      </c>
      <c r="M176" s="63">
        <f>W176*SUMPRODUCT(($B$2=Таблица2[Филиал])*($B$3=Таблица2[ФЕР/ТЕР])*(F176=Таблица2[Наименование работ])*(G176=Таблица2[ТПиР/НСиР])*Таблица2[Прочие2010])</f>
        <v>0</v>
      </c>
      <c r="N176" s="63">
        <f>S176*SUMPRODUCT(($B$2=Таблица2[Филиал])*($B$3=Таблица2[ФЕР/ТЕР])*(F176=Таблица2[Наименование работ])*(G176=Таблица2[ТПиР/НСиР])*Таблица2[ПИР2013-10])</f>
        <v>0</v>
      </c>
      <c r="O176" s="63">
        <f>T176*SUMPRODUCT(($B$2=Таблица2[Филиал])*($B$3=Таблица2[ФЕР/ТЕР])*(F176=Таблица2[Наименование работ])*(G176=Таблица2[ТПиР/НСиР])*Таблица2[СМР2013-10])</f>
        <v>0</v>
      </c>
      <c r="P176" s="63">
        <f>U176*SUMPRODUCT(($B$2=Таблица2[Филиал])*($B$3=Таблица2[ФЕР/ТЕР])*(F176=Таблица2[Наименование работ])*(G176=Таблица2[ТПиР/НСиР])*Таблица2[ПНР2013-10])</f>
        <v>0</v>
      </c>
      <c r="Q176" s="63">
        <f>V176*SUMPRODUCT(($B$2=Таблица2[Филиал])*($B$3=Таблица2[ФЕР/ТЕР])*(F176=Таблица2[Наименование работ])*(G176=Таблица2[ТПиР/НСиР])*Таблица2[Оборудование2013-10])</f>
        <v>0</v>
      </c>
      <c r="R176" s="63">
        <f>W176*SUMPRODUCT(($B$2=Таблица2[Филиал])*($B$3=Таблица2[ФЕР/ТЕР])*(F176=Таблица2[Наименование работ])*(G176=Таблица2[ТПиР/НСиР])*Таблица2[Прочие2013-10])</f>
        <v>0</v>
      </c>
      <c r="S176" s="63">
        <f>IF($B$4="в базовых ценах",калькулятор!J181,X176*SUMPRODUCT(($B$2=Таблица2[Филиал])*($B$3=Таблица2[ФЕР/ТЕР])*(F176=Таблица2[Наименование работ])*(G176=Таблица2[ТПиР/НСиР])/Таблица2[ПИР2013]))</f>
        <v>0</v>
      </c>
      <c r="T176" s="63">
        <f>IF($B$4="в базовых ценах",калькулятор!K181,Y176*SUMPRODUCT(($B$2=Таблица2[Филиал])*($B$3=Таблица2[ФЕР/ТЕР])*(F176=Таблица2[Наименование работ])*(G176=Таблица2[ТПиР/НСиР])/Таблица2[СМР2013]))</f>
        <v>0</v>
      </c>
      <c r="U176" s="63">
        <f>IF($B$4="в базовых ценах",калькулятор!L181,Z176*SUMPRODUCT(($B$2=Таблица2[Филиал])*($B$3=Таблица2[ФЕР/ТЕР])*(F176=Таблица2[Наименование работ])*(G176=Таблица2[ТПиР/НСиР])/Таблица2[ПНР2013]))</f>
        <v>0</v>
      </c>
      <c r="V176" s="63">
        <f>IF($B$4="в базовых ценах",калькулятор!M181,AA176*SUMPRODUCT(($B$2=Таблица2[Филиал])*($B$3=Таблица2[ФЕР/ТЕР])*(F176=Таблица2[Наименование работ])*(G176=Таблица2[ТПиР/НСиР])/Таблица2[Оборудование2013]))</f>
        <v>0</v>
      </c>
      <c r="W176" s="63">
        <f>IF($B$4="в базовых ценах",калькулятор!N181,AB176*SUMPRODUCT(($B$2=Таблица2[Филиал])*($B$3=Таблица2[ФЕР/ТЕР])*(F176=Таблица2[Наименование работ])*(G176=Таблица2[ТПиР/НСиР])/Таблица2[Прочие3]))</f>
        <v>0</v>
      </c>
      <c r="X176" s="63">
        <f>IF($B$4="в текущих ценах",калькулятор!J181,S176*SUMPRODUCT(($B$2=Таблица2[Филиал])*($B$3=Таблица2[ФЕР/ТЕР])*(F176=Таблица2[Наименование работ])*(G176=Таблица2[ТПиР/НСиР])*Таблица2[ПИР2013]))</f>
        <v>0</v>
      </c>
      <c r="Y176" s="63">
        <f>IF($B$4="в текущих ценах",калькулятор!K181,T176*SUMPRODUCT(($B$2=Таблица2[Филиал])*($B$3=Таблица2[ФЕР/ТЕР])*(F176=Таблица2[Наименование работ])*(G176=Таблица2[ТПиР/НСиР])*Таблица2[СМР2013]))</f>
        <v>0</v>
      </c>
      <c r="Z176" s="63">
        <f>IF($B$4="в текущих ценах",калькулятор!L181,U176*SUMPRODUCT(($B$2=Таблица2[Филиал])*($B$3=Таблица2[ФЕР/ТЕР])*(F176=Таблица2[Наименование работ])*(G176=Таблица2[ТПиР/НСиР])*Таблица2[ПНР2013]))</f>
        <v>0</v>
      </c>
      <c r="AA176" s="63">
        <f>IF($B$4="в текущих ценах",калькулятор!M181,V176*SUMPRODUCT(($B$2=Таблица2[Филиал])*($B$3=Таблица2[ФЕР/ТЕР])*(F176=Таблица2[Наименование работ])*(G176=Таблица2[ТПиР/НСиР])*Таблица2[Оборудование2013]))</f>
        <v>0</v>
      </c>
      <c r="AB176" s="63">
        <f>IF($B$4="в текущих ценах",калькулятор!N181,W176*SUMPRODUCT(($B$2=Таблица2[Филиал])*($B$3=Таблица2[ФЕР/ТЕР])*(F176=Таблица2[Наименование работ])*(G176=Таблица2[ТПиР/НСиР])*Таблица2[Прочие3]))</f>
        <v>0</v>
      </c>
      <c r="AC176" s="63">
        <f>SUM(данные!$I176:$M176)</f>
        <v>0</v>
      </c>
      <c r="AD176" s="63">
        <f>IF(SUM(данные!$N176:$R176)&gt;данные!$AF176,данные!$AF176*0.9*1.058,SUM(данные!$N176:$R176))</f>
        <v>0</v>
      </c>
      <c r="AE176" s="63">
        <f>SUM(данные!$S176:$W176)</f>
        <v>0</v>
      </c>
      <c r="AF176" s="63">
        <f>SUM(данные!$X176:$AB176)</f>
        <v>0</v>
      </c>
      <c r="AG176" s="63">
        <f>IF($B$4="в текущих ценах",S176*SUMPRODUCT(($B$2=Таблица2[Филиал])*($B$3=Таблица2[ФЕР/ТЕР])*(F176=Таблица2[Наименование работ])*(G176=Таблица2[ТПиР/НСиР])*Таблица2[ПИР2012]),S176*SUMPRODUCT(($B$2=Таблица2[Филиал])*($B$3=Таблица2[ФЕР/ТЕР])*(F176=Таблица2[Наименование работ])*(G176=Таблица2[ТПиР/НСиР])*Таблица2[ПИР2012]))</f>
        <v>0</v>
      </c>
      <c r="AH176" s="63">
        <f>IF($B$4="в текущих ценах",T176*SUMPRODUCT(($B$2=Таблица2[Филиал])*($B$3=Таблица2[ФЕР/ТЕР])*(F176=Таблица2[Наименование работ])*(G176=Таблица2[ТПиР/НСиР])*Таблица2[СМР2012]),T176*SUMPRODUCT(($B$2=Таблица2[Филиал])*($B$3=Таблица2[ФЕР/ТЕР])*(F176=Таблица2[Наименование работ])*(G176=Таблица2[ТПиР/НСиР])*Таблица2[СМР2012]))</f>
        <v>0</v>
      </c>
      <c r="AI176" s="63">
        <f>IF($B$4="в текущих ценах",U176*SUMPRODUCT(($B$2=Таблица2[Филиал])*($B$3=Таблица2[ФЕР/ТЕР])*(F176=Таблица2[Наименование работ])*(G176=Таблица2[ТПиР/НСиР])*Таблица2[ПНР2012]),U176*SUMPRODUCT(($B$2=Таблица2[Филиал])*($B$3=Таблица2[ФЕР/ТЕР])*(F176=Таблица2[Наименование работ])*(G176=Таблица2[ТПиР/НСиР])*Таблица2[ПНР2012]))</f>
        <v>0</v>
      </c>
      <c r="AJ176" s="63">
        <f>IF($B$4="в текущих ценах",V176*SUMPRODUCT(($B$2=Таблица2[Филиал])*($B$3=Таблица2[ФЕР/ТЕР])*(F176=Таблица2[Наименование работ])*(G176=Таблица2[ТПиР/НСиР])*Таблица2[Оборудование2012]),V176*SUMPRODUCT(($B$2=Таблица2[Филиал])*($B$3=Таблица2[ФЕР/ТЕР])*(F176=Таблица2[Наименование работ])*(G176=Таблица2[ТПиР/НСиР])*Таблица2[Оборудование2012]))</f>
        <v>0</v>
      </c>
      <c r="AK176" s="63">
        <f>IF($B$4="в текущих ценах",W176*SUMPRODUCT(($B$2=Таблица2[Филиал])*($B$3=Таблица2[ФЕР/ТЕР])*(F176=Таблица2[Наименование работ])*(G176=Таблица2[ТПиР/НСиР])*Таблица2[Прочее2012]),W176*SUMPRODUCT(($B$2=Таблица2[Филиал])*($B$3=Таблица2[ФЕР/ТЕР])*(F176=Таблица2[Наименование работ])*(G176=Таблица2[ТПиР/НСиР])*Таблица2[Прочее2012]))</f>
        <v>0</v>
      </c>
      <c r="AL176" s="63">
        <f>данные!$X176+данные!$Y176+данные!$Z176+данные!$AA176+данные!$AB176</f>
        <v>0</v>
      </c>
      <c r="AM176" s="63">
        <v>1.03639035</v>
      </c>
      <c r="AN176" s="63">
        <v>1.0114049394</v>
      </c>
      <c r="AO176" s="63">
        <v>0.98210394336149998</v>
      </c>
      <c r="AP176" s="63">
        <v>0.93762413895893393</v>
      </c>
      <c r="AQ176" s="63"/>
      <c r="AR176" s="63"/>
      <c r="AS176" s="64"/>
      <c r="AU176" s="66">
        <f t="shared" si="12"/>
        <v>0</v>
      </c>
      <c r="AX176" s="66">
        <f t="shared" si="13"/>
        <v>0</v>
      </c>
      <c r="AY176" s="66">
        <f t="shared" si="14"/>
        <v>0</v>
      </c>
      <c r="AZ176" s="66">
        <f t="shared" si="15"/>
        <v>0</v>
      </c>
      <c r="BA176" s="66">
        <f t="shared" si="16"/>
        <v>0</v>
      </c>
      <c r="BB176" s="66">
        <f t="shared" si="17"/>
        <v>0</v>
      </c>
    </row>
    <row r="177" spans="4:54" x14ac:dyDescent="0.25">
      <c r="D177" s="62">
        <f>калькулятор!C182</f>
        <v>0</v>
      </c>
      <c r="E177" s="62">
        <f>калькулятор!F182</f>
        <v>0</v>
      </c>
      <c r="F177" s="62">
        <f>калькулятор!G182</f>
        <v>0</v>
      </c>
      <c r="G177" s="62">
        <f>калькулятор!H182</f>
        <v>0</v>
      </c>
      <c r="H177" s="62">
        <f>калькулятор!I182</f>
        <v>0</v>
      </c>
      <c r="I177" s="63">
        <f>S177*SUMPRODUCT(($B$2=Таблица2[Филиал])*($B$3=Таблица2[ФЕР/ТЕР])*(F177=Таблица2[Наименование работ])*(G177=Таблица2[ТПиР/НСиР])*Таблица2[ПИР2010])</f>
        <v>0</v>
      </c>
      <c r="J177" s="63">
        <f>T177*SUMPRODUCT(($B$2=Таблица2[Филиал])*($B$3=Таблица2[ФЕР/ТЕР])*(F177=Таблица2[Наименование работ])*(G177=Таблица2[ТПиР/НСиР])*Таблица2[СМР2010])</f>
        <v>0</v>
      </c>
      <c r="K177" s="63">
        <f>U177*SUMPRODUCT(($B$2=Таблица2[Филиал])*($B$3=Таблица2[ФЕР/ТЕР])*(F177=Таблица2[Наименование работ])*(G177=Таблица2[ТПиР/НСиР])*Таблица2[ПНР2010])</f>
        <v>0</v>
      </c>
      <c r="L177" s="63">
        <f>V177*SUMPRODUCT(($B$2=Таблица2[Филиал])*($B$3=Таблица2[ФЕР/ТЕР])*(F177=Таблица2[Наименование работ])*(G177=Таблица2[ТПиР/НСиР])*Таблица2[Оборудование2010])</f>
        <v>0</v>
      </c>
      <c r="M177" s="63">
        <f>W177*SUMPRODUCT(($B$2=Таблица2[Филиал])*($B$3=Таблица2[ФЕР/ТЕР])*(F177=Таблица2[Наименование работ])*(G177=Таблица2[ТПиР/НСиР])*Таблица2[Прочие2010])</f>
        <v>0</v>
      </c>
      <c r="N177" s="63">
        <f>S177*SUMPRODUCT(($B$2=Таблица2[Филиал])*($B$3=Таблица2[ФЕР/ТЕР])*(F177=Таблица2[Наименование работ])*(G177=Таблица2[ТПиР/НСиР])*Таблица2[ПИР2013-10])</f>
        <v>0</v>
      </c>
      <c r="O177" s="63">
        <f>T177*SUMPRODUCT(($B$2=Таблица2[Филиал])*($B$3=Таблица2[ФЕР/ТЕР])*(F177=Таблица2[Наименование работ])*(G177=Таблица2[ТПиР/НСиР])*Таблица2[СМР2013-10])</f>
        <v>0</v>
      </c>
      <c r="P177" s="63">
        <f>U177*SUMPRODUCT(($B$2=Таблица2[Филиал])*($B$3=Таблица2[ФЕР/ТЕР])*(F177=Таблица2[Наименование работ])*(G177=Таблица2[ТПиР/НСиР])*Таблица2[ПНР2013-10])</f>
        <v>0</v>
      </c>
      <c r="Q177" s="63">
        <f>V177*SUMPRODUCT(($B$2=Таблица2[Филиал])*($B$3=Таблица2[ФЕР/ТЕР])*(F177=Таблица2[Наименование работ])*(G177=Таблица2[ТПиР/НСиР])*Таблица2[Оборудование2013-10])</f>
        <v>0</v>
      </c>
      <c r="R177" s="63">
        <f>W177*SUMPRODUCT(($B$2=Таблица2[Филиал])*($B$3=Таблица2[ФЕР/ТЕР])*(F177=Таблица2[Наименование работ])*(G177=Таблица2[ТПиР/НСиР])*Таблица2[Прочие2013-10])</f>
        <v>0</v>
      </c>
      <c r="S177" s="63">
        <f>IF($B$4="в базовых ценах",калькулятор!J182,X177*SUMPRODUCT(($B$2=Таблица2[Филиал])*($B$3=Таблица2[ФЕР/ТЕР])*(F177=Таблица2[Наименование работ])*(G177=Таблица2[ТПиР/НСиР])/Таблица2[ПИР2013]))</f>
        <v>0</v>
      </c>
      <c r="T177" s="63">
        <f>IF($B$4="в базовых ценах",калькулятор!K182,Y177*SUMPRODUCT(($B$2=Таблица2[Филиал])*($B$3=Таблица2[ФЕР/ТЕР])*(F177=Таблица2[Наименование работ])*(G177=Таблица2[ТПиР/НСиР])/Таблица2[СМР2013]))</f>
        <v>0</v>
      </c>
      <c r="U177" s="63">
        <f>IF($B$4="в базовых ценах",калькулятор!L182,Z177*SUMPRODUCT(($B$2=Таблица2[Филиал])*($B$3=Таблица2[ФЕР/ТЕР])*(F177=Таблица2[Наименование работ])*(G177=Таблица2[ТПиР/НСиР])/Таблица2[ПНР2013]))</f>
        <v>0</v>
      </c>
      <c r="V177" s="63">
        <f>IF($B$4="в базовых ценах",калькулятор!M182,AA177*SUMPRODUCT(($B$2=Таблица2[Филиал])*($B$3=Таблица2[ФЕР/ТЕР])*(F177=Таблица2[Наименование работ])*(G177=Таблица2[ТПиР/НСиР])/Таблица2[Оборудование2013]))</f>
        <v>0</v>
      </c>
      <c r="W177" s="63">
        <f>IF($B$4="в базовых ценах",калькулятор!N182,AB177*SUMPRODUCT(($B$2=Таблица2[Филиал])*($B$3=Таблица2[ФЕР/ТЕР])*(F177=Таблица2[Наименование работ])*(G177=Таблица2[ТПиР/НСиР])/Таблица2[Прочие3]))</f>
        <v>0</v>
      </c>
      <c r="X177" s="63">
        <f>IF($B$4="в текущих ценах",калькулятор!J182,S177*SUMPRODUCT(($B$2=Таблица2[Филиал])*($B$3=Таблица2[ФЕР/ТЕР])*(F177=Таблица2[Наименование работ])*(G177=Таблица2[ТПиР/НСиР])*Таблица2[ПИР2013]))</f>
        <v>0</v>
      </c>
      <c r="Y177" s="63">
        <f>IF($B$4="в текущих ценах",калькулятор!K182,T177*SUMPRODUCT(($B$2=Таблица2[Филиал])*($B$3=Таблица2[ФЕР/ТЕР])*(F177=Таблица2[Наименование работ])*(G177=Таблица2[ТПиР/НСиР])*Таблица2[СМР2013]))</f>
        <v>0</v>
      </c>
      <c r="Z177" s="63">
        <f>IF($B$4="в текущих ценах",калькулятор!L182,U177*SUMPRODUCT(($B$2=Таблица2[Филиал])*($B$3=Таблица2[ФЕР/ТЕР])*(F177=Таблица2[Наименование работ])*(G177=Таблица2[ТПиР/НСиР])*Таблица2[ПНР2013]))</f>
        <v>0</v>
      </c>
      <c r="AA177" s="63">
        <f>IF($B$4="в текущих ценах",калькулятор!M182,V177*SUMPRODUCT(($B$2=Таблица2[Филиал])*($B$3=Таблица2[ФЕР/ТЕР])*(F177=Таблица2[Наименование работ])*(G177=Таблица2[ТПиР/НСиР])*Таблица2[Оборудование2013]))</f>
        <v>0</v>
      </c>
      <c r="AB177" s="63">
        <f>IF($B$4="в текущих ценах",калькулятор!N182,W177*SUMPRODUCT(($B$2=Таблица2[Филиал])*($B$3=Таблица2[ФЕР/ТЕР])*(F177=Таблица2[Наименование работ])*(G177=Таблица2[ТПиР/НСиР])*Таблица2[Прочие3]))</f>
        <v>0</v>
      </c>
      <c r="AC177" s="63">
        <f>SUM(данные!$I177:$M177)</f>
        <v>0</v>
      </c>
      <c r="AD177" s="63">
        <f>IF(SUM(данные!$N177:$R177)&gt;данные!$AF177,данные!$AF177*0.9*1.058,SUM(данные!$N177:$R177))</f>
        <v>0</v>
      </c>
      <c r="AE177" s="63">
        <f>SUM(данные!$S177:$W177)</f>
        <v>0</v>
      </c>
      <c r="AF177" s="63">
        <f>SUM(данные!$X177:$AB177)</f>
        <v>0</v>
      </c>
      <c r="AG177" s="63">
        <f>IF($B$4="в текущих ценах",S177*SUMPRODUCT(($B$2=Таблица2[Филиал])*($B$3=Таблица2[ФЕР/ТЕР])*(F177=Таблица2[Наименование работ])*(G177=Таблица2[ТПиР/НСиР])*Таблица2[ПИР2012]),S177*SUMPRODUCT(($B$2=Таблица2[Филиал])*($B$3=Таблица2[ФЕР/ТЕР])*(F177=Таблица2[Наименование работ])*(G177=Таблица2[ТПиР/НСиР])*Таблица2[ПИР2012]))</f>
        <v>0</v>
      </c>
      <c r="AH177" s="63">
        <f>IF($B$4="в текущих ценах",T177*SUMPRODUCT(($B$2=Таблица2[Филиал])*($B$3=Таблица2[ФЕР/ТЕР])*(F177=Таблица2[Наименование работ])*(G177=Таблица2[ТПиР/НСиР])*Таблица2[СМР2012]),T177*SUMPRODUCT(($B$2=Таблица2[Филиал])*($B$3=Таблица2[ФЕР/ТЕР])*(F177=Таблица2[Наименование работ])*(G177=Таблица2[ТПиР/НСиР])*Таблица2[СМР2012]))</f>
        <v>0</v>
      </c>
      <c r="AI177" s="63">
        <f>IF($B$4="в текущих ценах",U177*SUMPRODUCT(($B$2=Таблица2[Филиал])*($B$3=Таблица2[ФЕР/ТЕР])*(F177=Таблица2[Наименование работ])*(G177=Таблица2[ТПиР/НСиР])*Таблица2[ПНР2012]),U177*SUMPRODUCT(($B$2=Таблица2[Филиал])*($B$3=Таблица2[ФЕР/ТЕР])*(F177=Таблица2[Наименование работ])*(G177=Таблица2[ТПиР/НСиР])*Таблица2[ПНР2012]))</f>
        <v>0</v>
      </c>
      <c r="AJ177" s="63">
        <f>IF($B$4="в текущих ценах",V177*SUMPRODUCT(($B$2=Таблица2[Филиал])*($B$3=Таблица2[ФЕР/ТЕР])*(F177=Таблица2[Наименование работ])*(G177=Таблица2[ТПиР/НСиР])*Таблица2[Оборудование2012]),V177*SUMPRODUCT(($B$2=Таблица2[Филиал])*($B$3=Таблица2[ФЕР/ТЕР])*(F177=Таблица2[Наименование работ])*(G177=Таблица2[ТПиР/НСиР])*Таблица2[Оборудование2012]))</f>
        <v>0</v>
      </c>
      <c r="AK177" s="63">
        <f>IF($B$4="в текущих ценах",W177*SUMPRODUCT(($B$2=Таблица2[Филиал])*($B$3=Таблица2[ФЕР/ТЕР])*(F177=Таблица2[Наименование работ])*(G177=Таблица2[ТПиР/НСиР])*Таблица2[Прочее2012]),W177*SUMPRODUCT(($B$2=Таблица2[Филиал])*($B$3=Таблица2[ФЕР/ТЕР])*(F177=Таблица2[Наименование работ])*(G177=Таблица2[ТПиР/НСиР])*Таблица2[Прочее2012]))</f>
        <v>0</v>
      </c>
      <c r="AL177" s="63">
        <f>данные!$X177+данные!$Y177+данные!$Z177+данные!$AA177+данные!$AB177</f>
        <v>0</v>
      </c>
      <c r="AM177" s="63">
        <v>1.03639035</v>
      </c>
      <c r="AN177" s="63">
        <v>1.0114049394</v>
      </c>
      <c r="AO177" s="63">
        <v>0.98210394336149998</v>
      </c>
      <c r="AP177" s="63">
        <v>0.93762413895893393</v>
      </c>
      <c r="AQ177" s="63"/>
      <c r="AR177" s="63"/>
      <c r="AS177" s="64"/>
      <c r="AU177" s="66">
        <f t="shared" si="12"/>
        <v>0</v>
      </c>
      <c r="AX177" s="66">
        <f t="shared" si="13"/>
        <v>0</v>
      </c>
      <c r="AY177" s="66">
        <f t="shared" si="14"/>
        <v>0</v>
      </c>
      <c r="AZ177" s="66">
        <f t="shared" si="15"/>
        <v>0</v>
      </c>
      <c r="BA177" s="66">
        <f t="shared" si="16"/>
        <v>0</v>
      </c>
      <c r="BB177" s="66">
        <f t="shared" si="17"/>
        <v>0</v>
      </c>
    </row>
    <row r="178" spans="4:54" x14ac:dyDescent="0.25">
      <c r="D178" s="62">
        <f>калькулятор!C183</f>
        <v>0</v>
      </c>
      <c r="E178" s="62">
        <f>калькулятор!F183</f>
        <v>0</v>
      </c>
      <c r="F178" s="62">
        <f>калькулятор!G183</f>
        <v>0</v>
      </c>
      <c r="G178" s="62">
        <f>калькулятор!H183</f>
        <v>0</v>
      </c>
      <c r="H178" s="62">
        <f>калькулятор!I183</f>
        <v>0</v>
      </c>
      <c r="I178" s="63">
        <f>S178*SUMPRODUCT(($B$2=Таблица2[Филиал])*($B$3=Таблица2[ФЕР/ТЕР])*(F178=Таблица2[Наименование работ])*(G178=Таблица2[ТПиР/НСиР])*Таблица2[ПИР2010])</f>
        <v>0</v>
      </c>
      <c r="J178" s="63">
        <f>T178*SUMPRODUCT(($B$2=Таблица2[Филиал])*($B$3=Таблица2[ФЕР/ТЕР])*(F178=Таблица2[Наименование работ])*(G178=Таблица2[ТПиР/НСиР])*Таблица2[СМР2010])</f>
        <v>0</v>
      </c>
      <c r="K178" s="63">
        <f>U178*SUMPRODUCT(($B$2=Таблица2[Филиал])*($B$3=Таблица2[ФЕР/ТЕР])*(F178=Таблица2[Наименование работ])*(G178=Таблица2[ТПиР/НСиР])*Таблица2[ПНР2010])</f>
        <v>0</v>
      </c>
      <c r="L178" s="63">
        <f>V178*SUMPRODUCT(($B$2=Таблица2[Филиал])*($B$3=Таблица2[ФЕР/ТЕР])*(F178=Таблица2[Наименование работ])*(G178=Таблица2[ТПиР/НСиР])*Таблица2[Оборудование2010])</f>
        <v>0</v>
      </c>
      <c r="M178" s="63">
        <f>W178*SUMPRODUCT(($B$2=Таблица2[Филиал])*($B$3=Таблица2[ФЕР/ТЕР])*(F178=Таблица2[Наименование работ])*(G178=Таблица2[ТПиР/НСиР])*Таблица2[Прочие2010])</f>
        <v>0</v>
      </c>
      <c r="N178" s="63">
        <f>S178*SUMPRODUCT(($B$2=Таблица2[Филиал])*($B$3=Таблица2[ФЕР/ТЕР])*(F178=Таблица2[Наименование работ])*(G178=Таблица2[ТПиР/НСиР])*Таблица2[ПИР2013-10])</f>
        <v>0</v>
      </c>
      <c r="O178" s="63">
        <f>T178*SUMPRODUCT(($B$2=Таблица2[Филиал])*($B$3=Таблица2[ФЕР/ТЕР])*(F178=Таблица2[Наименование работ])*(G178=Таблица2[ТПиР/НСиР])*Таблица2[СМР2013-10])</f>
        <v>0</v>
      </c>
      <c r="P178" s="63">
        <f>U178*SUMPRODUCT(($B$2=Таблица2[Филиал])*($B$3=Таблица2[ФЕР/ТЕР])*(F178=Таблица2[Наименование работ])*(G178=Таблица2[ТПиР/НСиР])*Таблица2[ПНР2013-10])</f>
        <v>0</v>
      </c>
      <c r="Q178" s="63">
        <f>V178*SUMPRODUCT(($B$2=Таблица2[Филиал])*($B$3=Таблица2[ФЕР/ТЕР])*(F178=Таблица2[Наименование работ])*(G178=Таблица2[ТПиР/НСиР])*Таблица2[Оборудование2013-10])</f>
        <v>0</v>
      </c>
      <c r="R178" s="63">
        <f>W178*SUMPRODUCT(($B$2=Таблица2[Филиал])*($B$3=Таблица2[ФЕР/ТЕР])*(F178=Таблица2[Наименование работ])*(G178=Таблица2[ТПиР/НСиР])*Таблица2[Прочие2013-10])</f>
        <v>0</v>
      </c>
      <c r="S178" s="63">
        <f>IF($B$4="в базовых ценах",калькулятор!J183,X178*SUMPRODUCT(($B$2=Таблица2[Филиал])*($B$3=Таблица2[ФЕР/ТЕР])*(F178=Таблица2[Наименование работ])*(G178=Таблица2[ТПиР/НСиР])/Таблица2[ПИР2013]))</f>
        <v>0</v>
      </c>
      <c r="T178" s="63">
        <f>IF($B$4="в базовых ценах",калькулятор!K183,Y178*SUMPRODUCT(($B$2=Таблица2[Филиал])*($B$3=Таблица2[ФЕР/ТЕР])*(F178=Таблица2[Наименование работ])*(G178=Таблица2[ТПиР/НСиР])/Таблица2[СМР2013]))</f>
        <v>0</v>
      </c>
      <c r="U178" s="63">
        <f>IF($B$4="в базовых ценах",калькулятор!L183,Z178*SUMPRODUCT(($B$2=Таблица2[Филиал])*($B$3=Таблица2[ФЕР/ТЕР])*(F178=Таблица2[Наименование работ])*(G178=Таблица2[ТПиР/НСиР])/Таблица2[ПНР2013]))</f>
        <v>0</v>
      </c>
      <c r="V178" s="63">
        <f>IF($B$4="в базовых ценах",калькулятор!M183,AA178*SUMPRODUCT(($B$2=Таблица2[Филиал])*($B$3=Таблица2[ФЕР/ТЕР])*(F178=Таблица2[Наименование работ])*(G178=Таблица2[ТПиР/НСиР])/Таблица2[Оборудование2013]))</f>
        <v>0</v>
      </c>
      <c r="W178" s="63">
        <f>IF($B$4="в базовых ценах",калькулятор!N183,AB178*SUMPRODUCT(($B$2=Таблица2[Филиал])*($B$3=Таблица2[ФЕР/ТЕР])*(F178=Таблица2[Наименование работ])*(G178=Таблица2[ТПиР/НСиР])/Таблица2[Прочие3]))</f>
        <v>0</v>
      </c>
      <c r="X178" s="63">
        <f>IF($B$4="в текущих ценах",калькулятор!J183,S178*SUMPRODUCT(($B$2=Таблица2[Филиал])*($B$3=Таблица2[ФЕР/ТЕР])*(F178=Таблица2[Наименование работ])*(G178=Таблица2[ТПиР/НСиР])*Таблица2[ПИР2013]))</f>
        <v>0</v>
      </c>
      <c r="Y178" s="63">
        <f>IF($B$4="в текущих ценах",калькулятор!K183,T178*SUMPRODUCT(($B$2=Таблица2[Филиал])*($B$3=Таблица2[ФЕР/ТЕР])*(F178=Таблица2[Наименование работ])*(G178=Таблица2[ТПиР/НСиР])*Таблица2[СМР2013]))</f>
        <v>0</v>
      </c>
      <c r="Z178" s="63">
        <f>IF($B$4="в текущих ценах",калькулятор!L183,U178*SUMPRODUCT(($B$2=Таблица2[Филиал])*($B$3=Таблица2[ФЕР/ТЕР])*(F178=Таблица2[Наименование работ])*(G178=Таблица2[ТПиР/НСиР])*Таблица2[ПНР2013]))</f>
        <v>0</v>
      </c>
      <c r="AA178" s="63">
        <f>IF($B$4="в текущих ценах",калькулятор!M183,V178*SUMPRODUCT(($B$2=Таблица2[Филиал])*($B$3=Таблица2[ФЕР/ТЕР])*(F178=Таблица2[Наименование работ])*(G178=Таблица2[ТПиР/НСиР])*Таблица2[Оборудование2013]))</f>
        <v>0</v>
      </c>
      <c r="AB178" s="63">
        <f>IF($B$4="в текущих ценах",калькулятор!N183,W178*SUMPRODUCT(($B$2=Таблица2[Филиал])*($B$3=Таблица2[ФЕР/ТЕР])*(F178=Таблица2[Наименование работ])*(G178=Таблица2[ТПиР/НСиР])*Таблица2[Прочие3]))</f>
        <v>0</v>
      </c>
      <c r="AC178" s="63">
        <f>SUM(данные!$I178:$M178)</f>
        <v>0</v>
      </c>
      <c r="AD178" s="63">
        <f>IF(SUM(данные!$N178:$R178)&gt;данные!$AF178,данные!$AF178*0.9*1.058,SUM(данные!$N178:$R178))</f>
        <v>0</v>
      </c>
      <c r="AE178" s="63">
        <f>SUM(данные!$S178:$W178)</f>
        <v>0</v>
      </c>
      <c r="AF178" s="63">
        <f>SUM(данные!$X178:$AB178)</f>
        <v>0</v>
      </c>
      <c r="AG178" s="63">
        <f>IF($B$4="в текущих ценах",S178*SUMPRODUCT(($B$2=Таблица2[Филиал])*($B$3=Таблица2[ФЕР/ТЕР])*(F178=Таблица2[Наименование работ])*(G178=Таблица2[ТПиР/НСиР])*Таблица2[ПИР2012]),S178*SUMPRODUCT(($B$2=Таблица2[Филиал])*($B$3=Таблица2[ФЕР/ТЕР])*(F178=Таблица2[Наименование работ])*(G178=Таблица2[ТПиР/НСиР])*Таблица2[ПИР2012]))</f>
        <v>0</v>
      </c>
      <c r="AH178" s="63">
        <f>IF($B$4="в текущих ценах",T178*SUMPRODUCT(($B$2=Таблица2[Филиал])*($B$3=Таблица2[ФЕР/ТЕР])*(F178=Таблица2[Наименование работ])*(G178=Таблица2[ТПиР/НСиР])*Таблица2[СМР2012]),T178*SUMPRODUCT(($B$2=Таблица2[Филиал])*($B$3=Таблица2[ФЕР/ТЕР])*(F178=Таблица2[Наименование работ])*(G178=Таблица2[ТПиР/НСиР])*Таблица2[СМР2012]))</f>
        <v>0</v>
      </c>
      <c r="AI178" s="63">
        <f>IF($B$4="в текущих ценах",U178*SUMPRODUCT(($B$2=Таблица2[Филиал])*($B$3=Таблица2[ФЕР/ТЕР])*(F178=Таблица2[Наименование работ])*(G178=Таблица2[ТПиР/НСиР])*Таблица2[ПНР2012]),U178*SUMPRODUCT(($B$2=Таблица2[Филиал])*($B$3=Таблица2[ФЕР/ТЕР])*(F178=Таблица2[Наименование работ])*(G178=Таблица2[ТПиР/НСиР])*Таблица2[ПНР2012]))</f>
        <v>0</v>
      </c>
      <c r="AJ178" s="63">
        <f>IF($B$4="в текущих ценах",V178*SUMPRODUCT(($B$2=Таблица2[Филиал])*($B$3=Таблица2[ФЕР/ТЕР])*(F178=Таблица2[Наименование работ])*(G178=Таблица2[ТПиР/НСиР])*Таблица2[Оборудование2012]),V178*SUMPRODUCT(($B$2=Таблица2[Филиал])*($B$3=Таблица2[ФЕР/ТЕР])*(F178=Таблица2[Наименование работ])*(G178=Таблица2[ТПиР/НСиР])*Таблица2[Оборудование2012]))</f>
        <v>0</v>
      </c>
      <c r="AK178" s="63">
        <f>IF($B$4="в текущих ценах",W178*SUMPRODUCT(($B$2=Таблица2[Филиал])*($B$3=Таблица2[ФЕР/ТЕР])*(F178=Таблица2[Наименование работ])*(G178=Таблица2[ТПиР/НСиР])*Таблица2[Прочее2012]),W178*SUMPRODUCT(($B$2=Таблица2[Филиал])*($B$3=Таблица2[ФЕР/ТЕР])*(F178=Таблица2[Наименование работ])*(G178=Таблица2[ТПиР/НСиР])*Таблица2[Прочее2012]))</f>
        <v>0</v>
      </c>
      <c r="AL178" s="63">
        <f>данные!$X178+данные!$Y178+данные!$Z178+данные!$AA178+данные!$AB178</f>
        <v>0</v>
      </c>
      <c r="AM178" s="63">
        <v>1.03639035</v>
      </c>
      <c r="AN178" s="63">
        <v>1.0114049394</v>
      </c>
      <c r="AO178" s="63">
        <v>0.98210394336149998</v>
      </c>
      <c r="AP178" s="63">
        <v>0.93762413895893393</v>
      </c>
      <c r="AQ178" s="63"/>
      <c r="AR178" s="63"/>
      <c r="AS178" s="64"/>
      <c r="AU178" s="66">
        <f t="shared" si="12"/>
        <v>0</v>
      </c>
      <c r="AX178" s="66">
        <f t="shared" si="13"/>
        <v>0</v>
      </c>
      <c r="AY178" s="66">
        <f t="shared" si="14"/>
        <v>0</v>
      </c>
      <c r="AZ178" s="66">
        <f t="shared" si="15"/>
        <v>0</v>
      </c>
      <c r="BA178" s="66">
        <f t="shared" si="16"/>
        <v>0</v>
      </c>
      <c r="BB178" s="66">
        <f t="shared" si="17"/>
        <v>0</v>
      </c>
    </row>
    <row r="179" spans="4:54" x14ac:dyDescent="0.25">
      <c r="D179" s="62">
        <f>калькулятор!C184</f>
        <v>0</v>
      </c>
      <c r="E179" s="62">
        <f>калькулятор!F184</f>
        <v>0</v>
      </c>
      <c r="F179" s="62">
        <f>калькулятор!G184</f>
        <v>0</v>
      </c>
      <c r="G179" s="62">
        <f>калькулятор!H184</f>
        <v>0</v>
      </c>
      <c r="H179" s="62">
        <f>калькулятор!I184</f>
        <v>0</v>
      </c>
      <c r="I179" s="63">
        <f>S179*SUMPRODUCT(($B$2=Таблица2[Филиал])*($B$3=Таблица2[ФЕР/ТЕР])*(F179=Таблица2[Наименование работ])*(G179=Таблица2[ТПиР/НСиР])*Таблица2[ПИР2010])</f>
        <v>0</v>
      </c>
      <c r="J179" s="63">
        <f>T179*SUMPRODUCT(($B$2=Таблица2[Филиал])*($B$3=Таблица2[ФЕР/ТЕР])*(F179=Таблица2[Наименование работ])*(G179=Таблица2[ТПиР/НСиР])*Таблица2[СМР2010])</f>
        <v>0</v>
      </c>
      <c r="K179" s="63">
        <f>U179*SUMPRODUCT(($B$2=Таблица2[Филиал])*($B$3=Таблица2[ФЕР/ТЕР])*(F179=Таблица2[Наименование работ])*(G179=Таблица2[ТПиР/НСиР])*Таблица2[ПНР2010])</f>
        <v>0</v>
      </c>
      <c r="L179" s="63">
        <f>V179*SUMPRODUCT(($B$2=Таблица2[Филиал])*($B$3=Таблица2[ФЕР/ТЕР])*(F179=Таблица2[Наименование работ])*(G179=Таблица2[ТПиР/НСиР])*Таблица2[Оборудование2010])</f>
        <v>0</v>
      </c>
      <c r="M179" s="63">
        <f>W179*SUMPRODUCT(($B$2=Таблица2[Филиал])*($B$3=Таблица2[ФЕР/ТЕР])*(F179=Таблица2[Наименование работ])*(G179=Таблица2[ТПиР/НСиР])*Таблица2[Прочие2010])</f>
        <v>0</v>
      </c>
      <c r="N179" s="63">
        <f>S179*SUMPRODUCT(($B$2=Таблица2[Филиал])*($B$3=Таблица2[ФЕР/ТЕР])*(F179=Таблица2[Наименование работ])*(G179=Таблица2[ТПиР/НСиР])*Таблица2[ПИР2013-10])</f>
        <v>0</v>
      </c>
      <c r="O179" s="63">
        <f>T179*SUMPRODUCT(($B$2=Таблица2[Филиал])*($B$3=Таблица2[ФЕР/ТЕР])*(F179=Таблица2[Наименование работ])*(G179=Таблица2[ТПиР/НСиР])*Таблица2[СМР2013-10])</f>
        <v>0</v>
      </c>
      <c r="P179" s="63">
        <f>U179*SUMPRODUCT(($B$2=Таблица2[Филиал])*($B$3=Таблица2[ФЕР/ТЕР])*(F179=Таблица2[Наименование работ])*(G179=Таблица2[ТПиР/НСиР])*Таблица2[ПНР2013-10])</f>
        <v>0</v>
      </c>
      <c r="Q179" s="63">
        <f>V179*SUMPRODUCT(($B$2=Таблица2[Филиал])*($B$3=Таблица2[ФЕР/ТЕР])*(F179=Таблица2[Наименование работ])*(G179=Таблица2[ТПиР/НСиР])*Таблица2[Оборудование2013-10])</f>
        <v>0</v>
      </c>
      <c r="R179" s="63">
        <f>W179*SUMPRODUCT(($B$2=Таблица2[Филиал])*($B$3=Таблица2[ФЕР/ТЕР])*(F179=Таблица2[Наименование работ])*(G179=Таблица2[ТПиР/НСиР])*Таблица2[Прочие2013-10])</f>
        <v>0</v>
      </c>
      <c r="S179" s="63">
        <f>IF($B$4="в базовых ценах",калькулятор!J184,X179*SUMPRODUCT(($B$2=Таблица2[Филиал])*($B$3=Таблица2[ФЕР/ТЕР])*(F179=Таблица2[Наименование работ])*(G179=Таблица2[ТПиР/НСиР])/Таблица2[ПИР2013]))</f>
        <v>0</v>
      </c>
      <c r="T179" s="63">
        <f>IF($B$4="в базовых ценах",калькулятор!K184,Y179*SUMPRODUCT(($B$2=Таблица2[Филиал])*($B$3=Таблица2[ФЕР/ТЕР])*(F179=Таблица2[Наименование работ])*(G179=Таблица2[ТПиР/НСиР])/Таблица2[СМР2013]))</f>
        <v>0</v>
      </c>
      <c r="U179" s="63">
        <f>IF($B$4="в базовых ценах",калькулятор!L184,Z179*SUMPRODUCT(($B$2=Таблица2[Филиал])*($B$3=Таблица2[ФЕР/ТЕР])*(F179=Таблица2[Наименование работ])*(G179=Таблица2[ТПиР/НСиР])/Таблица2[ПНР2013]))</f>
        <v>0</v>
      </c>
      <c r="V179" s="63">
        <f>IF($B$4="в базовых ценах",калькулятор!M184,AA179*SUMPRODUCT(($B$2=Таблица2[Филиал])*($B$3=Таблица2[ФЕР/ТЕР])*(F179=Таблица2[Наименование работ])*(G179=Таблица2[ТПиР/НСиР])/Таблица2[Оборудование2013]))</f>
        <v>0</v>
      </c>
      <c r="W179" s="63">
        <f>IF($B$4="в базовых ценах",калькулятор!N184,AB179*SUMPRODUCT(($B$2=Таблица2[Филиал])*($B$3=Таблица2[ФЕР/ТЕР])*(F179=Таблица2[Наименование работ])*(G179=Таблица2[ТПиР/НСиР])/Таблица2[Прочие3]))</f>
        <v>0</v>
      </c>
      <c r="X179" s="63">
        <f>IF($B$4="в текущих ценах",калькулятор!J184,S179*SUMPRODUCT(($B$2=Таблица2[Филиал])*($B$3=Таблица2[ФЕР/ТЕР])*(F179=Таблица2[Наименование работ])*(G179=Таблица2[ТПиР/НСиР])*Таблица2[ПИР2013]))</f>
        <v>0</v>
      </c>
      <c r="Y179" s="63">
        <f>IF($B$4="в текущих ценах",калькулятор!K184,T179*SUMPRODUCT(($B$2=Таблица2[Филиал])*($B$3=Таблица2[ФЕР/ТЕР])*(F179=Таблица2[Наименование работ])*(G179=Таблица2[ТПиР/НСиР])*Таблица2[СМР2013]))</f>
        <v>0</v>
      </c>
      <c r="Z179" s="63">
        <f>IF($B$4="в текущих ценах",калькулятор!L184,U179*SUMPRODUCT(($B$2=Таблица2[Филиал])*($B$3=Таблица2[ФЕР/ТЕР])*(F179=Таблица2[Наименование работ])*(G179=Таблица2[ТПиР/НСиР])*Таблица2[ПНР2013]))</f>
        <v>0</v>
      </c>
      <c r="AA179" s="63">
        <f>IF($B$4="в текущих ценах",калькулятор!M184,V179*SUMPRODUCT(($B$2=Таблица2[Филиал])*($B$3=Таблица2[ФЕР/ТЕР])*(F179=Таблица2[Наименование работ])*(G179=Таблица2[ТПиР/НСиР])*Таблица2[Оборудование2013]))</f>
        <v>0</v>
      </c>
      <c r="AB179" s="63">
        <f>IF($B$4="в текущих ценах",калькулятор!N184,W179*SUMPRODUCT(($B$2=Таблица2[Филиал])*($B$3=Таблица2[ФЕР/ТЕР])*(F179=Таблица2[Наименование работ])*(G179=Таблица2[ТПиР/НСиР])*Таблица2[Прочие3]))</f>
        <v>0</v>
      </c>
      <c r="AC179" s="63">
        <f>SUM(данные!$I179:$M179)</f>
        <v>0</v>
      </c>
      <c r="AD179" s="63">
        <f>IF(SUM(данные!$N179:$R179)&gt;данные!$AF179,данные!$AF179*0.9*1.058,SUM(данные!$N179:$R179))</f>
        <v>0</v>
      </c>
      <c r="AE179" s="63">
        <f>SUM(данные!$S179:$W179)</f>
        <v>0</v>
      </c>
      <c r="AF179" s="63">
        <f>SUM(данные!$X179:$AB179)</f>
        <v>0</v>
      </c>
      <c r="AG179" s="63">
        <f>IF($B$4="в текущих ценах",S179*SUMPRODUCT(($B$2=Таблица2[Филиал])*($B$3=Таблица2[ФЕР/ТЕР])*(F179=Таблица2[Наименование работ])*(G179=Таблица2[ТПиР/НСиР])*Таблица2[ПИР2012]),S179*SUMPRODUCT(($B$2=Таблица2[Филиал])*($B$3=Таблица2[ФЕР/ТЕР])*(F179=Таблица2[Наименование работ])*(G179=Таблица2[ТПиР/НСиР])*Таблица2[ПИР2012]))</f>
        <v>0</v>
      </c>
      <c r="AH179" s="63">
        <f>IF($B$4="в текущих ценах",T179*SUMPRODUCT(($B$2=Таблица2[Филиал])*($B$3=Таблица2[ФЕР/ТЕР])*(F179=Таблица2[Наименование работ])*(G179=Таблица2[ТПиР/НСиР])*Таблица2[СМР2012]),T179*SUMPRODUCT(($B$2=Таблица2[Филиал])*($B$3=Таблица2[ФЕР/ТЕР])*(F179=Таблица2[Наименование работ])*(G179=Таблица2[ТПиР/НСиР])*Таблица2[СМР2012]))</f>
        <v>0</v>
      </c>
      <c r="AI179" s="63">
        <f>IF($B$4="в текущих ценах",U179*SUMPRODUCT(($B$2=Таблица2[Филиал])*($B$3=Таблица2[ФЕР/ТЕР])*(F179=Таблица2[Наименование работ])*(G179=Таблица2[ТПиР/НСиР])*Таблица2[ПНР2012]),U179*SUMPRODUCT(($B$2=Таблица2[Филиал])*($B$3=Таблица2[ФЕР/ТЕР])*(F179=Таблица2[Наименование работ])*(G179=Таблица2[ТПиР/НСиР])*Таблица2[ПНР2012]))</f>
        <v>0</v>
      </c>
      <c r="AJ179" s="63">
        <f>IF($B$4="в текущих ценах",V179*SUMPRODUCT(($B$2=Таблица2[Филиал])*($B$3=Таблица2[ФЕР/ТЕР])*(F179=Таблица2[Наименование работ])*(G179=Таблица2[ТПиР/НСиР])*Таблица2[Оборудование2012]),V179*SUMPRODUCT(($B$2=Таблица2[Филиал])*($B$3=Таблица2[ФЕР/ТЕР])*(F179=Таблица2[Наименование работ])*(G179=Таблица2[ТПиР/НСиР])*Таблица2[Оборудование2012]))</f>
        <v>0</v>
      </c>
      <c r="AK179" s="63">
        <f>IF($B$4="в текущих ценах",W179*SUMPRODUCT(($B$2=Таблица2[Филиал])*($B$3=Таблица2[ФЕР/ТЕР])*(F179=Таблица2[Наименование работ])*(G179=Таблица2[ТПиР/НСиР])*Таблица2[Прочее2012]),W179*SUMPRODUCT(($B$2=Таблица2[Филиал])*($B$3=Таблица2[ФЕР/ТЕР])*(F179=Таблица2[Наименование работ])*(G179=Таблица2[ТПиР/НСиР])*Таблица2[Прочее2012]))</f>
        <v>0</v>
      </c>
      <c r="AL179" s="63">
        <f>данные!$X179+данные!$Y179+данные!$Z179+данные!$AA179+данные!$AB179</f>
        <v>0</v>
      </c>
      <c r="AM179" s="63">
        <v>1.03639035</v>
      </c>
      <c r="AN179" s="63">
        <v>1.0114049394</v>
      </c>
      <c r="AO179" s="63">
        <v>0.98210394336149998</v>
      </c>
      <c r="AP179" s="63">
        <v>0.93762413895893393</v>
      </c>
      <c r="AQ179" s="63"/>
      <c r="AR179" s="63"/>
      <c r="AS179" s="64"/>
      <c r="AU179" s="66">
        <f t="shared" si="12"/>
        <v>0</v>
      </c>
      <c r="AX179" s="66">
        <f t="shared" si="13"/>
        <v>0</v>
      </c>
      <c r="AY179" s="66">
        <f t="shared" si="14"/>
        <v>0</v>
      </c>
      <c r="AZ179" s="66">
        <f t="shared" si="15"/>
        <v>0</v>
      </c>
      <c r="BA179" s="66">
        <f t="shared" si="16"/>
        <v>0</v>
      </c>
      <c r="BB179" s="66">
        <f t="shared" si="17"/>
        <v>0</v>
      </c>
    </row>
    <row r="180" spans="4:54" x14ac:dyDescent="0.25">
      <c r="D180" s="62">
        <f>калькулятор!C185</f>
        <v>0</v>
      </c>
      <c r="E180" s="62">
        <f>калькулятор!F185</f>
        <v>0</v>
      </c>
      <c r="F180" s="62">
        <f>калькулятор!G185</f>
        <v>0</v>
      </c>
      <c r="G180" s="62">
        <f>калькулятор!H185</f>
        <v>0</v>
      </c>
      <c r="H180" s="62">
        <f>калькулятор!I185</f>
        <v>0</v>
      </c>
      <c r="I180" s="63">
        <f>S180*SUMPRODUCT(($B$2=Таблица2[Филиал])*($B$3=Таблица2[ФЕР/ТЕР])*(F180=Таблица2[Наименование работ])*(G180=Таблица2[ТПиР/НСиР])*Таблица2[ПИР2010])</f>
        <v>0</v>
      </c>
      <c r="J180" s="63">
        <f>T180*SUMPRODUCT(($B$2=Таблица2[Филиал])*($B$3=Таблица2[ФЕР/ТЕР])*(F180=Таблица2[Наименование работ])*(G180=Таблица2[ТПиР/НСиР])*Таблица2[СМР2010])</f>
        <v>0</v>
      </c>
      <c r="K180" s="63">
        <f>U180*SUMPRODUCT(($B$2=Таблица2[Филиал])*($B$3=Таблица2[ФЕР/ТЕР])*(F180=Таблица2[Наименование работ])*(G180=Таблица2[ТПиР/НСиР])*Таблица2[ПНР2010])</f>
        <v>0</v>
      </c>
      <c r="L180" s="63">
        <f>V180*SUMPRODUCT(($B$2=Таблица2[Филиал])*($B$3=Таблица2[ФЕР/ТЕР])*(F180=Таблица2[Наименование работ])*(G180=Таблица2[ТПиР/НСиР])*Таблица2[Оборудование2010])</f>
        <v>0</v>
      </c>
      <c r="M180" s="63">
        <f>W180*SUMPRODUCT(($B$2=Таблица2[Филиал])*($B$3=Таблица2[ФЕР/ТЕР])*(F180=Таблица2[Наименование работ])*(G180=Таблица2[ТПиР/НСиР])*Таблица2[Прочие2010])</f>
        <v>0</v>
      </c>
      <c r="N180" s="63">
        <f>S180*SUMPRODUCT(($B$2=Таблица2[Филиал])*($B$3=Таблица2[ФЕР/ТЕР])*(F180=Таблица2[Наименование работ])*(G180=Таблица2[ТПиР/НСиР])*Таблица2[ПИР2013-10])</f>
        <v>0</v>
      </c>
      <c r="O180" s="63">
        <f>T180*SUMPRODUCT(($B$2=Таблица2[Филиал])*($B$3=Таблица2[ФЕР/ТЕР])*(F180=Таблица2[Наименование работ])*(G180=Таблица2[ТПиР/НСиР])*Таблица2[СМР2013-10])</f>
        <v>0</v>
      </c>
      <c r="P180" s="63">
        <f>U180*SUMPRODUCT(($B$2=Таблица2[Филиал])*($B$3=Таблица2[ФЕР/ТЕР])*(F180=Таблица2[Наименование работ])*(G180=Таблица2[ТПиР/НСиР])*Таблица2[ПНР2013-10])</f>
        <v>0</v>
      </c>
      <c r="Q180" s="63">
        <f>V180*SUMPRODUCT(($B$2=Таблица2[Филиал])*($B$3=Таблица2[ФЕР/ТЕР])*(F180=Таблица2[Наименование работ])*(G180=Таблица2[ТПиР/НСиР])*Таблица2[Оборудование2013-10])</f>
        <v>0</v>
      </c>
      <c r="R180" s="63">
        <f>W180*SUMPRODUCT(($B$2=Таблица2[Филиал])*($B$3=Таблица2[ФЕР/ТЕР])*(F180=Таблица2[Наименование работ])*(G180=Таблица2[ТПиР/НСиР])*Таблица2[Прочие2013-10])</f>
        <v>0</v>
      </c>
      <c r="S180" s="63">
        <f>IF($B$4="в базовых ценах",калькулятор!J185,X180*SUMPRODUCT(($B$2=Таблица2[Филиал])*($B$3=Таблица2[ФЕР/ТЕР])*(F180=Таблица2[Наименование работ])*(G180=Таблица2[ТПиР/НСиР])/Таблица2[ПИР2013]))</f>
        <v>0</v>
      </c>
      <c r="T180" s="63">
        <f>IF($B$4="в базовых ценах",калькулятор!K185,Y180*SUMPRODUCT(($B$2=Таблица2[Филиал])*($B$3=Таблица2[ФЕР/ТЕР])*(F180=Таблица2[Наименование работ])*(G180=Таблица2[ТПиР/НСиР])/Таблица2[СМР2013]))</f>
        <v>0</v>
      </c>
      <c r="U180" s="63">
        <f>IF($B$4="в базовых ценах",калькулятор!L185,Z180*SUMPRODUCT(($B$2=Таблица2[Филиал])*($B$3=Таблица2[ФЕР/ТЕР])*(F180=Таблица2[Наименование работ])*(G180=Таблица2[ТПиР/НСиР])/Таблица2[ПНР2013]))</f>
        <v>0</v>
      </c>
      <c r="V180" s="63">
        <f>IF($B$4="в базовых ценах",калькулятор!M185,AA180*SUMPRODUCT(($B$2=Таблица2[Филиал])*($B$3=Таблица2[ФЕР/ТЕР])*(F180=Таблица2[Наименование работ])*(G180=Таблица2[ТПиР/НСиР])/Таблица2[Оборудование2013]))</f>
        <v>0</v>
      </c>
      <c r="W180" s="63">
        <f>IF($B$4="в базовых ценах",калькулятор!N185,AB180*SUMPRODUCT(($B$2=Таблица2[Филиал])*($B$3=Таблица2[ФЕР/ТЕР])*(F180=Таблица2[Наименование работ])*(G180=Таблица2[ТПиР/НСиР])/Таблица2[Прочие3]))</f>
        <v>0</v>
      </c>
      <c r="X180" s="63">
        <f>IF($B$4="в текущих ценах",калькулятор!J185,S180*SUMPRODUCT(($B$2=Таблица2[Филиал])*($B$3=Таблица2[ФЕР/ТЕР])*(F180=Таблица2[Наименование работ])*(G180=Таблица2[ТПиР/НСиР])*Таблица2[ПИР2013]))</f>
        <v>0</v>
      </c>
      <c r="Y180" s="63">
        <f>IF($B$4="в текущих ценах",калькулятор!K185,T180*SUMPRODUCT(($B$2=Таблица2[Филиал])*($B$3=Таблица2[ФЕР/ТЕР])*(F180=Таблица2[Наименование работ])*(G180=Таблица2[ТПиР/НСиР])*Таблица2[СМР2013]))</f>
        <v>0</v>
      </c>
      <c r="Z180" s="63">
        <f>IF($B$4="в текущих ценах",калькулятор!L185,U180*SUMPRODUCT(($B$2=Таблица2[Филиал])*($B$3=Таблица2[ФЕР/ТЕР])*(F180=Таблица2[Наименование работ])*(G180=Таблица2[ТПиР/НСиР])*Таблица2[ПНР2013]))</f>
        <v>0</v>
      </c>
      <c r="AA180" s="63">
        <f>IF($B$4="в текущих ценах",калькулятор!M185,V180*SUMPRODUCT(($B$2=Таблица2[Филиал])*($B$3=Таблица2[ФЕР/ТЕР])*(F180=Таблица2[Наименование работ])*(G180=Таблица2[ТПиР/НСиР])*Таблица2[Оборудование2013]))</f>
        <v>0</v>
      </c>
      <c r="AB180" s="63">
        <f>IF($B$4="в текущих ценах",калькулятор!N185,W180*SUMPRODUCT(($B$2=Таблица2[Филиал])*($B$3=Таблица2[ФЕР/ТЕР])*(F180=Таблица2[Наименование работ])*(G180=Таблица2[ТПиР/НСиР])*Таблица2[Прочие3]))</f>
        <v>0</v>
      </c>
      <c r="AC180" s="63">
        <f>SUM(данные!$I180:$M180)</f>
        <v>0</v>
      </c>
      <c r="AD180" s="63">
        <f>IF(SUM(данные!$N180:$R180)&gt;данные!$AF180,данные!$AF180*0.9*1.058,SUM(данные!$N180:$R180))</f>
        <v>0</v>
      </c>
      <c r="AE180" s="63">
        <f>SUM(данные!$S180:$W180)</f>
        <v>0</v>
      </c>
      <c r="AF180" s="63">
        <f>SUM(данные!$X180:$AB180)</f>
        <v>0</v>
      </c>
      <c r="AG180" s="63">
        <f>IF($B$4="в текущих ценах",S180*SUMPRODUCT(($B$2=Таблица2[Филиал])*($B$3=Таблица2[ФЕР/ТЕР])*(F180=Таблица2[Наименование работ])*(G180=Таблица2[ТПиР/НСиР])*Таблица2[ПИР2012]),S180*SUMPRODUCT(($B$2=Таблица2[Филиал])*($B$3=Таблица2[ФЕР/ТЕР])*(F180=Таблица2[Наименование работ])*(G180=Таблица2[ТПиР/НСиР])*Таблица2[ПИР2012]))</f>
        <v>0</v>
      </c>
      <c r="AH180" s="63">
        <f>IF($B$4="в текущих ценах",T180*SUMPRODUCT(($B$2=Таблица2[Филиал])*($B$3=Таблица2[ФЕР/ТЕР])*(F180=Таблица2[Наименование работ])*(G180=Таблица2[ТПиР/НСиР])*Таблица2[СМР2012]),T180*SUMPRODUCT(($B$2=Таблица2[Филиал])*($B$3=Таблица2[ФЕР/ТЕР])*(F180=Таблица2[Наименование работ])*(G180=Таблица2[ТПиР/НСиР])*Таблица2[СМР2012]))</f>
        <v>0</v>
      </c>
      <c r="AI180" s="63">
        <f>IF($B$4="в текущих ценах",U180*SUMPRODUCT(($B$2=Таблица2[Филиал])*($B$3=Таблица2[ФЕР/ТЕР])*(F180=Таблица2[Наименование работ])*(G180=Таблица2[ТПиР/НСиР])*Таблица2[ПНР2012]),U180*SUMPRODUCT(($B$2=Таблица2[Филиал])*($B$3=Таблица2[ФЕР/ТЕР])*(F180=Таблица2[Наименование работ])*(G180=Таблица2[ТПиР/НСиР])*Таблица2[ПНР2012]))</f>
        <v>0</v>
      </c>
      <c r="AJ180" s="63">
        <f>IF($B$4="в текущих ценах",V180*SUMPRODUCT(($B$2=Таблица2[Филиал])*($B$3=Таблица2[ФЕР/ТЕР])*(F180=Таблица2[Наименование работ])*(G180=Таблица2[ТПиР/НСиР])*Таблица2[Оборудование2012]),V180*SUMPRODUCT(($B$2=Таблица2[Филиал])*($B$3=Таблица2[ФЕР/ТЕР])*(F180=Таблица2[Наименование работ])*(G180=Таблица2[ТПиР/НСиР])*Таблица2[Оборудование2012]))</f>
        <v>0</v>
      </c>
      <c r="AK180" s="63">
        <f>IF($B$4="в текущих ценах",W180*SUMPRODUCT(($B$2=Таблица2[Филиал])*($B$3=Таблица2[ФЕР/ТЕР])*(F180=Таблица2[Наименование работ])*(G180=Таблица2[ТПиР/НСиР])*Таблица2[Прочее2012]),W180*SUMPRODUCT(($B$2=Таблица2[Филиал])*($B$3=Таблица2[ФЕР/ТЕР])*(F180=Таблица2[Наименование работ])*(G180=Таблица2[ТПиР/НСиР])*Таблица2[Прочее2012]))</f>
        <v>0</v>
      </c>
      <c r="AL180" s="63">
        <f>данные!$X180+данные!$Y180+данные!$Z180+данные!$AA180+данные!$AB180</f>
        <v>0</v>
      </c>
      <c r="AM180" s="63">
        <v>1.03639035</v>
      </c>
      <c r="AN180" s="63">
        <v>1.0114049394</v>
      </c>
      <c r="AO180" s="63">
        <v>0.98210394336149998</v>
      </c>
      <c r="AP180" s="63">
        <v>0.93762413895893393</v>
      </c>
      <c r="AQ180" s="63"/>
      <c r="AR180" s="63"/>
      <c r="AS180" s="64"/>
      <c r="AU180" s="66">
        <f t="shared" si="12"/>
        <v>0</v>
      </c>
      <c r="AX180" s="66">
        <f t="shared" si="13"/>
        <v>0</v>
      </c>
      <c r="AY180" s="66">
        <f t="shared" si="14"/>
        <v>0</v>
      </c>
      <c r="AZ180" s="66">
        <f t="shared" si="15"/>
        <v>0</v>
      </c>
      <c r="BA180" s="66">
        <f t="shared" si="16"/>
        <v>0</v>
      </c>
      <c r="BB180" s="66">
        <f t="shared" si="17"/>
        <v>0</v>
      </c>
    </row>
    <row r="181" spans="4:54" x14ac:dyDescent="0.25">
      <c r="D181" s="62">
        <f>калькулятор!C186</f>
        <v>0</v>
      </c>
      <c r="E181" s="62">
        <f>калькулятор!F186</f>
        <v>0</v>
      </c>
      <c r="F181" s="62">
        <f>калькулятор!G186</f>
        <v>0</v>
      </c>
      <c r="G181" s="62">
        <f>калькулятор!H186</f>
        <v>0</v>
      </c>
      <c r="H181" s="62">
        <f>калькулятор!I186</f>
        <v>0</v>
      </c>
      <c r="I181" s="63">
        <f>S181*SUMPRODUCT(($B$2=Таблица2[Филиал])*($B$3=Таблица2[ФЕР/ТЕР])*(F181=Таблица2[Наименование работ])*(G181=Таблица2[ТПиР/НСиР])*Таблица2[ПИР2010])</f>
        <v>0</v>
      </c>
      <c r="J181" s="63">
        <f>T181*SUMPRODUCT(($B$2=Таблица2[Филиал])*($B$3=Таблица2[ФЕР/ТЕР])*(F181=Таблица2[Наименование работ])*(G181=Таблица2[ТПиР/НСиР])*Таблица2[СМР2010])</f>
        <v>0</v>
      </c>
      <c r="K181" s="63">
        <f>U181*SUMPRODUCT(($B$2=Таблица2[Филиал])*($B$3=Таблица2[ФЕР/ТЕР])*(F181=Таблица2[Наименование работ])*(G181=Таблица2[ТПиР/НСиР])*Таблица2[ПНР2010])</f>
        <v>0</v>
      </c>
      <c r="L181" s="63">
        <f>V181*SUMPRODUCT(($B$2=Таблица2[Филиал])*($B$3=Таблица2[ФЕР/ТЕР])*(F181=Таблица2[Наименование работ])*(G181=Таблица2[ТПиР/НСиР])*Таблица2[Оборудование2010])</f>
        <v>0</v>
      </c>
      <c r="M181" s="63">
        <f>W181*SUMPRODUCT(($B$2=Таблица2[Филиал])*($B$3=Таблица2[ФЕР/ТЕР])*(F181=Таблица2[Наименование работ])*(G181=Таблица2[ТПиР/НСиР])*Таблица2[Прочие2010])</f>
        <v>0</v>
      </c>
      <c r="N181" s="63">
        <f>S181*SUMPRODUCT(($B$2=Таблица2[Филиал])*($B$3=Таблица2[ФЕР/ТЕР])*(F181=Таблица2[Наименование работ])*(G181=Таблица2[ТПиР/НСиР])*Таблица2[ПИР2013-10])</f>
        <v>0</v>
      </c>
      <c r="O181" s="63">
        <f>T181*SUMPRODUCT(($B$2=Таблица2[Филиал])*($B$3=Таблица2[ФЕР/ТЕР])*(F181=Таблица2[Наименование работ])*(G181=Таблица2[ТПиР/НСиР])*Таблица2[СМР2013-10])</f>
        <v>0</v>
      </c>
      <c r="P181" s="63">
        <f>U181*SUMPRODUCT(($B$2=Таблица2[Филиал])*($B$3=Таблица2[ФЕР/ТЕР])*(F181=Таблица2[Наименование работ])*(G181=Таблица2[ТПиР/НСиР])*Таблица2[ПНР2013-10])</f>
        <v>0</v>
      </c>
      <c r="Q181" s="63">
        <f>V181*SUMPRODUCT(($B$2=Таблица2[Филиал])*($B$3=Таблица2[ФЕР/ТЕР])*(F181=Таблица2[Наименование работ])*(G181=Таблица2[ТПиР/НСиР])*Таблица2[Оборудование2013-10])</f>
        <v>0</v>
      </c>
      <c r="R181" s="63">
        <f>W181*SUMPRODUCT(($B$2=Таблица2[Филиал])*($B$3=Таблица2[ФЕР/ТЕР])*(F181=Таблица2[Наименование работ])*(G181=Таблица2[ТПиР/НСиР])*Таблица2[Прочие2013-10])</f>
        <v>0</v>
      </c>
      <c r="S181" s="63">
        <f>IF($B$4="в базовых ценах",калькулятор!J186,X181*SUMPRODUCT(($B$2=Таблица2[Филиал])*($B$3=Таблица2[ФЕР/ТЕР])*(F181=Таблица2[Наименование работ])*(G181=Таблица2[ТПиР/НСиР])/Таблица2[ПИР2013]))</f>
        <v>0</v>
      </c>
      <c r="T181" s="63">
        <f>IF($B$4="в базовых ценах",калькулятор!K186,Y181*SUMPRODUCT(($B$2=Таблица2[Филиал])*($B$3=Таблица2[ФЕР/ТЕР])*(F181=Таблица2[Наименование работ])*(G181=Таблица2[ТПиР/НСиР])/Таблица2[СМР2013]))</f>
        <v>0</v>
      </c>
      <c r="U181" s="63">
        <f>IF($B$4="в базовых ценах",калькулятор!L186,Z181*SUMPRODUCT(($B$2=Таблица2[Филиал])*($B$3=Таблица2[ФЕР/ТЕР])*(F181=Таблица2[Наименование работ])*(G181=Таблица2[ТПиР/НСиР])/Таблица2[ПНР2013]))</f>
        <v>0</v>
      </c>
      <c r="V181" s="63">
        <f>IF($B$4="в базовых ценах",калькулятор!M186,AA181*SUMPRODUCT(($B$2=Таблица2[Филиал])*($B$3=Таблица2[ФЕР/ТЕР])*(F181=Таблица2[Наименование работ])*(G181=Таблица2[ТПиР/НСиР])/Таблица2[Оборудование2013]))</f>
        <v>0</v>
      </c>
      <c r="W181" s="63">
        <f>IF($B$4="в базовых ценах",калькулятор!N186,AB181*SUMPRODUCT(($B$2=Таблица2[Филиал])*($B$3=Таблица2[ФЕР/ТЕР])*(F181=Таблица2[Наименование работ])*(G181=Таблица2[ТПиР/НСиР])/Таблица2[Прочие3]))</f>
        <v>0</v>
      </c>
      <c r="X181" s="63">
        <f>IF($B$4="в текущих ценах",калькулятор!J186,S181*SUMPRODUCT(($B$2=Таблица2[Филиал])*($B$3=Таблица2[ФЕР/ТЕР])*(F181=Таблица2[Наименование работ])*(G181=Таблица2[ТПиР/НСиР])*Таблица2[ПИР2013]))</f>
        <v>0</v>
      </c>
      <c r="Y181" s="63">
        <f>IF($B$4="в текущих ценах",калькулятор!K186,T181*SUMPRODUCT(($B$2=Таблица2[Филиал])*($B$3=Таблица2[ФЕР/ТЕР])*(F181=Таблица2[Наименование работ])*(G181=Таблица2[ТПиР/НСиР])*Таблица2[СМР2013]))</f>
        <v>0</v>
      </c>
      <c r="Z181" s="63">
        <f>IF($B$4="в текущих ценах",калькулятор!L186,U181*SUMPRODUCT(($B$2=Таблица2[Филиал])*($B$3=Таблица2[ФЕР/ТЕР])*(F181=Таблица2[Наименование работ])*(G181=Таблица2[ТПиР/НСиР])*Таблица2[ПНР2013]))</f>
        <v>0</v>
      </c>
      <c r="AA181" s="63">
        <f>IF($B$4="в текущих ценах",калькулятор!M186,V181*SUMPRODUCT(($B$2=Таблица2[Филиал])*($B$3=Таблица2[ФЕР/ТЕР])*(F181=Таблица2[Наименование работ])*(G181=Таблица2[ТПиР/НСиР])*Таблица2[Оборудование2013]))</f>
        <v>0</v>
      </c>
      <c r="AB181" s="63">
        <f>IF($B$4="в текущих ценах",калькулятор!N186,W181*SUMPRODUCT(($B$2=Таблица2[Филиал])*($B$3=Таблица2[ФЕР/ТЕР])*(F181=Таблица2[Наименование работ])*(G181=Таблица2[ТПиР/НСиР])*Таблица2[Прочие3]))</f>
        <v>0</v>
      </c>
      <c r="AC181" s="63">
        <f>SUM(данные!$I181:$M181)</f>
        <v>0</v>
      </c>
      <c r="AD181" s="63">
        <f>IF(SUM(данные!$N181:$R181)&gt;данные!$AF181,данные!$AF181*0.9*1.058,SUM(данные!$N181:$R181))</f>
        <v>0</v>
      </c>
      <c r="AE181" s="63">
        <f>SUM(данные!$S181:$W181)</f>
        <v>0</v>
      </c>
      <c r="AF181" s="63">
        <f>SUM(данные!$X181:$AB181)</f>
        <v>0</v>
      </c>
      <c r="AG181" s="63">
        <f>IF($B$4="в текущих ценах",S181*SUMPRODUCT(($B$2=Таблица2[Филиал])*($B$3=Таблица2[ФЕР/ТЕР])*(F181=Таблица2[Наименование работ])*(G181=Таблица2[ТПиР/НСиР])*Таблица2[ПИР2012]),S181*SUMPRODUCT(($B$2=Таблица2[Филиал])*($B$3=Таблица2[ФЕР/ТЕР])*(F181=Таблица2[Наименование работ])*(G181=Таблица2[ТПиР/НСиР])*Таблица2[ПИР2012]))</f>
        <v>0</v>
      </c>
      <c r="AH181" s="63">
        <f>IF($B$4="в текущих ценах",T181*SUMPRODUCT(($B$2=Таблица2[Филиал])*($B$3=Таблица2[ФЕР/ТЕР])*(F181=Таблица2[Наименование работ])*(G181=Таблица2[ТПиР/НСиР])*Таблица2[СМР2012]),T181*SUMPRODUCT(($B$2=Таблица2[Филиал])*($B$3=Таблица2[ФЕР/ТЕР])*(F181=Таблица2[Наименование работ])*(G181=Таблица2[ТПиР/НСиР])*Таблица2[СМР2012]))</f>
        <v>0</v>
      </c>
      <c r="AI181" s="63">
        <f>IF($B$4="в текущих ценах",U181*SUMPRODUCT(($B$2=Таблица2[Филиал])*($B$3=Таблица2[ФЕР/ТЕР])*(F181=Таблица2[Наименование работ])*(G181=Таблица2[ТПиР/НСиР])*Таблица2[ПНР2012]),U181*SUMPRODUCT(($B$2=Таблица2[Филиал])*($B$3=Таблица2[ФЕР/ТЕР])*(F181=Таблица2[Наименование работ])*(G181=Таблица2[ТПиР/НСиР])*Таблица2[ПНР2012]))</f>
        <v>0</v>
      </c>
      <c r="AJ181" s="63">
        <f>IF($B$4="в текущих ценах",V181*SUMPRODUCT(($B$2=Таблица2[Филиал])*($B$3=Таблица2[ФЕР/ТЕР])*(F181=Таблица2[Наименование работ])*(G181=Таблица2[ТПиР/НСиР])*Таблица2[Оборудование2012]),V181*SUMPRODUCT(($B$2=Таблица2[Филиал])*($B$3=Таблица2[ФЕР/ТЕР])*(F181=Таблица2[Наименование работ])*(G181=Таблица2[ТПиР/НСиР])*Таблица2[Оборудование2012]))</f>
        <v>0</v>
      </c>
      <c r="AK181" s="63">
        <f>IF($B$4="в текущих ценах",W181*SUMPRODUCT(($B$2=Таблица2[Филиал])*($B$3=Таблица2[ФЕР/ТЕР])*(F181=Таблица2[Наименование работ])*(G181=Таблица2[ТПиР/НСиР])*Таблица2[Прочее2012]),W181*SUMPRODUCT(($B$2=Таблица2[Филиал])*($B$3=Таблица2[ФЕР/ТЕР])*(F181=Таблица2[Наименование работ])*(G181=Таблица2[ТПиР/НСиР])*Таблица2[Прочее2012]))</f>
        <v>0</v>
      </c>
      <c r="AL181" s="63">
        <f>данные!$X181+данные!$Y181+данные!$Z181+данные!$AA181+данные!$AB181</f>
        <v>0</v>
      </c>
      <c r="AM181" s="63">
        <v>1.03639035</v>
      </c>
      <c r="AN181" s="63">
        <v>1.0114049394</v>
      </c>
      <c r="AO181" s="63">
        <v>0.98210394336149998</v>
      </c>
      <c r="AP181" s="63">
        <v>0.93762413895893393</v>
      </c>
      <c r="AQ181" s="63"/>
      <c r="AR181" s="63"/>
      <c r="AS181" s="64"/>
      <c r="AU181" s="66">
        <f t="shared" si="12"/>
        <v>0</v>
      </c>
      <c r="AX181" s="66">
        <f t="shared" si="13"/>
        <v>0</v>
      </c>
      <c r="AY181" s="66">
        <f t="shared" si="14"/>
        <v>0</v>
      </c>
      <c r="AZ181" s="66">
        <f t="shared" si="15"/>
        <v>0</v>
      </c>
      <c r="BA181" s="66">
        <f t="shared" si="16"/>
        <v>0</v>
      </c>
      <c r="BB181" s="66">
        <f t="shared" si="17"/>
        <v>0</v>
      </c>
    </row>
    <row r="182" spans="4:54" x14ac:dyDescent="0.25">
      <c r="D182" s="62">
        <f>калькулятор!C187</f>
        <v>0</v>
      </c>
      <c r="E182" s="62">
        <f>калькулятор!F187</f>
        <v>0</v>
      </c>
      <c r="F182" s="62">
        <f>калькулятор!G187</f>
        <v>0</v>
      </c>
      <c r="G182" s="62">
        <f>калькулятор!H187</f>
        <v>0</v>
      </c>
      <c r="H182" s="62">
        <f>калькулятор!I187</f>
        <v>0</v>
      </c>
      <c r="I182" s="63">
        <f>S182*SUMPRODUCT(($B$2=Таблица2[Филиал])*($B$3=Таблица2[ФЕР/ТЕР])*(F182=Таблица2[Наименование работ])*(G182=Таблица2[ТПиР/НСиР])*Таблица2[ПИР2010])</f>
        <v>0</v>
      </c>
      <c r="J182" s="63">
        <f>T182*SUMPRODUCT(($B$2=Таблица2[Филиал])*($B$3=Таблица2[ФЕР/ТЕР])*(F182=Таблица2[Наименование работ])*(G182=Таблица2[ТПиР/НСиР])*Таблица2[СМР2010])</f>
        <v>0</v>
      </c>
      <c r="K182" s="63">
        <f>U182*SUMPRODUCT(($B$2=Таблица2[Филиал])*($B$3=Таблица2[ФЕР/ТЕР])*(F182=Таблица2[Наименование работ])*(G182=Таблица2[ТПиР/НСиР])*Таблица2[ПНР2010])</f>
        <v>0</v>
      </c>
      <c r="L182" s="63">
        <f>V182*SUMPRODUCT(($B$2=Таблица2[Филиал])*($B$3=Таблица2[ФЕР/ТЕР])*(F182=Таблица2[Наименование работ])*(G182=Таблица2[ТПиР/НСиР])*Таблица2[Оборудование2010])</f>
        <v>0</v>
      </c>
      <c r="M182" s="63">
        <f>W182*SUMPRODUCT(($B$2=Таблица2[Филиал])*($B$3=Таблица2[ФЕР/ТЕР])*(F182=Таблица2[Наименование работ])*(G182=Таблица2[ТПиР/НСиР])*Таблица2[Прочие2010])</f>
        <v>0</v>
      </c>
      <c r="N182" s="63">
        <f>S182*SUMPRODUCT(($B$2=Таблица2[Филиал])*($B$3=Таблица2[ФЕР/ТЕР])*(F182=Таблица2[Наименование работ])*(G182=Таблица2[ТПиР/НСиР])*Таблица2[ПИР2013-10])</f>
        <v>0</v>
      </c>
      <c r="O182" s="63">
        <f>T182*SUMPRODUCT(($B$2=Таблица2[Филиал])*($B$3=Таблица2[ФЕР/ТЕР])*(F182=Таблица2[Наименование работ])*(G182=Таблица2[ТПиР/НСиР])*Таблица2[СМР2013-10])</f>
        <v>0</v>
      </c>
      <c r="P182" s="63">
        <f>U182*SUMPRODUCT(($B$2=Таблица2[Филиал])*($B$3=Таблица2[ФЕР/ТЕР])*(F182=Таблица2[Наименование работ])*(G182=Таблица2[ТПиР/НСиР])*Таблица2[ПНР2013-10])</f>
        <v>0</v>
      </c>
      <c r="Q182" s="63">
        <f>V182*SUMPRODUCT(($B$2=Таблица2[Филиал])*($B$3=Таблица2[ФЕР/ТЕР])*(F182=Таблица2[Наименование работ])*(G182=Таблица2[ТПиР/НСиР])*Таблица2[Оборудование2013-10])</f>
        <v>0</v>
      </c>
      <c r="R182" s="63">
        <f>W182*SUMPRODUCT(($B$2=Таблица2[Филиал])*($B$3=Таблица2[ФЕР/ТЕР])*(F182=Таблица2[Наименование работ])*(G182=Таблица2[ТПиР/НСиР])*Таблица2[Прочие2013-10])</f>
        <v>0</v>
      </c>
      <c r="S182" s="63">
        <f>IF($B$4="в базовых ценах",калькулятор!J187,X182*SUMPRODUCT(($B$2=Таблица2[Филиал])*($B$3=Таблица2[ФЕР/ТЕР])*(F182=Таблица2[Наименование работ])*(G182=Таблица2[ТПиР/НСиР])/Таблица2[ПИР2013]))</f>
        <v>0</v>
      </c>
      <c r="T182" s="63">
        <f>IF($B$4="в базовых ценах",калькулятор!K187,Y182*SUMPRODUCT(($B$2=Таблица2[Филиал])*($B$3=Таблица2[ФЕР/ТЕР])*(F182=Таблица2[Наименование работ])*(G182=Таблица2[ТПиР/НСиР])/Таблица2[СМР2013]))</f>
        <v>0</v>
      </c>
      <c r="U182" s="63">
        <f>IF($B$4="в базовых ценах",калькулятор!L187,Z182*SUMPRODUCT(($B$2=Таблица2[Филиал])*($B$3=Таблица2[ФЕР/ТЕР])*(F182=Таблица2[Наименование работ])*(G182=Таблица2[ТПиР/НСиР])/Таблица2[ПНР2013]))</f>
        <v>0</v>
      </c>
      <c r="V182" s="63">
        <f>IF($B$4="в базовых ценах",калькулятор!M187,AA182*SUMPRODUCT(($B$2=Таблица2[Филиал])*($B$3=Таблица2[ФЕР/ТЕР])*(F182=Таблица2[Наименование работ])*(G182=Таблица2[ТПиР/НСиР])/Таблица2[Оборудование2013]))</f>
        <v>0</v>
      </c>
      <c r="W182" s="63">
        <f>IF($B$4="в базовых ценах",калькулятор!N187,AB182*SUMPRODUCT(($B$2=Таблица2[Филиал])*($B$3=Таблица2[ФЕР/ТЕР])*(F182=Таблица2[Наименование работ])*(G182=Таблица2[ТПиР/НСиР])/Таблица2[Прочие3]))</f>
        <v>0</v>
      </c>
      <c r="X182" s="63">
        <f>IF($B$4="в текущих ценах",калькулятор!J187,S182*SUMPRODUCT(($B$2=Таблица2[Филиал])*($B$3=Таблица2[ФЕР/ТЕР])*(F182=Таблица2[Наименование работ])*(G182=Таблица2[ТПиР/НСиР])*Таблица2[ПИР2013]))</f>
        <v>0</v>
      </c>
      <c r="Y182" s="63">
        <f>IF($B$4="в текущих ценах",калькулятор!K187,T182*SUMPRODUCT(($B$2=Таблица2[Филиал])*($B$3=Таблица2[ФЕР/ТЕР])*(F182=Таблица2[Наименование работ])*(G182=Таблица2[ТПиР/НСиР])*Таблица2[СМР2013]))</f>
        <v>0</v>
      </c>
      <c r="Z182" s="63">
        <f>IF($B$4="в текущих ценах",калькулятор!L187,U182*SUMPRODUCT(($B$2=Таблица2[Филиал])*($B$3=Таблица2[ФЕР/ТЕР])*(F182=Таблица2[Наименование работ])*(G182=Таблица2[ТПиР/НСиР])*Таблица2[ПНР2013]))</f>
        <v>0</v>
      </c>
      <c r="AA182" s="63">
        <f>IF($B$4="в текущих ценах",калькулятор!M187,V182*SUMPRODUCT(($B$2=Таблица2[Филиал])*($B$3=Таблица2[ФЕР/ТЕР])*(F182=Таблица2[Наименование работ])*(G182=Таблица2[ТПиР/НСиР])*Таблица2[Оборудование2013]))</f>
        <v>0</v>
      </c>
      <c r="AB182" s="63">
        <f>IF($B$4="в текущих ценах",калькулятор!N187,W182*SUMPRODUCT(($B$2=Таблица2[Филиал])*($B$3=Таблица2[ФЕР/ТЕР])*(F182=Таблица2[Наименование работ])*(G182=Таблица2[ТПиР/НСиР])*Таблица2[Прочие3]))</f>
        <v>0</v>
      </c>
      <c r="AC182" s="63">
        <f>SUM(данные!$I182:$M182)</f>
        <v>0</v>
      </c>
      <c r="AD182" s="63">
        <f>IF(SUM(данные!$N182:$R182)&gt;данные!$AF182,данные!$AF182*0.9*1.058,SUM(данные!$N182:$R182))</f>
        <v>0</v>
      </c>
      <c r="AE182" s="63">
        <f>SUM(данные!$S182:$W182)</f>
        <v>0</v>
      </c>
      <c r="AF182" s="63">
        <f>SUM(данные!$X182:$AB182)</f>
        <v>0</v>
      </c>
      <c r="AG182" s="63">
        <f>IF($B$4="в текущих ценах",S182*SUMPRODUCT(($B$2=Таблица2[Филиал])*($B$3=Таблица2[ФЕР/ТЕР])*(F182=Таблица2[Наименование работ])*(G182=Таблица2[ТПиР/НСиР])*Таблица2[ПИР2012]),S182*SUMPRODUCT(($B$2=Таблица2[Филиал])*($B$3=Таблица2[ФЕР/ТЕР])*(F182=Таблица2[Наименование работ])*(G182=Таблица2[ТПиР/НСиР])*Таблица2[ПИР2012]))</f>
        <v>0</v>
      </c>
      <c r="AH182" s="63">
        <f>IF($B$4="в текущих ценах",T182*SUMPRODUCT(($B$2=Таблица2[Филиал])*($B$3=Таблица2[ФЕР/ТЕР])*(F182=Таблица2[Наименование работ])*(G182=Таблица2[ТПиР/НСиР])*Таблица2[СМР2012]),T182*SUMPRODUCT(($B$2=Таблица2[Филиал])*($B$3=Таблица2[ФЕР/ТЕР])*(F182=Таблица2[Наименование работ])*(G182=Таблица2[ТПиР/НСиР])*Таблица2[СМР2012]))</f>
        <v>0</v>
      </c>
      <c r="AI182" s="63">
        <f>IF($B$4="в текущих ценах",U182*SUMPRODUCT(($B$2=Таблица2[Филиал])*($B$3=Таблица2[ФЕР/ТЕР])*(F182=Таблица2[Наименование работ])*(G182=Таблица2[ТПиР/НСиР])*Таблица2[ПНР2012]),U182*SUMPRODUCT(($B$2=Таблица2[Филиал])*($B$3=Таблица2[ФЕР/ТЕР])*(F182=Таблица2[Наименование работ])*(G182=Таблица2[ТПиР/НСиР])*Таблица2[ПНР2012]))</f>
        <v>0</v>
      </c>
      <c r="AJ182" s="63">
        <f>IF($B$4="в текущих ценах",V182*SUMPRODUCT(($B$2=Таблица2[Филиал])*($B$3=Таблица2[ФЕР/ТЕР])*(F182=Таблица2[Наименование работ])*(G182=Таблица2[ТПиР/НСиР])*Таблица2[Оборудование2012]),V182*SUMPRODUCT(($B$2=Таблица2[Филиал])*($B$3=Таблица2[ФЕР/ТЕР])*(F182=Таблица2[Наименование работ])*(G182=Таблица2[ТПиР/НСиР])*Таблица2[Оборудование2012]))</f>
        <v>0</v>
      </c>
      <c r="AK182" s="63">
        <f>IF($B$4="в текущих ценах",W182*SUMPRODUCT(($B$2=Таблица2[Филиал])*($B$3=Таблица2[ФЕР/ТЕР])*(F182=Таблица2[Наименование работ])*(G182=Таблица2[ТПиР/НСиР])*Таблица2[Прочее2012]),W182*SUMPRODUCT(($B$2=Таблица2[Филиал])*($B$3=Таблица2[ФЕР/ТЕР])*(F182=Таблица2[Наименование работ])*(G182=Таблица2[ТПиР/НСиР])*Таблица2[Прочее2012]))</f>
        <v>0</v>
      </c>
      <c r="AL182" s="63">
        <f>данные!$X182+данные!$Y182+данные!$Z182+данные!$AA182+данные!$AB182</f>
        <v>0</v>
      </c>
      <c r="AM182" s="63">
        <v>1.03639035</v>
      </c>
      <c r="AN182" s="63">
        <v>1.0114049394</v>
      </c>
      <c r="AO182" s="63">
        <v>0.98210394336149998</v>
      </c>
      <c r="AP182" s="63">
        <v>0.93762413895893393</v>
      </c>
      <c r="AQ182" s="63"/>
      <c r="AR182" s="63"/>
      <c r="AS182" s="64"/>
      <c r="AU182" s="66">
        <f t="shared" si="12"/>
        <v>0</v>
      </c>
      <c r="AX182" s="66">
        <f t="shared" si="13"/>
        <v>0</v>
      </c>
      <c r="AY182" s="66">
        <f t="shared" si="14"/>
        <v>0</v>
      </c>
      <c r="AZ182" s="66">
        <f t="shared" si="15"/>
        <v>0</v>
      </c>
      <c r="BA182" s="66">
        <f t="shared" si="16"/>
        <v>0</v>
      </c>
      <c r="BB182" s="66">
        <f t="shared" si="17"/>
        <v>0</v>
      </c>
    </row>
    <row r="183" spans="4:54" x14ac:dyDescent="0.25">
      <c r="D183" s="62">
        <f>калькулятор!C188</f>
        <v>0</v>
      </c>
      <c r="E183" s="62">
        <f>калькулятор!F188</f>
        <v>0</v>
      </c>
      <c r="F183" s="62">
        <f>калькулятор!G188</f>
        <v>0</v>
      </c>
      <c r="G183" s="62">
        <f>калькулятор!H188</f>
        <v>0</v>
      </c>
      <c r="H183" s="62">
        <f>калькулятор!I188</f>
        <v>0</v>
      </c>
      <c r="I183" s="63">
        <f>S183*SUMPRODUCT(($B$2=Таблица2[Филиал])*($B$3=Таблица2[ФЕР/ТЕР])*(F183=Таблица2[Наименование работ])*(G183=Таблица2[ТПиР/НСиР])*Таблица2[ПИР2010])</f>
        <v>0</v>
      </c>
      <c r="J183" s="63">
        <f>T183*SUMPRODUCT(($B$2=Таблица2[Филиал])*($B$3=Таблица2[ФЕР/ТЕР])*(F183=Таблица2[Наименование работ])*(G183=Таблица2[ТПиР/НСиР])*Таблица2[СМР2010])</f>
        <v>0</v>
      </c>
      <c r="K183" s="63">
        <f>U183*SUMPRODUCT(($B$2=Таблица2[Филиал])*($B$3=Таблица2[ФЕР/ТЕР])*(F183=Таблица2[Наименование работ])*(G183=Таблица2[ТПиР/НСиР])*Таблица2[ПНР2010])</f>
        <v>0</v>
      </c>
      <c r="L183" s="63">
        <f>V183*SUMPRODUCT(($B$2=Таблица2[Филиал])*($B$3=Таблица2[ФЕР/ТЕР])*(F183=Таблица2[Наименование работ])*(G183=Таблица2[ТПиР/НСиР])*Таблица2[Оборудование2010])</f>
        <v>0</v>
      </c>
      <c r="M183" s="63">
        <f>W183*SUMPRODUCT(($B$2=Таблица2[Филиал])*($B$3=Таблица2[ФЕР/ТЕР])*(F183=Таблица2[Наименование работ])*(G183=Таблица2[ТПиР/НСиР])*Таблица2[Прочие2010])</f>
        <v>0</v>
      </c>
      <c r="N183" s="63">
        <f>S183*SUMPRODUCT(($B$2=Таблица2[Филиал])*($B$3=Таблица2[ФЕР/ТЕР])*(F183=Таблица2[Наименование работ])*(G183=Таблица2[ТПиР/НСиР])*Таблица2[ПИР2013-10])</f>
        <v>0</v>
      </c>
      <c r="O183" s="63">
        <f>T183*SUMPRODUCT(($B$2=Таблица2[Филиал])*($B$3=Таблица2[ФЕР/ТЕР])*(F183=Таблица2[Наименование работ])*(G183=Таблица2[ТПиР/НСиР])*Таблица2[СМР2013-10])</f>
        <v>0</v>
      </c>
      <c r="P183" s="63">
        <f>U183*SUMPRODUCT(($B$2=Таблица2[Филиал])*($B$3=Таблица2[ФЕР/ТЕР])*(F183=Таблица2[Наименование работ])*(G183=Таблица2[ТПиР/НСиР])*Таблица2[ПНР2013-10])</f>
        <v>0</v>
      </c>
      <c r="Q183" s="63">
        <f>V183*SUMPRODUCT(($B$2=Таблица2[Филиал])*($B$3=Таблица2[ФЕР/ТЕР])*(F183=Таблица2[Наименование работ])*(G183=Таблица2[ТПиР/НСиР])*Таблица2[Оборудование2013-10])</f>
        <v>0</v>
      </c>
      <c r="R183" s="63">
        <f>W183*SUMPRODUCT(($B$2=Таблица2[Филиал])*($B$3=Таблица2[ФЕР/ТЕР])*(F183=Таблица2[Наименование работ])*(G183=Таблица2[ТПиР/НСиР])*Таблица2[Прочие2013-10])</f>
        <v>0</v>
      </c>
      <c r="S183" s="63">
        <f>IF($B$4="в базовых ценах",калькулятор!J188,X183*SUMPRODUCT(($B$2=Таблица2[Филиал])*($B$3=Таблица2[ФЕР/ТЕР])*(F183=Таблица2[Наименование работ])*(G183=Таблица2[ТПиР/НСиР])/Таблица2[ПИР2013]))</f>
        <v>0</v>
      </c>
      <c r="T183" s="63">
        <f>IF($B$4="в базовых ценах",калькулятор!K188,Y183*SUMPRODUCT(($B$2=Таблица2[Филиал])*($B$3=Таблица2[ФЕР/ТЕР])*(F183=Таблица2[Наименование работ])*(G183=Таблица2[ТПиР/НСиР])/Таблица2[СМР2013]))</f>
        <v>0</v>
      </c>
      <c r="U183" s="63">
        <f>IF($B$4="в базовых ценах",калькулятор!L188,Z183*SUMPRODUCT(($B$2=Таблица2[Филиал])*($B$3=Таблица2[ФЕР/ТЕР])*(F183=Таблица2[Наименование работ])*(G183=Таблица2[ТПиР/НСиР])/Таблица2[ПНР2013]))</f>
        <v>0</v>
      </c>
      <c r="V183" s="63">
        <f>IF($B$4="в базовых ценах",калькулятор!M188,AA183*SUMPRODUCT(($B$2=Таблица2[Филиал])*($B$3=Таблица2[ФЕР/ТЕР])*(F183=Таблица2[Наименование работ])*(G183=Таблица2[ТПиР/НСиР])/Таблица2[Оборудование2013]))</f>
        <v>0</v>
      </c>
      <c r="W183" s="63">
        <f>IF($B$4="в базовых ценах",калькулятор!N188,AB183*SUMPRODUCT(($B$2=Таблица2[Филиал])*($B$3=Таблица2[ФЕР/ТЕР])*(F183=Таблица2[Наименование работ])*(G183=Таблица2[ТПиР/НСиР])/Таблица2[Прочие3]))</f>
        <v>0</v>
      </c>
      <c r="X183" s="63">
        <f>IF($B$4="в текущих ценах",калькулятор!J188,S183*SUMPRODUCT(($B$2=Таблица2[Филиал])*($B$3=Таблица2[ФЕР/ТЕР])*(F183=Таблица2[Наименование работ])*(G183=Таблица2[ТПиР/НСиР])*Таблица2[ПИР2013]))</f>
        <v>0</v>
      </c>
      <c r="Y183" s="63">
        <f>IF($B$4="в текущих ценах",калькулятор!K188,T183*SUMPRODUCT(($B$2=Таблица2[Филиал])*($B$3=Таблица2[ФЕР/ТЕР])*(F183=Таблица2[Наименование работ])*(G183=Таблица2[ТПиР/НСиР])*Таблица2[СМР2013]))</f>
        <v>0</v>
      </c>
      <c r="Z183" s="63">
        <f>IF($B$4="в текущих ценах",калькулятор!L188,U183*SUMPRODUCT(($B$2=Таблица2[Филиал])*($B$3=Таблица2[ФЕР/ТЕР])*(F183=Таблица2[Наименование работ])*(G183=Таблица2[ТПиР/НСиР])*Таблица2[ПНР2013]))</f>
        <v>0</v>
      </c>
      <c r="AA183" s="63">
        <f>IF($B$4="в текущих ценах",калькулятор!M188,V183*SUMPRODUCT(($B$2=Таблица2[Филиал])*($B$3=Таблица2[ФЕР/ТЕР])*(F183=Таблица2[Наименование работ])*(G183=Таблица2[ТПиР/НСиР])*Таблица2[Оборудование2013]))</f>
        <v>0</v>
      </c>
      <c r="AB183" s="63">
        <f>IF($B$4="в текущих ценах",калькулятор!N188,W183*SUMPRODUCT(($B$2=Таблица2[Филиал])*($B$3=Таблица2[ФЕР/ТЕР])*(F183=Таблица2[Наименование работ])*(G183=Таблица2[ТПиР/НСиР])*Таблица2[Прочие3]))</f>
        <v>0</v>
      </c>
      <c r="AC183" s="63">
        <f>SUM(данные!$I183:$M183)</f>
        <v>0</v>
      </c>
      <c r="AD183" s="63">
        <f>IF(SUM(данные!$N183:$R183)&gt;данные!$AF183,данные!$AF183*0.9*1.058,SUM(данные!$N183:$R183))</f>
        <v>0</v>
      </c>
      <c r="AE183" s="63">
        <f>SUM(данные!$S183:$W183)</f>
        <v>0</v>
      </c>
      <c r="AF183" s="63">
        <f>SUM(данные!$X183:$AB183)</f>
        <v>0</v>
      </c>
      <c r="AG183" s="63">
        <f>IF($B$4="в текущих ценах",S183*SUMPRODUCT(($B$2=Таблица2[Филиал])*($B$3=Таблица2[ФЕР/ТЕР])*(F183=Таблица2[Наименование работ])*(G183=Таблица2[ТПиР/НСиР])*Таблица2[ПИР2012]),S183*SUMPRODUCT(($B$2=Таблица2[Филиал])*($B$3=Таблица2[ФЕР/ТЕР])*(F183=Таблица2[Наименование работ])*(G183=Таблица2[ТПиР/НСиР])*Таблица2[ПИР2012]))</f>
        <v>0</v>
      </c>
      <c r="AH183" s="63">
        <f>IF($B$4="в текущих ценах",T183*SUMPRODUCT(($B$2=Таблица2[Филиал])*($B$3=Таблица2[ФЕР/ТЕР])*(F183=Таблица2[Наименование работ])*(G183=Таблица2[ТПиР/НСиР])*Таблица2[СМР2012]),T183*SUMPRODUCT(($B$2=Таблица2[Филиал])*($B$3=Таблица2[ФЕР/ТЕР])*(F183=Таблица2[Наименование работ])*(G183=Таблица2[ТПиР/НСиР])*Таблица2[СМР2012]))</f>
        <v>0</v>
      </c>
      <c r="AI183" s="63">
        <f>IF($B$4="в текущих ценах",U183*SUMPRODUCT(($B$2=Таблица2[Филиал])*($B$3=Таблица2[ФЕР/ТЕР])*(F183=Таблица2[Наименование работ])*(G183=Таблица2[ТПиР/НСиР])*Таблица2[ПНР2012]),U183*SUMPRODUCT(($B$2=Таблица2[Филиал])*($B$3=Таблица2[ФЕР/ТЕР])*(F183=Таблица2[Наименование работ])*(G183=Таблица2[ТПиР/НСиР])*Таблица2[ПНР2012]))</f>
        <v>0</v>
      </c>
      <c r="AJ183" s="63">
        <f>IF($B$4="в текущих ценах",V183*SUMPRODUCT(($B$2=Таблица2[Филиал])*($B$3=Таблица2[ФЕР/ТЕР])*(F183=Таблица2[Наименование работ])*(G183=Таблица2[ТПиР/НСиР])*Таблица2[Оборудование2012]),V183*SUMPRODUCT(($B$2=Таблица2[Филиал])*($B$3=Таблица2[ФЕР/ТЕР])*(F183=Таблица2[Наименование работ])*(G183=Таблица2[ТПиР/НСиР])*Таблица2[Оборудование2012]))</f>
        <v>0</v>
      </c>
      <c r="AK183" s="63">
        <f>IF($B$4="в текущих ценах",W183*SUMPRODUCT(($B$2=Таблица2[Филиал])*($B$3=Таблица2[ФЕР/ТЕР])*(F183=Таблица2[Наименование работ])*(G183=Таблица2[ТПиР/НСиР])*Таблица2[Прочее2012]),W183*SUMPRODUCT(($B$2=Таблица2[Филиал])*($B$3=Таблица2[ФЕР/ТЕР])*(F183=Таблица2[Наименование работ])*(G183=Таблица2[ТПиР/НСиР])*Таблица2[Прочее2012]))</f>
        <v>0</v>
      </c>
      <c r="AL183" s="63">
        <f>данные!$X183+данные!$Y183+данные!$Z183+данные!$AA183+данные!$AB183</f>
        <v>0</v>
      </c>
      <c r="AM183" s="63">
        <v>1.03639035</v>
      </c>
      <c r="AN183" s="63">
        <v>1.0114049394</v>
      </c>
      <c r="AO183" s="63">
        <v>0.98210394336149998</v>
      </c>
      <c r="AP183" s="63">
        <v>0.93762413895893393</v>
      </c>
      <c r="AQ183" s="63"/>
      <c r="AR183" s="63"/>
      <c r="AS183" s="64"/>
      <c r="AU183" s="66">
        <f t="shared" si="12"/>
        <v>0</v>
      </c>
      <c r="AX183" s="66">
        <f t="shared" si="13"/>
        <v>0</v>
      </c>
      <c r="AY183" s="66">
        <f t="shared" si="14"/>
        <v>0</v>
      </c>
      <c r="AZ183" s="66">
        <f t="shared" si="15"/>
        <v>0</v>
      </c>
      <c r="BA183" s="66">
        <f t="shared" si="16"/>
        <v>0</v>
      </c>
      <c r="BB183" s="66">
        <f t="shared" si="17"/>
        <v>0</v>
      </c>
    </row>
    <row r="184" spans="4:54" x14ac:dyDescent="0.25">
      <c r="D184" s="62">
        <f>калькулятор!C189</f>
        <v>0</v>
      </c>
      <c r="E184" s="62">
        <f>калькулятор!F189</f>
        <v>0</v>
      </c>
      <c r="F184" s="62">
        <f>калькулятор!G189</f>
        <v>0</v>
      </c>
      <c r="G184" s="62">
        <f>калькулятор!H189</f>
        <v>0</v>
      </c>
      <c r="H184" s="62">
        <f>калькулятор!I189</f>
        <v>0</v>
      </c>
      <c r="I184" s="63">
        <f>S184*SUMPRODUCT(($B$2=Таблица2[Филиал])*($B$3=Таблица2[ФЕР/ТЕР])*(F184=Таблица2[Наименование работ])*(G184=Таблица2[ТПиР/НСиР])*Таблица2[ПИР2010])</f>
        <v>0</v>
      </c>
      <c r="J184" s="63">
        <f>T184*SUMPRODUCT(($B$2=Таблица2[Филиал])*($B$3=Таблица2[ФЕР/ТЕР])*(F184=Таблица2[Наименование работ])*(G184=Таблица2[ТПиР/НСиР])*Таблица2[СМР2010])</f>
        <v>0</v>
      </c>
      <c r="K184" s="63">
        <f>U184*SUMPRODUCT(($B$2=Таблица2[Филиал])*($B$3=Таблица2[ФЕР/ТЕР])*(F184=Таблица2[Наименование работ])*(G184=Таблица2[ТПиР/НСиР])*Таблица2[ПНР2010])</f>
        <v>0</v>
      </c>
      <c r="L184" s="63">
        <f>V184*SUMPRODUCT(($B$2=Таблица2[Филиал])*($B$3=Таблица2[ФЕР/ТЕР])*(F184=Таблица2[Наименование работ])*(G184=Таблица2[ТПиР/НСиР])*Таблица2[Оборудование2010])</f>
        <v>0</v>
      </c>
      <c r="M184" s="63">
        <f>W184*SUMPRODUCT(($B$2=Таблица2[Филиал])*($B$3=Таблица2[ФЕР/ТЕР])*(F184=Таблица2[Наименование работ])*(G184=Таблица2[ТПиР/НСиР])*Таблица2[Прочие2010])</f>
        <v>0</v>
      </c>
      <c r="N184" s="63">
        <f>S184*SUMPRODUCT(($B$2=Таблица2[Филиал])*($B$3=Таблица2[ФЕР/ТЕР])*(F184=Таблица2[Наименование работ])*(G184=Таблица2[ТПиР/НСиР])*Таблица2[ПИР2013-10])</f>
        <v>0</v>
      </c>
      <c r="O184" s="63">
        <f>T184*SUMPRODUCT(($B$2=Таблица2[Филиал])*($B$3=Таблица2[ФЕР/ТЕР])*(F184=Таблица2[Наименование работ])*(G184=Таблица2[ТПиР/НСиР])*Таблица2[СМР2013-10])</f>
        <v>0</v>
      </c>
      <c r="P184" s="63">
        <f>U184*SUMPRODUCT(($B$2=Таблица2[Филиал])*($B$3=Таблица2[ФЕР/ТЕР])*(F184=Таблица2[Наименование работ])*(G184=Таблица2[ТПиР/НСиР])*Таблица2[ПНР2013-10])</f>
        <v>0</v>
      </c>
      <c r="Q184" s="63">
        <f>V184*SUMPRODUCT(($B$2=Таблица2[Филиал])*($B$3=Таблица2[ФЕР/ТЕР])*(F184=Таблица2[Наименование работ])*(G184=Таблица2[ТПиР/НСиР])*Таблица2[Оборудование2013-10])</f>
        <v>0</v>
      </c>
      <c r="R184" s="63">
        <f>W184*SUMPRODUCT(($B$2=Таблица2[Филиал])*($B$3=Таблица2[ФЕР/ТЕР])*(F184=Таблица2[Наименование работ])*(G184=Таблица2[ТПиР/НСиР])*Таблица2[Прочие2013-10])</f>
        <v>0</v>
      </c>
      <c r="S184" s="63">
        <f>IF($B$4="в базовых ценах",калькулятор!J189,X184*SUMPRODUCT(($B$2=Таблица2[Филиал])*($B$3=Таблица2[ФЕР/ТЕР])*(F184=Таблица2[Наименование работ])*(G184=Таблица2[ТПиР/НСиР])/Таблица2[ПИР2013]))</f>
        <v>0</v>
      </c>
      <c r="T184" s="63">
        <f>IF($B$4="в базовых ценах",калькулятор!K189,Y184*SUMPRODUCT(($B$2=Таблица2[Филиал])*($B$3=Таблица2[ФЕР/ТЕР])*(F184=Таблица2[Наименование работ])*(G184=Таблица2[ТПиР/НСиР])/Таблица2[СМР2013]))</f>
        <v>0</v>
      </c>
      <c r="U184" s="63">
        <f>IF($B$4="в базовых ценах",калькулятор!L189,Z184*SUMPRODUCT(($B$2=Таблица2[Филиал])*($B$3=Таблица2[ФЕР/ТЕР])*(F184=Таблица2[Наименование работ])*(G184=Таблица2[ТПиР/НСиР])/Таблица2[ПНР2013]))</f>
        <v>0</v>
      </c>
      <c r="V184" s="63">
        <f>IF($B$4="в базовых ценах",калькулятор!M189,AA184*SUMPRODUCT(($B$2=Таблица2[Филиал])*($B$3=Таблица2[ФЕР/ТЕР])*(F184=Таблица2[Наименование работ])*(G184=Таблица2[ТПиР/НСиР])/Таблица2[Оборудование2013]))</f>
        <v>0</v>
      </c>
      <c r="W184" s="63">
        <f>IF($B$4="в базовых ценах",калькулятор!N189,AB184*SUMPRODUCT(($B$2=Таблица2[Филиал])*($B$3=Таблица2[ФЕР/ТЕР])*(F184=Таблица2[Наименование работ])*(G184=Таблица2[ТПиР/НСиР])/Таблица2[Прочие3]))</f>
        <v>0</v>
      </c>
      <c r="X184" s="63">
        <f>IF($B$4="в текущих ценах",калькулятор!J189,S184*SUMPRODUCT(($B$2=Таблица2[Филиал])*($B$3=Таблица2[ФЕР/ТЕР])*(F184=Таблица2[Наименование работ])*(G184=Таблица2[ТПиР/НСиР])*Таблица2[ПИР2013]))</f>
        <v>0</v>
      </c>
      <c r="Y184" s="63">
        <f>IF($B$4="в текущих ценах",калькулятор!K189,T184*SUMPRODUCT(($B$2=Таблица2[Филиал])*($B$3=Таблица2[ФЕР/ТЕР])*(F184=Таблица2[Наименование работ])*(G184=Таблица2[ТПиР/НСиР])*Таблица2[СМР2013]))</f>
        <v>0</v>
      </c>
      <c r="Z184" s="63">
        <f>IF($B$4="в текущих ценах",калькулятор!L189,U184*SUMPRODUCT(($B$2=Таблица2[Филиал])*($B$3=Таблица2[ФЕР/ТЕР])*(F184=Таблица2[Наименование работ])*(G184=Таблица2[ТПиР/НСиР])*Таблица2[ПНР2013]))</f>
        <v>0</v>
      </c>
      <c r="AA184" s="63">
        <f>IF($B$4="в текущих ценах",калькулятор!M189,V184*SUMPRODUCT(($B$2=Таблица2[Филиал])*($B$3=Таблица2[ФЕР/ТЕР])*(F184=Таблица2[Наименование работ])*(G184=Таблица2[ТПиР/НСиР])*Таблица2[Оборудование2013]))</f>
        <v>0</v>
      </c>
      <c r="AB184" s="63">
        <f>IF($B$4="в текущих ценах",калькулятор!N189,W184*SUMPRODUCT(($B$2=Таблица2[Филиал])*($B$3=Таблица2[ФЕР/ТЕР])*(F184=Таблица2[Наименование работ])*(G184=Таблица2[ТПиР/НСиР])*Таблица2[Прочие3]))</f>
        <v>0</v>
      </c>
      <c r="AC184" s="63">
        <f>SUM(данные!$I184:$M184)</f>
        <v>0</v>
      </c>
      <c r="AD184" s="63">
        <f>IF(SUM(данные!$N184:$R184)&gt;данные!$AF184,данные!$AF184*0.9*1.058,SUM(данные!$N184:$R184))</f>
        <v>0</v>
      </c>
      <c r="AE184" s="63">
        <f>SUM(данные!$S184:$W184)</f>
        <v>0</v>
      </c>
      <c r="AF184" s="63">
        <f>SUM(данные!$X184:$AB184)</f>
        <v>0</v>
      </c>
      <c r="AG184" s="63">
        <f>IF($B$4="в текущих ценах",S184*SUMPRODUCT(($B$2=Таблица2[Филиал])*($B$3=Таблица2[ФЕР/ТЕР])*(F184=Таблица2[Наименование работ])*(G184=Таблица2[ТПиР/НСиР])*Таблица2[ПИР2012]),S184*SUMPRODUCT(($B$2=Таблица2[Филиал])*($B$3=Таблица2[ФЕР/ТЕР])*(F184=Таблица2[Наименование работ])*(G184=Таблица2[ТПиР/НСиР])*Таблица2[ПИР2012]))</f>
        <v>0</v>
      </c>
      <c r="AH184" s="63">
        <f>IF($B$4="в текущих ценах",T184*SUMPRODUCT(($B$2=Таблица2[Филиал])*($B$3=Таблица2[ФЕР/ТЕР])*(F184=Таблица2[Наименование работ])*(G184=Таблица2[ТПиР/НСиР])*Таблица2[СМР2012]),T184*SUMPRODUCT(($B$2=Таблица2[Филиал])*($B$3=Таблица2[ФЕР/ТЕР])*(F184=Таблица2[Наименование работ])*(G184=Таблица2[ТПиР/НСиР])*Таблица2[СМР2012]))</f>
        <v>0</v>
      </c>
      <c r="AI184" s="63">
        <f>IF($B$4="в текущих ценах",U184*SUMPRODUCT(($B$2=Таблица2[Филиал])*($B$3=Таблица2[ФЕР/ТЕР])*(F184=Таблица2[Наименование работ])*(G184=Таблица2[ТПиР/НСиР])*Таблица2[ПНР2012]),U184*SUMPRODUCT(($B$2=Таблица2[Филиал])*($B$3=Таблица2[ФЕР/ТЕР])*(F184=Таблица2[Наименование работ])*(G184=Таблица2[ТПиР/НСиР])*Таблица2[ПНР2012]))</f>
        <v>0</v>
      </c>
      <c r="AJ184" s="63">
        <f>IF($B$4="в текущих ценах",V184*SUMPRODUCT(($B$2=Таблица2[Филиал])*($B$3=Таблица2[ФЕР/ТЕР])*(F184=Таблица2[Наименование работ])*(G184=Таблица2[ТПиР/НСиР])*Таблица2[Оборудование2012]),V184*SUMPRODUCT(($B$2=Таблица2[Филиал])*($B$3=Таблица2[ФЕР/ТЕР])*(F184=Таблица2[Наименование работ])*(G184=Таблица2[ТПиР/НСиР])*Таблица2[Оборудование2012]))</f>
        <v>0</v>
      </c>
      <c r="AK184" s="63">
        <f>IF($B$4="в текущих ценах",W184*SUMPRODUCT(($B$2=Таблица2[Филиал])*($B$3=Таблица2[ФЕР/ТЕР])*(F184=Таблица2[Наименование работ])*(G184=Таблица2[ТПиР/НСиР])*Таблица2[Прочее2012]),W184*SUMPRODUCT(($B$2=Таблица2[Филиал])*($B$3=Таблица2[ФЕР/ТЕР])*(F184=Таблица2[Наименование работ])*(G184=Таблица2[ТПиР/НСиР])*Таблица2[Прочее2012]))</f>
        <v>0</v>
      </c>
      <c r="AL184" s="63">
        <f>данные!$X184+данные!$Y184+данные!$Z184+данные!$AA184+данные!$AB184</f>
        <v>0</v>
      </c>
      <c r="AM184" s="63">
        <v>1.03639035</v>
      </c>
      <c r="AN184" s="63">
        <v>1.0114049394</v>
      </c>
      <c r="AO184" s="63">
        <v>0.98210394336149998</v>
      </c>
      <c r="AP184" s="63">
        <v>0.93762413895893393</v>
      </c>
      <c r="AQ184" s="63"/>
      <c r="AR184" s="63"/>
      <c r="AS184" s="64"/>
      <c r="AU184" s="66">
        <f t="shared" si="12"/>
        <v>0</v>
      </c>
      <c r="AX184" s="66">
        <f t="shared" si="13"/>
        <v>0</v>
      </c>
      <c r="AY184" s="66">
        <f t="shared" si="14"/>
        <v>0</v>
      </c>
      <c r="AZ184" s="66">
        <f t="shared" si="15"/>
        <v>0</v>
      </c>
      <c r="BA184" s="66">
        <f t="shared" si="16"/>
        <v>0</v>
      </c>
      <c r="BB184" s="66">
        <f t="shared" si="17"/>
        <v>0</v>
      </c>
    </row>
    <row r="185" spans="4:54" x14ac:dyDescent="0.25">
      <c r="D185" s="62">
        <f>калькулятор!C190</f>
        <v>0</v>
      </c>
      <c r="E185" s="62">
        <f>калькулятор!F190</f>
        <v>0</v>
      </c>
      <c r="F185" s="62">
        <f>калькулятор!G190</f>
        <v>0</v>
      </c>
      <c r="G185" s="62">
        <f>калькулятор!H190</f>
        <v>0</v>
      </c>
      <c r="H185" s="62">
        <f>калькулятор!I190</f>
        <v>0</v>
      </c>
      <c r="I185" s="63">
        <f>S185*SUMPRODUCT(($B$2=Таблица2[Филиал])*($B$3=Таблица2[ФЕР/ТЕР])*(F185=Таблица2[Наименование работ])*(G185=Таблица2[ТПиР/НСиР])*Таблица2[ПИР2010])</f>
        <v>0</v>
      </c>
      <c r="J185" s="63">
        <f>T185*SUMPRODUCT(($B$2=Таблица2[Филиал])*($B$3=Таблица2[ФЕР/ТЕР])*(F185=Таблица2[Наименование работ])*(G185=Таблица2[ТПиР/НСиР])*Таблица2[СМР2010])</f>
        <v>0</v>
      </c>
      <c r="K185" s="63">
        <f>U185*SUMPRODUCT(($B$2=Таблица2[Филиал])*($B$3=Таблица2[ФЕР/ТЕР])*(F185=Таблица2[Наименование работ])*(G185=Таблица2[ТПиР/НСиР])*Таблица2[ПНР2010])</f>
        <v>0</v>
      </c>
      <c r="L185" s="63">
        <f>V185*SUMPRODUCT(($B$2=Таблица2[Филиал])*($B$3=Таблица2[ФЕР/ТЕР])*(F185=Таблица2[Наименование работ])*(G185=Таблица2[ТПиР/НСиР])*Таблица2[Оборудование2010])</f>
        <v>0</v>
      </c>
      <c r="M185" s="63">
        <f>W185*SUMPRODUCT(($B$2=Таблица2[Филиал])*($B$3=Таблица2[ФЕР/ТЕР])*(F185=Таблица2[Наименование работ])*(G185=Таблица2[ТПиР/НСиР])*Таблица2[Прочие2010])</f>
        <v>0</v>
      </c>
      <c r="N185" s="63">
        <f>S185*SUMPRODUCT(($B$2=Таблица2[Филиал])*($B$3=Таблица2[ФЕР/ТЕР])*(F185=Таблица2[Наименование работ])*(G185=Таблица2[ТПиР/НСиР])*Таблица2[ПИР2013-10])</f>
        <v>0</v>
      </c>
      <c r="O185" s="63">
        <f>T185*SUMPRODUCT(($B$2=Таблица2[Филиал])*($B$3=Таблица2[ФЕР/ТЕР])*(F185=Таблица2[Наименование работ])*(G185=Таблица2[ТПиР/НСиР])*Таблица2[СМР2013-10])</f>
        <v>0</v>
      </c>
      <c r="P185" s="63">
        <f>U185*SUMPRODUCT(($B$2=Таблица2[Филиал])*($B$3=Таблица2[ФЕР/ТЕР])*(F185=Таблица2[Наименование работ])*(G185=Таблица2[ТПиР/НСиР])*Таблица2[ПНР2013-10])</f>
        <v>0</v>
      </c>
      <c r="Q185" s="63">
        <f>V185*SUMPRODUCT(($B$2=Таблица2[Филиал])*($B$3=Таблица2[ФЕР/ТЕР])*(F185=Таблица2[Наименование работ])*(G185=Таблица2[ТПиР/НСиР])*Таблица2[Оборудование2013-10])</f>
        <v>0</v>
      </c>
      <c r="R185" s="63">
        <f>W185*SUMPRODUCT(($B$2=Таблица2[Филиал])*($B$3=Таблица2[ФЕР/ТЕР])*(F185=Таблица2[Наименование работ])*(G185=Таблица2[ТПиР/НСиР])*Таблица2[Прочие2013-10])</f>
        <v>0</v>
      </c>
      <c r="S185" s="63">
        <f>IF($B$4="в базовых ценах",калькулятор!J190,X185*SUMPRODUCT(($B$2=Таблица2[Филиал])*($B$3=Таблица2[ФЕР/ТЕР])*(F185=Таблица2[Наименование работ])*(G185=Таблица2[ТПиР/НСиР])/Таблица2[ПИР2013]))</f>
        <v>0</v>
      </c>
      <c r="T185" s="63">
        <f>IF($B$4="в базовых ценах",калькулятор!K190,Y185*SUMPRODUCT(($B$2=Таблица2[Филиал])*($B$3=Таблица2[ФЕР/ТЕР])*(F185=Таблица2[Наименование работ])*(G185=Таблица2[ТПиР/НСиР])/Таблица2[СМР2013]))</f>
        <v>0</v>
      </c>
      <c r="U185" s="63">
        <f>IF($B$4="в базовых ценах",калькулятор!L190,Z185*SUMPRODUCT(($B$2=Таблица2[Филиал])*($B$3=Таблица2[ФЕР/ТЕР])*(F185=Таблица2[Наименование работ])*(G185=Таблица2[ТПиР/НСиР])/Таблица2[ПНР2013]))</f>
        <v>0</v>
      </c>
      <c r="V185" s="63">
        <f>IF($B$4="в базовых ценах",калькулятор!M190,AA185*SUMPRODUCT(($B$2=Таблица2[Филиал])*($B$3=Таблица2[ФЕР/ТЕР])*(F185=Таблица2[Наименование работ])*(G185=Таблица2[ТПиР/НСиР])/Таблица2[Оборудование2013]))</f>
        <v>0</v>
      </c>
      <c r="W185" s="63">
        <f>IF($B$4="в базовых ценах",калькулятор!N190,AB185*SUMPRODUCT(($B$2=Таблица2[Филиал])*($B$3=Таблица2[ФЕР/ТЕР])*(F185=Таблица2[Наименование работ])*(G185=Таблица2[ТПиР/НСиР])/Таблица2[Прочие3]))</f>
        <v>0</v>
      </c>
      <c r="X185" s="63">
        <f>IF($B$4="в текущих ценах",калькулятор!J190,S185*SUMPRODUCT(($B$2=Таблица2[Филиал])*($B$3=Таблица2[ФЕР/ТЕР])*(F185=Таблица2[Наименование работ])*(G185=Таблица2[ТПиР/НСиР])*Таблица2[ПИР2013]))</f>
        <v>0</v>
      </c>
      <c r="Y185" s="63">
        <f>IF($B$4="в текущих ценах",калькулятор!K190,T185*SUMPRODUCT(($B$2=Таблица2[Филиал])*($B$3=Таблица2[ФЕР/ТЕР])*(F185=Таблица2[Наименование работ])*(G185=Таблица2[ТПиР/НСиР])*Таблица2[СМР2013]))</f>
        <v>0</v>
      </c>
      <c r="Z185" s="63">
        <f>IF($B$4="в текущих ценах",калькулятор!L190,U185*SUMPRODUCT(($B$2=Таблица2[Филиал])*($B$3=Таблица2[ФЕР/ТЕР])*(F185=Таблица2[Наименование работ])*(G185=Таблица2[ТПиР/НСиР])*Таблица2[ПНР2013]))</f>
        <v>0</v>
      </c>
      <c r="AA185" s="63">
        <f>IF($B$4="в текущих ценах",калькулятор!M190,V185*SUMPRODUCT(($B$2=Таблица2[Филиал])*($B$3=Таблица2[ФЕР/ТЕР])*(F185=Таблица2[Наименование работ])*(G185=Таблица2[ТПиР/НСиР])*Таблица2[Оборудование2013]))</f>
        <v>0</v>
      </c>
      <c r="AB185" s="63">
        <f>IF($B$4="в текущих ценах",калькулятор!N190,W185*SUMPRODUCT(($B$2=Таблица2[Филиал])*($B$3=Таблица2[ФЕР/ТЕР])*(F185=Таблица2[Наименование работ])*(G185=Таблица2[ТПиР/НСиР])*Таблица2[Прочие3]))</f>
        <v>0</v>
      </c>
      <c r="AC185" s="63">
        <f>SUM(данные!$I185:$M185)</f>
        <v>0</v>
      </c>
      <c r="AD185" s="63">
        <f>IF(SUM(данные!$N185:$R185)&gt;данные!$AF185,данные!$AF185*0.9*1.058,SUM(данные!$N185:$R185))</f>
        <v>0</v>
      </c>
      <c r="AE185" s="63">
        <f>SUM(данные!$S185:$W185)</f>
        <v>0</v>
      </c>
      <c r="AF185" s="63">
        <f>SUM(данные!$X185:$AB185)</f>
        <v>0</v>
      </c>
      <c r="AG185" s="63">
        <f>IF($B$4="в текущих ценах",S185*SUMPRODUCT(($B$2=Таблица2[Филиал])*($B$3=Таблица2[ФЕР/ТЕР])*(F185=Таблица2[Наименование работ])*(G185=Таблица2[ТПиР/НСиР])*Таблица2[ПИР2012]),S185*SUMPRODUCT(($B$2=Таблица2[Филиал])*($B$3=Таблица2[ФЕР/ТЕР])*(F185=Таблица2[Наименование работ])*(G185=Таблица2[ТПиР/НСиР])*Таблица2[ПИР2012]))</f>
        <v>0</v>
      </c>
      <c r="AH185" s="63">
        <f>IF($B$4="в текущих ценах",T185*SUMPRODUCT(($B$2=Таблица2[Филиал])*($B$3=Таблица2[ФЕР/ТЕР])*(F185=Таблица2[Наименование работ])*(G185=Таблица2[ТПиР/НСиР])*Таблица2[СМР2012]),T185*SUMPRODUCT(($B$2=Таблица2[Филиал])*($B$3=Таблица2[ФЕР/ТЕР])*(F185=Таблица2[Наименование работ])*(G185=Таблица2[ТПиР/НСиР])*Таблица2[СМР2012]))</f>
        <v>0</v>
      </c>
      <c r="AI185" s="63">
        <f>IF($B$4="в текущих ценах",U185*SUMPRODUCT(($B$2=Таблица2[Филиал])*($B$3=Таблица2[ФЕР/ТЕР])*(F185=Таблица2[Наименование работ])*(G185=Таблица2[ТПиР/НСиР])*Таблица2[ПНР2012]),U185*SUMPRODUCT(($B$2=Таблица2[Филиал])*($B$3=Таблица2[ФЕР/ТЕР])*(F185=Таблица2[Наименование работ])*(G185=Таблица2[ТПиР/НСиР])*Таблица2[ПНР2012]))</f>
        <v>0</v>
      </c>
      <c r="AJ185" s="63">
        <f>IF($B$4="в текущих ценах",V185*SUMPRODUCT(($B$2=Таблица2[Филиал])*($B$3=Таблица2[ФЕР/ТЕР])*(F185=Таблица2[Наименование работ])*(G185=Таблица2[ТПиР/НСиР])*Таблица2[Оборудование2012]),V185*SUMPRODUCT(($B$2=Таблица2[Филиал])*($B$3=Таблица2[ФЕР/ТЕР])*(F185=Таблица2[Наименование работ])*(G185=Таблица2[ТПиР/НСиР])*Таблица2[Оборудование2012]))</f>
        <v>0</v>
      </c>
      <c r="AK185" s="63">
        <f>IF($B$4="в текущих ценах",W185*SUMPRODUCT(($B$2=Таблица2[Филиал])*($B$3=Таблица2[ФЕР/ТЕР])*(F185=Таблица2[Наименование работ])*(G185=Таблица2[ТПиР/НСиР])*Таблица2[Прочее2012]),W185*SUMPRODUCT(($B$2=Таблица2[Филиал])*($B$3=Таблица2[ФЕР/ТЕР])*(F185=Таблица2[Наименование работ])*(G185=Таблица2[ТПиР/НСиР])*Таблица2[Прочее2012]))</f>
        <v>0</v>
      </c>
      <c r="AL185" s="63">
        <f>данные!$X185+данные!$Y185+данные!$Z185+данные!$AA185+данные!$AB185</f>
        <v>0</v>
      </c>
      <c r="AM185" s="63">
        <v>1.03639035</v>
      </c>
      <c r="AN185" s="63">
        <v>1.0114049394</v>
      </c>
      <c r="AO185" s="63">
        <v>0.98210394336149998</v>
      </c>
      <c r="AP185" s="63">
        <v>0.93762413895893393</v>
      </c>
      <c r="AQ185" s="63"/>
      <c r="AR185" s="63"/>
      <c r="AS185" s="64"/>
      <c r="AU185" s="66">
        <f t="shared" si="12"/>
        <v>0</v>
      </c>
      <c r="AX185" s="66">
        <f t="shared" si="13"/>
        <v>0</v>
      </c>
      <c r="AY185" s="66">
        <f t="shared" si="14"/>
        <v>0</v>
      </c>
      <c r="AZ185" s="66">
        <f t="shared" si="15"/>
        <v>0</v>
      </c>
      <c r="BA185" s="66">
        <f t="shared" si="16"/>
        <v>0</v>
      </c>
      <c r="BB185" s="66">
        <f t="shared" si="17"/>
        <v>0</v>
      </c>
    </row>
    <row r="186" spans="4:54" x14ac:dyDescent="0.25">
      <c r="D186" s="62">
        <f>калькулятор!C191</f>
        <v>0</v>
      </c>
      <c r="E186" s="62">
        <f>калькулятор!F191</f>
        <v>0</v>
      </c>
      <c r="F186" s="62">
        <f>калькулятор!G191</f>
        <v>0</v>
      </c>
      <c r="G186" s="62">
        <f>калькулятор!H191</f>
        <v>0</v>
      </c>
      <c r="H186" s="62">
        <f>калькулятор!I191</f>
        <v>0</v>
      </c>
      <c r="I186" s="63">
        <f>S186*SUMPRODUCT(($B$2=Таблица2[Филиал])*($B$3=Таблица2[ФЕР/ТЕР])*(F186=Таблица2[Наименование работ])*(G186=Таблица2[ТПиР/НСиР])*Таблица2[ПИР2010])</f>
        <v>0</v>
      </c>
      <c r="J186" s="63">
        <f>T186*SUMPRODUCT(($B$2=Таблица2[Филиал])*($B$3=Таблица2[ФЕР/ТЕР])*(F186=Таблица2[Наименование работ])*(G186=Таблица2[ТПиР/НСиР])*Таблица2[СМР2010])</f>
        <v>0</v>
      </c>
      <c r="K186" s="63">
        <f>U186*SUMPRODUCT(($B$2=Таблица2[Филиал])*($B$3=Таблица2[ФЕР/ТЕР])*(F186=Таблица2[Наименование работ])*(G186=Таблица2[ТПиР/НСиР])*Таблица2[ПНР2010])</f>
        <v>0</v>
      </c>
      <c r="L186" s="63">
        <f>V186*SUMPRODUCT(($B$2=Таблица2[Филиал])*($B$3=Таблица2[ФЕР/ТЕР])*(F186=Таблица2[Наименование работ])*(G186=Таблица2[ТПиР/НСиР])*Таблица2[Оборудование2010])</f>
        <v>0</v>
      </c>
      <c r="M186" s="63">
        <f>W186*SUMPRODUCT(($B$2=Таблица2[Филиал])*($B$3=Таблица2[ФЕР/ТЕР])*(F186=Таблица2[Наименование работ])*(G186=Таблица2[ТПиР/НСиР])*Таблица2[Прочие2010])</f>
        <v>0</v>
      </c>
      <c r="N186" s="63">
        <f>S186*SUMPRODUCT(($B$2=Таблица2[Филиал])*($B$3=Таблица2[ФЕР/ТЕР])*(F186=Таблица2[Наименование работ])*(G186=Таблица2[ТПиР/НСиР])*Таблица2[ПИР2013-10])</f>
        <v>0</v>
      </c>
      <c r="O186" s="63">
        <f>T186*SUMPRODUCT(($B$2=Таблица2[Филиал])*($B$3=Таблица2[ФЕР/ТЕР])*(F186=Таблица2[Наименование работ])*(G186=Таблица2[ТПиР/НСиР])*Таблица2[СМР2013-10])</f>
        <v>0</v>
      </c>
      <c r="P186" s="63">
        <f>U186*SUMPRODUCT(($B$2=Таблица2[Филиал])*($B$3=Таблица2[ФЕР/ТЕР])*(F186=Таблица2[Наименование работ])*(G186=Таблица2[ТПиР/НСиР])*Таблица2[ПНР2013-10])</f>
        <v>0</v>
      </c>
      <c r="Q186" s="63">
        <f>V186*SUMPRODUCT(($B$2=Таблица2[Филиал])*($B$3=Таблица2[ФЕР/ТЕР])*(F186=Таблица2[Наименование работ])*(G186=Таблица2[ТПиР/НСиР])*Таблица2[Оборудование2013-10])</f>
        <v>0</v>
      </c>
      <c r="R186" s="63">
        <f>W186*SUMPRODUCT(($B$2=Таблица2[Филиал])*($B$3=Таблица2[ФЕР/ТЕР])*(F186=Таблица2[Наименование работ])*(G186=Таблица2[ТПиР/НСиР])*Таблица2[Прочие2013-10])</f>
        <v>0</v>
      </c>
      <c r="S186" s="63">
        <f>IF($B$4="в базовых ценах",калькулятор!J191,X186*SUMPRODUCT(($B$2=Таблица2[Филиал])*($B$3=Таблица2[ФЕР/ТЕР])*(F186=Таблица2[Наименование работ])*(G186=Таблица2[ТПиР/НСиР])/Таблица2[ПИР2013]))</f>
        <v>0</v>
      </c>
      <c r="T186" s="63">
        <f>IF($B$4="в базовых ценах",калькулятор!K191,Y186*SUMPRODUCT(($B$2=Таблица2[Филиал])*($B$3=Таблица2[ФЕР/ТЕР])*(F186=Таблица2[Наименование работ])*(G186=Таблица2[ТПиР/НСиР])/Таблица2[СМР2013]))</f>
        <v>0</v>
      </c>
      <c r="U186" s="63">
        <f>IF($B$4="в базовых ценах",калькулятор!L191,Z186*SUMPRODUCT(($B$2=Таблица2[Филиал])*($B$3=Таблица2[ФЕР/ТЕР])*(F186=Таблица2[Наименование работ])*(G186=Таблица2[ТПиР/НСиР])/Таблица2[ПНР2013]))</f>
        <v>0</v>
      </c>
      <c r="V186" s="63">
        <f>IF($B$4="в базовых ценах",калькулятор!M191,AA186*SUMPRODUCT(($B$2=Таблица2[Филиал])*($B$3=Таблица2[ФЕР/ТЕР])*(F186=Таблица2[Наименование работ])*(G186=Таблица2[ТПиР/НСиР])/Таблица2[Оборудование2013]))</f>
        <v>0</v>
      </c>
      <c r="W186" s="63">
        <f>IF($B$4="в базовых ценах",калькулятор!N191,AB186*SUMPRODUCT(($B$2=Таблица2[Филиал])*($B$3=Таблица2[ФЕР/ТЕР])*(F186=Таблица2[Наименование работ])*(G186=Таблица2[ТПиР/НСиР])/Таблица2[Прочие3]))</f>
        <v>0</v>
      </c>
      <c r="X186" s="63">
        <f>IF($B$4="в текущих ценах",калькулятор!J191,S186*SUMPRODUCT(($B$2=Таблица2[Филиал])*($B$3=Таблица2[ФЕР/ТЕР])*(F186=Таблица2[Наименование работ])*(G186=Таблица2[ТПиР/НСиР])*Таблица2[ПИР2013]))</f>
        <v>0</v>
      </c>
      <c r="Y186" s="63">
        <f>IF($B$4="в текущих ценах",калькулятор!K191,T186*SUMPRODUCT(($B$2=Таблица2[Филиал])*($B$3=Таблица2[ФЕР/ТЕР])*(F186=Таблица2[Наименование работ])*(G186=Таблица2[ТПиР/НСиР])*Таблица2[СМР2013]))</f>
        <v>0</v>
      </c>
      <c r="Z186" s="63">
        <f>IF($B$4="в текущих ценах",калькулятор!L191,U186*SUMPRODUCT(($B$2=Таблица2[Филиал])*($B$3=Таблица2[ФЕР/ТЕР])*(F186=Таблица2[Наименование работ])*(G186=Таблица2[ТПиР/НСиР])*Таблица2[ПНР2013]))</f>
        <v>0</v>
      </c>
      <c r="AA186" s="63">
        <f>IF($B$4="в текущих ценах",калькулятор!M191,V186*SUMPRODUCT(($B$2=Таблица2[Филиал])*($B$3=Таблица2[ФЕР/ТЕР])*(F186=Таблица2[Наименование работ])*(G186=Таблица2[ТПиР/НСиР])*Таблица2[Оборудование2013]))</f>
        <v>0</v>
      </c>
      <c r="AB186" s="63">
        <f>IF($B$4="в текущих ценах",калькулятор!N191,W186*SUMPRODUCT(($B$2=Таблица2[Филиал])*($B$3=Таблица2[ФЕР/ТЕР])*(F186=Таблица2[Наименование работ])*(G186=Таблица2[ТПиР/НСиР])*Таблица2[Прочие3]))</f>
        <v>0</v>
      </c>
      <c r="AC186" s="63">
        <f>SUM(данные!$I186:$M186)</f>
        <v>0</v>
      </c>
      <c r="AD186" s="63">
        <f>IF(SUM(данные!$N186:$R186)&gt;данные!$AF186,данные!$AF186*0.9*1.058,SUM(данные!$N186:$R186))</f>
        <v>0</v>
      </c>
      <c r="AE186" s="63">
        <f>SUM(данные!$S186:$W186)</f>
        <v>0</v>
      </c>
      <c r="AF186" s="63">
        <f>SUM(данные!$X186:$AB186)</f>
        <v>0</v>
      </c>
      <c r="AG186" s="63">
        <f>IF($B$4="в текущих ценах",S186*SUMPRODUCT(($B$2=Таблица2[Филиал])*($B$3=Таблица2[ФЕР/ТЕР])*(F186=Таблица2[Наименование работ])*(G186=Таблица2[ТПиР/НСиР])*Таблица2[ПИР2012]),S186*SUMPRODUCT(($B$2=Таблица2[Филиал])*($B$3=Таблица2[ФЕР/ТЕР])*(F186=Таблица2[Наименование работ])*(G186=Таблица2[ТПиР/НСиР])*Таблица2[ПИР2012]))</f>
        <v>0</v>
      </c>
      <c r="AH186" s="63">
        <f>IF($B$4="в текущих ценах",T186*SUMPRODUCT(($B$2=Таблица2[Филиал])*($B$3=Таблица2[ФЕР/ТЕР])*(F186=Таблица2[Наименование работ])*(G186=Таблица2[ТПиР/НСиР])*Таблица2[СМР2012]),T186*SUMPRODUCT(($B$2=Таблица2[Филиал])*($B$3=Таблица2[ФЕР/ТЕР])*(F186=Таблица2[Наименование работ])*(G186=Таблица2[ТПиР/НСиР])*Таблица2[СМР2012]))</f>
        <v>0</v>
      </c>
      <c r="AI186" s="63">
        <f>IF($B$4="в текущих ценах",U186*SUMPRODUCT(($B$2=Таблица2[Филиал])*($B$3=Таблица2[ФЕР/ТЕР])*(F186=Таблица2[Наименование работ])*(G186=Таблица2[ТПиР/НСиР])*Таблица2[ПНР2012]),U186*SUMPRODUCT(($B$2=Таблица2[Филиал])*($B$3=Таблица2[ФЕР/ТЕР])*(F186=Таблица2[Наименование работ])*(G186=Таблица2[ТПиР/НСиР])*Таблица2[ПНР2012]))</f>
        <v>0</v>
      </c>
      <c r="AJ186" s="63">
        <f>IF($B$4="в текущих ценах",V186*SUMPRODUCT(($B$2=Таблица2[Филиал])*($B$3=Таблица2[ФЕР/ТЕР])*(F186=Таблица2[Наименование работ])*(G186=Таблица2[ТПиР/НСиР])*Таблица2[Оборудование2012]),V186*SUMPRODUCT(($B$2=Таблица2[Филиал])*($B$3=Таблица2[ФЕР/ТЕР])*(F186=Таблица2[Наименование работ])*(G186=Таблица2[ТПиР/НСиР])*Таблица2[Оборудование2012]))</f>
        <v>0</v>
      </c>
      <c r="AK186" s="63">
        <f>IF($B$4="в текущих ценах",W186*SUMPRODUCT(($B$2=Таблица2[Филиал])*($B$3=Таблица2[ФЕР/ТЕР])*(F186=Таблица2[Наименование работ])*(G186=Таблица2[ТПиР/НСиР])*Таблица2[Прочее2012]),W186*SUMPRODUCT(($B$2=Таблица2[Филиал])*($B$3=Таблица2[ФЕР/ТЕР])*(F186=Таблица2[Наименование работ])*(G186=Таблица2[ТПиР/НСиР])*Таблица2[Прочее2012]))</f>
        <v>0</v>
      </c>
      <c r="AL186" s="63">
        <f>данные!$X186+данные!$Y186+данные!$Z186+данные!$AA186+данные!$AB186</f>
        <v>0</v>
      </c>
      <c r="AM186" s="63">
        <v>1.03639035</v>
      </c>
      <c r="AN186" s="63">
        <v>1.0114049394</v>
      </c>
      <c r="AO186" s="63">
        <v>0.98210394336149998</v>
      </c>
      <c r="AP186" s="63">
        <v>0.93762413895893393</v>
      </c>
      <c r="AQ186" s="63"/>
      <c r="AR186" s="63"/>
      <c r="AS186" s="64"/>
      <c r="AU186" s="66">
        <f t="shared" si="12"/>
        <v>0</v>
      </c>
      <c r="AX186" s="66">
        <f t="shared" si="13"/>
        <v>0</v>
      </c>
      <c r="AY186" s="66">
        <f t="shared" si="14"/>
        <v>0</v>
      </c>
      <c r="AZ186" s="66">
        <f t="shared" si="15"/>
        <v>0</v>
      </c>
      <c r="BA186" s="66">
        <f t="shared" si="16"/>
        <v>0</v>
      </c>
      <c r="BB186" s="66">
        <f t="shared" si="17"/>
        <v>0</v>
      </c>
    </row>
    <row r="187" spans="4:54" x14ac:dyDescent="0.25">
      <c r="D187" s="62">
        <f>калькулятор!C192</f>
        <v>0</v>
      </c>
      <c r="E187" s="62">
        <f>калькулятор!F192</f>
        <v>0</v>
      </c>
      <c r="F187" s="62">
        <f>калькулятор!G192</f>
        <v>0</v>
      </c>
      <c r="G187" s="62">
        <f>калькулятор!H192</f>
        <v>0</v>
      </c>
      <c r="H187" s="62">
        <f>калькулятор!I192</f>
        <v>0</v>
      </c>
      <c r="I187" s="63">
        <f>S187*SUMPRODUCT(($B$2=Таблица2[Филиал])*($B$3=Таблица2[ФЕР/ТЕР])*(F187=Таблица2[Наименование работ])*(G187=Таблица2[ТПиР/НСиР])*Таблица2[ПИР2010])</f>
        <v>0</v>
      </c>
      <c r="J187" s="63">
        <f>T187*SUMPRODUCT(($B$2=Таблица2[Филиал])*($B$3=Таблица2[ФЕР/ТЕР])*(F187=Таблица2[Наименование работ])*(G187=Таблица2[ТПиР/НСиР])*Таблица2[СМР2010])</f>
        <v>0</v>
      </c>
      <c r="K187" s="63">
        <f>U187*SUMPRODUCT(($B$2=Таблица2[Филиал])*($B$3=Таблица2[ФЕР/ТЕР])*(F187=Таблица2[Наименование работ])*(G187=Таблица2[ТПиР/НСиР])*Таблица2[ПНР2010])</f>
        <v>0</v>
      </c>
      <c r="L187" s="63">
        <f>V187*SUMPRODUCT(($B$2=Таблица2[Филиал])*($B$3=Таблица2[ФЕР/ТЕР])*(F187=Таблица2[Наименование работ])*(G187=Таблица2[ТПиР/НСиР])*Таблица2[Оборудование2010])</f>
        <v>0</v>
      </c>
      <c r="M187" s="63">
        <f>W187*SUMPRODUCT(($B$2=Таблица2[Филиал])*($B$3=Таблица2[ФЕР/ТЕР])*(F187=Таблица2[Наименование работ])*(G187=Таблица2[ТПиР/НСиР])*Таблица2[Прочие2010])</f>
        <v>0</v>
      </c>
      <c r="N187" s="63">
        <f>S187*SUMPRODUCT(($B$2=Таблица2[Филиал])*($B$3=Таблица2[ФЕР/ТЕР])*(F187=Таблица2[Наименование работ])*(G187=Таблица2[ТПиР/НСиР])*Таблица2[ПИР2013-10])</f>
        <v>0</v>
      </c>
      <c r="O187" s="63">
        <f>T187*SUMPRODUCT(($B$2=Таблица2[Филиал])*($B$3=Таблица2[ФЕР/ТЕР])*(F187=Таблица2[Наименование работ])*(G187=Таблица2[ТПиР/НСиР])*Таблица2[СМР2013-10])</f>
        <v>0</v>
      </c>
      <c r="P187" s="63">
        <f>U187*SUMPRODUCT(($B$2=Таблица2[Филиал])*($B$3=Таблица2[ФЕР/ТЕР])*(F187=Таблица2[Наименование работ])*(G187=Таблица2[ТПиР/НСиР])*Таблица2[ПНР2013-10])</f>
        <v>0</v>
      </c>
      <c r="Q187" s="63">
        <f>V187*SUMPRODUCT(($B$2=Таблица2[Филиал])*($B$3=Таблица2[ФЕР/ТЕР])*(F187=Таблица2[Наименование работ])*(G187=Таблица2[ТПиР/НСиР])*Таблица2[Оборудование2013-10])</f>
        <v>0</v>
      </c>
      <c r="R187" s="63">
        <f>W187*SUMPRODUCT(($B$2=Таблица2[Филиал])*($B$3=Таблица2[ФЕР/ТЕР])*(F187=Таблица2[Наименование работ])*(G187=Таблица2[ТПиР/НСиР])*Таблица2[Прочие2013-10])</f>
        <v>0</v>
      </c>
      <c r="S187" s="63">
        <f>IF($B$4="в базовых ценах",калькулятор!J192,X187*SUMPRODUCT(($B$2=Таблица2[Филиал])*($B$3=Таблица2[ФЕР/ТЕР])*(F187=Таблица2[Наименование работ])*(G187=Таблица2[ТПиР/НСиР])/Таблица2[ПИР2013]))</f>
        <v>0</v>
      </c>
      <c r="T187" s="63">
        <f>IF($B$4="в базовых ценах",калькулятор!K192,Y187*SUMPRODUCT(($B$2=Таблица2[Филиал])*($B$3=Таблица2[ФЕР/ТЕР])*(F187=Таблица2[Наименование работ])*(G187=Таблица2[ТПиР/НСиР])/Таблица2[СМР2013]))</f>
        <v>0</v>
      </c>
      <c r="U187" s="63">
        <f>IF($B$4="в базовых ценах",калькулятор!L192,Z187*SUMPRODUCT(($B$2=Таблица2[Филиал])*($B$3=Таблица2[ФЕР/ТЕР])*(F187=Таблица2[Наименование работ])*(G187=Таблица2[ТПиР/НСиР])/Таблица2[ПНР2013]))</f>
        <v>0</v>
      </c>
      <c r="V187" s="63">
        <f>IF($B$4="в базовых ценах",калькулятор!M192,AA187*SUMPRODUCT(($B$2=Таблица2[Филиал])*($B$3=Таблица2[ФЕР/ТЕР])*(F187=Таблица2[Наименование работ])*(G187=Таблица2[ТПиР/НСиР])/Таблица2[Оборудование2013]))</f>
        <v>0</v>
      </c>
      <c r="W187" s="63">
        <f>IF($B$4="в базовых ценах",калькулятор!N192,AB187*SUMPRODUCT(($B$2=Таблица2[Филиал])*($B$3=Таблица2[ФЕР/ТЕР])*(F187=Таблица2[Наименование работ])*(G187=Таблица2[ТПиР/НСиР])/Таблица2[Прочие3]))</f>
        <v>0</v>
      </c>
      <c r="X187" s="63">
        <f>IF($B$4="в текущих ценах",калькулятор!J192,S187*SUMPRODUCT(($B$2=Таблица2[Филиал])*($B$3=Таблица2[ФЕР/ТЕР])*(F187=Таблица2[Наименование работ])*(G187=Таблица2[ТПиР/НСиР])*Таблица2[ПИР2013]))</f>
        <v>0</v>
      </c>
      <c r="Y187" s="63">
        <f>IF($B$4="в текущих ценах",калькулятор!K192,T187*SUMPRODUCT(($B$2=Таблица2[Филиал])*($B$3=Таблица2[ФЕР/ТЕР])*(F187=Таблица2[Наименование работ])*(G187=Таблица2[ТПиР/НСиР])*Таблица2[СМР2013]))</f>
        <v>0</v>
      </c>
      <c r="Z187" s="63">
        <f>IF($B$4="в текущих ценах",калькулятор!L192,U187*SUMPRODUCT(($B$2=Таблица2[Филиал])*($B$3=Таблица2[ФЕР/ТЕР])*(F187=Таблица2[Наименование работ])*(G187=Таблица2[ТПиР/НСиР])*Таблица2[ПНР2013]))</f>
        <v>0</v>
      </c>
      <c r="AA187" s="63">
        <f>IF($B$4="в текущих ценах",калькулятор!M192,V187*SUMPRODUCT(($B$2=Таблица2[Филиал])*($B$3=Таблица2[ФЕР/ТЕР])*(F187=Таблица2[Наименование работ])*(G187=Таблица2[ТПиР/НСиР])*Таблица2[Оборудование2013]))</f>
        <v>0</v>
      </c>
      <c r="AB187" s="63">
        <f>IF($B$4="в текущих ценах",калькулятор!N192,W187*SUMPRODUCT(($B$2=Таблица2[Филиал])*($B$3=Таблица2[ФЕР/ТЕР])*(F187=Таблица2[Наименование работ])*(G187=Таблица2[ТПиР/НСиР])*Таблица2[Прочие3]))</f>
        <v>0</v>
      </c>
      <c r="AC187" s="63">
        <f>SUM(данные!$I187:$M187)</f>
        <v>0</v>
      </c>
      <c r="AD187" s="63">
        <f>IF(SUM(данные!$N187:$R187)&gt;данные!$AF187,данные!$AF187*0.9*1.058,SUM(данные!$N187:$R187))</f>
        <v>0</v>
      </c>
      <c r="AE187" s="63">
        <f>SUM(данные!$S187:$W187)</f>
        <v>0</v>
      </c>
      <c r="AF187" s="63">
        <f>SUM(данные!$X187:$AB187)</f>
        <v>0</v>
      </c>
      <c r="AG187" s="63">
        <f>IF($B$4="в текущих ценах",S187*SUMPRODUCT(($B$2=Таблица2[Филиал])*($B$3=Таблица2[ФЕР/ТЕР])*(F187=Таблица2[Наименование работ])*(G187=Таблица2[ТПиР/НСиР])*Таблица2[ПИР2012]),S187*SUMPRODUCT(($B$2=Таблица2[Филиал])*($B$3=Таблица2[ФЕР/ТЕР])*(F187=Таблица2[Наименование работ])*(G187=Таблица2[ТПиР/НСиР])*Таблица2[ПИР2012]))</f>
        <v>0</v>
      </c>
      <c r="AH187" s="63">
        <f>IF($B$4="в текущих ценах",T187*SUMPRODUCT(($B$2=Таблица2[Филиал])*($B$3=Таблица2[ФЕР/ТЕР])*(F187=Таблица2[Наименование работ])*(G187=Таблица2[ТПиР/НСиР])*Таблица2[СМР2012]),T187*SUMPRODUCT(($B$2=Таблица2[Филиал])*($B$3=Таблица2[ФЕР/ТЕР])*(F187=Таблица2[Наименование работ])*(G187=Таблица2[ТПиР/НСиР])*Таблица2[СМР2012]))</f>
        <v>0</v>
      </c>
      <c r="AI187" s="63">
        <f>IF($B$4="в текущих ценах",U187*SUMPRODUCT(($B$2=Таблица2[Филиал])*($B$3=Таблица2[ФЕР/ТЕР])*(F187=Таблица2[Наименование работ])*(G187=Таблица2[ТПиР/НСиР])*Таблица2[ПНР2012]),U187*SUMPRODUCT(($B$2=Таблица2[Филиал])*($B$3=Таблица2[ФЕР/ТЕР])*(F187=Таблица2[Наименование работ])*(G187=Таблица2[ТПиР/НСиР])*Таблица2[ПНР2012]))</f>
        <v>0</v>
      </c>
      <c r="AJ187" s="63">
        <f>IF($B$4="в текущих ценах",V187*SUMPRODUCT(($B$2=Таблица2[Филиал])*($B$3=Таблица2[ФЕР/ТЕР])*(F187=Таблица2[Наименование работ])*(G187=Таблица2[ТПиР/НСиР])*Таблица2[Оборудование2012]),V187*SUMPRODUCT(($B$2=Таблица2[Филиал])*($B$3=Таблица2[ФЕР/ТЕР])*(F187=Таблица2[Наименование работ])*(G187=Таблица2[ТПиР/НСиР])*Таблица2[Оборудование2012]))</f>
        <v>0</v>
      </c>
      <c r="AK187" s="63">
        <f>IF($B$4="в текущих ценах",W187*SUMPRODUCT(($B$2=Таблица2[Филиал])*($B$3=Таблица2[ФЕР/ТЕР])*(F187=Таблица2[Наименование работ])*(G187=Таблица2[ТПиР/НСиР])*Таблица2[Прочее2012]),W187*SUMPRODUCT(($B$2=Таблица2[Филиал])*($B$3=Таблица2[ФЕР/ТЕР])*(F187=Таблица2[Наименование работ])*(G187=Таблица2[ТПиР/НСиР])*Таблица2[Прочее2012]))</f>
        <v>0</v>
      </c>
      <c r="AL187" s="63">
        <f>данные!$X187+данные!$Y187+данные!$Z187+данные!$AA187+данные!$AB187</f>
        <v>0</v>
      </c>
      <c r="AM187" s="63">
        <v>1.03639035</v>
      </c>
      <c r="AN187" s="63">
        <v>1.0114049394</v>
      </c>
      <c r="AO187" s="63">
        <v>0.98210394336149998</v>
      </c>
      <c r="AP187" s="63">
        <v>0.93762413895893393</v>
      </c>
      <c r="AQ187" s="63"/>
      <c r="AR187" s="63"/>
      <c r="AS187" s="64"/>
      <c r="AU187" s="66">
        <f t="shared" si="12"/>
        <v>0</v>
      </c>
      <c r="AX187" s="66">
        <f t="shared" si="13"/>
        <v>0</v>
      </c>
      <c r="AY187" s="66">
        <f t="shared" si="14"/>
        <v>0</v>
      </c>
      <c r="AZ187" s="66">
        <f t="shared" si="15"/>
        <v>0</v>
      </c>
      <c r="BA187" s="66">
        <f t="shared" si="16"/>
        <v>0</v>
      </c>
      <c r="BB187" s="66">
        <f t="shared" si="17"/>
        <v>0</v>
      </c>
    </row>
    <row r="188" spans="4:54" x14ac:dyDescent="0.25">
      <c r="D188" s="62">
        <f>калькулятор!C193</f>
        <v>0</v>
      </c>
      <c r="E188" s="62">
        <f>калькулятор!F193</f>
        <v>0</v>
      </c>
      <c r="F188" s="62">
        <f>калькулятор!G193</f>
        <v>0</v>
      </c>
      <c r="G188" s="62">
        <f>калькулятор!H193</f>
        <v>0</v>
      </c>
      <c r="H188" s="62">
        <f>калькулятор!I193</f>
        <v>0</v>
      </c>
      <c r="I188" s="63">
        <f>S188*SUMPRODUCT(($B$2=Таблица2[Филиал])*($B$3=Таблица2[ФЕР/ТЕР])*(F188=Таблица2[Наименование работ])*(G188=Таблица2[ТПиР/НСиР])*Таблица2[ПИР2010])</f>
        <v>0</v>
      </c>
      <c r="J188" s="63">
        <f>T188*SUMPRODUCT(($B$2=Таблица2[Филиал])*($B$3=Таблица2[ФЕР/ТЕР])*(F188=Таблица2[Наименование работ])*(G188=Таблица2[ТПиР/НСиР])*Таблица2[СМР2010])</f>
        <v>0</v>
      </c>
      <c r="K188" s="63">
        <f>U188*SUMPRODUCT(($B$2=Таблица2[Филиал])*($B$3=Таблица2[ФЕР/ТЕР])*(F188=Таблица2[Наименование работ])*(G188=Таблица2[ТПиР/НСиР])*Таблица2[ПНР2010])</f>
        <v>0</v>
      </c>
      <c r="L188" s="63">
        <f>V188*SUMPRODUCT(($B$2=Таблица2[Филиал])*($B$3=Таблица2[ФЕР/ТЕР])*(F188=Таблица2[Наименование работ])*(G188=Таблица2[ТПиР/НСиР])*Таблица2[Оборудование2010])</f>
        <v>0</v>
      </c>
      <c r="M188" s="63">
        <f>W188*SUMPRODUCT(($B$2=Таблица2[Филиал])*($B$3=Таблица2[ФЕР/ТЕР])*(F188=Таблица2[Наименование работ])*(G188=Таблица2[ТПиР/НСиР])*Таблица2[Прочие2010])</f>
        <v>0</v>
      </c>
      <c r="N188" s="63">
        <f>S188*SUMPRODUCT(($B$2=Таблица2[Филиал])*($B$3=Таблица2[ФЕР/ТЕР])*(F188=Таблица2[Наименование работ])*(G188=Таблица2[ТПиР/НСиР])*Таблица2[ПИР2013-10])</f>
        <v>0</v>
      </c>
      <c r="O188" s="63">
        <f>T188*SUMPRODUCT(($B$2=Таблица2[Филиал])*($B$3=Таблица2[ФЕР/ТЕР])*(F188=Таблица2[Наименование работ])*(G188=Таблица2[ТПиР/НСиР])*Таблица2[СМР2013-10])</f>
        <v>0</v>
      </c>
      <c r="P188" s="63">
        <f>U188*SUMPRODUCT(($B$2=Таблица2[Филиал])*($B$3=Таблица2[ФЕР/ТЕР])*(F188=Таблица2[Наименование работ])*(G188=Таблица2[ТПиР/НСиР])*Таблица2[ПНР2013-10])</f>
        <v>0</v>
      </c>
      <c r="Q188" s="63">
        <f>V188*SUMPRODUCT(($B$2=Таблица2[Филиал])*($B$3=Таблица2[ФЕР/ТЕР])*(F188=Таблица2[Наименование работ])*(G188=Таблица2[ТПиР/НСиР])*Таблица2[Оборудование2013-10])</f>
        <v>0</v>
      </c>
      <c r="R188" s="63">
        <f>W188*SUMPRODUCT(($B$2=Таблица2[Филиал])*($B$3=Таблица2[ФЕР/ТЕР])*(F188=Таблица2[Наименование работ])*(G188=Таблица2[ТПиР/НСиР])*Таблица2[Прочие2013-10])</f>
        <v>0</v>
      </c>
      <c r="S188" s="63">
        <f>IF($B$4="в базовых ценах",калькулятор!J193,X188*SUMPRODUCT(($B$2=Таблица2[Филиал])*($B$3=Таблица2[ФЕР/ТЕР])*(F188=Таблица2[Наименование работ])*(G188=Таблица2[ТПиР/НСиР])/Таблица2[ПИР2013]))</f>
        <v>0</v>
      </c>
      <c r="T188" s="63">
        <f>IF($B$4="в базовых ценах",калькулятор!K193,Y188*SUMPRODUCT(($B$2=Таблица2[Филиал])*($B$3=Таблица2[ФЕР/ТЕР])*(F188=Таблица2[Наименование работ])*(G188=Таблица2[ТПиР/НСиР])/Таблица2[СМР2013]))</f>
        <v>0</v>
      </c>
      <c r="U188" s="63">
        <f>IF($B$4="в базовых ценах",калькулятор!L193,Z188*SUMPRODUCT(($B$2=Таблица2[Филиал])*($B$3=Таблица2[ФЕР/ТЕР])*(F188=Таблица2[Наименование работ])*(G188=Таблица2[ТПиР/НСиР])/Таблица2[ПНР2013]))</f>
        <v>0</v>
      </c>
      <c r="V188" s="63">
        <f>IF($B$4="в базовых ценах",калькулятор!M193,AA188*SUMPRODUCT(($B$2=Таблица2[Филиал])*($B$3=Таблица2[ФЕР/ТЕР])*(F188=Таблица2[Наименование работ])*(G188=Таблица2[ТПиР/НСиР])/Таблица2[Оборудование2013]))</f>
        <v>0</v>
      </c>
      <c r="W188" s="63">
        <f>IF($B$4="в базовых ценах",калькулятор!N193,AB188*SUMPRODUCT(($B$2=Таблица2[Филиал])*($B$3=Таблица2[ФЕР/ТЕР])*(F188=Таблица2[Наименование работ])*(G188=Таблица2[ТПиР/НСиР])/Таблица2[Прочие3]))</f>
        <v>0</v>
      </c>
      <c r="X188" s="63">
        <f>IF($B$4="в текущих ценах",калькулятор!J193,S188*SUMPRODUCT(($B$2=Таблица2[Филиал])*($B$3=Таблица2[ФЕР/ТЕР])*(F188=Таблица2[Наименование работ])*(G188=Таблица2[ТПиР/НСиР])*Таблица2[ПИР2013]))</f>
        <v>0</v>
      </c>
      <c r="Y188" s="63">
        <f>IF($B$4="в текущих ценах",калькулятор!K193,T188*SUMPRODUCT(($B$2=Таблица2[Филиал])*($B$3=Таблица2[ФЕР/ТЕР])*(F188=Таблица2[Наименование работ])*(G188=Таблица2[ТПиР/НСиР])*Таблица2[СМР2013]))</f>
        <v>0</v>
      </c>
      <c r="Z188" s="63">
        <f>IF($B$4="в текущих ценах",калькулятор!L193,U188*SUMPRODUCT(($B$2=Таблица2[Филиал])*($B$3=Таблица2[ФЕР/ТЕР])*(F188=Таблица2[Наименование работ])*(G188=Таблица2[ТПиР/НСиР])*Таблица2[ПНР2013]))</f>
        <v>0</v>
      </c>
      <c r="AA188" s="63">
        <f>IF($B$4="в текущих ценах",калькулятор!M193,V188*SUMPRODUCT(($B$2=Таблица2[Филиал])*($B$3=Таблица2[ФЕР/ТЕР])*(F188=Таблица2[Наименование работ])*(G188=Таблица2[ТПиР/НСиР])*Таблица2[Оборудование2013]))</f>
        <v>0</v>
      </c>
      <c r="AB188" s="63">
        <f>IF($B$4="в текущих ценах",калькулятор!N193,W188*SUMPRODUCT(($B$2=Таблица2[Филиал])*($B$3=Таблица2[ФЕР/ТЕР])*(F188=Таблица2[Наименование работ])*(G188=Таблица2[ТПиР/НСиР])*Таблица2[Прочие3]))</f>
        <v>0</v>
      </c>
      <c r="AC188" s="63">
        <f>SUM(данные!$I188:$M188)</f>
        <v>0</v>
      </c>
      <c r="AD188" s="63">
        <f>IF(SUM(данные!$N188:$R188)&gt;данные!$AF188,данные!$AF188*0.9*1.058,SUM(данные!$N188:$R188))</f>
        <v>0</v>
      </c>
      <c r="AE188" s="63">
        <f>SUM(данные!$S188:$W188)</f>
        <v>0</v>
      </c>
      <c r="AF188" s="63">
        <f>SUM(данные!$X188:$AB188)</f>
        <v>0</v>
      </c>
      <c r="AG188" s="63">
        <f>IF($B$4="в текущих ценах",S188*SUMPRODUCT(($B$2=Таблица2[Филиал])*($B$3=Таблица2[ФЕР/ТЕР])*(F188=Таблица2[Наименование работ])*(G188=Таблица2[ТПиР/НСиР])*Таблица2[ПИР2012]),S188*SUMPRODUCT(($B$2=Таблица2[Филиал])*($B$3=Таблица2[ФЕР/ТЕР])*(F188=Таблица2[Наименование работ])*(G188=Таблица2[ТПиР/НСиР])*Таблица2[ПИР2012]))</f>
        <v>0</v>
      </c>
      <c r="AH188" s="63">
        <f>IF($B$4="в текущих ценах",T188*SUMPRODUCT(($B$2=Таблица2[Филиал])*($B$3=Таблица2[ФЕР/ТЕР])*(F188=Таблица2[Наименование работ])*(G188=Таблица2[ТПиР/НСиР])*Таблица2[СМР2012]),T188*SUMPRODUCT(($B$2=Таблица2[Филиал])*($B$3=Таблица2[ФЕР/ТЕР])*(F188=Таблица2[Наименование работ])*(G188=Таблица2[ТПиР/НСиР])*Таблица2[СМР2012]))</f>
        <v>0</v>
      </c>
      <c r="AI188" s="63">
        <f>IF($B$4="в текущих ценах",U188*SUMPRODUCT(($B$2=Таблица2[Филиал])*($B$3=Таблица2[ФЕР/ТЕР])*(F188=Таблица2[Наименование работ])*(G188=Таблица2[ТПиР/НСиР])*Таблица2[ПНР2012]),U188*SUMPRODUCT(($B$2=Таблица2[Филиал])*($B$3=Таблица2[ФЕР/ТЕР])*(F188=Таблица2[Наименование работ])*(G188=Таблица2[ТПиР/НСиР])*Таблица2[ПНР2012]))</f>
        <v>0</v>
      </c>
      <c r="AJ188" s="63">
        <f>IF($B$4="в текущих ценах",V188*SUMPRODUCT(($B$2=Таблица2[Филиал])*($B$3=Таблица2[ФЕР/ТЕР])*(F188=Таблица2[Наименование работ])*(G188=Таблица2[ТПиР/НСиР])*Таблица2[Оборудование2012]),V188*SUMPRODUCT(($B$2=Таблица2[Филиал])*($B$3=Таблица2[ФЕР/ТЕР])*(F188=Таблица2[Наименование работ])*(G188=Таблица2[ТПиР/НСиР])*Таблица2[Оборудование2012]))</f>
        <v>0</v>
      </c>
      <c r="AK188" s="63">
        <f>IF($B$4="в текущих ценах",W188*SUMPRODUCT(($B$2=Таблица2[Филиал])*($B$3=Таблица2[ФЕР/ТЕР])*(F188=Таблица2[Наименование работ])*(G188=Таблица2[ТПиР/НСиР])*Таблица2[Прочее2012]),W188*SUMPRODUCT(($B$2=Таблица2[Филиал])*($B$3=Таблица2[ФЕР/ТЕР])*(F188=Таблица2[Наименование работ])*(G188=Таблица2[ТПиР/НСиР])*Таблица2[Прочее2012]))</f>
        <v>0</v>
      </c>
      <c r="AL188" s="63">
        <f>данные!$X188+данные!$Y188+данные!$Z188+данные!$AA188+данные!$AB188</f>
        <v>0</v>
      </c>
      <c r="AM188" s="63">
        <v>1.03639035</v>
      </c>
      <c r="AN188" s="63">
        <v>1.0114049394</v>
      </c>
      <c r="AO188" s="63">
        <v>0.98210394336149998</v>
      </c>
      <c r="AP188" s="63">
        <v>0.93762413895893393</v>
      </c>
      <c r="AQ188" s="63"/>
      <c r="AR188" s="63"/>
      <c r="AS188" s="64"/>
      <c r="AU188" s="66">
        <f t="shared" si="12"/>
        <v>0</v>
      </c>
      <c r="AX188" s="66">
        <f t="shared" si="13"/>
        <v>0</v>
      </c>
      <c r="AY188" s="66">
        <f t="shared" si="14"/>
        <v>0</v>
      </c>
      <c r="AZ188" s="66">
        <f t="shared" si="15"/>
        <v>0</v>
      </c>
      <c r="BA188" s="66">
        <f t="shared" si="16"/>
        <v>0</v>
      </c>
      <c r="BB188" s="66">
        <f t="shared" si="17"/>
        <v>0</v>
      </c>
    </row>
    <row r="189" spans="4:54" x14ac:dyDescent="0.25">
      <c r="D189" s="62">
        <f>калькулятор!C194</f>
        <v>0</v>
      </c>
      <c r="E189" s="62">
        <f>калькулятор!F194</f>
        <v>0</v>
      </c>
      <c r="F189" s="62">
        <f>калькулятор!G194</f>
        <v>0</v>
      </c>
      <c r="G189" s="62">
        <f>калькулятор!H194</f>
        <v>0</v>
      </c>
      <c r="H189" s="62">
        <f>калькулятор!I194</f>
        <v>0</v>
      </c>
      <c r="I189" s="63">
        <f>S189*SUMPRODUCT(($B$2=Таблица2[Филиал])*($B$3=Таблица2[ФЕР/ТЕР])*(F189=Таблица2[Наименование работ])*(G189=Таблица2[ТПиР/НСиР])*Таблица2[ПИР2010])</f>
        <v>0</v>
      </c>
      <c r="J189" s="63">
        <f>T189*SUMPRODUCT(($B$2=Таблица2[Филиал])*($B$3=Таблица2[ФЕР/ТЕР])*(F189=Таблица2[Наименование работ])*(G189=Таблица2[ТПиР/НСиР])*Таблица2[СМР2010])</f>
        <v>0</v>
      </c>
      <c r="K189" s="63">
        <f>U189*SUMPRODUCT(($B$2=Таблица2[Филиал])*($B$3=Таблица2[ФЕР/ТЕР])*(F189=Таблица2[Наименование работ])*(G189=Таблица2[ТПиР/НСиР])*Таблица2[ПНР2010])</f>
        <v>0</v>
      </c>
      <c r="L189" s="63">
        <f>V189*SUMPRODUCT(($B$2=Таблица2[Филиал])*($B$3=Таблица2[ФЕР/ТЕР])*(F189=Таблица2[Наименование работ])*(G189=Таблица2[ТПиР/НСиР])*Таблица2[Оборудование2010])</f>
        <v>0</v>
      </c>
      <c r="M189" s="63">
        <f>W189*SUMPRODUCT(($B$2=Таблица2[Филиал])*($B$3=Таблица2[ФЕР/ТЕР])*(F189=Таблица2[Наименование работ])*(G189=Таблица2[ТПиР/НСиР])*Таблица2[Прочие2010])</f>
        <v>0</v>
      </c>
      <c r="N189" s="63">
        <f>S189*SUMPRODUCT(($B$2=Таблица2[Филиал])*($B$3=Таблица2[ФЕР/ТЕР])*(F189=Таблица2[Наименование работ])*(G189=Таблица2[ТПиР/НСиР])*Таблица2[ПИР2013-10])</f>
        <v>0</v>
      </c>
      <c r="O189" s="63">
        <f>T189*SUMPRODUCT(($B$2=Таблица2[Филиал])*($B$3=Таблица2[ФЕР/ТЕР])*(F189=Таблица2[Наименование работ])*(G189=Таблица2[ТПиР/НСиР])*Таблица2[СМР2013-10])</f>
        <v>0</v>
      </c>
      <c r="P189" s="63">
        <f>U189*SUMPRODUCT(($B$2=Таблица2[Филиал])*($B$3=Таблица2[ФЕР/ТЕР])*(F189=Таблица2[Наименование работ])*(G189=Таблица2[ТПиР/НСиР])*Таблица2[ПНР2013-10])</f>
        <v>0</v>
      </c>
      <c r="Q189" s="63">
        <f>V189*SUMPRODUCT(($B$2=Таблица2[Филиал])*($B$3=Таблица2[ФЕР/ТЕР])*(F189=Таблица2[Наименование работ])*(G189=Таблица2[ТПиР/НСиР])*Таблица2[Оборудование2013-10])</f>
        <v>0</v>
      </c>
      <c r="R189" s="63">
        <f>W189*SUMPRODUCT(($B$2=Таблица2[Филиал])*($B$3=Таблица2[ФЕР/ТЕР])*(F189=Таблица2[Наименование работ])*(G189=Таблица2[ТПиР/НСиР])*Таблица2[Прочие2013-10])</f>
        <v>0</v>
      </c>
      <c r="S189" s="63">
        <f>IF($B$4="в базовых ценах",калькулятор!J194,X189*SUMPRODUCT(($B$2=Таблица2[Филиал])*($B$3=Таблица2[ФЕР/ТЕР])*(F189=Таблица2[Наименование работ])*(G189=Таблица2[ТПиР/НСиР])/Таблица2[ПИР2013]))</f>
        <v>0</v>
      </c>
      <c r="T189" s="63">
        <f>IF($B$4="в базовых ценах",калькулятор!K194,Y189*SUMPRODUCT(($B$2=Таблица2[Филиал])*($B$3=Таблица2[ФЕР/ТЕР])*(F189=Таблица2[Наименование работ])*(G189=Таблица2[ТПиР/НСиР])/Таблица2[СМР2013]))</f>
        <v>0</v>
      </c>
      <c r="U189" s="63">
        <f>IF($B$4="в базовых ценах",калькулятор!L194,Z189*SUMPRODUCT(($B$2=Таблица2[Филиал])*($B$3=Таблица2[ФЕР/ТЕР])*(F189=Таблица2[Наименование работ])*(G189=Таблица2[ТПиР/НСиР])/Таблица2[ПНР2013]))</f>
        <v>0</v>
      </c>
      <c r="V189" s="63">
        <f>IF($B$4="в базовых ценах",калькулятор!M194,AA189*SUMPRODUCT(($B$2=Таблица2[Филиал])*($B$3=Таблица2[ФЕР/ТЕР])*(F189=Таблица2[Наименование работ])*(G189=Таблица2[ТПиР/НСиР])/Таблица2[Оборудование2013]))</f>
        <v>0</v>
      </c>
      <c r="W189" s="63">
        <f>IF($B$4="в базовых ценах",калькулятор!N194,AB189*SUMPRODUCT(($B$2=Таблица2[Филиал])*($B$3=Таблица2[ФЕР/ТЕР])*(F189=Таблица2[Наименование работ])*(G189=Таблица2[ТПиР/НСиР])/Таблица2[Прочие3]))</f>
        <v>0</v>
      </c>
      <c r="X189" s="63">
        <f>IF($B$4="в текущих ценах",калькулятор!J194,S189*SUMPRODUCT(($B$2=Таблица2[Филиал])*($B$3=Таблица2[ФЕР/ТЕР])*(F189=Таблица2[Наименование работ])*(G189=Таблица2[ТПиР/НСиР])*Таблица2[ПИР2013]))</f>
        <v>0</v>
      </c>
      <c r="Y189" s="63">
        <f>IF($B$4="в текущих ценах",калькулятор!K194,T189*SUMPRODUCT(($B$2=Таблица2[Филиал])*($B$3=Таблица2[ФЕР/ТЕР])*(F189=Таблица2[Наименование работ])*(G189=Таблица2[ТПиР/НСиР])*Таблица2[СМР2013]))</f>
        <v>0</v>
      </c>
      <c r="Z189" s="63">
        <f>IF($B$4="в текущих ценах",калькулятор!L194,U189*SUMPRODUCT(($B$2=Таблица2[Филиал])*($B$3=Таблица2[ФЕР/ТЕР])*(F189=Таблица2[Наименование работ])*(G189=Таблица2[ТПиР/НСиР])*Таблица2[ПНР2013]))</f>
        <v>0</v>
      </c>
      <c r="AA189" s="63">
        <f>IF($B$4="в текущих ценах",калькулятор!M194,V189*SUMPRODUCT(($B$2=Таблица2[Филиал])*($B$3=Таблица2[ФЕР/ТЕР])*(F189=Таблица2[Наименование работ])*(G189=Таблица2[ТПиР/НСиР])*Таблица2[Оборудование2013]))</f>
        <v>0</v>
      </c>
      <c r="AB189" s="63">
        <f>IF($B$4="в текущих ценах",калькулятор!N194,W189*SUMPRODUCT(($B$2=Таблица2[Филиал])*($B$3=Таблица2[ФЕР/ТЕР])*(F189=Таблица2[Наименование работ])*(G189=Таблица2[ТПиР/НСиР])*Таблица2[Прочие3]))</f>
        <v>0</v>
      </c>
      <c r="AC189" s="63">
        <f>SUM(данные!$I189:$M189)</f>
        <v>0</v>
      </c>
      <c r="AD189" s="63">
        <f>IF(SUM(данные!$N189:$R189)&gt;данные!$AF189,данные!$AF189*0.9*1.058,SUM(данные!$N189:$R189))</f>
        <v>0</v>
      </c>
      <c r="AE189" s="63">
        <f>SUM(данные!$S189:$W189)</f>
        <v>0</v>
      </c>
      <c r="AF189" s="63">
        <f>SUM(данные!$X189:$AB189)</f>
        <v>0</v>
      </c>
      <c r="AG189" s="63">
        <f>IF($B$4="в текущих ценах",S189*SUMPRODUCT(($B$2=Таблица2[Филиал])*($B$3=Таблица2[ФЕР/ТЕР])*(F189=Таблица2[Наименование работ])*(G189=Таблица2[ТПиР/НСиР])*Таблица2[ПИР2012]),S189*SUMPRODUCT(($B$2=Таблица2[Филиал])*($B$3=Таблица2[ФЕР/ТЕР])*(F189=Таблица2[Наименование работ])*(G189=Таблица2[ТПиР/НСиР])*Таблица2[ПИР2012]))</f>
        <v>0</v>
      </c>
      <c r="AH189" s="63">
        <f>IF($B$4="в текущих ценах",T189*SUMPRODUCT(($B$2=Таблица2[Филиал])*($B$3=Таблица2[ФЕР/ТЕР])*(F189=Таблица2[Наименование работ])*(G189=Таблица2[ТПиР/НСиР])*Таблица2[СМР2012]),T189*SUMPRODUCT(($B$2=Таблица2[Филиал])*($B$3=Таблица2[ФЕР/ТЕР])*(F189=Таблица2[Наименование работ])*(G189=Таблица2[ТПиР/НСиР])*Таблица2[СМР2012]))</f>
        <v>0</v>
      </c>
      <c r="AI189" s="63">
        <f>IF($B$4="в текущих ценах",U189*SUMPRODUCT(($B$2=Таблица2[Филиал])*($B$3=Таблица2[ФЕР/ТЕР])*(F189=Таблица2[Наименование работ])*(G189=Таблица2[ТПиР/НСиР])*Таблица2[ПНР2012]),U189*SUMPRODUCT(($B$2=Таблица2[Филиал])*($B$3=Таблица2[ФЕР/ТЕР])*(F189=Таблица2[Наименование работ])*(G189=Таблица2[ТПиР/НСиР])*Таблица2[ПНР2012]))</f>
        <v>0</v>
      </c>
      <c r="AJ189" s="63">
        <f>IF($B$4="в текущих ценах",V189*SUMPRODUCT(($B$2=Таблица2[Филиал])*($B$3=Таблица2[ФЕР/ТЕР])*(F189=Таблица2[Наименование работ])*(G189=Таблица2[ТПиР/НСиР])*Таблица2[Оборудование2012]),V189*SUMPRODUCT(($B$2=Таблица2[Филиал])*($B$3=Таблица2[ФЕР/ТЕР])*(F189=Таблица2[Наименование работ])*(G189=Таблица2[ТПиР/НСиР])*Таблица2[Оборудование2012]))</f>
        <v>0</v>
      </c>
      <c r="AK189" s="63">
        <f>IF($B$4="в текущих ценах",W189*SUMPRODUCT(($B$2=Таблица2[Филиал])*($B$3=Таблица2[ФЕР/ТЕР])*(F189=Таблица2[Наименование работ])*(G189=Таблица2[ТПиР/НСиР])*Таблица2[Прочее2012]),W189*SUMPRODUCT(($B$2=Таблица2[Филиал])*($B$3=Таблица2[ФЕР/ТЕР])*(F189=Таблица2[Наименование работ])*(G189=Таблица2[ТПиР/НСиР])*Таблица2[Прочее2012]))</f>
        <v>0</v>
      </c>
      <c r="AL189" s="63">
        <f>данные!$X189+данные!$Y189+данные!$Z189+данные!$AA189+данные!$AB189</f>
        <v>0</v>
      </c>
      <c r="AM189" s="63">
        <v>1.03639035</v>
      </c>
      <c r="AN189" s="63">
        <v>1.0114049394</v>
      </c>
      <c r="AO189" s="63">
        <v>0.98210394336149998</v>
      </c>
      <c r="AP189" s="63">
        <v>0.93762413895893393</v>
      </c>
      <c r="AQ189" s="63"/>
      <c r="AR189" s="63"/>
      <c r="AS189" s="64"/>
      <c r="AU189" s="66">
        <f t="shared" si="12"/>
        <v>0</v>
      </c>
      <c r="AX189" s="66">
        <f t="shared" si="13"/>
        <v>0</v>
      </c>
      <c r="AY189" s="66">
        <f t="shared" si="14"/>
        <v>0</v>
      </c>
      <c r="AZ189" s="66">
        <f t="shared" si="15"/>
        <v>0</v>
      </c>
      <c r="BA189" s="66">
        <f t="shared" si="16"/>
        <v>0</v>
      </c>
      <c r="BB189" s="66">
        <f t="shared" si="17"/>
        <v>0</v>
      </c>
    </row>
    <row r="190" spans="4:54" x14ac:dyDescent="0.25">
      <c r="D190" s="62">
        <f>калькулятор!C195</f>
        <v>0</v>
      </c>
      <c r="E190" s="62">
        <f>калькулятор!F195</f>
        <v>0</v>
      </c>
      <c r="F190" s="62">
        <f>калькулятор!G195</f>
        <v>0</v>
      </c>
      <c r="G190" s="62">
        <f>калькулятор!H195</f>
        <v>0</v>
      </c>
      <c r="H190" s="62">
        <f>калькулятор!I195</f>
        <v>0</v>
      </c>
      <c r="I190" s="63">
        <f>S190*SUMPRODUCT(($B$2=Таблица2[Филиал])*($B$3=Таблица2[ФЕР/ТЕР])*(F190=Таблица2[Наименование работ])*(G190=Таблица2[ТПиР/НСиР])*Таблица2[ПИР2010])</f>
        <v>0</v>
      </c>
      <c r="J190" s="63">
        <f>T190*SUMPRODUCT(($B$2=Таблица2[Филиал])*($B$3=Таблица2[ФЕР/ТЕР])*(F190=Таблица2[Наименование работ])*(G190=Таблица2[ТПиР/НСиР])*Таблица2[СМР2010])</f>
        <v>0</v>
      </c>
      <c r="K190" s="63">
        <f>U190*SUMPRODUCT(($B$2=Таблица2[Филиал])*($B$3=Таблица2[ФЕР/ТЕР])*(F190=Таблица2[Наименование работ])*(G190=Таблица2[ТПиР/НСиР])*Таблица2[ПНР2010])</f>
        <v>0</v>
      </c>
      <c r="L190" s="63">
        <f>V190*SUMPRODUCT(($B$2=Таблица2[Филиал])*($B$3=Таблица2[ФЕР/ТЕР])*(F190=Таблица2[Наименование работ])*(G190=Таблица2[ТПиР/НСиР])*Таблица2[Оборудование2010])</f>
        <v>0</v>
      </c>
      <c r="M190" s="63">
        <f>W190*SUMPRODUCT(($B$2=Таблица2[Филиал])*($B$3=Таблица2[ФЕР/ТЕР])*(F190=Таблица2[Наименование работ])*(G190=Таблица2[ТПиР/НСиР])*Таблица2[Прочие2010])</f>
        <v>0</v>
      </c>
      <c r="N190" s="63">
        <f>S190*SUMPRODUCT(($B$2=Таблица2[Филиал])*($B$3=Таблица2[ФЕР/ТЕР])*(F190=Таблица2[Наименование работ])*(G190=Таблица2[ТПиР/НСиР])*Таблица2[ПИР2013-10])</f>
        <v>0</v>
      </c>
      <c r="O190" s="63">
        <f>T190*SUMPRODUCT(($B$2=Таблица2[Филиал])*($B$3=Таблица2[ФЕР/ТЕР])*(F190=Таблица2[Наименование работ])*(G190=Таблица2[ТПиР/НСиР])*Таблица2[СМР2013-10])</f>
        <v>0</v>
      </c>
      <c r="P190" s="63">
        <f>U190*SUMPRODUCT(($B$2=Таблица2[Филиал])*($B$3=Таблица2[ФЕР/ТЕР])*(F190=Таблица2[Наименование работ])*(G190=Таблица2[ТПиР/НСиР])*Таблица2[ПНР2013-10])</f>
        <v>0</v>
      </c>
      <c r="Q190" s="63">
        <f>V190*SUMPRODUCT(($B$2=Таблица2[Филиал])*($B$3=Таблица2[ФЕР/ТЕР])*(F190=Таблица2[Наименование работ])*(G190=Таблица2[ТПиР/НСиР])*Таблица2[Оборудование2013-10])</f>
        <v>0</v>
      </c>
      <c r="R190" s="63">
        <f>W190*SUMPRODUCT(($B$2=Таблица2[Филиал])*($B$3=Таблица2[ФЕР/ТЕР])*(F190=Таблица2[Наименование работ])*(G190=Таблица2[ТПиР/НСиР])*Таблица2[Прочие2013-10])</f>
        <v>0</v>
      </c>
      <c r="S190" s="63">
        <f>IF($B$4="в базовых ценах",калькулятор!J195,X190*SUMPRODUCT(($B$2=Таблица2[Филиал])*($B$3=Таблица2[ФЕР/ТЕР])*(F190=Таблица2[Наименование работ])*(G190=Таблица2[ТПиР/НСиР])/Таблица2[ПИР2013]))</f>
        <v>0</v>
      </c>
      <c r="T190" s="63">
        <f>IF($B$4="в базовых ценах",калькулятор!K195,Y190*SUMPRODUCT(($B$2=Таблица2[Филиал])*($B$3=Таблица2[ФЕР/ТЕР])*(F190=Таблица2[Наименование работ])*(G190=Таблица2[ТПиР/НСиР])/Таблица2[СМР2013]))</f>
        <v>0</v>
      </c>
      <c r="U190" s="63">
        <f>IF($B$4="в базовых ценах",калькулятор!L195,Z190*SUMPRODUCT(($B$2=Таблица2[Филиал])*($B$3=Таблица2[ФЕР/ТЕР])*(F190=Таблица2[Наименование работ])*(G190=Таблица2[ТПиР/НСиР])/Таблица2[ПНР2013]))</f>
        <v>0</v>
      </c>
      <c r="V190" s="63">
        <f>IF($B$4="в базовых ценах",калькулятор!M195,AA190*SUMPRODUCT(($B$2=Таблица2[Филиал])*($B$3=Таблица2[ФЕР/ТЕР])*(F190=Таблица2[Наименование работ])*(G190=Таблица2[ТПиР/НСиР])/Таблица2[Оборудование2013]))</f>
        <v>0</v>
      </c>
      <c r="W190" s="63">
        <f>IF($B$4="в базовых ценах",калькулятор!N195,AB190*SUMPRODUCT(($B$2=Таблица2[Филиал])*($B$3=Таблица2[ФЕР/ТЕР])*(F190=Таблица2[Наименование работ])*(G190=Таблица2[ТПиР/НСиР])/Таблица2[Прочие3]))</f>
        <v>0</v>
      </c>
      <c r="X190" s="63">
        <f>IF($B$4="в текущих ценах",калькулятор!J195,S190*SUMPRODUCT(($B$2=Таблица2[Филиал])*($B$3=Таблица2[ФЕР/ТЕР])*(F190=Таблица2[Наименование работ])*(G190=Таблица2[ТПиР/НСиР])*Таблица2[ПИР2013]))</f>
        <v>0</v>
      </c>
      <c r="Y190" s="63">
        <f>IF($B$4="в текущих ценах",калькулятор!K195,T190*SUMPRODUCT(($B$2=Таблица2[Филиал])*($B$3=Таблица2[ФЕР/ТЕР])*(F190=Таблица2[Наименование работ])*(G190=Таблица2[ТПиР/НСиР])*Таблица2[СМР2013]))</f>
        <v>0</v>
      </c>
      <c r="Z190" s="63">
        <f>IF($B$4="в текущих ценах",калькулятор!L195,U190*SUMPRODUCT(($B$2=Таблица2[Филиал])*($B$3=Таблица2[ФЕР/ТЕР])*(F190=Таблица2[Наименование работ])*(G190=Таблица2[ТПиР/НСиР])*Таблица2[ПНР2013]))</f>
        <v>0</v>
      </c>
      <c r="AA190" s="63">
        <f>IF($B$4="в текущих ценах",калькулятор!M195,V190*SUMPRODUCT(($B$2=Таблица2[Филиал])*($B$3=Таблица2[ФЕР/ТЕР])*(F190=Таблица2[Наименование работ])*(G190=Таблица2[ТПиР/НСиР])*Таблица2[Оборудование2013]))</f>
        <v>0</v>
      </c>
      <c r="AB190" s="63">
        <f>IF($B$4="в текущих ценах",калькулятор!N195,W190*SUMPRODUCT(($B$2=Таблица2[Филиал])*($B$3=Таблица2[ФЕР/ТЕР])*(F190=Таблица2[Наименование работ])*(G190=Таблица2[ТПиР/НСиР])*Таблица2[Прочие3]))</f>
        <v>0</v>
      </c>
      <c r="AC190" s="63">
        <f>SUM(данные!$I190:$M190)</f>
        <v>0</v>
      </c>
      <c r="AD190" s="63">
        <f>IF(SUM(данные!$N190:$R190)&gt;данные!$AF190,данные!$AF190*0.9*1.058,SUM(данные!$N190:$R190))</f>
        <v>0</v>
      </c>
      <c r="AE190" s="63">
        <f>SUM(данные!$S190:$W190)</f>
        <v>0</v>
      </c>
      <c r="AF190" s="63">
        <f>SUM(данные!$X190:$AB190)</f>
        <v>0</v>
      </c>
      <c r="AG190" s="63">
        <f>IF($B$4="в текущих ценах",S190*SUMPRODUCT(($B$2=Таблица2[Филиал])*($B$3=Таблица2[ФЕР/ТЕР])*(F190=Таблица2[Наименование работ])*(G190=Таблица2[ТПиР/НСиР])*Таблица2[ПИР2012]),S190*SUMPRODUCT(($B$2=Таблица2[Филиал])*($B$3=Таблица2[ФЕР/ТЕР])*(F190=Таблица2[Наименование работ])*(G190=Таблица2[ТПиР/НСиР])*Таблица2[ПИР2012]))</f>
        <v>0</v>
      </c>
      <c r="AH190" s="63">
        <f>IF($B$4="в текущих ценах",T190*SUMPRODUCT(($B$2=Таблица2[Филиал])*($B$3=Таблица2[ФЕР/ТЕР])*(F190=Таблица2[Наименование работ])*(G190=Таблица2[ТПиР/НСиР])*Таблица2[СМР2012]),T190*SUMPRODUCT(($B$2=Таблица2[Филиал])*($B$3=Таблица2[ФЕР/ТЕР])*(F190=Таблица2[Наименование работ])*(G190=Таблица2[ТПиР/НСиР])*Таблица2[СМР2012]))</f>
        <v>0</v>
      </c>
      <c r="AI190" s="63">
        <f>IF($B$4="в текущих ценах",U190*SUMPRODUCT(($B$2=Таблица2[Филиал])*($B$3=Таблица2[ФЕР/ТЕР])*(F190=Таблица2[Наименование работ])*(G190=Таблица2[ТПиР/НСиР])*Таблица2[ПНР2012]),U190*SUMPRODUCT(($B$2=Таблица2[Филиал])*($B$3=Таблица2[ФЕР/ТЕР])*(F190=Таблица2[Наименование работ])*(G190=Таблица2[ТПиР/НСиР])*Таблица2[ПНР2012]))</f>
        <v>0</v>
      </c>
      <c r="AJ190" s="63">
        <f>IF($B$4="в текущих ценах",V190*SUMPRODUCT(($B$2=Таблица2[Филиал])*($B$3=Таблица2[ФЕР/ТЕР])*(F190=Таблица2[Наименование работ])*(G190=Таблица2[ТПиР/НСиР])*Таблица2[Оборудование2012]),V190*SUMPRODUCT(($B$2=Таблица2[Филиал])*($B$3=Таблица2[ФЕР/ТЕР])*(F190=Таблица2[Наименование работ])*(G190=Таблица2[ТПиР/НСиР])*Таблица2[Оборудование2012]))</f>
        <v>0</v>
      </c>
      <c r="AK190" s="63">
        <f>IF($B$4="в текущих ценах",W190*SUMPRODUCT(($B$2=Таблица2[Филиал])*($B$3=Таблица2[ФЕР/ТЕР])*(F190=Таблица2[Наименование работ])*(G190=Таблица2[ТПиР/НСиР])*Таблица2[Прочее2012]),W190*SUMPRODUCT(($B$2=Таблица2[Филиал])*($B$3=Таблица2[ФЕР/ТЕР])*(F190=Таблица2[Наименование работ])*(G190=Таблица2[ТПиР/НСиР])*Таблица2[Прочее2012]))</f>
        <v>0</v>
      </c>
      <c r="AL190" s="63">
        <f>данные!$X190+данные!$Y190+данные!$Z190+данные!$AA190+данные!$AB190</f>
        <v>0</v>
      </c>
      <c r="AM190" s="63">
        <v>1.03639035</v>
      </c>
      <c r="AN190" s="63">
        <v>1.0114049394</v>
      </c>
      <c r="AO190" s="63">
        <v>0.98210394336149998</v>
      </c>
      <c r="AP190" s="63">
        <v>0.93762413895893393</v>
      </c>
      <c r="AQ190" s="63"/>
      <c r="AR190" s="63"/>
      <c r="AS190" s="64"/>
      <c r="AU190" s="66">
        <f t="shared" si="12"/>
        <v>0</v>
      </c>
      <c r="AX190" s="66">
        <f t="shared" si="13"/>
        <v>0</v>
      </c>
      <c r="AY190" s="66">
        <f t="shared" si="14"/>
        <v>0</v>
      </c>
      <c r="AZ190" s="66">
        <f t="shared" si="15"/>
        <v>0</v>
      </c>
      <c r="BA190" s="66">
        <f t="shared" si="16"/>
        <v>0</v>
      </c>
      <c r="BB190" s="66">
        <f t="shared" si="17"/>
        <v>0</v>
      </c>
    </row>
    <row r="191" spans="4:54" x14ac:dyDescent="0.25">
      <c r="D191" s="62">
        <f>калькулятор!C196</f>
        <v>0</v>
      </c>
      <c r="E191" s="62">
        <f>калькулятор!F196</f>
        <v>0</v>
      </c>
      <c r="F191" s="62">
        <f>калькулятор!G196</f>
        <v>0</v>
      </c>
      <c r="G191" s="62">
        <f>калькулятор!H196</f>
        <v>0</v>
      </c>
      <c r="H191" s="62">
        <f>калькулятор!I196</f>
        <v>0</v>
      </c>
      <c r="I191" s="63">
        <f>S191*SUMPRODUCT(($B$2=Таблица2[Филиал])*($B$3=Таблица2[ФЕР/ТЕР])*(F191=Таблица2[Наименование работ])*(G191=Таблица2[ТПиР/НСиР])*Таблица2[ПИР2010])</f>
        <v>0</v>
      </c>
      <c r="J191" s="63">
        <f>T191*SUMPRODUCT(($B$2=Таблица2[Филиал])*($B$3=Таблица2[ФЕР/ТЕР])*(F191=Таблица2[Наименование работ])*(G191=Таблица2[ТПиР/НСиР])*Таблица2[СМР2010])</f>
        <v>0</v>
      </c>
      <c r="K191" s="63">
        <f>U191*SUMPRODUCT(($B$2=Таблица2[Филиал])*($B$3=Таблица2[ФЕР/ТЕР])*(F191=Таблица2[Наименование работ])*(G191=Таблица2[ТПиР/НСиР])*Таблица2[ПНР2010])</f>
        <v>0</v>
      </c>
      <c r="L191" s="63">
        <f>V191*SUMPRODUCT(($B$2=Таблица2[Филиал])*($B$3=Таблица2[ФЕР/ТЕР])*(F191=Таблица2[Наименование работ])*(G191=Таблица2[ТПиР/НСиР])*Таблица2[Оборудование2010])</f>
        <v>0</v>
      </c>
      <c r="M191" s="63">
        <f>W191*SUMPRODUCT(($B$2=Таблица2[Филиал])*($B$3=Таблица2[ФЕР/ТЕР])*(F191=Таблица2[Наименование работ])*(G191=Таблица2[ТПиР/НСиР])*Таблица2[Прочие2010])</f>
        <v>0</v>
      </c>
      <c r="N191" s="63">
        <f>S191*SUMPRODUCT(($B$2=Таблица2[Филиал])*($B$3=Таблица2[ФЕР/ТЕР])*(F191=Таблица2[Наименование работ])*(G191=Таблица2[ТПиР/НСиР])*Таблица2[ПИР2013-10])</f>
        <v>0</v>
      </c>
      <c r="O191" s="63">
        <f>T191*SUMPRODUCT(($B$2=Таблица2[Филиал])*($B$3=Таблица2[ФЕР/ТЕР])*(F191=Таблица2[Наименование работ])*(G191=Таблица2[ТПиР/НСиР])*Таблица2[СМР2013-10])</f>
        <v>0</v>
      </c>
      <c r="P191" s="63">
        <f>U191*SUMPRODUCT(($B$2=Таблица2[Филиал])*($B$3=Таблица2[ФЕР/ТЕР])*(F191=Таблица2[Наименование работ])*(G191=Таблица2[ТПиР/НСиР])*Таблица2[ПНР2013-10])</f>
        <v>0</v>
      </c>
      <c r="Q191" s="63">
        <f>V191*SUMPRODUCT(($B$2=Таблица2[Филиал])*($B$3=Таблица2[ФЕР/ТЕР])*(F191=Таблица2[Наименование работ])*(G191=Таблица2[ТПиР/НСиР])*Таблица2[Оборудование2013-10])</f>
        <v>0</v>
      </c>
      <c r="R191" s="63">
        <f>W191*SUMPRODUCT(($B$2=Таблица2[Филиал])*($B$3=Таблица2[ФЕР/ТЕР])*(F191=Таблица2[Наименование работ])*(G191=Таблица2[ТПиР/НСиР])*Таблица2[Прочие2013-10])</f>
        <v>0</v>
      </c>
      <c r="S191" s="63">
        <f>IF($B$4="в базовых ценах",калькулятор!J196,X191*SUMPRODUCT(($B$2=Таблица2[Филиал])*($B$3=Таблица2[ФЕР/ТЕР])*(F191=Таблица2[Наименование работ])*(G191=Таблица2[ТПиР/НСиР])/Таблица2[ПИР2013]))</f>
        <v>0</v>
      </c>
      <c r="T191" s="63">
        <f>IF($B$4="в базовых ценах",калькулятор!K196,Y191*SUMPRODUCT(($B$2=Таблица2[Филиал])*($B$3=Таблица2[ФЕР/ТЕР])*(F191=Таблица2[Наименование работ])*(G191=Таблица2[ТПиР/НСиР])/Таблица2[СМР2013]))</f>
        <v>0</v>
      </c>
      <c r="U191" s="63">
        <f>IF($B$4="в базовых ценах",калькулятор!L196,Z191*SUMPRODUCT(($B$2=Таблица2[Филиал])*($B$3=Таблица2[ФЕР/ТЕР])*(F191=Таблица2[Наименование работ])*(G191=Таблица2[ТПиР/НСиР])/Таблица2[ПНР2013]))</f>
        <v>0</v>
      </c>
      <c r="V191" s="63">
        <f>IF($B$4="в базовых ценах",калькулятор!M196,AA191*SUMPRODUCT(($B$2=Таблица2[Филиал])*($B$3=Таблица2[ФЕР/ТЕР])*(F191=Таблица2[Наименование работ])*(G191=Таблица2[ТПиР/НСиР])/Таблица2[Оборудование2013]))</f>
        <v>0</v>
      </c>
      <c r="W191" s="63">
        <f>IF($B$4="в базовых ценах",калькулятор!N196,AB191*SUMPRODUCT(($B$2=Таблица2[Филиал])*($B$3=Таблица2[ФЕР/ТЕР])*(F191=Таблица2[Наименование работ])*(G191=Таблица2[ТПиР/НСиР])/Таблица2[Прочие3]))</f>
        <v>0</v>
      </c>
      <c r="X191" s="63">
        <f>IF($B$4="в текущих ценах",калькулятор!J196,S191*SUMPRODUCT(($B$2=Таблица2[Филиал])*($B$3=Таблица2[ФЕР/ТЕР])*(F191=Таблица2[Наименование работ])*(G191=Таблица2[ТПиР/НСиР])*Таблица2[ПИР2013]))</f>
        <v>0</v>
      </c>
      <c r="Y191" s="63">
        <f>IF($B$4="в текущих ценах",калькулятор!K196,T191*SUMPRODUCT(($B$2=Таблица2[Филиал])*($B$3=Таблица2[ФЕР/ТЕР])*(F191=Таблица2[Наименование работ])*(G191=Таблица2[ТПиР/НСиР])*Таблица2[СМР2013]))</f>
        <v>0</v>
      </c>
      <c r="Z191" s="63">
        <f>IF($B$4="в текущих ценах",калькулятор!L196,U191*SUMPRODUCT(($B$2=Таблица2[Филиал])*($B$3=Таблица2[ФЕР/ТЕР])*(F191=Таблица2[Наименование работ])*(G191=Таблица2[ТПиР/НСиР])*Таблица2[ПНР2013]))</f>
        <v>0</v>
      </c>
      <c r="AA191" s="63">
        <f>IF($B$4="в текущих ценах",калькулятор!M196,V191*SUMPRODUCT(($B$2=Таблица2[Филиал])*($B$3=Таблица2[ФЕР/ТЕР])*(F191=Таблица2[Наименование работ])*(G191=Таблица2[ТПиР/НСиР])*Таблица2[Оборудование2013]))</f>
        <v>0</v>
      </c>
      <c r="AB191" s="63">
        <f>IF($B$4="в текущих ценах",калькулятор!N196,W191*SUMPRODUCT(($B$2=Таблица2[Филиал])*($B$3=Таблица2[ФЕР/ТЕР])*(F191=Таблица2[Наименование работ])*(G191=Таблица2[ТПиР/НСиР])*Таблица2[Прочие3]))</f>
        <v>0</v>
      </c>
      <c r="AC191" s="63">
        <f>SUM(данные!$I191:$M191)</f>
        <v>0</v>
      </c>
      <c r="AD191" s="63">
        <f>IF(SUM(данные!$N191:$R191)&gt;данные!$AF191,данные!$AF191*0.9*1.058,SUM(данные!$N191:$R191))</f>
        <v>0</v>
      </c>
      <c r="AE191" s="63">
        <f>SUM(данные!$S191:$W191)</f>
        <v>0</v>
      </c>
      <c r="AF191" s="63">
        <f>SUM(данные!$X191:$AB191)</f>
        <v>0</v>
      </c>
      <c r="AG191" s="63">
        <f>IF($B$4="в текущих ценах",S191*SUMPRODUCT(($B$2=Таблица2[Филиал])*($B$3=Таблица2[ФЕР/ТЕР])*(F191=Таблица2[Наименование работ])*(G191=Таблица2[ТПиР/НСиР])*Таблица2[ПИР2012]),S191*SUMPRODUCT(($B$2=Таблица2[Филиал])*($B$3=Таблица2[ФЕР/ТЕР])*(F191=Таблица2[Наименование работ])*(G191=Таблица2[ТПиР/НСиР])*Таблица2[ПИР2012]))</f>
        <v>0</v>
      </c>
      <c r="AH191" s="63">
        <f>IF($B$4="в текущих ценах",T191*SUMPRODUCT(($B$2=Таблица2[Филиал])*($B$3=Таблица2[ФЕР/ТЕР])*(F191=Таблица2[Наименование работ])*(G191=Таблица2[ТПиР/НСиР])*Таблица2[СМР2012]),T191*SUMPRODUCT(($B$2=Таблица2[Филиал])*($B$3=Таблица2[ФЕР/ТЕР])*(F191=Таблица2[Наименование работ])*(G191=Таблица2[ТПиР/НСиР])*Таблица2[СМР2012]))</f>
        <v>0</v>
      </c>
      <c r="AI191" s="63">
        <f>IF($B$4="в текущих ценах",U191*SUMPRODUCT(($B$2=Таблица2[Филиал])*($B$3=Таблица2[ФЕР/ТЕР])*(F191=Таблица2[Наименование работ])*(G191=Таблица2[ТПиР/НСиР])*Таблица2[ПНР2012]),U191*SUMPRODUCT(($B$2=Таблица2[Филиал])*($B$3=Таблица2[ФЕР/ТЕР])*(F191=Таблица2[Наименование работ])*(G191=Таблица2[ТПиР/НСиР])*Таблица2[ПНР2012]))</f>
        <v>0</v>
      </c>
      <c r="AJ191" s="63">
        <f>IF($B$4="в текущих ценах",V191*SUMPRODUCT(($B$2=Таблица2[Филиал])*($B$3=Таблица2[ФЕР/ТЕР])*(F191=Таблица2[Наименование работ])*(G191=Таблица2[ТПиР/НСиР])*Таблица2[Оборудование2012]),V191*SUMPRODUCT(($B$2=Таблица2[Филиал])*($B$3=Таблица2[ФЕР/ТЕР])*(F191=Таблица2[Наименование работ])*(G191=Таблица2[ТПиР/НСиР])*Таблица2[Оборудование2012]))</f>
        <v>0</v>
      </c>
      <c r="AK191" s="63">
        <f>IF($B$4="в текущих ценах",W191*SUMPRODUCT(($B$2=Таблица2[Филиал])*($B$3=Таблица2[ФЕР/ТЕР])*(F191=Таблица2[Наименование работ])*(G191=Таблица2[ТПиР/НСиР])*Таблица2[Прочее2012]),W191*SUMPRODUCT(($B$2=Таблица2[Филиал])*($B$3=Таблица2[ФЕР/ТЕР])*(F191=Таблица2[Наименование работ])*(G191=Таблица2[ТПиР/НСиР])*Таблица2[Прочее2012]))</f>
        <v>0</v>
      </c>
      <c r="AL191" s="63">
        <f>данные!$X191+данные!$Y191+данные!$Z191+данные!$AA191+данные!$AB191</f>
        <v>0</v>
      </c>
      <c r="AM191" s="63">
        <v>1.03639035</v>
      </c>
      <c r="AN191" s="63">
        <v>1.0114049394</v>
      </c>
      <c r="AO191" s="63">
        <v>0.98210394336149998</v>
      </c>
      <c r="AP191" s="63">
        <v>0.93762413895893393</v>
      </c>
      <c r="AQ191" s="63"/>
      <c r="AR191" s="63"/>
      <c r="AS191" s="64"/>
      <c r="AU191" s="66">
        <f t="shared" si="12"/>
        <v>0</v>
      </c>
      <c r="AX191" s="66">
        <f t="shared" si="13"/>
        <v>0</v>
      </c>
      <c r="AY191" s="66">
        <f t="shared" si="14"/>
        <v>0</v>
      </c>
      <c r="AZ191" s="66">
        <f t="shared" si="15"/>
        <v>0</v>
      </c>
      <c r="BA191" s="66">
        <f t="shared" si="16"/>
        <v>0</v>
      </c>
      <c r="BB191" s="66">
        <f t="shared" si="17"/>
        <v>0</v>
      </c>
    </row>
    <row r="192" spans="4:54" x14ac:dyDescent="0.25">
      <c r="D192" s="62">
        <f>калькулятор!C197</f>
        <v>0</v>
      </c>
      <c r="E192" s="62">
        <f>калькулятор!F197</f>
        <v>0</v>
      </c>
      <c r="F192" s="62">
        <f>калькулятор!G197</f>
        <v>0</v>
      </c>
      <c r="G192" s="62">
        <f>калькулятор!H197</f>
        <v>0</v>
      </c>
      <c r="H192" s="62">
        <f>калькулятор!I197</f>
        <v>0</v>
      </c>
      <c r="I192" s="63">
        <f>S192*SUMPRODUCT(($B$2=Таблица2[Филиал])*($B$3=Таблица2[ФЕР/ТЕР])*(F192=Таблица2[Наименование работ])*(G192=Таблица2[ТПиР/НСиР])*Таблица2[ПИР2010])</f>
        <v>0</v>
      </c>
      <c r="J192" s="63">
        <f>T192*SUMPRODUCT(($B$2=Таблица2[Филиал])*($B$3=Таблица2[ФЕР/ТЕР])*(F192=Таблица2[Наименование работ])*(G192=Таблица2[ТПиР/НСиР])*Таблица2[СМР2010])</f>
        <v>0</v>
      </c>
      <c r="K192" s="63">
        <f>U192*SUMPRODUCT(($B$2=Таблица2[Филиал])*($B$3=Таблица2[ФЕР/ТЕР])*(F192=Таблица2[Наименование работ])*(G192=Таблица2[ТПиР/НСиР])*Таблица2[ПНР2010])</f>
        <v>0</v>
      </c>
      <c r="L192" s="63">
        <f>V192*SUMPRODUCT(($B$2=Таблица2[Филиал])*($B$3=Таблица2[ФЕР/ТЕР])*(F192=Таблица2[Наименование работ])*(G192=Таблица2[ТПиР/НСиР])*Таблица2[Оборудование2010])</f>
        <v>0</v>
      </c>
      <c r="M192" s="63">
        <f>W192*SUMPRODUCT(($B$2=Таблица2[Филиал])*($B$3=Таблица2[ФЕР/ТЕР])*(F192=Таблица2[Наименование работ])*(G192=Таблица2[ТПиР/НСиР])*Таблица2[Прочие2010])</f>
        <v>0</v>
      </c>
      <c r="N192" s="63">
        <f>S192*SUMPRODUCT(($B$2=Таблица2[Филиал])*($B$3=Таблица2[ФЕР/ТЕР])*(F192=Таблица2[Наименование работ])*(G192=Таблица2[ТПиР/НСиР])*Таблица2[ПИР2013-10])</f>
        <v>0</v>
      </c>
      <c r="O192" s="63">
        <f>T192*SUMPRODUCT(($B$2=Таблица2[Филиал])*($B$3=Таблица2[ФЕР/ТЕР])*(F192=Таблица2[Наименование работ])*(G192=Таблица2[ТПиР/НСиР])*Таблица2[СМР2013-10])</f>
        <v>0</v>
      </c>
      <c r="P192" s="63">
        <f>U192*SUMPRODUCT(($B$2=Таблица2[Филиал])*($B$3=Таблица2[ФЕР/ТЕР])*(F192=Таблица2[Наименование работ])*(G192=Таблица2[ТПиР/НСиР])*Таблица2[ПНР2013-10])</f>
        <v>0</v>
      </c>
      <c r="Q192" s="63">
        <f>V192*SUMPRODUCT(($B$2=Таблица2[Филиал])*($B$3=Таблица2[ФЕР/ТЕР])*(F192=Таблица2[Наименование работ])*(G192=Таблица2[ТПиР/НСиР])*Таблица2[Оборудование2013-10])</f>
        <v>0</v>
      </c>
      <c r="R192" s="63">
        <f>W192*SUMPRODUCT(($B$2=Таблица2[Филиал])*($B$3=Таблица2[ФЕР/ТЕР])*(F192=Таблица2[Наименование работ])*(G192=Таблица2[ТПиР/НСиР])*Таблица2[Прочие2013-10])</f>
        <v>0</v>
      </c>
      <c r="S192" s="63">
        <f>IF($B$4="в базовых ценах",калькулятор!J197,X192*SUMPRODUCT(($B$2=Таблица2[Филиал])*($B$3=Таблица2[ФЕР/ТЕР])*(F192=Таблица2[Наименование работ])*(G192=Таблица2[ТПиР/НСиР])/Таблица2[ПИР2013]))</f>
        <v>0</v>
      </c>
      <c r="T192" s="63">
        <f>IF($B$4="в базовых ценах",калькулятор!K197,Y192*SUMPRODUCT(($B$2=Таблица2[Филиал])*($B$3=Таблица2[ФЕР/ТЕР])*(F192=Таблица2[Наименование работ])*(G192=Таблица2[ТПиР/НСиР])/Таблица2[СМР2013]))</f>
        <v>0</v>
      </c>
      <c r="U192" s="63">
        <f>IF($B$4="в базовых ценах",калькулятор!L197,Z192*SUMPRODUCT(($B$2=Таблица2[Филиал])*($B$3=Таблица2[ФЕР/ТЕР])*(F192=Таблица2[Наименование работ])*(G192=Таблица2[ТПиР/НСиР])/Таблица2[ПНР2013]))</f>
        <v>0</v>
      </c>
      <c r="V192" s="63">
        <f>IF($B$4="в базовых ценах",калькулятор!M197,AA192*SUMPRODUCT(($B$2=Таблица2[Филиал])*($B$3=Таблица2[ФЕР/ТЕР])*(F192=Таблица2[Наименование работ])*(G192=Таблица2[ТПиР/НСиР])/Таблица2[Оборудование2013]))</f>
        <v>0</v>
      </c>
      <c r="W192" s="63">
        <f>IF($B$4="в базовых ценах",калькулятор!N197,AB192*SUMPRODUCT(($B$2=Таблица2[Филиал])*($B$3=Таблица2[ФЕР/ТЕР])*(F192=Таблица2[Наименование работ])*(G192=Таблица2[ТПиР/НСиР])/Таблица2[Прочие3]))</f>
        <v>0</v>
      </c>
      <c r="X192" s="63">
        <f>IF($B$4="в текущих ценах",калькулятор!J197,S192*SUMPRODUCT(($B$2=Таблица2[Филиал])*($B$3=Таблица2[ФЕР/ТЕР])*(F192=Таблица2[Наименование работ])*(G192=Таблица2[ТПиР/НСиР])*Таблица2[ПИР2013]))</f>
        <v>0</v>
      </c>
      <c r="Y192" s="63">
        <f>IF($B$4="в текущих ценах",калькулятор!K197,T192*SUMPRODUCT(($B$2=Таблица2[Филиал])*($B$3=Таблица2[ФЕР/ТЕР])*(F192=Таблица2[Наименование работ])*(G192=Таблица2[ТПиР/НСиР])*Таблица2[СМР2013]))</f>
        <v>0</v>
      </c>
      <c r="Z192" s="63">
        <f>IF($B$4="в текущих ценах",калькулятор!L197,U192*SUMPRODUCT(($B$2=Таблица2[Филиал])*($B$3=Таблица2[ФЕР/ТЕР])*(F192=Таблица2[Наименование работ])*(G192=Таблица2[ТПиР/НСиР])*Таблица2[ПНР2013]))</f>
        <v>0</v>
      </c>
      <c r="AA192" s="63">
        <f>IF($B$4="в текущих ценах",калькулятор!M197,V192*SUMPRODUCT(($B$2=Таблица2[Филиал])*($B$3=Таблица2[ФЕР/ТЕР])*(F192=Таблица2[Наименование работ])*(G192=Таблица2[ТПиР/НСиР])*Таблица2[Оборудование2013]))</f>
        <v>0</v>
      </c>
      <c r="AB192" s="63">
        <f>IF($B$4="в текущих ценах",калькулятор!N197,W192*SUMPRODUCT(($B$2=Таблица2[Филиал])*($B$3=Таблица2[ФЕР/ТЕР])*(F192=Таблица2[Наименование работ])*(G192=Таблица2[ТПиР/НСиР])*Таблица2[Прочие3]))</f>
        <v>0</v>
      </c>
      <c r="AC192" s="63">
        <f>SUM(данные!$I192:$M192)</f>
        <v>0</v>
      </c>
      <c r="AD192" s="63">
        <f>IF(SUM(данные!$N192:$R192)&gt;данные!$AF192,данные!$AF192*0.9*1.058,SUM(данные!$N192:$R192))</f>
        <v>0</v>
      </c>
      <c r="AE192" s="63">
        <f>SUM(данные!$S192:$W192)</f>
        <v>0</v>
      </c>
      <c r="AF192" s="63">
        <f>SUM(данные!$X192:$AB192)</f>
        <v>0</v>
      </c>
      <c r="AG192" s="63">
        <f>IF($B$4="в текущих ценах",S192*SUMPRODUCT(($B$2=Таблица2[Филиал])*($B$3=Таблица2[ФЕР/ТЕР])*(F192=Таблица2[Наименование работ])*(G192=Таблица2[ТПиР/НСиР])*Таблица2[ПИР2012]),S192*SUMPRODUCT(($B$2=Таблица2[Филиал])*($B$3=Таблица2[ФЕР/ТЕР])*(F192=Таблица2[Наименование работ])*(G192=Таблица2[ТПиР/НСиР])*Таблица2[ПИР2012]))</f>
        <v>0</v>
      </c>
      <c r="AH192" s="63">
        <f>IF($B$4="в текущих ценах",T192*SUMPRODUCT(($B$2=Таблица2[Филиал])*($B$3=Таблица2[ФЕР/ТЕР])*(F192=Таблица2[Наименование работ])*(G192=Таблица2[ТПиР/НСиР])*Таблица2[СМР2012]),T192*SUMPRODUCT(($B$2=Таблица2[Филиал])*($B$3=Таблица2[ФЕР/ТЕР])*(F192=Таблица2[Наименование работ])*(G192=Таблица2[ТПиР/НСиР])*Таблица2[СМР2012]))</f>
        <v>0</v>
      </c>
      <c r="AI192" s="63">
        <f>IF($B$4="в текущих ценах",U192*SUMPRODUCT(($B$2=Таблица2[Филиал])*($B$3=Таблица2[ФЕР/ТЕР])*(F192=Таблица2[Наименование работ])*(G192=Таблица2[ТПиР/НСиР])*Таблица2[ПНР2012]),U192*SUMPRODUCT(($B$2=Таблица2[Филиал])*($B$3=Таблица2[ФЕР/ТЕР])*(F192=Таблица2[Наименование работ])*(G192=Таблица2[ТПиР/НСиР])*Таблица2[ПНР2012]))</f>
        <v>0</v>
      </c>
      <c r="AJ192" s="63">
        <f>IF($B$4="в текущих ценах",V192*SUMPRODUCT(($B$2=Таблица2[Филиал])*($B$3=Таблица2[ФЕР/ТЕР])*(F192=Таблица2[Наименование работ])*(G192=Таблица2[ТПиР/НСиР])*Таблица2[Оборудование2012]),V192*SUMPRODUCT(($B$2=Таблица2[Филиал])*($B$3=Таблица2[ФЕР/ТЕР])*(F192=Таблица2[Наименование работ])*(G192=Таблица2[ТПиР/НСиР])*Таблица2[Оборудование2012]))</f>
        <v>0</v>
      </c>
      <c r="AK192" s="63">
        <f>IF($B$4="в текущих ценах",W192*SUMPRODUCT(($B$2=Таблица2[Филиал])*($B$3=Таблица2[ФЕР/ТЕР])*(F192=Таблица2[Наименование работ])*(G192=Таблица2[ТПиР/НСиР])*Таблица2[Прочее2012]),W192*SUMPRODUCT(($B$2=Таблица2[Филиал])*($B$3=Таблица2[ФЕР/ТЕР])*(F192=Таблица2[Наименование работ])*(G192=Таблица2[ТПиР/НСиР])*Таблица2[Прочее2012]))</f>
        <v>0</v>
      </c>
      <c r="AL192" s="63">
        <f>данные!$X192+данные!$Y192+данные!$Z192+данные!$AA192+данные!$AB192</f>
        <v>0</v>
      </c>
      <c r="AM192" s="63">
        <v>1.03639035</v>
      </c>
      <c r="AN192" s="63">
        <v>1.0114049394</v>
      </c>
      <c r="AO192" s="63">
        <v>0.98210394336149998</v>
      </c>
      <c r="AP192" s="63">
        <v>0.93762413895893393</v>
      </c>
      <c r="AQ192" s="63"/>
      <c r="AR192" s="63"/>
      <c r="AS192" s="64"/>
      <c r="AU192" s="66">
        <f t="shared" si="12"/>
        <v>0</v>
      </c>
      <c r="AX192" s="66">
        <f t="shared" si="13"/>
        <v>0</v>
      </c>
      <c r="AY192" s="66">
        <f t="shared" si="14"/>
        <v>0</v>
      </c>
      <c r="AZ192" s="66">
        <f t="shared" si="15"/>
        <v>0</v>
      </c>
      <c r="BA192" s="66">
        <f t="shared" si="16"/>
        <v>0</v>
      </c>
      <c r="BB192" s="66">
        <f t="shared" si="17"/>
        <v>0</v>
      </c>
    </row>
    <row r="193" spans="4:54" x14ac:dyDescent="0.25">
      <c r="D193" s="62">
        <f>калькулятор!C198</f>
        <v>0</v>
      </c>
      <c r="E193" s="62">
        <f>калькулятор!F198</f>
        <v>0</v>
      </c>
      <c r="F193" s="62">
        <f>калькулятор!G198</f>
        <v>0</v>
      </c>
      <c r="G193" s="62">
        <f>калькулятор!H198</f>
        <v>0</v>
      </c>
      <c r="H193" s="62">
        <f>калькулятор!I198</f>
        <v>0</v>
      </c>
      <c r="I193" s="63">
        <f>S193*SUMPRODUCT(($B$2=Таблица2[Филиал])*($B$3=Таблица2[ФЕР/ТЕР])*(F193=Таблица2[Наименование работ])*(G193=Таблица2[ТПиР/НСиР])*Таблица2[ПИР2010])</f>
        <v>0</v>
      </c>
      <c r="J193" s="63">
        <f>T193*SUMPRODUCT(($B$2=Таблица2[Филиал])*($B$3=Таблица2[ФЕР/ТЕР])*(F193=Таблица2[Наименование работ])*(G193=Таблица2[ТПиР/НСиР])*Таблица2[СМР2010])</f>
        <v>0</v>
      </c>
      <c r="K193" s="63">
        <f>U193*SUMPRODUCT(($B$2=Таблица2[Филиал])*($B$3=Таблица2[ФЕР/ТЕР])*(F193=Таблица2[Наименование работ])*(G193=Таблица2[ТПиР/НСиР])*Таблица2[ПНР2010])</f>
        <v>0</v>
      </c>
      <c r="L193" s="63">
        <f>V193*SUMPRODUCT(($B$2=Таблица2[Филиал])*($B$3=Таблица2[ФЕР/ТЕР])*(F193=Таблица2[Наименование работ])*(G193=Таблица2[ТПиР/НСиР])*Таблица2[Оборудование2010])</f>
        <v>0</v>
      </c>
      <c r="M193" s="63">
        <f>W193*SUMPRODUCT(($B$2=Таблица2[Филиал])*($B$3=Таблица2[ФЕР/ТЕР])*(F193=Таблица2[Наименование работ])*(G193=Таблица2[ТПиР/НСиР])*Таблица2[Прочие2010])</f>
        <v>0</v>
      </c>
      <c r="N193" s="63">
        <f>S193*SUMPRODUCT(($B$2=Таблица2[Филиал])*($B$3=Таблица2[ФЕР/ТЕР])*(F193=Таблица2[Наименование работ])*(G193=Таблица2[ТПиР/НСиР])*Таблица2[ПИР2013-10])</f>
        <v>0</v>
      </c>
      <c r="O193" s="63">
        <f>T193*SUMPRODUCT(($B$2=Таблица2[Филиал])*($B$3=Таблица2[ФЕР/ТЕР])*(F193=Таблица2[Наименование работ])*(G193=Таблица2[ТПиР/НСиР])*Таблица2[СМР2013-10])</f>
        <v>0</v>
      </c>
      <c r="P193" s="63">
        <f>U193*SUMPRODUCT(($B$2=Таблица2[Филиал])*($B$3=Таблица2[ФЕР/ТЕР])*(F193=Таблица2[Наименование работ])*(G193=Таблица2[ТПиР/НСиР])*Таблица2[ПНР2013-10])</f>
        <v>0</v>
      </c>
      <c r="Q193" s="63">
        <f>V193*SUMPRODUCT(($B$2=Таблица2[Филиал])*($B$3=Таблица2[ФЕР/ТЕР])*(F193=Таблица2[Наименование работ])*(G193=Таблица2[ТПиР/НСиР])*Таблица2[Оборудование2013-10])</f>
        <v>0</v>
      </c>
      <c r="R193" s="63">
        <f>W193*SUMPRODUCT(($B$2=Таблица2[Филиал])*($B$3=Таблица2[ФЕР/ТЕР])*(F193=Таблица2[Наименование работ])*(G193=Таблица2[ТПиР/НСиР])*Таблица2[Прочие2013-10])</f>
        <v>0</v>
      </c>
      <c r="S193" s="63">
        <f>IF($B$4="в базовых ценах",калькулятор!J198,X193*SUMPRODUCT(($B$2=Таблица2[Филиал])*($B$3=Таблица2[ФЕР/ТЕР])*(F193=Таблица2[Наименование работ])*(G193=Таблица2[ТПиР/НСиР])/Таблица2[ПИР2013]))</f>
        <v>0</v>
      </c>
      <c r="T193" s="63">
        <f>IF($B$4="в базовых ценах",калькулятор!K198,Y193*SUMPRODUCT(($B$2=Таблица2[Филиал])*($B$3=Таблица2[ФЕР/ТЕР])*(F193=Таблица2[Наименование работ])*(G193=Таблица2[ТПиР/НСиР])/Таблица2[СМР2013]))</f>
        <v>0</v>
      </c>
      <c r="U193" s="63">
        <f>IF($B$4="в базовых ценах",калькулятор!L198,Z193*SUMPRODUCT(($B$2=Таблица2[Филиал])*($B$3=Таблица2[ФЕР/ТЕР])*(F193=Таблица2[Наименование работ])*(G193=Таблица2[ТПиР/НСиР])/Таблица2[ПНР2013]))</f>
        <v>0</v>
      </c>
      <c r="V193" s="63">
        <f>IF($B$4="в базовых ценах",калькулятор!M198,AA193*SUMPRODUCT(($B$2=Таблица2[Филиал])*($B$3=Таблица2[ФЕР/ТЕР])*(F193=Таблица2[Наименование работ])*(G193=Таблица2[ТПиР/НСиР])/Таблица2[Оборудование2013]))</f>
        <v>0</v>
      </c>
      <c r="W193" s="63">
        <f>IF($B$4="в базовых ценах",калькулятор!N198,AB193*SUMPRODUCT(($B$2=Таблица2[Филиал])*($B$3=Таблица2[ФЕР/ТЕР])*(F193=Таблица2[Наименование работ])*(G193=Таблица2[ТПиР/НСиР])/Таблица2[Прочие3]))</f>
        <v>0</v>
      </c>
      <c r="X193" s="63">
        <f>IF($B$4="в текущих ценах",калькулятор!J198,S193*SUMPRODUCT(($B$2=Таблица2[Филиал])*($B$3=Таблица2[ФЕР/ТЕР])*(F193=Таблица2[Наименование работ])*(G193=Таблица2[ТПиР/НСиР])*Таблица2[ПИР2013]))</f>
        <v>0</v>
      </c>
      <c r="Y193" s="63">
        <f>IF($B$4="в текущих ценах",калькулятор!K198,T193*SUMPRODUCT(($B$2=Таблица2[Филиал])*($B$3=Таблица2[ФЕР/ТЕР])*(F193=Таблица2[Наименование работ])*(G193=Таблица2[ТПиР/НСиР])*Таблица2[СМР2013]))</f>
        <v>0</v>
      </c>
      <c r="Z193" s="63">
        <f>IF($B$4="в текущих ценах",калькулятор!L198,U193*SUMPRODUCT(($B$2=Таблица2[Филиал])*($B$3=Таблица2[ФЕР/ТЕР])*(F193=Таблица2[Наименование работ])*(G193=Таблица2[ТПиР/НСиР])*Таблица2[ПНР2013]))</f>
        <v>0</v>
      </c>
      <c r="AA193" s="63">
        <f>IF($B$4="в текущих ценах",калькулятор!M198,V193*SUMPRODUCT(($B$2=Таблица2[Филиал])*($B$3=Таблица2[ФЕР/ТЕР])*(F193=Таблица2[Наименование работ])*(G193=Таблица2[ТПиР/НСиР])*Таблица2[Оборудование2013]))</f>
        <v>0</v>
      </c>
      <c r="AB193" s="63">
        <f>IF($B$4="в текущих ценах",калькулятор!N198,W193*SUMPRODUCT(($B$2=Таблица2[Филиал])*($B$3=Таблица2[ФЕР/ТЕР])*(F193=Таблица2[Наименование работ])*(G193=Таблица2[ТПиР/НСиР])*Таблица2[Прочие3]))</f>
        <v>0</v>
      </c>
      <c r="AC193" s="63">
        <f>SUM(данные!$I193:$M193)</f>
        <v>0</v>
      </c>
      <c r="AD193" s="63">
        <f>IF(SUM(данные!$N193:$R193)&gt;данные!$AF193,данные!$AF193*0.9*1.058,SUM(данные!$N193:$R193))</f>
        <v>0</v>
      </c>
      <c r="AE193" s="63">
        <f>SUM(данные!$S193:$W193)</f>
        <v>0</v>
      </c>
      <c r="AF193" s="63">
        <f>SUM(данные!$X193:$AB193)</f>
        <v>0</v>
      </c>
      <c r="AG193" s="63">
        <f>IF($B$4="в текущих ценах",S193*SUMPRODUCT(($B$2=Таблица2[Филиал])*($B$3=Таблица2[ФЕР/ТЕР])*(F193=Таблица2[Наименование работ])*(G193=Таблица2[ТПиР/НСиР])*Таблица2[ПИР2012]),S193*SUMPRODUCT(($B$2=Таблица2[Филиал])*($B$3=Таблица2[ФЕР/ТЕР])*(F193=Таблица2[Наименование работ])*(G193=Таблица2[ТПиР/НСиР])*Таблица2[ПИР2012]))</f>
        <v>0</v>
      </c>
      <c r="AH193" s="63">
        <f>IF($B$4="в текущих ценах",T193*SUMPRODUCT(($B$2=Таблица2[Филиал])*($B$3=Таблица2[ФЕР/ТЕР])*(F193=Таблица2[Наименование работ])*(G193=Таблица2[ТПиР/НСиР])*Таблица2[СМР2012]),T193*SUMPRODUCT(($B$2=Таблица2[Филиал])*($B$3=Таблица2[ФЕР/ТЕР])*(F193=Таблица2[Наименование работ])*(G193=Таблица2[ТПиР/НСиР])*Таблица2[СМР2012]))</f>
        <v>0</v>
      </c>
      <c r="AI193" s="63">
        <f>IF($B$4="в текущих ценах",U193*SUMPRODUCT(($B$2=Таблица2[Филиал])*($B$3=Таблица2[ФЕР/ТЕР])*(F193=Таблица2[Наименование работ])*(G193=Таблица2[ТПиР/НСиР])*Таблица2[ПНР2012]),U193*SUMPRODUCT(($B$2=Таблица2[Филиал])*($B$3=Таблица2[ФЕР/ТЕР])*(F193=Таблица2[Наименование работ])*(G193=Таблица2[ТПиР/НСиР])*Таблица2[ПНР2012]))</f>
        <v>0</v>
      </c>
      <c r="AJ193" s="63">
        <f>IF($B$4="в текущих ценах",V193*SUMPRODUCT(($B$2=Таблица2[Филиал])*($B$3=Таблица2[ФЕР/ТЕР])*(F193=Таблица2[Наименование работ])*(G193=Таблица2[ТПиР/НСиР])*Таблица2[Оборудование2012]),V193*SUMPRODUCT(($B$2=Таблица2[Филиал])*($B$3=Таблица2[ФЕР/ТЕР])*(F193=Таблица2[Наименование работ])*(G193=Таблица2[ТПиР/НСиР])*Таблица2[Оборудование2012]))</f>
        <v>0</v>
      </c>
      <c r="AK193" s="63">
        <f>IF($B$4="в текущих ценах",W193*SUMPRODUCT(($B$2=Таблица2[Филиал])*($B$3=Таблица2[ФЕР/ТЕР])*(F193=Таблица2[Наименование работ])*(G193=Таблица2[ТПиР/НСиР])*Таблица2[Прочее2012]),W193*SUMPRODUCT(($B$2=Таблица2[Филиал])*($B$3=Таблица2[ФЕР/ТЕР])*(F193=Таблица2[Наименование работ])*(G193=Таблица2[ТПиР/НСиР])*Таблица2[Прочее2012]))</f>
        <v>0</v>
      </c>
      <c r="AL193" s="63">
        <f>данные!$X193+данные!$Y193+данные!$Z193+данные!$AA193+данные!$AB193</f>
        <v>0</v>
      </c>
      <c r="AM193" s="63">
        <v>1.03639035</v>
      </c>
      <c r="AN193" s="63">
        <v>1.0114049394</v>
      </c>
      <c r="AO193" s="63">
        <v>0.98210394336149998</v>
      </c>
      <c r="AP193" s="63">
        <v>0.93762413895893393</v>
      </c>
      <c r="AQ193" s="63"/>
      <c r="AR193" s="63"/>
      <c r="AS193" s="64"/>
      <c r="AU193" s="66">
        <f t="shared" si="12"/>
        <v>0</v>
      </c>
      <c r="AX193" s="66">
        <f t="shared" si="13"/>
        <v>0</v>
      </c>
      <c r="AY193" s="66">
        <f t="shared" si="14"/>
        <v>0</v>
      </c>
      <c r="AZ193" s="66">
        <f t="shared" si="15"/>
        <v>0</v>
      </c>
      <c r="BA193" s="66">
        <f t="shared" si="16"/>
        <v>0</v>
      </c>
      <c r="BB193" s="66">
        <f t="shared" si="17"/>
        <v>0</v>
      </c>
    </row>
    <row r="194" spans="4:54" x14ac:dyDescent="0.25">
      <c r="D194" s="62">
        <f>калькулятор!C199</f>
        <v>0</v>
      </c>
      <c r="E194" s="62">
        <f>калькулятор!F199</f>
        <v>0</v>
      </c>
      <c r="F194" s="62">
        <f>калькулятор!G199</f>
        <v>0</v>
      </c>
      <c r="G194" s="62">
        <f>калькулятор!H199</f>
        <v>0</v>
      </c>
      <c r="H194" s="62">
        <f>калькулятор!I199</f>
        <v>0</v>
      </c>
      <c r="I194" s="63">
        <f>S194*SUMPRODUCT(($B$2=Таблица2[Филиал])*($B$3=Таблица2[ФЕР/ТЕР])*(F194=Таблица2[Наименование работ])*(G194=Таблица2[ТПиР/НСиР])*Таблица2[ПИР2010])</f>
        <v>0</v>
      </c>
      <c r="J194" s="63">
        <f>T194*SUMPRODUCT(($B$2=Таблица2[Филиал])*($B$3=Таблица2[ФЕР/ТЕР])*(F194=Таблица2[Наименование работ])*(G194=Таблица2[ТПиР/НСиР])*Таблица2[СМР2010])</f>
        <v>0</v>
      </c>
      <c r="K194" s="63">
        <f>U194*SUMPRODUCT(($B$2=Таблица2[Филиал])*($B$3=Таблица2[ФЕР/ТЕР])*(F194=Таблица2[Наименование работ])*(G194=Таблица2[ТПиР/НСиР])*Таблица2[ПНР2010])</f>
        <v>0</v>
      </c>
      <c r="L194" s="63">
        <f>V194*SUMPRODUCT(($B$2=Таблица2[Филиал])*($B$3=Таблица2[ФЕР/ТЕР])*(F194=Таблица2[Наименование работ])*(G194=Таблица2[ТПиР/НСиР])*Таблица2[Оборудование2010])</f>
        <v>0</v>
      </c>
      <c r="M194" s="63">
        <f>W194*SUMPRODUCT(($B$2=Таблица2[Филиал])*($B$3=Таблица2[ФЕР/ТЕР])*(F194=Таблица2[Наименование работ])*(G194=Таблица2[ТПиР/НСиР])*Таблица2[Прочие2010])</f>
        <v>0</v>
      </c>
      <c r="N194" s="63">
        <f>S194*SUMPRODUCT(($B$2=Таблица2[Филиал])*($B$3=Таблица2[ФЕР/ТЕР])*(F194=Таблица2[Наименование работ])*(G194=Таблица2[ТПиР/НСиР])*Таблица2[ПИР2013-10])</f>
        <v>0</v>
      </c>
      <c r="O194" s="63">
        <f>T194*SUMPRODUCT(($B$2=Таблица2[Филиал])*($B$3=Таблица2[ФЕР/ТЕР])*(F194=Таблица2[Наименование работ])*(G194=Таблица2[ТПиР/НСиР])*Таблица2[СМР2013-10])</f>
        <v>0</v>
      </c>
      <c r="P194" s="63">
        <f>U194*SUMPRODUCT(($B$2=Таблица2[Филиал])*($B$3=Таблица2[ФЕР/ТЕР])*(F194=Таблица2[Наименование работ])*(G194=Таблица2[ТПиР/НСиР])*Таблица2[ПНР2013-10])</f>
        <v>0</v>
      </c>
      <c r="Q194" s="63">
        <f>V194*SUMPRODUCT(($B$2=Таблица2[Филиал])*($B$3=Таблица2[ФЕР/ТЕР])*(F194=Таблица2[Наименование работ])*(G194=Таблица2[ТПиР/НСиР])*Таблица2[Оборудование2013-10])</f>
        <v>0</v>
      </c>
      <c r="R194" s="63">
        <f>W194*SUMPRODUCT(($B$2=Таблица2[Филиал])*($B$3=Таблица2[ФЕР/ТЕР])*(F194=Таблица2[Наименование работ])*(G194=Таблица2[ТПиР/НСиР])*Таблица2[Прочие2013-10])</f>
        <v>0</v>
      </c>
      <c r="S194" s="63">
        <f>IF($B$4="в базовых ценах",калькулятор!J199,X194*SUMPRODUCT(($B$2=Таблица2[Филиал])*($B$3=Таблица2[ФЕР/ТЕР])*(F194=Таблица2[Наименование работ])*(G194=Таблица2[ТПиР/НСиР])/Таблица2[ПИР2013]))</f>
        <v>0</v>
      </c>
      <c r="T194" s="63">
        <f>IF($B$4="в базовых ценах",калькулятор!K199,Y194*SUMPRODUCT(($B$2=Таблица2[Филиал])*($B$3=Таблица2[ФЕР/ТЕР])*(F194=Таблица2[Наименование работ])*(G194=Таблица2[ТПиР/НСиР])/Таблица2[СМР2013]))</f>
        <v>0</v>
      </c>
      <c r="U194" s="63">
        <f>IF($B$4="в базовых ценах",калькулятор!L199,Z194*SUMPRODUCT(($B$2=Таблица2[Филиал])*($B$3=Таблица2[ФЕР/ТЕР])*(F194=Таблица2[Наименование работ])*(G194=Таблица2[ТПиР/НСиР])/Таблица2[ПНР2013]))</f>
        <v>0</v>
      </c>
      <c r="V194" s="63">
        <f>IF($B$4="в базовых ценах",калькулятор!M199,AA194*SUMPRODUCT(($B$2=Таблица2[Филиал])*($B$3=Таблица2[ФЕР/ТЕР])*(F194=Таблица2[Наименование работ])*(G194=Таблица2[ТПиР/НСиР])/Таблица2[Оборудование2013]))</f>
        <v>0</v>
      </c>
      <c r="W194" s="63">
        <f>IF($B$4="в базовых ценах",калькулятор!N199,AB194*SUMPRODUCT(($B$2=Таблица2[Филиал])*($B$3=Таблица2[ФЕР/ТЕР])*(F194=Таблица2[Наименование работ])*(G194=Таблица2[ТПиР/НСиР])/Таблица2[Прочие3]))</f>
        <v>0</v>
      </c>
      <c r="X194" s="63">
        <f>IF($B$4="в текущих ценах",калькулятор!J199,S194*SUMPRODUCT(($B$2=Таблица2[Филиал])*($B$3=Таблица2[ФЕР/ТЕР])*(F194=Таблица2[Наименование работ])*(G194=Таблица2[ТПиР/НСиР])*Таблица2[ПИР2013]))</f>
        <v>0</v>
      </c>
      <c r="Y194" s="63">
        <f>IF($B$4="в текущих ценах",калькулятор!K199,T194*SUMPRODUCT(($B$2=Таблица2[Филиал])*($B$3=Таблица2[ФЕР/ТЕР])*(F194=Таблица2[Наименование работ])*(G194=Таблица2[ТПиР/НСиР])*Таблица2[СМР2013]))</f>
        <v>0</v>
      </c>
      <c r="Z194" s="63">
        <f>IF($B$4="в текущих ценах",калькулятор!L199,U194*SUMPRODUCT(($B$2=Таблица2[Филиал])*($B$3=Таблица2[ФЕР/ТЕР])*(F194=Таблица2[Наименование работ])*(G194=Таблица2[ТПиР/НСиР])*Таблица2[ПНР2013]))</f>
        <v>0</v>
      </c>
      <c r="AA194" s="63">
        <f>IF($B$4="в текущих ценах",калькулятор!M199,V194*SUMPRODUCT(($B$2=Таблица2[Филиал])*($B$3=Таблица2[ФЕР/ТЕР])*(F194=Таблица2[Наименование работ])*(G194=Таблица2[ТПиР/НСиР])*Таблица2[Оборудование2013]))</f>
        <v>0</v>
      </c>
      <c r="AB194" s="63">
        <f>IF($B$4="в текущих ценах",калькулятор!N199,W194*SUMPRODUCT(($B$2=Таблица2[Филиал])*($B$3=Таблица2[ФЕР/ТЕР])*(F194=Таблица2[Наименование работ])*(G194=Таблица2[ТПиР/НСиР])*Таблица2[Прочие3]))</f>
        <v>0</v>
      </c>
      <c r="AC194" s="63">
        <f>SUM(данные!$I194:$M194)</f>
        <v>0</v>
      </c>
      <c r="AD194" s="63">
        <f>IF(SUM(данные!$N194:$R194)&gt;данные!$AF194,данные!$AF194*0.9*1.058,SUM(данные!$N194:$R194))</f>
        <v>0</v>
      </c>
      <c r="AE194" s="63">
        <f>SUM(данные!$S194:$W194)</f>
        <v>0</v>
      </c>
      <c r="AF194" s="63">
        <f>SUM(данные!$X194:$AB194)</f>
        <v>0</v>
      </c>
      <c r="AG194" s="63">
        <f>IF($B$4="в текущих ценах",S194*SUMPRODUCT(($B$2=Таблица2[Филиал])*($B$3=Таблица2[ФЕР/ТЕР])*(F194=Таблица2[Наименование работ])*(G194=Таблица2[ТПиР/НСиР])*Таблица2[ПИР2012]),S194*SUMPRODUCT(($B$2=Таблица2[Филиал])*($B$3=Таблица2[ФЕР/ТЕР])*(F194=Таблица2[Наименование работ])*(G194=Таблица2[ТПиР/НСиР])*Таблица2[ПИР2012]))</f>
        <v>0</v>
      </c>
      <c r="AH194" s="63">
        <f>IF($B$4="в текущих ценах",T194*SUMPRODUCT(($B$2=Таблица2[Филиал])*($B$3=Таблица2[ФЕР/ТЕР])*(F194=Таблица2[Наименование работ])*(G194=Таблица2[ТПиР/НСиР])*Таблица2[СМР2012]),T194*SUMPRODUCT(($B$2=Таблица2[Филиал])*($B$3=Таблица2[ФЕР/ТЕР])*(F194=Таблица2[Наименование работ])*(G194=Таблица2[ТПиР/НСиР])*Таблица2[СМР2012]))</f>
        <v>0</v>
      </c>
      <c r="AI194" s="63">
        <f>IF($B$4="в текущих ценах",U194*SUMPRODUCT(($B$2=Таблица2[Филиал])*($B$3=Таблица2[ФЕР/ТЕР])*(F194=Таблица2[Наименование работ])*(G194=Таблица2[ТПиР/НСиР])*Таблица2[ПНР2012]),U194*SUMPRODUCT(($B$2=Таблица2[Филиал])*($B$3=Таблица2[ФЕР/ТЕР])*(F194=Таблица2[Наименование работ])*(G194=Таблица2[ТПиР/НСиР])*Таблица2[ПНР2012]))</f>
        <v>0</v>
      </c>
      <c r="AJ194" s="63">
        <f>IF($B$4="в текущих ценах",V194*SUMPRODUCT(($B$2=Таблица2[Филиал])*($B$3=Таблица2[ФЕР/ТЕР])*(F194=Таблица2[Наименование работ])*(G194=Таблица2[ТПиР/НСиР])*Таблица2[Оборудование2012]),V194*SUMPRODUCT(($B$2=Таблица2[Филиал])*($B$3=Таблица2[ФЕР/ТЕР])*(F194=Таблица2[Наименование работ])*(G194=Таблица2[ТПиР/НСиР])*Таблица2[Оборудование2012]))</f>
        <v>0</v>
      </c>
      <c r="AK194" s="63">
        <f>IF($B$4="в текущих ценах",W194*SUMPRODUCT(($B$2=Таблица2[Филиал])*($B$3=Таблица2[ФЕР/ТЕР])*(F194=Таблица2[Наименование работ])*(G194=Таблица2[ТПиР/НСиР])*Таблица2[Прочее2012]),W194*SUMPRODUCT(($B$2=Таблица2[Филиал])*($B$3=Таблица2[ФЕР/ТЕР])*(F194=Таблица2[Наименование работ])*(G194=Таблица2[ТПиР/НСиР])*Таблица2[Прочее2012]))</f>
        <v>0</v>
      </c>
      <c r="AL194" s="63">
        <f>данные!$X194+данные!$Y194+данные!$Z194+данные!$AA194+данные!$AB194</f>
        <v>0</v>
      </c>
      <c r="AM194" s="63">
        <v>1.03639035</v>
      </c>
      <c r="AN194" s="63">
        <v>1.0114049394</v>
      </c>
      <c r="AO194" s="63">
        <v>0.98210394336149998</v>
      </c>
      <c r="AP194" s="63">
        <v>0.93762413895893393</v>
      </c>
      <c r="AQ194" s="63"/>
      <c r="AR194" s="63"/>
      <c r="AS194" s="64"/>
      <c r="AU194" s="66">
        <f t="shared" si="12"/>
        <v>0</v>
      </c>
      <c r="AX194" s="66">
        <f t="shared" si="13"/>
        <v>0</v>
      </c>
      <c r="AY194" s="66">
        <f t="shared" si="14"/>
        <v>0</v>
      </c>
      <c r="AZ194" s="66">
        <f t="shared" si="15"/>
        <v>0</v>
      </c>
      <c r="BA194" s="66">
        <f t="shared" si="16"/>
        <v>0</v>
      </c>
      <c r="BB194" s="66">
        <f t="shared" si="17"/>
        <v>0</v>
      </c>
    </row>
    <row r="195" spans="4:54" x14ac:dyDescent="0.25">
      <c r="D195" s="62">
        <f>калькулятор!C200</f>
        <v>0</v>
      </c>
      <c r="E195" s="62">
        <f>калькулятор!F200</f>
        <v>0</v>
      </c>
      <c r="F195" s="62">
        <f>калькулятор!G200</f>
        <v>0</v>
      </c>
      <c r="G195" s="62">
        <f>калькулятор!H200</f>
        <v>0</v>
      </c>
      <c r="H195" s="62">
        <f>калькулятор!I200</f>
        <v>0</v>
      </c>
      <c r="I195" s="63">
        <f>S195*SUMPRODUCT(($B$2=Таблица2[Филиал])*($B$3=Таблица2[ФЕР/ТЕР])*(F195=Таблица2[Наименование работ])*(G195=Таблица2[ТПиР/НСиР])*Таблица2[ПИР2010])</f>
        <v>0</v>
      </c>
      <c r="J195" s="63">
        <f>T195*SUMPRODUCT(($B$2=Таблица2[Филиал])*($B$3=Таблица2[ФЕР/ТЕР])*(F195=Таблица2[Наименование работ])*(G195=Таблица2[ТПиР/НСиР])*Таблица2[СМР2010])</f>
        <v>0</v>
      </c>
      <c r="K195" s="63">
        <f>U195*SUMPRODUCT(($B$2=Таблица2[Филиал])*($B$3=Таблица2[ФЕР/ТЕР])*(F195=Таблица2[Наименование работ])*(G195=Таблица2[ТПиР/НСиР])*Таблица2[ПНР2010])</f>
        <v>0</v>
      </c>
      <c r="L195" s="63">
        <f>V195*SUMPRODUCT(($B$2=Таблица2[Филиал])*($B$3=Таблица2[ФЕР/ТЕР])*(F195=Таблица2[Наименование работ])*(G195=Таблица2[ТПиР/НСиР])*Таблица2[Оборудование2010])</f>
        <v>0</v>
      </c>
      <c r="M195" s="63">
        <f>W195*SUMPRODUCT(($B$2=Таблица2[Филиал])*($B$3=Таблица2[ФЕР/ТЕР])*(F195=Таблица2[Наименование работ])*(G195=Таблица2[ТПиР/НСиР])*Таблица2[Прочие2010])</f>
        <v>0</v>
      </c>
      <c r="N195" s="63">
        <f>S195*SUMPRODUCT(($B$2=Таблица2[Филиал])*($B$3=Таблица2[ФЕР/ТЕР])*(F195=Таблица2[Наименование работ])*(G195=Таблица2[ТПиР/НСиР])*Таблица2[ПИР2013-10])</f>
        <v>0</v>
      </c>
      <c r="O195" s="63">
        <f>T195*SUMPRODUCT(($B$2=Таблица2[Филиал])*($B$3=Таблица2[ФЕР/ТЕР])*(F195=Таблица2[Наименование работ])*(G195=Таблица2[ТПиР/НСиР])*Таблица2[СМР2013-10])</f>
        <v>0</v>
      </c>
      <c r="P195" s="63">
        <f>U195*SUMPRODUCT(($B$2=Таблица2[Филиал])*($B$3=Таблица2[ФЕР/ТЕР])*(F195=Таблица2[Наименование работ])*(G195=Таблица2[ТПиР/НСиР])*Таблица2[ПНР2013-10])</f>
        <v>0</v>
      </c>
      <c r="Q195" s="63">
        <f>V195*SUMPRODUCT(($B$2=Таблица2[Филиал])*($B$3=Таблица2[ФЕР/ТЕР])*(F195=Таблица2[Наименование работ])*(G195=Таблица2[ТПиР/НСиР])*Таблица2[Оборудование2013-10])</f>
        <v>0</v>
      </c>
      <c r="R195" s="63">
        <f>W195*SUMPRODUCT(($B$2=Таблица2[Филиал])*($B$3=Таблица2[ФЕР/ТЕР])*(F195=Таблица2[Наименование работ])*(G195=Таблица2[ТПиР/НСиР])*Таблица2[Прочие2013-10])</f>
        <v>0</v>
      </c>
      <c r="S195" s="63">
        <f>IF($B$4="в базовых ценах",калькулятор!J200,X195*SUMPRODUCT(($B$2=Таблица2[Филиал])*($B$3=Таблица2[ФЕР/ТЕР])*(F195=Таблица2[Наименование работ])*(G195=Таблица2[ТПиР/НСиР])/Таблица2[ПИР2013]))</f>
        <v>0</v>
      </c>
      <c r="T195" s="63">
        <f>IF($B$4="в базовых ценах",калькулятор!K200,Y195*SUMPRODUCT(($B$2=Таблица2[Филиал])*($B$3=Таблица2[ФЕР/ТЕР])*(F195=Таблица2[Наименование работ])*(G195=Таблица2[ТПиР/НСиР])/Таблица2[СМР2013]))</f>
        <v>0</v>
      </c>
      <c r="U195" s="63">
        <f>IF($B$4="в базовых ценах",калькулятор!L200,Z195*SUMPRODUCT(($B$2=Таблица2[Филиал])*($B$3=Таблица2[ФЕР/ТЕР])*(F195=Таблица2[Наименование работ])*(G195=Таблица2[ТПиР/НСиР])/Таблица2[ПНР2013]))</f>
        <v>0</v>
      </c>
      <c r="V195" s="63">
        <f>IF($B$4="в базовых ценах",калькулятор!M200,AA195*SUMPRODUCT(($B$2=Таблица2[Филиал])*($B$3=Таблица2[ФЕР/ТЕР])*(F195=Таблица2[Наименование работ])*(G195=Таблица2[ТПиР/НСиР])/Таблица2[Оборудование2013]))</f>
        <v>0</v>
      </c>
      <c r="W195" s="63">
        <f>IF($B$4="в базовых ценах",калькулятор!N200,AB195*SUMPRODUCT(($B$2=Таблица2[Филиал])*($B$3=Таблица2[ФЕР/ТЕР])*(F195=Таблица2[Наименование работ])*(G195=Таблица2[ТПиР/НСиР])/Таблица2[Прочие3]))</f>
        <v>0</v>
      </c>
      <c r="X195" s="63">
        <f>IF($B$4="в текущих ценах",калькулятор!J200,S195*SUMPRODUCT(($B$2=Таблица2[Филиал])*($B$3=Таблица2[ФЕР/ТЕР])*(F195=Таблица2[Наименование работ])*(G195=Таблица2[ТПиР/НСиР])*Таблица2[ПИР2013]))</f>
        <v>0</v>
      </c>
      <c r="Y195" s="63">
        <f>IF($B$4="в текущих ценах",калькулятор!K200,T195*SUMPRODUCT(($B$2=Таблица2[Филиал])*($B$3=Таблица2[ФЕР/ТЕР])*(F195=Таблица2[Наименование работ])*(G195=Таблица2[ТПиР/НСиР])*Таблица2[СМР2013]))</f>
        <v>0</v>
      </c>
      <c r="Z195" s="63">
        <f>IF($B$4="в текущих ценах",калькулятор!L200,U195*SUMPRODUCT(($B$2=Таблица2[Филиал])*($B$3=Таблица2[ФЕР/ТЕР])*(F195=Таблица2[Наименование работ])*(G195=Таблица2[ТПиР/НСиР])*Таблица2[ПНР2013]))</f>
        <v>0</v>
      </c>
      <c r="AA195" s="63">
        <f>IF($B$4="в текущих ценах",калькулятор!M200,V195*SUMPRODUCT(($B$2=Таблица2[Филиал])*($B$3=Таблица2[ФЕР/ТЕР])*(F195=Таблица2[Наименование работ])*(G195=Таблица2[ТПиР/НСиР])*Таблица2[Оборудование2013]))</f>
        <v>0</v>
      </c>
      <c r="AB195" s="63">
        <f>IF($B$4="в текущих ценах",калькулятор!N200,W195*SUMPRODUCT(($B$2=Таблица2[Филиал])*($B$3=Таблица2[ФЕР/ТЕР])*(F195=Таблица2[Наименование работ])*(G195=Таблица2[ТПиР/НСиР])*Таблица2[Прочие3]))</f>
        <v>0</v>
      </c>
      <c r="AC195" s="63">
        <f>SUM(данные!$I195:$M195)</f>
        <v>0</v>
      </c>
      <c r="AD195" s="63">
        <f>IF(SUM(данные!$N195:$R195)&gt;данные!$AF195,данные!$AF195*0.9*1.058,SUM(данные!$N195:$R195))</f>
        <v>0</v>
      </c>
      <c r="AE195" s="63">
        <f>SUM(данные!$S195:$W195)</f>
        <v>0</v>
      </c>
      <c r="AF195" s="63">
        <f>SUM(данные!$X195:$AB195)</f>
        <v>0</v>
      </c>
      <c r="AG195" s="63">
        <f>IF($B$4="в текущих ценах",S195*SUMPRODUCT(($B$2=Таблица2[Филиал])*($B$3=Таблица2[ФЕР/ТЕР])*(F195=Таблица2[Наименование работ])*(G195=Таблица2[ТПиР/НСиР])*Таблица2[ПИР2012]),S195*SUMPRODUCT(($B$2=Таблица2[Филиал])*($B$3=Таблица2[ФЕР/ТЕР])*(F195=Таблица2[Наименование работ])*(G195=Таблица2[ТПиР/НСиР])*Таблица2[ПИР2012]))</f>
        <v>0</v>
      </c>
      <c r="AH195" s="63">
        <f>IF($B$4="в текущих ценах",T195*SUMPRODUCT(($B$2=Таблица2[Филиал])*($B$3=Таблица2[ФЕР/ТЕР])*(F195=Таблица2[Наименование работ])*(G195=Таблица2[ТПиР/НСиР])*Таблица2[СМР2012]),T195*SUMPRODUCT(($B$2=Таблица2[Филиал])*($B$3=Таблица2[ФЕР/ТЕР])*(F195=Таблица2[Наименование работ])*(G195=Таблица2[ТПиР/НСиР])*Таблица2[СМР2012]))</f>
        <v>0</v>
      </c>
      <c r="AI195" s="63">
        <f>IF($B$4="в текущих ценах",U195*SUMPRODUCT(($B$2=Таблица2[Филиал])*($B$3=Таблица2[ФЕР/ТЕР])*(F195=Таблица2[Наименование работ])*(G195=Таблица2[ТПиР/НСиР])*Таблица2[ПНР2012]),U195*SUMPRODUCT(($B$2=Таблица2[Филиал])*($B$3=Таблица2[ФЕР/ТЕР])*(F195=Таблица2[Наименование работ])*(G195=Таблица2[ТПиР/НСиР])*Таблица2[ПНР2012]))</f>
        <v>0</v>
      </c>
      <c r="AJ195" s="63">
        <f>IF($B$4="в текущих ценах",V195*SUMPRODUCT(($B$2=Таблица2[Филиал])*($B$3=Таблица2[ФЕР/ТЕР])*(F195=Таблица2[Наименование работ])*(G195=Таблица2[ТПиР/НСиР])*Таблица2[Оборудование2012]),V195*SUMPRODUCT(($B$2=Таблица2[Филиал])*($B$3=Таблица2[ФЕР/ТЕР])*(F195=Таблица2[Наименование работ])*(G195=Таблица2[ТПиР/НСиР])*Таблица2[Оборудование2012]))</f>
        <v>0</v>
      </c>
      <c r="AK195" s="63">
        <f>IF($B$4="в текущих ценах",W195*SUMPRODUCT(($B$2=Таблица2[Филиал])*($B$3=Таблица2[ФЕР/ТЕР])*(F195=Таблица2[Наименование работ])*(G195=Таблица2[ТПиР/НСиР])*Таблица2[Прочее2012]),W195*SUMPRODUCT(($B$2=Таблица2[Филиал])*($B$3=Таблица2[ФЕР/ТЕР])*(F195=Таблица2[Наименование работ])*(G195=Таблица2[ТПиР/НСиР])*Таблица2[Прочее2012]))</f>
        <v>0</v>
      </c>
      <c r="AL195" s="63">
        <f>данные!$X195+данные!$Y195+данные!$Z195+данные!$AA195+данные!$AB195</f>
        <v>0</v>
      </c>
      <c r="AM195" s="63">
        <v>1.03639035</v>
      </c>
      <c r="AN195" s="63">
        <v>1.0114049394</v>
      </c>
      <c r="AO195" s="63">
        <v>0.98210394336149998</v>
      </c>
      <c r="AP195" s="63">
        <v>0.93762413895893393</v>
      </c>
      <c r="AQ195" s="63"/>
      <c r="AR195" s="63"/>
      <c r="AS195" s="64"/>
      <c r="AU195" s="66">
        <f t="shared" si="12"/>
        <v>0</v>
      </c>
      <c r="AX195" s="66">
        <f t="shared" si="13"/>
        <v>0</v>
      </c>
      <c r="AY195" s="66">
        <f t="shared" si="14"/>
        <v>0</v>
      </c>
      <c r="AZ195" s="66">
        <f t="shared" si="15"/>
        <v>0</v>
      </c>
      <c r="BA195" s="66">
        <f t="shared" si="16"/>
        <v>0</v>
      </c>
      <c r="BB195" s="66">
        <f t="shared" si="17"/>
        <v>0</v>
      </c>
    </row>
    <row r="196" spans="4:54" x14ac:dyDescent="0.25">
      <c r="D196" s="62">
        <f>калькулятор!C201</f>
        <v>0</v>
      </c>
      <c r="E196" s="62">
        <f>калькулятор!F201</f>
        <v>0</v>
      </c>
      <c r="F196" s="62">
        <f>калькулятор!G201</f>
        <v>0</v>
      </c>
      <c r="G196" s="62">
        <f>калькулятор!H201</f>
        <v>0</v>
      </c>
      <c r="H196" s="62">
        <f>калькулятор!I201</f>
        <v>0</v>
      </c>
      <c r="I196" s="63">
        <f>S196*SUMPRODUCT(($B$2=Таблица2[Филиал])*($B$3=Таблица2[ФЕР/ТЕР])*(F196=Таблица2[Наименование работ])*(G196=Таблица2[ТПиР/НСиР])*Таблица2[ПИР2010])</f>
        <v>0</v>
      </c>
      <c r="J196" s="63">
        <f>T196*SUMPRODUCT(($B$2=Таблица2[Филиал])*($B$3=Таблица2[ФЕР/ТЕР])*(F196=Таблица2[Наименование работ])*(G196=Таблица2[ТПиР/НСиР])*Таблица2[СМР2010])</f>
        <v>0</v>
      </c>
      <c r="K196" s="63">
        <f>U196*SUMPRODUCT(($B$2=Таблица2[Филиал])*($B$3=Таблица2[ФЕР/ТЕР])*(F196=Таблица2[Наименование работ])*(G196=Таблица2[ТПиР/НСиР])*Таблица2[ПНР2010])</f>
        <v>0</v>
      </c>
      <c r="L196" s="63">
        <f>V196*SUMPRODUCT(($B$2=Таблица2[Филиал])*($B$3=Таблица2[ФЕР/ТЕР])*(F196=Таблица2[Наименование работ])*(G196=Таблица2[ТПиР/НСиР])*Таблица2[Оборудование2010])</f>
        <v>0</v>
      </c>
      <c r="M196" s="63">
        <f>W196*SUMPRODUCT(($B$2=Таблица2[Филиал])*($B$3=Таблица2[ФЕР/ТЕР])*(F196=Таблица2[Наименование работ])*(G196=Таблица2[ТПиР/НСиР])*Таблица2[Прочие2010])</f>
        <v>0</v>
      </c>
      <c r="N196" s="63">
        <f>S196*SUMPRODUCT(($B$2=Таблица2[Филиал])*($B$3=Таблица2[ФЕР/ТЕР])*(F196=Таблица2[Наименование работ])*(G196=Таблица2[ТПиР/НСиР])*Таблица2[ПИР2013-10])</f>
        <v>0</v>
      </c>
      <c r="O196" s="63">
        <f>T196*SUMPRODUCT(($B$2=Таблица2[Филиал])*($B$3=Таблица2[ФЕР/ТЕР])*(F196=Таблица2[Наименование работ])*(G196=Таблица2[ТПиР/НСиР])*Таблица2[СМР2013-10])</f>
        <v>0</v>
      </c>
      <c r="P196" s="63">
        <f>U196*SUMPRODUCT(($B$2=Таблица2[Филиал])*($B$3=Таблица2[ФЕР/ТЕР])*(F196=Таблица2[Наименование работ])*(G196=Таблица2[ТПиР/НСиР])*Таблица2[ПНР2013-10])</f>
        <v>0</v>
      </c>
      <c r="Q196" s="63">
        <f>V196*SUMPRODUCT(($B$2=Таблица2[Филиал])*($B$3=Таблица2[ФЕР/ТЕР])*(F196=Таблица2[Наименование работ])*(G196=Таблица2[ТПиР/НСиР])*Таблица2[Оборудование2013-10])</f>
        <v>0</v>
      </c>
      <c r="R196" s="63">
        <f>W196*SUMPRODUCT(($B$2=Таблица2[Филиал])*($B$3=Таблица2[ФЕР/ТЕР])*(F196=Таблица2[Наименование работ])*(G196=Таблица2[ТПиР/НСиР])*Таблица2[Прочие2013-10])</f>
        <v>0</v>
      </c>
      <c r="S196" s="63">
        <f>IF($B$4="в базовых ценах",калькулятор!J201,X196*SUMPRODUCT(($B$2=Таблица2[Филиал])*($B$3=Таблица2[ФЕР/ТЕР])*(F196=Таблица2[Наименование работ])*(G196=Таблица2[ТПиР/НСиР])/Таблица2[ПИР2013]))</f>
        <v>0</v>
      </c>
      <c r="T196" s="63">
        <f>IF($B$4="в базовых ценах",калькулятор!K201,Y196*SUMPRODUCT(($B$2=Таблица2[Филиал])*($B$3=Таблица2[ФЕР/ТЕР])*(F196=Таблица2[Наименование работ])*(G196=Таблица2[ТПиР/НСиР])/Таблица2[СМР2013]))</f>
        <v>0</v>
      </c>
      <c r="U196" s="63">
        <f>IF($B$4="в базовых ценах",калькулятор!L201,Z196*SUMPRODUCT(($B$2=Таблица2[Филиал])*($B$3=Таблица2[ФЕР/ТЕР])*(F196=Таблица2[Наименование работ])*(G196=Таблица2[ТПиР/НСиР])/Таблица2[ПНР2013]))</f>
        <v>0</v>
      </c>
      <c r="V196" s="63">
        <f>IF($B$4="в базовых ценах",калькулятор!M201,AA196*SUMPRODUCT(($B$2=Таблица2[Филиал])*($B$3=Таблица2[ФЕР/ТЕР])*(F196=Таблица2[Наименование работ])*(G196=Таблица2[ТПиР/НСиР])/Таблица2[Оборудование2013]))</f>
        <v>0</v>
      </c>
      <c r="W196" s="63">
        <f>IF($B$4="в базовых ценах",калькулятор!N201,AB196*SUMPRODUCT(($B$2=Таблица2[Филиал])*($B$3=Таблица2[ФЕР/ТЕР])*(F196=Таблица2[Наименование работ])*(G196=Таблица2[ТПиР/НСиР])/Таблица2[Прочие3]))</f>
        <v>0</v>
      </c>
      <c r="X196" s="63">
        <f>IF($B$4="в текущих ценах",калькулятор!J201,S196*SUMPRODUCT(($B$2=Таблица2[Филиал])*($B$3=Таблица2[ФЕР/ТЕР])*(F196=Таблица2[Наименование работ])*(G196=Таблица2[ТПиР/НСиР])*Таблица2[ПИР2013]))</f>
        <v>0</v>
      </c>
      <c r="Y196" s="63">
        <f>IF($B$4="в текущих ценах",калькулятор!K201,T196*SUMPRODUCT(($B$2=Таблица2[Филиал])*($B$3=Таблица2[ФЕР/ТЕР])*(F196=Таблица2[Наименование работ])*(G196=Таблица2[ТПиР/НСиР])*Таблица2[СМР2013]))</f>
        <v>0</v>
      </c>
      <c r="Z196" s="63">
        <f>IF($B$4="в текущих ценах",калькулятор!L201,U196*SUMPRODUCT(($B$2=Таблица2[Филиал])*($B$3=Таблица2[ФЕР/ТЕР])*(F196=Таблица2[Наименование работ])*(G196=Таблица2[ТПиР/НСиР])*Таблица2[ПНР2013]))</f>
        <v>0</v>
      </c>
      <c r="AA196" s="63">
        <f>IF($B$4="в текущих ценах",калькулятор!M201,V196*SUMPRODUCT(($B$2=Таблица2[Филиал])*($B$3=Таблица2[ФЕР/ТЕР])*(F196=Таблица2[Наименование работ])*(G196=Таблица2[ТПиР/НСиР])*Таблица2[Оборудование2013]))</f>
        <v>0</v>
      </c>
      <c r="AB196" s="63">
        <f>IF($B$4="в текущих ценах",калькулятор!N201,W196*SUMPRODUCT(($B$2=Таблица2[Филиал])*($B$3=Таблица2[ФЕР/ТЕР])*(F196=Таблица2[Наименование работ])*(G196=Таблица2[ТПиР/НСиР])*Таблица2[Прочие3]))</f>
        <v>0</v>
      </c>
      <c r="AC196" s="63">
        <f>SUM(данные!$I196:$M196)</f>
        <v>0</v>
      </c>
      <c r="AD196" s="63">
        <f>IF(SUM(данные!$N196:$R196)&gt;данные!$AF196,данные!$AF196*0.9*1.058,SUM(данные!$N196:$R196))</f>
        <v>0</v>
      </c>
      <c r="AE196" s="63">
        <f>SUM(данные!$S196:$W196)</f>
        <v>0</v>
      </c>
      <c r="AF196" s="63">
        <f>SUM(данные!$X196:$AB196)</f>
        <v>0</v>
      </c>
      <c r="AG196" s="63">
        <f>IF($B$4="в текущих ценах",S196*SUMPRODUCT(($B$2=Таблица2[Филиал])*($B$3=Таблица2[ФЕР/ТЕР])*(F196=Таблица2[Наименование работ])*(G196=Таблица2[ТПиР/НСиР])*Таблица2[ПИР2012]),S196*SUMPRODUCT(($B$2=Таблица2[Филиал])*($B$3=Таблица2[ФЕР/ТЕР])*(F196=Таблица2[Наименование работ])*(G196=Таблица2[ТПиР/НСиР])*Таблица2[ПИР2012]))</f>
        <v>0</v>
      </c>
      <c r="AH196" s="63">
        <f>IF($B$4="в текущих ценах",T196*SUMPRODUCT(($B$2=Таблица2[Филиал])*($B$3=Таблица2[ФЕР/ТЕР])*(F196=Таблица2[Наименование работ])*(G196=Таблица2[ТПиР/НСиР])*Таблица2[СМР2012]),T196*SUMPRODUCT(($B$2=Таблица2[Филиал])*($B$3=Таблица2[ФЕР/ТЕР])*(F196=Таблица2[Наименование работ])*(G196=Таблица2[ТПиР/НСиР])*Таблица2[СМР2012]))</f>
        <v>0</v>
      </c>
      <c r="AI196" s="63">
        <f>IF($B$4="в текущих ценах",U196*SUMPRODUCT(($B$2=Таблица2[Филиал])*($B$3=Таблица2[ФЕР/ТЕР])*(F196=Таблица2[Наименование работ])*(G196=Таблица2[ТПиР/НСиР])*Таблица2[ПНР2012]),U196*SUMPRODUCT(($B$2=Таблица2[Филиал])*($B$3=Таблица2[ФЕР/ТЕР])*(F196=Таблица2[Наименование работ])*(G196=Таблица2[ТПиР/НСиР])*Таблица2[ПНР2012]))</f>
        <v>0</v>
      </c>
      <c r="AJ196" s="63">
        <f>IF($B$4="в текущих ценах",V196*SUMPRODUCT(($B$2=Таблица2[Филиал])*($B$3=Таблица2[ФЕР/ТЕР])*(F196=Таблица2[Наименование работ])*(G196=Таблица2[ТПиР/НСиР])*Таблица2[Оборудование2012]),V196*SUMPRODUCT(($B$2=Таблица2[Филиал])*($B$3=Таблица2[ФЕР/ТЕР])*(F196=Таблица2[Наименование работ])*(G196=Таблица2[ТПиР/НСиР])*Таблица2[Оборудование2012]))</f>
        <v>0</v>
      </c>
      <c r="AK196" s="63">
        <f>IF($B$4="в текущих ценах",W196*SUMPRODUCT(($B$2=Таблица2[Филиал])*($B$3=Таблица2[ФЕР/ТЕР])*(F196=Таблица2[Наименование работ])*(G196=Таблица2[ТПиР/НСиР])*Таблица2[Прочее2012]),W196*SUMPRODUCT(($B$2=Таблица2[Филиал])*($B$3=Таблица2[ФЕР/ТЕР])*(F196=Таблица2[Наименование работ])*(G196=Таблица2[ТПиР/НСиР])*Таблица2[Прочее2012]))</f>
        <v>0</v>
      </c>
      <c r="AL196" s="63">
        <f>данные!$X196+данные!$Y196+данные!$Z196+данные!$AA196+данные!$AB196</f>
        <v>0</v>
      </c>
      <c r="AM196" s="63">
        <v>1.03639035</v>
      </c>
      <c r="AN196" s="63">
        <v>1.0114049394</v>
      </c>
      <c r="AO196" s="63">
        <v>0.98210394336149998</v>
      </c>
      <c r="AP196" s="63">
        <v>0.93762413895893393</v>
      </c>
      <c r="AQ196" s="63"/>
      <c r="AR196" s="63"/>
      <c r="AS196" s="64"/>
      <c r="AU196" s="66">
        <f t="shared" ref="AU196:AU216" si="18">AG196+AH196+AI196+AJ196+AK196</f>
        <v>0</v>
      </c>
      <c r="AX196" s="66">
        <f t="shared" ref="AX196:AX216" si="19">IF(SUM(N196:R196)&gt;SUM(X196:AB196),X196*0.9*1.058,N196)</f>
        <v>0</v>
      </c>
      <c r="AY196" s="66">
        <f t="shared" ref="AY196:AY216" si="20">IF(SUM(N196:R196)&gt;SUM(X196:AB196),Y196*0.9*1.058,O196)</f>
        <v>0</v>
      </c>
      <c r="AZ196" s="66">
        <f t="shared" ref="AZ196:AZ216" si="21">IF(SUM(N196:R196)&gt;SUM(X196:AB196),Z196*0.9*1.058,P196)</f>
        <v>0</v>
      </c>
      <c r="BA196" s="66">
        <f t="shared" ref="BA196:BA216" si="22">IF(SUM(N196:R196)&gt;SUM(X196:AB196),AA196*0.9*1.058,Q196)</f>
        <v>0</v>
      </c>
      <c r="BB196" s="66">
        <f t="shared" ref="BB196:BB216" si="23">IF(SUM(N196:R196)&gt;SUM(X196:AB196),AB196*0.9*1.058,R196)</f>
        <v>0</v>
      </c>
    </row>
    <row r="197" spans="4:54" x14ac:dyDescent="0.25">
      <c r="D197" s="62">
        <f>калькулятор!C202</f>
        <v>0</v>
      </c>
      <c r="E197" s="62">
        <f>калькулятор!F202</f>
        <v>0</v>
      </c>
      <c r="F197" s="62">
        <f>калькулятор!G202</f>
        <v>0</v>
      </c>
      <c r="G197" s="62">
        <f>калькулятор!H202</f>
        <v>0</v>
      </c>
      <c r="H197" s="62">
        <f>калькулятор!I202</f>
        <v>0</v>
      </c>
      <c r="I197" s="63">
        <f>S197*SUMPRODUCT(($B$2=Таблица2[Филиал])*($B$3=Таблица2[ФЕР/ТЕР])*(F197=Таблица2[Наименование работ])*(G197=Таблица2[ТПиР/НСиР])*Таблица2[ПИР2010])</f>
        <v>0</v>
      </c>
      <c r="J197" s="63">
        <f>T197*SUMPRODUCT(($B$2=Таблица2[Филиал])*($B$3=Таблица2[ФЕР/ТЕР])*(F197=Таблица2[Наименование работ])*(G197=Таблица2[ТПиР/НСиР])*Таблица2[СМР2010])</f>
        <v>0</v>
      </c>
      <c r="K197" s="63">
        <f>U197*SUMPRODUCT(($B$2=Таблица2[Филиал])*($B$3=Таблица2[ФЕР/ТЕР])*(F197=Таблица2[Наименование работ])*(G197=Таблица2[ТПиР/НСиР])*Таблица2[ПНР2010])</f>
        <v>0</v>
      </c>
      <c r="L197" s="63">
        <f>V197*SUMPRODUCT(($B$2=Таблица2[Филиал])*($B$3=Таблица2[ФЕР/ТЕР])*(F197=Таблица2[Наименование работ])*(G197=Таблица2[ТПиР/НСиР])*Таблица2[Оборудование2010])</f>
        <v>0</v>
      </c>
      <c r="M197" s="63">
        <f>W197*SUMPRODUCT(($B$2=Таблица2[Филиал])*($B$3=Таблица2[ФЕР/ТЕР])*(F197=Таблица2[Наименование работ])*(G197=Таблица2[ТПиР/НСиР])*Таблица2[Прочие2010])</f>
        <v>0</v>
      </c>
      <c r="N197" s="63">
        <f>S197*SUMPRODUCT(($B$2=Таблица2[Филиал])*($B$3=Таблица2[ФЕР/ТЕР])*(F197=Таблица2[Наименование работ])*(G197=Таблица2[ТПиР/НСиР])*Таблица2[ПИР2013-10])</f>
        <v>0</v>
      </c>
      <c r="O197" s="63">
        <f>T197*SUMPRODUCT(($B$2=Таблица2[Филиал])*($B$3=Таблица2[ФЕР/ТЕР])*(F197=Таблица2[Наименование работ])*(G197=Таблица2[ТПиР/НСиР])*Таблица2[СМР2013-10])</f>
        <v>0</v>
      </c>
      <c r="P197" s="63">
        <f>U197*SUMPRODUCT(($B$2=Таблица2[Филиал])*($B$3=Таблица2[ФЕР/ТЕР])*(F197=Таблица2[Наименование работ])*(G197=Таблица2[ТПиР/НСиР])*Таблица2[ПНР2013-10])</f>
        <v>0</v>
      </c>
      <c r="Q197" s="63">
        <f>V197*SUMPRODUCT(($B$2=Таблица2[Филиал])*($B$3=Таблица2[ФЕР/ТЕР])*(F197=Таблица2[Наименование работ])*(G197=Таблица2[ТПиР/НСиР])*Таблица2[Оборудование2013-10])</f>
        <v>0</v>
      </c>
      <c r="R197" s="63">
        <f>W197*SUMPRODUCT(($B$2=Таблица2[Филиал])*($B$3=Таблица2[ФЕР/ТЕР])*(F197=Таблица2[Наименование работ])*(G197=Таблица2[ТПиР/НСиР])*Таблица2[Прочие2013-10])</f>
        <v>0</v>
      </c>
      <c r="S197" s="63">
        <f>IF($B$4="в базовых ценах",калькулятор!J202,X197*SUMPRODUCT(($B$2=Таблица2[Филиал])*($B$3=Таблица2[ФЕР/ТЕР])*(F197=Таблица2[Наименование работ])*(G197=Таблица2[ТПиР/НСиР])/Таблица2[ПИР2013]))</f>
        <v>0</v>
      </c>
      <c r="T197" s="63">
        <f>IF($B$4="в базовых ценах",калькулятор!K202,Y197*SUMPRODUCT(($B$2=Таблица2[Филиал])*($B$3=Таблица2[ФЕР/ТЕР])*(F197=Таблица2[Наименование работ])*(G197=Таблица2[ТПиР/НСиР])/Таблица2[СМР2013]))</f>
        <v>0</v>
      </c>
      <c r="U197" s="63">
        <f>IF($B$4="в базовых ценах",калькулятор!L202,Z197*SUMPRODUCT(($B$2=Таблица2[Филиал])*($B$3=Таблица2[ФЕР/ТЕР])*(F197=Таблица2[Наименование работ])*(G197=Таблица2[ТПиР/НСиР])/Таблица2[ПНР2013]))</f>
        <v>0</v>
      </c>
      <c r="V197" s="63">
        <f>IF($B$4="в базовых ценах",калькулятор!M202,AA197*SUMPRODUCT(($B$2=Таблица2[Филиал])*($B$3=Таблица2[ФЕР/ТЕР])*(F197=Таблица2[Наименование работ])*(G197=Таблица2[ТПиР/НСиР])/Таблица2[Оборудование2013]))</f>
        <v>0</v>
      </c>
      <c r="W197" s="63">
        <f>IF($B$4="в базовых ценах",калькулятор!N202,AB197*SUMPRODUCT(($B$2=Таблица2[Филиал])*($B$3=Таблица2[ФЕР/ТЕР])*(F197=Таблица2[Наименование работ])*(G197=Таблица2[ТПиР/НСиР])/Таблица2[Прочие3]))</f>
        <v>0</v>
      </c>
      <c r="X197" s="63">
        <f>IF($B$4="в текущих ценах",калькулятор!J202,S197*SUMPRODUCT(($B$2=Таблица2[Филиал])*($B$3=Таблица2[ФЕР/ТЕР])*(F197=Таблица2[Наименование работ])*(G197=Таблица2[ТПиР/НСиР])*Таблица2[ПИР2013]))</f>
        <v>0</v>
      </c>
      <c r="Y197" s="63">
        <f>IF($B$4="в текущих ценах",калькулятор!K202,T197*SUMPRODUCT(($B$2=Таблица2[Филиал])*($B$3=Таблица2[ФЕР/ТЕР])*(F197=Таблица2[Наименование работ])*(G197=Таблица2[ТПиР/НСиР])*Таблица2[СМР2013]))</f>
        <v>0</v>
      </c>
      <c r="Z197" s="63">
        <f>IF($B$4="в текущих ценах",калькулятор!L202,U197*SUMPRODUCT(($B$2=Таблица2[Филиал])*($B$3=Таблица2[ФЕР/ТЕР])*(F197=Таблица2[Наименование работ])*(G197=Таблица2[ТПиР/НСиР])*Таблица2[ПНР2013]))</f>
        <v>0</v>
      </c>
      <c r="AA197" s="63">
        <f>IF($B$4="в текущих ценах",калькулятор!M202,V197*SUMPRODUCT(($B$2=Таблица2[Филиал])*($B$3=Таблица2[ФЕР/ТЕР])*(F197=Таблица2[Наименование работ])*(G197=Таблица2[ТПиР/НСиР])*Таблица2[Оборудование2013]))</f>
        <v>0</v>
      </c>
      <c r="AB197" s="63">
        <f>IF($B$4="в текущих ценах",калькулятор!N202,W197*SUMPRODUCT(($B$2=Таблица2[Филиал])*($B$3=Таблица2[ФЕР/ТЕР])*(F197=Таблица2[Наименование работ])*(G197=Таблица2[ТПиР/НСиР])*Таблица2[Прочие3]))</f>
        <v>0</v>
      </c>
      <c r="AC197" s="63">
        <f>SUM(данные!$I197:$M197)</f>
        <v>0</v>
      </c>
      <c r="AD197" s="63">
        <f>IF(SUM(данные!$N197:$R197)&gt;данные!$AF197,данные!$AF197*0.9*1.058,SUM(данные!$N197:$R197))</f>
        <v>0</v>
      </c>
      <c r="AE197" s="63">
        <f>SUM(данные!$S197:$W197)</f>
        <v>0</v>
      </c>
      <c r="AF197" s="63">
        <f>SUM(данные!$X197:$AB197)</f>
        <v>0</v>
      </c>
      <c r="AG197" s="63">
        <f>IF($B$4="в текущих ценах",S197*SUMPRODUCT(($B$2=Таблица2[Филиал])*($B$3=Таблица2[ФЕР/ТЕР])*(F197=Таблица2[Наименование работ])*(G197=Таблица2[ТПиР/НСиР])*Таблица2[ПИР2012]),S197*SUMPRODUCT(($B$2=Таблица2[Филиал])*($B$3=Таблица2[ФЕР/ТЕР])*(F197=Таблица2[Наименование работ])*(G197=Таблица2[ТПиР/НСиР])*Таблица2[ПИР2012]))</f>
        <v>0</v>
      </c>
      <c r="AH197" s="63">
        <f>IF($B$4="в текущих ценах",T197*SUMPRODUCT(($B$2=Таблица2[Филиал])*($B$3=Таблица2[ФЕР/ТЕР])*(F197=Таблица2[Наименование работ])*(G197=Таблица2[ТПиР/НСиР])*Таблица2[СМР2012]),T197*SUMPRODUCT(($B$2=Таблица2[Филиал])*($B$3=Таблица2[ФЕР/ТЕР])*(F197=Таблица2[Наименование работ])*(G197=Таблица2[ТПиР/НСиР])*Таблица2[СМР2012]))</f>
        <v>0</v>
      </c>
      <c r="AI197" s="63">
        <f>IF($B$4="в текущих ценах",U197*SUMPRODUCT(($B$2=Таблица2[Филиал])*($B$3=Таблица2[ФЕР/ТЕР])*(F197=Таблица2[Наименование работ])*(G197=Таблица2[ТПиР/НСиР])*Таблица2[ПНР2012]),U197*SUMPRODUCT(($B$2=Таблица2[Филиал])*($B$3=Таблица2[ФЕР/ТЕР])*(F197=Таблица2[Наименование работ])*(G197=Таблица2[ТПиР/НСиР])*Таблица2[ПНР2012]))</f>
        <v>0</v>
      </c>
      <c r="AJ197" s="63">
        <f>IF($B$4="в текущих ценах",V197*SUMPRODUCT(($B$2=Таблица2[Филиал])*($B$3=Таблица2[ФЕР/ТЕР])*(F197=Таблица2[Наименование работ])*(G197=Таблица2[ТПиР/НСиР])*Таблица2[Оборудование2012]),V197*SUMPRODUCT(($B$2=Таблица2[Филиал])*($B$3=Таблица2[ФЕР/ТЕР])*(F197=Таблица2[Наименование работ])*(G197=Таблица2[ТПиР/НСиР])*Таблица2[Оборудование2012]))</f>
        <v>0</v>
      </c>
      <c r="AK197" s="63">
        <f>IF($B$4="в текущих ценах",W197*SUMPRODUCT(($B$2=Таблица2[Филиал])*($B$3=Таблица2[ФЕР/ТЕР])*(F197=Таблица2[Наименование работ])*(G197=Таблица2[ТПиР/НСиР])*Таблица2[Прочее2012]),W197*SUMPRODUCT(($B$2=Таблица2[Филиал])*($B$3=Таблица2[ФЕР/ТЕР])*(F197=Таблица2[Наименование работ])*(G197=Таблица2[ТПиР/НСиР])*Таблица2[Прочее2012]))</f>
        <v>0</v>
      </c>
      <c r="AL197" s="63">
        <f>данные!$X197+данные!$Y197+данные!$Z197+данные!$AA197+данные!$AB197</f>
        <v>0</v>
      </c>
      <c r="AM197" s="63">
        <v>1.03639035</v>
      </c>
      <c r="AN197" s="63">
        <v>1.0114049394</v>
      </c>
      <c r="AO197" s="63">
        <v>0.98210394336149998</v>
      </c>
      <c r="AP197" s="63">
        <v>0.93762413895893393</v>
      </c>
      <c r="AQ197" s="63"/>
      <c r="AR197" s="63"/>
      <c r="AS197" s="64"/>
      <c r="AU197" s="66">
        <f t="shared" si="18"/>
        <v>0</v>
      </c>
      <c r="AX197" s="66">
        <f t="shared" si="19"/>
        <v>0</v>
      </c>
      <c r="AY197" s="66">
        <f t="shared" si="20"/>
        <v>0</v>
      </c>
      <c r="AZ197" s="66">
        <f t="shared" si="21"/>
        <v>0</v>
      </c>
      <c r="BA197" s="66">
        <f t="shared" si="22"/>
        <v>0</v>
      </c>
      <c r="BB197" s="66">
        <f t="shared" si="23"/>
        <v>0</v>
      </c>
    </row>
    <row r="198" spans="4:54" x14ac:dyDescent="0.25">
      <c r="D198" s="62">
        <f>калькулятор!C203</f>
        <v>0</v>
      </c>
      <c r="E198" s="62">
        <f>калькулятор!F203</f>
        <v>0</v>
      </c>
      <c r="F198" s="62">
        <f>калькулятор!G203</f>
        <v>0</v>
      </c>
      <c r="G198" s="62">
        <f>калькулятор!H203</f>
        <v>0</v>
      </c>
      <c r="H198" s="62">
        <f>калькулятор!I203</f>
        <v>0</v>
      </c>
      <c r="I198" s="63">
        <f>S198*SUMPRODUCT(($B$2=Таблица2[Филиал])*($B$3=Таблица2[ФЕР/ТЕР])*(F198=Таблица2[Наименование работ])*(G198=Таблица2[ТПиР/НСиР])*Таблица2[ПИР2010])</f>
        <v>0</v>
      </c>
      <c r="J198" s="63">
        <f>T198*SUMPRODUCT(($B$2=Таблица2[Филиал])*($B$3=Таблица2[ФЕР/ТЕР])*(F198=Таблица2[Наименование работ])*(G198=Таблица2[ТПиР/НСиР])*Таблица2[СМР2010])</f>
        <v>0</v>
      </c>
      <c r="K198" s="63">
        <f>U198*SUMPRODUCT(($B$2=Таблица2[Филиал])*($B$3=Таблица2[ФЕР/ТЕР])*(F198=Таблица2[Наименование работ])*(G198=Таблица2[ТПиР/НСиР])*Таблица2[ПНР2010])</f>
        <v>0</v>
      </c>
      <c r="L198" s="63">
        <f>V198*SUMPRODUCT(($B$2=Таблица2[Филиал])*($B$3=Таблица2[ФЕР/ТЕР])*(F198=Таблица2[Наименование работ])*(G198=Таблица2[ТПиР/НСиР])*Таблица2[Оборудование2010])</f>
        <v>0</v>
      </c>
      <c r="M198" s="63">
        <f>W198*SUMPRODUCT(($B$2=Таблица2[Филиал])*($B$3=Таблица2[ФЕР/ТЕР])*(F198=Таблица2[Наименование работ])*(G198=Таблица2[ТПиР/НСиР])*Таблица2[Прочие2010])</f>
        <v>0</v>
      </c>
      <c r="N198" s="63">
        <f>S198*SUMPRODUCT(($B$2=Таблица2[Филиал])*($B$3=Таблица2[ФЕР/ТЕР])*(F198=Таблица2[Наименование работ])*(G198=Таблица2[ТПиР/НСиР])*Таблица2[ПИР2013-10])</f>
        <v>0</v>
      </c>
      <c r="O198" s="63">
        <f>T198*SUMPRODUCT(($B$2=Таблица2[Филиал])*($B$3=Таблица2[ФЕР/ТЕР])*(F198=Таблица2[Наименование работ])*(G198=Таблица2[ТПиР/НСиР])*Таблица2[СМР2013-10])</f>
        <v>0</v>
      </c>
      <c r="P198" s="63">
        <f>U198*SUMPRODUCT(($B$2=Таблица2[Филиал])*($B$3=Таблица2[ФЕР/ТЕР])*(F198=Таблица2[Наименование работ])*(G198=Таблица2[ТПиР/НСиР])*Таблица2[ПНР2013-10])</f>
        <v>0</v>
      </c>
      <c r="Q198" s="63">
        <f>V198*SUMPRODUCT(($B$2=Таблица2[Филиал])*($B$3=Таблица2[ФЕР/ТЕР])*(F198=Таблица2[Наименование работ])*(G198=Таблица2[ТПиР/НСиР])*Таблица2[Оборудование2013-10])</f>
        <v>0</v>
      </c>
      <c r="R198" s="63">
        <f>W198*SUMPRODUCT(($B$2=Таблица2[Филиал])*($B$3=Таблица2[ФЕР/ТЕР])*(F198=Таблица2[Наименование работ])*(G198=Таблица2[ТПиР/НСиР])*Таблица2[Прочие2013-10])</f>
        <v>0</v>
      </c>
      <c r="S198" s="63">
        <f>IF($B$4="в базовых ценах",калькулятор!J203,X198*SUMPRODUCT(($B$2=Таблица2[Филиал])*($B$3=Таблица2[ФЕР/ТЕР])*(F198=Таблица2[Наименование работ])*(G198=Таблица2[ТПиР/НСиР])/Таблица2[ПИР2013]))</f>
        <v>0</v>
      </c>
      <c r="T198" s="63">
        <f>IF($B$4="в базовых ценах",калькулятор!K203,Y198*SUMPRODUCT(($B$2=Таблица2[Филиал])*($B$3=Таблица2[ФЕР/ТЕР])*(F198=Таблица2[Наименование работ])*(G198=Таблица2[ТПиР/НСиР])/Таблица2[СМР2013]))</f>
        <v>0</v>
      </c>
      <c r="U198" s="63">
        <f>IF($B$4="в базовых ценах",калькулятор!L203,Z198*SUMPRODUCT(($B$2=Таблица2[Филиал])*($B$3=Таблица2[ФЕР/ТЕР])*(F198=Таблица2[Наименование работ])*(G198=Таблица2[ТПиР/НСиР])/Таблица2[ПНР2013]))</f>
        <v>0</v>
      </c>
      <c r="V198" s="63">
        <f>IF($B$4="в базовых ценах",калькулятор!M203,AA198*SUMPRODUCT(($B$2=Таблица2[Филиал])*($B$3=Таблица2[ФЕР/ТЕР])*(F198=Таблица2[Наименование работ])*(G198=Таблица2[ТПиР/НСиР])/Таблица2[Оборудование2013]))</f>
        <v>0</v>
      </c>
      <c r="W198" s="63">
        <f>IF($B$4="в базовых ценах",калькулятор!N203,AB198*SUMPRODUCT(($B$2=Таблица2[Филиал])*($B$3=Таблица2[ФЕР/ТЕР])*(F198=Таблица2[Наименование работ])*(G198=Таблица2[ТПиР/НСиР])/Таблица2[Прочие3]))</f>
        <v>0</v>
      </c>
      <c r="X198" s="63">
        <f>IF($B$4="в текущих ценах",калькулятор!J203,S198*SUMPRODUCT(($B$2=Таблица2[Филиал])*($B$3=Таблица2[ФЕР/ТЕР])*(F198=Таблица2[Наименование работ])*(G198=Таблица2[ТПиР/НСиР])*Таблица2[ПИР2013]))</f>
        <v>0</v>
      </c>
      <c r="Y198" s="63">
        <f>IF($B$4="в текущих ценах",калькулятор!K203,T198*SUMPRODUCT(($B$2=Таблица2[Филиал])*($B$3=Таблица2[ФЕР/ТЕР])*(F198=Таблица2[Наименование работ])*(G198=Таблица2[ТПиР/НСиР])*Таблица2[СМР2013]))</f>
        <v>0</v>
      </c>
      <c r="Z198" s="63">
        <f>IF($B$4="в текущих ценах",калькулятор!L203,U198*SUMPRODUCT(($B$2=Таблица2[Филиал])*($B$3=Таблица2[ФЕР/ТЕР])*(F198=Таблица2[Наименование работ])*(G198=Таблица2[ТПиР/НСиР])*Таблица2[ПНР2013]))</f>
        <v>0</v>
      </c>
      <c r="AA198" s="63">
        <f>IF($B$4="в текущих ценах",калькулятор!M203,V198*SUMPRODUCT(($B$2=Таблица2[Филиал])*($B$3=Таблица2[ФЕР/ТЕР])*(F198=Таблица2[Наименование работ])*(G198=Таблица2[ТПиР/НСиР])*Таблица2[Оборудование2013]))</f>
        <v>0</v>
      </c>
      <c r="AB198" s="63">
        <f>IF($B$4="в текущих ценах",калькулятор!N203,W198*SUMPRODUCT(($B$2=Таблица2[Филиал])*($B$3=Таблица2[ФЕР/ТЕР])*(F198=Таблица2[Наименование работ])*(G198=Таблица2[ТПиР/НСиР])*Таблица2[Прочие3]))</f>
        <v>0</v>
      </c>
      <c r="AC198" s="63">
        <f>SUM(данные!$I198:$M198)</f>
        <v>0</v>
      </c>
      <c r="AD198" s="63">
        <f>IF(SUM(данные!$N198:$R198)&gt;данные!$AF198,данные!$AF198*0.9*1.058,SUM(данные!$N198:$R198))</f>
        <v>0</v>
      </c>
      <c r="AE198" s="63">
        <f>SUM(данные!$S198:$W198)</f>
        <v>0</v>
      </c>
      <c r="AF198" s="63">
        <f>SUM(данные!$X198:$AB198)</f>
        <v>0</v>
      </c>
      <c r="AG198" s="63">
        <f>IF($B$4="в текущих ценах",S198*SUMPRODUCT(($B$2=Таблица2[Филиал])*($B$3=Таблица2[ФЕР/ТЕР])*(F198=Таблица2[Наименование работ])*(G198=Таблица2[ТПиР/НСиР])*Таблица2[ПИР2012]),S198*SUMPRODUCT(($B$2=Таблица2[Филиал])*($B$3=Таблица2[ФЕР/ТЕР])*(F198=Таблица2[Наименование работ])*(G198=Таблица2[ТПиР/НСиР])*Таблица2[ПИР2012]))</f>
        <v>0</v>
      </c>
      <c r="AH198" s="63">
        <f>IF($B$4="в текущих ценах",T198*SUMPRODUCT(($B$2=Таблица2[Филиал])*($B$3=Таблица2[ФЕР/ТЕР])*(F198=Таблица2[Наименование работ])*(G198=Таблица2[ТПиР/НСиР])*Таблица2[СМР2012]),T198*SUMPRODUCT(($B$2=Таблица2[Филиал])*($B$3=Таблица2[ФЕР/ТЕР])*(F198=Таблица2[Наименование работ])*(G198=Таблица2[ТПиР/НСиР])*Таблица2[СМР2012]))</f>
        <v>0</v>
      </c>
      <c r="AI198" s="63">
        <f>IF($B$4="в текущих ценах",U198*SUMPRODUCT(($B$2=Таблица2[Филиал])*($B$3=Таблица2[ФЕР/ТЕР])*(F198=Таблица2[Наименование работ])*(G198=Таблица2[ТПиР/НСиР])*Таблица2[ПНР2012]),U198*SUMPRODUCT(($B$2=Таблица2[Филиал])*($B$3=Таблица2[ФЕР/ТЕР])*(F198=Таблица2[Наименование работ])*(G198=Таблица2[ТПиР/НСиР])*Таблица2[ПНР2012]))</f>
        <v>0</v>
      </c>
      <c r="AJ198" s="63">
        <f>IF($B$4="в текущих ценах",V198*SUMPRODUCT(($B$2=Таблица2[Филиал])*($B$3=Таблица2[ФЕР/ТЕР])*(F198=Таблица2[Наименование работ])*(G198=Таблица2[ТПиР/НСиР])*Таблица2[Оборудование2012]),V198*SUMPRODUCT(($B$2=Таблица2[Филиал])*($B$3=Таблица2[ФЕР/ТЕР])*(F198=Таблица2[Наименование работ])*(G198=Таблица2[ТПиР/НСиР])*Таблица2[Оборудование2012]))</f>
        <v>0</v>
      </c>
      <c r="AK198" s="63">
        <f>IF($B$4="в текущих ценах",W198*SUMPRODUCT(($B$2=Таблица2[Филиал])*($B$3=Таблица2[ФЕР/ТЕР])*(F198=Таблица2[Наименование работ])*(G198=Таблица2[ТПиР/НСиР])*Таблица2[Прочее2012]),W198*SUMPRODUCT(($B$2=Таблица2[Филиал])*($B$3=Таблица2[ФЕР/ТЕР])*(F198=Таблица2[Наименование работ])*(G198=Таблица2[ТПиР/НСиР])*Таблица2[Прочее2012]))</f>
        <v>0</v>
      </c>
      <c r="AL198" s="63">
        <f>данные!$X198+данные!$Y198+данные!$Z198+данные!$AA198+данные!$AB198</f>
        <v>0</v>
      </c>
      <c r="AM198" s="63">
        <v>1.03639035</v>
      </c>
      <c r="AN198" s="63">
        <v>1.0114049394</v>
      </c>
      <c r="AO198" s="63">
        <v>0.98210394336149998</v>
      </c>
      <c r="AP198" s="63">
        <v>0.93762413895893393</v>
      </c>
      <c r="AQ198" s="63"/>
      <c r="AR198" s="63"/>
      <c r="AS198" s="64"/>
      <c r="AU198" s="66">
        <f t="shared" si="18"/>
        <v>0</v>
      </c>
      <c r="AX198" s="66">
        <f t="shared" si="19"/>
        <v>0</v>
      </c>
      <c r="AY198" s="66">
        <f t="shared" si="20"/>
        <v>0</v>
      </c>
      <c r="AZ198" s="66">
        <f t="shared" si="21"/>
        <v>0</v>
      </c>
      <c r="BA198" s="66">
        <f t="shared" si="22"/>
        <v>0</v>
      </c>
      <c r="BB198" s="66">
        <f t="shared" si="23"/>
        <v>0</v>
      </c>
    </row>
    <row r="199" spans="4:54" x14ac:dyDescent="0.25">
      <c r="D199" s="62">
        <f>калькулятор!C204</f>
        <v>0</v>
      </c>
      <c r="E199" s="62">
        <f>калькулятор!F204</f>
        <v>0</v>
      </c>
      <c r="F199" s="62">
        <f>калькулятор!G204</f>
        <v>0</v>
      </c>
      <c r="G199" s="62">
        <f>калькулятор!H204</f>
        <v>0</v>
      </c>
      <c r="H199" s="62">
        <f>калькулятор!I204</f>
        <v>0</v>
      </c>
      <c r="I199" s="63">
        <f>S199*SUMPRODUCT(($B$2=Таблица2[Филиал])*($B$3=Таблица2[ФЕР/ТЕР])*(F199=Таблица2[Наименование работ])*(G199=Таблица2[ТПиР/НСиР])*Таблица2[ПИР2010])</f>
        <v>0</v>
      </c>
      <c r="J199" s="63">
        <f>T199*SUMPRODUCT(($B$2=Таблица2[Филиал])*($B$3=Таблица2[ФЕР/ТЕР])*(F199=Таблица2[Наименование работ])*(G199=Таблица2[ТПиР/НСиР])*Таблица2[СМР2010])</f>
        <v>0</v>
      </c>
      <c r="K199" s="63">
        <f>U199*SUMPRODUCT(($B$2=Таблица2[Филиал])*($B$3=Таблица2[ФЕР/ТЕР])*(F199=Таблица2[Наименование работ])*(G199=Таблица2[ТПиР/НСиР])*Таблица2[ПНР2010])</f>
        <v>0</v>
      </c>
      <c r="L199" s="63">
        <f>V199*SUMPRODUCT(($B$2=Таблица2[Филиал])*($B$3=Таблица2[ФЕР/ТЕР])*(F199=Таблица2[Наименование работ])*(G199=Таблица2[ТПиР/НСиР])*Таблица2[Оборудование2010])</f>
        <v>0</v>
      </c>
      <c r="M199" s="63">
        <f>W199*SUMPRODUCT(($B$2=Таблица2[Филиал])*($B$3=Таблица2[ФЕР/ТЕР])*(F199=Таблица2[Наименование работ])*(G199=Таблица2[ТПиР/НСиР])*Таблица2[Прочие2010])</f>
        <v>0</v>
      </c>
      <c r="N199" s="63">
        <f>S199*SUMPRODUCT(($B$2=Таблица2[Филиал])*($B$3=Таблица2[ФЕР/ТЕР])*(F199=Таблица2[Наименование работ])*(G199=Таблица2[ТПиР/НСиР])*Таблица2[ПИР2013-10])</f>
        <v>0</v>
      </c>
      <c r="O199" s="63">
        <f>T199*SUMPRODUCT(($B$2=Таблица2[Филиал])*($B$3=Таблица2[ФЕР/ТЕР])*(F199=Таблица2[Наименование работ])*(G199=Таблица2[ТПиР/НСиР])*Таблица2[СМР2013-10])</f>
        <v>0</v>
      </c>
      <c r="P199" s="63">
        <f>U199*SUMPRODUCT(($B$2=Таблица2[Филиал])*($B$3=Таблица2[ФЕР/ТЕР])*(F199=Таблица2[Наименование работ])*(G199=Таблица2[ТПиР/НСиР])*Таблица2[ПНР2013-10])</f>
        <v>0</v>
      </c>
      <c r="Q199" s="63">
        <f>V199*SUMPRODUCT(($B$2=Таблица2[Филиал])*($B$3=Таблица2[ФЕР/ТЕР])*(F199=Таблица2[Наименование работ])*(G199=Таблица2[ТПиР/НСиР])*Таблица2[Оборудование2013-10])</f>
        <v>0</v>
      </c>
      <c r="R199" s="63">
        <f>W199*SUMPRODUCT(($B$2=Таблица2[Филиал])*($B$3=Таблица2[ФЕР/ТЕР])*(F199=Таблица2[Наименование работ])*(G199=Таблица2[ТПиР/НСиР])*Таблица2[Прочие2013-10])</f>
        <v>0</v>
      </c>
      <c r="S199" s="63">
        <f>IF($B$4="в базовых ценах",калькулятор!J204,X199*SUMPRODUCT(($B$2=Таблица2[Филиал])*($B$3=Таблица2[ФЕР/ТЕР])*(F199=Таблица2[Наименование работ])*(G199=Таблица2[ТПиР/НСиР])/Таблица2[ПИР2013]))</f>
        <v>0</v>
      </c>
      <c r="T199" s="63">
        <f>IF($B$4="в базовых ценах",калькулятор!K204,Y199*SUMPRODUCT(($B$2=Таблица2[Филиал])*($B$3=Таблица2[ФЕР/ТЕР])*(F199=Таблица2[Наименование работ])*(G199=Таблица2[ТПиР/НСиР])/Таблица2[СМР2013]))</f>
        <v>0</v>
      </c>
      <c r="U199" s="63">
        <f>IF($B$4="в базовых ценах",калькулятор!L204,Z199*SUMPRODUCT(($B$2=Таблица2[Филиал])*($B$3=Таблица2[ФЕР/ТЕР])*(F199=Таблица2[Наименование работ])*(G199=Таблица2[ТПиР/НСиР])/Таблица2[ПНР2013]))</f>
        <v>0</v>
      </c>
      <c r="V199" s="63">
        <f>IF($B$4="в базовых ценах",калькулятор!M204,AA199*SUMPRODUCT(($B$2=Таблица2[Филиал])*($B$3=Таблица2[ФЕР/ТЕР])*(F199=Таблица2[Наименование работ])*(G199=Таблица2[ТПиР/НСиР])/Таблица2[Оборудование2013]))</f>
        <v>0</v>
      </c>
      <c r="W199" s="63">
        <f>IF($B$4="в базовых ценах",калькулятор!N204,AB199*SUMPRODUCT(($B$2=Таблица2[Филиал])*($B$3=Таблица2[ФЕР/ТЕР])*(F199=Таблица2[Наименование работ])*(G199=Таблица2[ТПиР/НСиР])/Таблица2[Прочие3]))</f>
        <v>0</v>
      </c>
      <c r="X199" s="63">
        <f>IF($B$4="в текущих ценах",калькулятор!J204,S199*SUMPRODUCT(($B$2=Таблица2[Филиал])*($B$3=Таблица2[ФЕР/ТЕР])*(F199=Таблица2[Наименование работ])*(G199=Таблица2[ТПиР/НСиР])*Таблица2[ПИР2013]))</f>
        <v>0</v>
      </c>
      <c r="Y199" s="63">
        <f>IF($B$4="в текущих ценах",калькулятор!K204,T199*SUMPRODUCT(($B$2=Таблица2[Филиал])*($B$3=Таблица2[ФЕР/ТЕР])*(F199=Таблица2[Наименование работ])*(G199=Таблица2[ТПиР/НСиР])*Таблица2[СМР2013]))</f>
        <v>0</v>
      </c>
      <c r="Z199" s="63">
        <f>IF($B$4="в текущих ценах",калькулятор!L204,U199*SUMPRODUCT(($B$2=Таблица2[Филиал])*($B$3=Таблица2[ФЕР/ТЕР])*(F199=Таблица2[Наименование работ])*(G199=Таблица2[ТПиР/НСиР])*Таблица2[ПНР2013]))</f>
        <v>0</v>
      </c>
      <c r="AA199" s="63">
        <f>IF($B$4="в текущих ценах",калькулятор!M204,V199*SUMPRODUCT(($B$2=Таблица2[Филиал])*($B$3=Таблица2[ФЕР/ТЕР])*(F199=Таблица2[Наименование работ])*(G199=Таблица2[ТПиР/НСиР])*Таблица2[Оборудование2013]))</f>
        <v>0</v>
      </c>
      <c r="AB199" s="63">
        <f>IF($B$4="в текущих ценах",калькулятор!N204,W199*SUMPRODUCT(($B$2=Таблица2[Филиал])*($B$3=Таблица2[ФЕР/ТЕР])*(F199=Таблица2[Наименование работ])*(G199=Таблица2[ТПиР/НСиР])*Таблица2[Прочие3]))</f>
        <v>0</v>
      </c>
      <c r="AC199" s="63">
        <f>SUM(данные!$I199:$M199)</f>
        <v>0</v>
      </c>
      <c r="AD199" s="63">
        <f>IF(SUM(данные!$N199:$R199)&gt;данные!$AF199,данные!$AF199*0.9*1.058,SUM(данные!$N199:$R199))</f>
        <v>0</v>
      </c>
      <c r="AE199" s="63">
        <f>SUM(данные!$S199:$W199)</f>
        <v>0</v>
      </c>
      <c r="AF199" s="63">
        <f>SUM(данные!$X199:$AB199)</f>
        <v>0</v>
      </c>
      <c r="AG199" s="63">
        <f>IF($B$4="в текущих ценах",S199*SUMPRODUCT(($B$2=Таблица2[Филиал])*($B$3=Таблица2[ФЕР/ТЕР])*(F199=Таблица2[Наименование работ])*(G199=Таблица2[ТПиР/НСиР])*Таблица2[ПИР2012]),S199*SUMPRODUCT(($B$2=Таблица2[Филиал])*($B$3=Таблица2[ФЕР/ТЕР])*(F199=Таблица2[Наименование работ])*(G199=Таблица2[ТПиР/НСиР])*Таблица2[ПИР2012]))</f>
        <v>0</v>
      </c>
      <c r="AH199" s="63">
        <f>IF($B$4="в текущих ценах",T199*SUMPRODUCT(($B$2=Таблица2[Филиал])*($B$3=Таблица2[ФЕР/ТЕР])*(F199=Таблица2[Наименование работ])*(G199=Таблица2[ТПиР/НСиР])*Таблица2[СМР2012]),T199*SUMPRODUCT(($B$2=Таблица2[Филиал])*($B$3=Таблица2[ФЕР/ТЕР])*(F199=Таблица2[Наименование работ])*(G199=Таблица2[ТПиР/НСиР])*Таблица2[СМР2012]))</f>
        <v>0</v>
      </c>
      <c r="AI199" s="63">
        <f>IF($B$4="в текущих ценах",U199*SUMPRODUCT(($B$2=Таблица2[Филиал])*($B$3=Таблица2[ФЕР/ТЕР])*(F199=Таблица2[Наименование работ])*(G199=Таблица2[ТПиР/НСиР])*Таблица2[ПНР2012]),U199*SUMPRODUCT(($B$2=Таблица2[Филиал])*($B$3=Таблица2[ФЕР/ТЕР])*(F199=Таблица2[Наименование работ])*(G199=Таблица2[ТПиР/НСиР])*Таблица2[ПНР2012]))</f>
        <v>0</v>
      </c>
      <c r="AJ199" s="63">
        <f>IF($B$4="в текущих ценах",V199*SUMPRODUCT(($B$2=Таблица2[Филиал])*($B$3=Таблица2[ФЕР/ТЕР])*(F199=Таблица2[Наименование работ])*(G199=Таблица2[ТПиР/НСиР])*Таблица2[Оборудование2012]),V199*SUMPRODUCT(($B$2=Таблица2[Филиал])*($B$3=Таблица2[ФЕР/ТЕР])*(F199=Таблица2[Наименование работ])*(G199=Таблица2[ТПиР/НСиР])*Таблица2[Оборудование2012]))</f>
        <v>0</v>
      </c>
      <c r="AK199" s="63">
        <f>IF($B$4="в текущих ценах",W199*SUMPRODUCT(($B$2=Таблица2[Филиал])*($B$3=Таблица2[ФЕР/ТЕР])*(F199=Таблица2[Наименование работ])*(G199=Таблица2[ТПиР/НСиР])*Таблица2[Прочее2012]),W199*SUMPRODUCT(($B$2=Таблица2[Филиал])*($B$3=Таблица2[ФЕР/ТЕР])*(F199=Таблица2[Наименование работ])*(G199=Таблица2[ТПиР/НСиР])*Таблица2[Прочее2012]))</f>
        <v>0</v>
      </c>
      <c r="AL199" s="63">
        <f>данные!$X199+данные!$Y199+данные!$Z199+данные!$AA199+данные!$AB199</f>
        <v>0</v>
      </c>
      <c r="AM199" s="63">
        <v>1.03639035</v>
      </c>
      <c r="AN199" s="63">
        <v>1.0114049394</v>
      </c>
      <c r="AO199" s="63">
        <v>0.98210394336149998</v>
      </c>
      <c r="AP199" s="63">
        <v>0.93762413895893393</v>
      </c>
      <c r="AQ199" s="63"/>
      <c r="AR199" s="63"/>
      <c r="AS199" s="64"/>
      <c r="AU199" s="66">
        <f t="shared" si="18"/>
        <v>0</v>
      </c>
      <c r="AX199" s="66">
        <f t="shared" si="19"/>
        <v>0</v>
      </c>
      <c r="AY199" s="66">
        <f t="shared" si="20"/>
        <v>0</v>
      </c>
      <c r="AZ199" s="66">
        <f t="shared" si="21"/>
        <v>0</v>
      </c>
      <c r="BA199" s="66">
        <f t="shared" si="22"/>
        <v>0</v>
      </c>
      <c r="BB199" s="66">
        <f t="shared" si="23"/>
        <v>0</v>
      </c>
    </row>
    <row r="200" spans="4:54" x14ac:dyDescent="0.25">
      <c r="D200" s="62">
        <f>калькулятор!C205</f>
        <v>0</v>
      </c>
      <c r="E200" s="62">
        <f>калькулятор!F205</f>
        <v>0</v>
      </c>
      <c r="F200" s="62">
        <f>калькулятор!G205</f>
        <v>0</v>
      </c>
      <c r="G200" s="62">
        <f>калькулятор!H205</f>
        <v>0</v>
      </c>
      <c r="H200" s="62">
        <f>калькулятор!I205</f>
        <v>0</v>
      </c>
      <c r="I200" s="63">
        <f>S200*SUMPRODUCT(($B$2=Таблица2[Филиал])*($B$3=Таблица2[ФЕР/ТЕР])*(F200=Таблица2[Наименование работ])*(G200=Таблица2[ТПиР/НСиР])*Таблица2[ПИР2010])</f>
        <v>0</v>
      </c>
      <c r="J200" s="63">
        <f>T200*SUMPRODUCT(($B$2=Таблица2[Филиал])*($B$3=Таблица2[ФЕР/ТЕР])*(F200=Таблица2[Наименование работ])*(G200=Таблица2[ТПиР/НСиР])*Таблица2[СМР2010])</f>
        <v>0</v>
      </c>
      <c r="K200" s="63">
        <f>U200*SUMPRODUCT(($B$2=Таблица2[Филиал])*($B$3=Таблица2[ФЕР/ТЕР])*(F200=Таблица2[Наименование работ])*(G200=Таблица2[ТПиР/НСиР])*Таблица2[ПНР2010])</f>
        <v>0</v>
      </c>
      <c r="L200" s="63">
        <f>V200*SUMPRODUCT(($B$2=Таблица2[Филиал])*($B$3=Таблица2[ФЕР/ТЕР])*(F200=Таблица2[Наименование работ])*(G200=Таблица2[ТПиР/НСиР])*Таблица2[Оборудование2010])</f>
        <v>0</v>
      </c>
      <c r="M200" s="63">
        <f>W200*SUMPRODUCT(($B$2=Таблица2[Филиал])*($B$3=Таблица2[ФЕР/ТЕР])*(F200=Таблица2[Наименование работ])*(G200=Таблица2[ТПиР/НСиР])*Таблица2[Прочие2010])</f>
        <v>0</v>
      </c>
      <c r="N200" s="63">
        <f>S200*SUMPRODUCT(($B$2=Таблица2[Филиал])*($B$3=Таблица2[ФЕР/ТЕР])*(F200=Таблица2[Наименование работ])*(G200=Таблица2[ТПиР/НСиР])*Таблица2[ПИР2013-10])</f>
        <v>0</v>
      </c>
      <c r="O200" s="63">
        <f>T200*SUMPRODUCT(($B$2=Таблица2[Филиал])*($B$3=Таблица2[ФЕР/ТЕР])*(F200=Таблица2[Наименование работ])*(G200=Таблица2[ТПиР/НСиР])*Таблица2[СМР2013-10])</f>
        <v>0</v>
      </c>
      <c r="P200" s="63">
        <f>U200*SUMPRODUCT(($B$2=Таблица2[Филиал])*($B$3=Таблица2[ФЕР/ТЕР])*(F200=Таблица2[Наименование работ])*(G200=Таблица2[ТПиР/НСиР])*Таблица2[ПНР2013-10])</f>
        <v>0</v>
      </c>
      <c r="Q200" s="63">
        <f>V200*SUMPRODUCT(($B$2=Таблица2[Филиал])*($B$3=Таблица2[ФЕР/ТЕР])*(F200=Таблица2[Наименование работ])*(G200=Таблица2[ТПиР/НСиР])*Таблица2[Оборудование2013-10])</f>
        <v>0</v>
      </c>
      <c r="R200" s="63">
        <f>W200*SUMPRODUCT(($B$2=Таблица2[Филиал])*($B$3=Таблица2[ФЕР/ТЕР])*(F200=Таблица2[Наименование работ])*(G200=Таблица2[ТПиР/НСиР])*Таблица2[Прочие2013-10])</f>
        <v>0</v>
      </c>
      <c r="S200" s="63">
        <f>IF($B$4="в базовых ценах",калькулятор!J205,X200*SUMPRODUCT(($B$2=Таблица2[Филиал])*($B$3=Таблица2[ФЕР/ТЕР])*(F200=Таблица2[Наименование работ])*(G200=Таблица2[ТПиР/НСиР])/Таблица2[ПИР2013]))</f>
        <v>0</v>
      </c>
      <c r="T200" s="63">
        <f>IF($B$4="в базовых ценах",калькулятор!K205,Y200*SUMPRODUCT(($B$2=Таблица2[Филиал])*($B$3=Таблица2[ФЕР/ТЕР])*(F200=Таблица2[Наименование работ])*(G200=Таблица2[ТПиР/НСиР])/Таблица2[СМР2013]))</f>
        <v>0</v>
      </c>
      <c r="U200" s="63">
        <f>IF($B$4="в базовых ценах",калькулятор!L205,Z200*SUMPRODUCT(($B$2=Таблица2[Филиал])*($B$3=Таблица2[ФЕР/ТЕР])*(F200=Таблица2[Наименование работ])*(G200=Таблица2[ТПиР/НСиР])/Таблица2[ПНР2013]))</f>
        <v>0</v>
      </c>
      <c r="V200" s="63">
        <f>IF($B$4="в базовых ценах",калькулятор!M205,AA200*SUMPRODUCT(($B$2=Таблица2[Филиал])*($B$3=Таблица2[ФЕР/ТЕР])*(F200=Таблица2[Наименование работ])*(G200=Таблица2[ТПиР/НСиР])/Таблица2[Оборудование2013]))</f>
        <v>0</v>
      </c>
      <c r="W200" s="63">
        <f>IF($B$4="в базовых ценах",калькулятор!N205,AB200*SUMPRODUCT(($B$2=Таблица2[Филиал])*($B$3=Таблица2[ФЕР/ТЕР])*(F200=Таблица2[Наименование работ])*(G200=Таблица2[ТПиР/НСиР])/Таблица2[Прочие3]))</f>
        <v>0</v>
      </c>
      <c r="X200" s="63">
        <f>IF($B$4="в текущих ценах",калькулятор!J205,S200*SUMPRODUCT(($B$2=Таблица2[Филиал])*($B$3=Таблица2[ФЕР/ТЕР])*(F200=Таблица2[Наименование работ])*(G200=Таблица2[ТПиР/НСиР])*Таблица2[ПИР2013]))</f>
        <v>0</v>
      </c>
      <c r="Y200" s="63">
        <f>IF($B$4="в текущих ценах",калькулятор!K205,T200*SUMPRODUCT(($B$2=Таблица2[Филиал])*($B$3=Таблица2[ФЕР/ТЕР])*(F200=Таблица2[Наименование работ])*(G200=Таблица2[ТПиР/НСиР])*Таблица2[СМР2013]))</f>
        <v>0</v>
      </c>
      <c r="Z200" s="63">
        <f>IF($B$4="в текущих ценах",калькулятор!L205,U200*SUMPRODUCT(($B$2=Таблица2[Филиал])*($B$3=Таблица2[ФЕР/ТЕР])*(F200=Таблица2[Наименование работ])*(G200=Таблица2[ТПиР/НСиР])*Таблица2[ПНР2013]))</f>
        <v>0</v>
      </c>
      <c r="AA200" s="63">
        <f>IF($B$4="в текущих ценах",калькулятор!M205,V200*SUMPRODUCT(($B$2=Таблица2[Филиал])*($B$3=Таблица2[ФЕР/ТЕР])*(F200=Таблица2[Наименование работ])*(G200=Таблица2[ТПиР/НСиР])*Таблица2[Оборудование2013]))</f>
        <v>0</v>
      </c>
      <c r="AB200" s="63">
        <f>IF($B$4="в текущих ценах",калькулятор!N205,W200*SUMPRODUCT(($B$2=Таблица2[Филиал])*($B$3=Таблица2[ФЕР/ТЕР])*(F200=Таблица2[Наименование работ])*(G200=Таблица2[ТПиР/НСиР])*Таблица2[Прочие3]))</f>
        <v>0</v>
      </c>
      <c r="AC200" s="63">
        <f>SUM(данные!$I200:$M200)</f>
        <v>0</v>
      </c>
      <c r="AD200" s="63">
        <f>IF(SUM(данные!$N200:$R200)&gt;данные!$AF200,данные!$AF200*0.9*1.058,SUM(данные!$N200:$R200))</f>
        <v>0</v>
      </c>
      <c r="AE200" s="63">
        <f>SUM(данные!$S200:$W200)</f>
        <v>0</v>
      </c>
      <c r="AF200" s="63">
        <f>SUM(данные!$X200:$AB200)</f>
        <v>0</v>
      </c>
      <c r="AG200" s="63">
        <f>IF($B$4="в текущих ценах",S200*SUMPRODUCT(($B$2=Таблица2[Филиал])*($B$3=Таблица2[ФЕР/ТЕР])*(F200=Таблица2[Наименование работ])*(G200=Таблица2[ТПиР/НСиР])*Таблица2[ПИР2012]),S200*SUMPRODUCT(($B$2=Таблица2[Филиал])*($B$3=Таблица2[ФЕР/ТЕР])*(F200=Таблица2[Наименование работ])*(G200=Таблица2[ТПиР/НСиР])*Таблица2[ПИР2012]))</f>
        <v>0</v>
      </c>
      <c r="AH200" s="63">
        <f>IF($B$4="в текущих ценах",T200*SUMPRODUCT(($B$2=Таблица2[Филиал])*($B$3=Таблица2[ФЕР/ТЕР])*(F200=Таблица2[Наименование работ])*(G200=Таблица2[ТПиР/НСиР])*Таблица2[СМР2012]),T200*SUMPRODUCT(($B$2=Таблица2[Филиал])*($B$3=Таблица2[ФЕР/ТЕР])*(F200=Таблица2[Наименование работ])*(G200=Таблица2[ТПиР/НСиР])*Таблица2[СМР2012]))</f>
        <v>0</v>
      </c>
      <c r="AI200" s="63">
        <f>IF($B$4="в текущих ценах",U200*SUMPRODUCT(($B$2=Таблица2[Филиал])*($B$3=Таблица2[ФЕР/ТЕР])*(F200=Таблица2[Наименование работ])*(G200=Таблица2[ТПиР/НСиР])*Таблица2[ПНР2012]),U200*SUMPRODUCT(($B$2=Таблица2[Филиал])*($B$3=Таблица2[ФЕР/ТЕР])*(F200=Таблица2[Наименование работ])*(G200=Таблица2[ТПиР/НСиР])*Таблица2[ПНР2012]))</f>
        <v>0</v>
      </c>
      <c r="AJ200" s="63">
        <f>IF($B$4="в текущих ценах",V200*SUMPRODUCT(($B$2=Таблица2[Филиал])*($B$3=Таблица2[ФЕР/ТЕР])*(F200=Таблица2[Наименование работ])*(G200=Таблица2[ТПиР/НСиР])*Таблица2[Оборудование2012]),V200*SUMPRODUCT(($B$2=Таблица2[Филиал])*($B$3=Таблица2[ФЕР/ТЕР])*(F200=Таблица2[Наименование работ])*(G200=Таблица2[ТПиР/НСиР])*Таблица2[Оборудование2012]))</f>
        <v>0</v>
      </c>
      <c r="AK200" s="63">
        <f>IF($B$4="в текущих ценах",W200*SUMPRODUCT(($B$2=Таблица2[Филиал])*($B$3=Таблица2[ФЕР/ТЕР])*(F200=Таблица2[Наименование работ])*(G200=Таблица2[ТПиР/НСиР])*Таблица2[Прочее2012]),W200*SUMPRODUCT(($B$2=Таблица2[Филиал])*($B$3=Таблица2[ФЕР/ТЕР])*(F200=Таблица2[Наименование работ])*(G200=Таблица2[ТПиР/НСиР])*Таблица2[Прочее2012]))</f>
        <v>0</v>
      </c>
      <c r="AL200" s="63">
        <f>данные!$X200+данные!$Y200+данные!$Z200+данные!$AA200+данные!$AB200</f>
        <v>0</v>
      </c>
      <c r="AM200" s="63">
        <v>1.03639035</v>
      </c>
      <c r="AN200" s="63">
        <v>1.0114049394</v>
      </c>
      <c r="AO200" s="63">
        <v>0.98210394336149998</v>
      </c>
      <c r="AP200" s="63">
        <v>0.93762413895893393</v>
      </c>
      <c r="AQ200" s="63"/>
      <c r="AR200" s="63"/>
      <c r="AS200" s="64"/>
      <c r="AU200" s="66">
        <f t="shared" si="18"/>
        <v>0</v>
      </c>
      <c r="AX200" s="66">
        <f t="shared" si="19"/>
        <v>0</v>
      </c>
      <c r="AY200" s="66">
        <f t="shared" si="20"/>
        <v>0</v>
      </c>
      <c r="AZ200" s="66">
        <f t="shared" si="21"/>
        <v>0</v>
      </c>
      <c r="BA200" s="66">
        <f t="shared" si="22"/>
        <v>0</v>
      </c>
      <c r="BB200" s="66">
        <f t="shared" si="23"/>
        <v>0</v>
      </c>
    </row>
    <row r="201" spans="4:54" x14ac:dyDescent="0.25">
      <c r="D201" s="62">
        <f>калькулятор!C206</f>
        <v>0</v>
      </c>
      <c r="E201" s="62">
        <f>калькулятор!F206</f>
        <v>0</v>
      </c>
      <c r="F201" s="62">
        <f>калькулятор!G206</f>
        <v>0</v>
      </c>
      <c r="G201" s="62">
        <f>калькулятор!H206</f>
        <v>0</v>
      </c>
      <c r="H201" s="62">
        <f>калькулятор!I206</f>
        <v>0</v>
      </c>
      <c r="I201" s="63">
        <f>S201*SUMPRODUCT(($B$2=Таблица2[Филиал])*($B$3=Таблица2[ФЕР/ТЕР])*(F201=Таблица2[Наименование работ])*(G201=Таблица2[ТПиР/НСиР])*Таблица2[ПИР2010])</f>
        <v>0</v>
      </c>
      <c r="J201" s="63">
        <f>T201*SUMPRODUCT(($B$2=Таблица2[Филиал])*($B$3=Таблица2[ФЕР/ТЕР])*(F201=Таблица2[Наименование работ])*(G201=Таблица2[ТПиР/НСиР])*Таблица2[СМР2010])</f>
        <v>0</v>
      </c>
      <c r="K201" s="63">
        <f>U201*SUMPRODUCT(($B$2=Таблица2[Филиал])*($B$3=Таблица2[ФЕР/ТЕР])*(F201=Таблица2[Наименование работ])*(G201=Таблица2[ТПиР/НСиР])*Таблица2[ПНР2010])</f>
        <v>0</v>
      </c>
      <c r="L201" s="63">
        <f>V201*SUMPRODUCT(($B$2=Таблица2[Филиал])*($B$3=Таблица2[ФЕР/ТЕР])*(F201=Таблица2[Наименование работ])*(G201=Таблица2[ТПиР/НСиР])*Таблица2[Оборудование2010])</f>
        <v>0</v>
      </c>
      <c r="M201" s="63">
        <f>W201*SUMPRODUCT(($B$2=Таблица2[Филиал])*($B$3=Таблица2[ФЕР/ТЕР])*(F201=Таблица2[Наименование работ])*(G201=Таблица2[ТПиР/НСиР])*Таблица2[Прочие2010])</f>
        <v>0</v>
      </c>
      <c r="N201" s="63">
        <f>S201*SUMPRODUCT(($B$2=Таблица2[Филиал])*($B$3=Таблица2[ФЕР/ТЕР])*(F201=Таблица2[Наименование работ])*(G201=Таблица2[ТПиР/НСиР])*Таблица2[ПИР2013-10])</f>
        <v>0</v>
      </c>
      <c r="O201" s="63">
        <f>T201*SUMPRODUCT(($B$2=Таблица2[Филиал])*($B$3=Таблица2[ФЕР/ТЕР])*(F201=Таблица2[Наименование работ])*(G201=Таблица2[ТПиР/НСиР])*Таблица2[СМР2013-10])</f>
        <v>0</v>
      </c>
      <c r="P201" s="63">
        <f>U201*SUMPRODUCT(($B$2=Таблица2[Филиал])*($B$3=Таблица2[ФЕР/ТЕР])*(F201=Таблица2[Наименование работ])*(G201=Таблица2[ТПиР/НСиР])*Таблица2[ПНР2013-10])</f>
        <v>0</v>
      </c>
      <c r="Q201" s="63">
        <f>V201*SUMPRODUCT(($B$2=Таблица2[Филиал])*($B$3=Таблица2[ФЕР/ТЕР])*(F201=Таблица2[Наименование работ])*(G201=Таблица2[ТПиР/НСиР])*Таблица2[Оборудование2013-10])</f>
        <v>0</v>
      </c>
      <c r="R201" s="63">
        <f>W201*SUMPRODUCT(($B$2=Таблица2[Филиал])*($B$3=Таблица2[ФЕР/ТЕР])*(F201=Таблица2[Наименование работ])*(G201=Таблица2[ТПиР/НСиР])*Таблица2[Прочие2013-10])</f>
        <v>0</v>
      </c>
      <c r="S201" s="63">
        <f>IF($B$4="в базовых ценах",калькулятор!J206,X201*SUMPRODUCT(($B$2=Таблица2[Филиал])*($B$3=Таблица2[ФЕР/ТЕР])*(F201=Таблица2[Наименование работ])*(G201=Таблица2[ТПиР/НСиР])/Таблица2[ПИР2013]))</f>
        <v>0</v>
      </c>
      <c r="T201" s="63">
        <f>IF($B$4="в базовых ценах",калькулятор!K206,Y201*SUMPRODUCT(($B$2=Таблица2[Филиал])*($B$3=Таблица2[ФЕР/ТЕР])*(F201=Таблица2[Наименование работ])*(G201=Таблица2[ТПиР/НСиР])/Таблица2[СМР2013]))</f>
        <v>0</v>
      </c>
      <c r="U201" s="63">
        <f>IF($B$4="в базовых ценах",калькулятор!L206,Z201*SUMPRODUCT(($B$2=Таблица2[Филиал])*($B$3=Таблица2[ФЕР/ТЕР])*(F201=Таблица2[Наименование работ])*(G201=Таблица2[ТПиР/НСиР])/Таблица2[ПНР2013]))</f>
        <v>0</v>
      </c>
      <c r="V201" s="63">
        <f>IF($B$4="в базовых ценах",калькулятор!M206,AA201*SUMPRODUCT(($B$2=Таблица2[Филиал])*($B$3=Таблица2[ФЕР/ТЕР])*(F201=Таблица2[Наименование работ])*(G201=Таблица2[ТПиР/НСиР])/Таблица2[Оборудование2013]))</f>
        <v>0</v>
      </c>
      <c r="W201" s="63">
        <f>IF($B$4="в базовых ценах",калькулятор!N206,AB201*SUMPRODUCT(($B$2=Таблица2[Филиал])*($B$3=Таблица2[ФЕР/ТЕР])*(F201=Таблица2[Наименование работ])*(G201=Таблица2[ТПиР/НСиР])/Таблица2[Прочие3]))</f>
        <v>0</v>
      </c>
      <c r="X201" s="63">
        <f>IF($B$4="в текущих ценах",калькулятор!J206,S201*SUMPRODUCT(($B$2=Таблица2[Филиал])*($B$3=Таблица2[ФЕР/ТЕР])*(F201=Таблица2[Наименование работ])*(G201=Таблица2[ТПиР/НСиР])*Таблица2[ПИР2013]))</f>
        <v>0</v>
      </c>
      <c r="Y201" s="63">
        <f>IF($B$4="в текущих ценах",калькулятор!K206,T201*SUMPRODUCT(($B$2=Таблица2[Филиал])*($B$3=Таблица2[ФЕР/ТЕР])*(F201=Таблица2[Наименование работ])*(G201=Таблица2[ТПиР/НСиР])*Таблица2[СМР2013]))</f>
        <v>0</v>
      </c>
      <c r="Z201" s="63">
        <f>IF($B$4="в текущих ценах",калькулятор!L206,U201*SUMPRODUCT(($B$2=Таблица2[Филиал])*($B$3=Таблица2[ФЕР/ТЕР])*(F201=Таблица2[Наименование работ])*(G201=Таблица2[ТПиР/НСиР])*Таблица2[ПНР2013]))</f>
        <v>0</v>
      </c>
      <c r="AA201" s="63">
        <f>IF($B$4="в текущих ценах",калькулятор!M206,V201*SUMPRODUCT(($B$2=Таблица2[Филиал])*($B$3=Таблица2[ФЕР/ТЕР])*(F201=Таблица2[Наименование работ])*(G201=Таблица2[ТПиР/НСиР])*Таблица2[Оборудование2013]))</f>
        <v>0</v>
      </c>
      <c r="AB201" s="63">
        <f>IF($B$4="в текущих ценах",калькулятор!N206,W201*SUMPRODUCT(($B$2=Таблица2[Филиал])*($B$3=Таблица2[ФЕР/ТЕР])*(F201=Таблица2[Наименование работ])*(G201=Таблица2[ТПиР/НСиР])*Таблица2[Прочие3]))</f>
        <v>0</v>
      </c>
      <c r="AC201" s="63">
        <f>SUM(данные!$I201:$M201)</f>
        <v>0</v>
      </c>
      <c r="AD201" s="63">
        <f>IF(SUM(данные!$N201:$R201)&gt;данные!$AF201,данные!$AF201*0.9*1.058,SUM(данные!$N201:$R201))</f>
        <v>0</v>
      </c>
      <c r="AE201" s="63">
        <f>SUM(данные!$S201:$W201)</f>
        <v>0</v>
      </c>
      <c r="AF201" s="63">
        <f>SUM(данные!$X201:$AB201)</f>
        <v>0</v>
      </c>
      <c r="AG201" s="63">
        <f>IF($B$4="в текущих ценах",S201*SUMPRODUCT(($B$2=Таблица2[Филиал])*($B$3=Таблица2[ФЕР/ТЕР])*(F201=Таблица2[Наименование работ])*(G201=Таблица2[ТПиР/НСиР])*Таблица2[ПИР2012]),S201*SUMPRODUCT(($B$2=Таблица2[Филиал])*($B$3=Таблица2[ФЕР/ТЕР])*(F201=Таблица2[Наименование работ])*(G201=Таблица2[ТПиР/НСиР])*Таблица2[ПИР2012]))</f>
        <v>0</v>
      </c>
      <c r="AH201" s="63">
        <f>IF($B$4="в текущих ценах",T201*SUMPRODUCT(($B$2=Таблица2[Филиал])*($B$3=Таблица2[ФЕР/ТЕР])*(F201=Таблица2[Наименование работ])*(G201=Таблица2[ТПиР/НСиР])*Таблица2[СМР2012]),T201*SUMPRODUCT(($B$2=Таблица2[Филиал])*($B$3=Таблица2[ФЕР/ТЕР])*(F201=Таблица2[Наименование работ])*(G201=Таблица2[ТПиР/НСиР])*Таблица2[СМР2012]))</f>
        <v>0</v>
      </c>
      <c r="AI201" s="63">
        <f>IF($B$4="в текущих ценах",U201*SUMPRODUCT(($B$2=Таблица2[Филиал])*($B$3=Таблица2[ФЕР/ТЕР])*(F201=Таблица2[Наименование работ])*(G201=Таблица2[ТПиР/НСиР])*Таблица2[ПНР2012]),U201*SUMPRODUCT(($B$2=Таблица2[Филиал])*($B$3=Таблица2[ФЕР/ТЕР])*(F201=Таблица2[Наименование работ])*(G201=Таблица2[ТПиР/НСиР])*Таблица2[ПНР2012]))</f>
        <v>0</v>
      </c>
      <c r="AJ201" s="63">
        <f>IF($B$4="в текущих ценах",V201*SUMPRODUCT(($B$2=Таблица2[Филиал])*($B$3=Таблица2[ФЕР/ТЕР])*(F201=Таблица2[Наименование работ])*(G201=Таблица2[ТПиР/НСиР])*Таблица2[Оборудование2012]),V201*SUMPRODUCT(($B$2=Таблица2[Филиал])*($B$3=Таблица2[ФЕР/ТЕР])*(F201=Таблица2[Наименование работ])*(G201=Таблица2[ТПиР/НСиР])*Таблица2[Оборудование2012]))</f>
        <v>0</v>
      </c>
      <c r="AK201" s="63">
        <f>IF($B$4="в текущих ценах",W201*SUMPRODUCT(($B$2=Таблица2[Филиал])*($B$3=Таблица2[ФЕР/ТЕР])*(F201=Таблица2[Наименование работ])*(G201=Таблица2[ТПиР/НСиР])*Таблица2[Прочее2012]),W201*SUMPRODUCT(($B$2=Таблица2[Филиал])*($B$3=Таблица2[ФЕР/ТЕР])*(F201=Таблица2[Наименование работ])*(G201=Таблица2[ТПиР/НСиР])*Таблица2[Прочее2012]))</f>
        <v>0</v>
      </c>
      <c r="AL201" s="63">
        <f>данные!$X201+данные!$Y201+данные!$Z201+данные!$AA201+данные!$AB201</f>
        <v>0</v>
      </c>
      <c r="AM201" s="63">
        <v>1.03639035</v>
      </c>
      <c r="AN201" s="63">
        <v>1.0114049394</v>
      </c>
      <c r="AO201" s="63">
        <v>0.98210394336149998</v>
      </c>
      <c r="AP201" s="63">
        <v>0.93762413895893393</v>
      </c>
      <c r="AQ201" s="63"/>
      <c r="AR201" s="63"/>
      <c r="AS201" s="64"/>
      <c r="AU201" s="66">
        <f t="shared" si="18"/>
        <v>0</v>
      </c>
      <c r="AX201" s="66">
        <f t="shared" si="19"/>
        <v>0</v>
      </c>
      <c r="AY201" s="66">
        <f t="shared" si="20"/>
        <v>0</v>
      </c>
      <c r="AZ201" s="66">
        <f t="shared" si="21"/>
        <v>0</v>
      </c>
      <c r="BA201" s="66">
        <f t="shared" si="22"/>
        <v>0</v>
      </c>
      <c r="BB201" s="66">
        <f t="shared" si="23"/>
        <v>0</v>
      </c>
    </row>
    <row r="202" spans="4:54" x14ac:dyDescent="0.25">
      <c r="D202" s="62">
        <f>калькулятор!C207</f>
        <v>0</v>
      </c>
      <c r="E202" s="62">
        <f>калькулятор!F207</f>
        <v>0</v>
      </c>
      <c r="F202" s="62">
        <f>калькулятор!G207</f>
        <v>0</v>
      </c>
      <c r="G202" s="62">
        <f>калькулятор!H207</f>
        <v>0</v>
      </c>
      <c r="H202" s="62">
        <f>калькулятор!I207</f>
        <v>0</v>
      </c>
      <c r="I202" s="63">
        <f>S202*SUMPRODUCT(($B$2=Таблица2[Филиал])*($B$3=Таблица2[ФЕР/ТЕР])*(F202=Таблица2[Наименование работ])*(G202=Таблица2[ТПиР/НСиР])*Таблица2[ПИР2010])</f>
        <v>0</v>
      </c>
      <c r="J202" s="63">
        <f>T202*SUMPRODUCT(($B$2=Таблица2[Филиал])*($B$3=Таблица2[ФЕР/ТЕР])*(F202=Таблица2[Наименование работ])*(G202=Таблица2[ТПиР/НСиР])*Таблица2[СМР2010])</f>
        <v>0</v>
      </c>
      <c r="K202" s="63">
        <f>U202*SUMPRODUCT(($B$2=Таблица2[Филиал])*($B$3=Таблица2[ФЕР/ТЕР])*(F202=Таблица2[Наименование работ])*(G202=Таблица2[ТПиР/НСиР])*Таблица2[ПНР2010])</f>
        <v>0</v>
      </c>
      <c r="L202" s="63">
        <f>V202*SUMPRODUCT(($B$2=Таблица2[Филиал])*($B$3=Таблица2[ФЕР/ТЕР])*(F202=Таблица2[Наименование работ])*(G202=Таблица2[ТПиР/НСиР])*Таблица2[Оборудование2010])</f>
        <v>0</v>
      </c>
      <c r="M202" s="63">
        <f>W202*SUMPRODUCT(($B$2=Таблица2[Филиал])*($B$3=Таблица2[ФЕР/ТЕР])*(F202=Таблица2[Наименование работ])*(G202=Таблица2[ТПиР/НСиР])*Таблица2[Прочие2010])</f>
        <v>0</v>
      </c>
      <c r="N202" s="63">
        <f>S202*SUMPRODUCT(($B$2=Таблица2[Филиал])*($B$3=Таблица2[ФЕР/ТЕР])*(F202=Таблица2[Наименование работ])*(G202=Таблица2[ТПиР/НСиР])*Таблица2[ПИР2013-10])</f>
        <v>0</v>
      </c>
      <c r="O202" s="63">
        <f>T202*SUMPRODUCT(($B$2=Таблица2[Филиал])*($B$3=Таблица2[ФЕР/ТЕР])*(F202=Таблица2[Наименование работ])*(G202=Таблица2[ТПиР/НСиР])*Таблица2[СМР2013-10])</f>
        <v>0</v>
      </c>
      <c r="P202" s="63">
        <f>U202*SUMPRODUCT(($B$2=Таблица2[Филиал])*($B$3=Таблица2[ФЕР/ТЕР])*(F202=Таблица2[Наименование работ])*(G202=Таблица2[ТПиР/НСиР])*Таблица2[ПНР2013-10])</f>
        <v>0</v>
      </c>
      <c r="Q202" s="63">
        <f>V202*SUMPRODUCT(($B$2=Таблица2[Филиал])*($B$3=Таблица2[ФЕР/ТЕР])*(F202=Таблица2[Наименование работ])*(G202=Таблица2[ТПиР/НСиР])*Таблица2[Оборудование2013-10])</f>
        <v>0</v>
      </c>
      <c r="R202" s="63">
        <f>W202*SUMPRODUCT(($B$2=Таблица2[Филиал])*($B$3=Таблица2[ФЕР/ТЕР])*(F202=Таблица2[Наименование работ])*(G202=Таблица2[ТПиР/НСиР])*Таблица2[Прочие2013-10])</f>
        <v>0</v>
      </c>
      <c r="S202" s="63">
        <f>IF($B$4="в базовых ценах",калькулятор!J207,X202*SUMPRODUCT(($B$2=Таблица2[Филиал])*($B$3=Таблица2[ФЕР/ТЕР])*(F202=Таблица2[Наименование работ])*(G202=Таблица2[ТПиР/НСиР])/Таблица2[ПИР2013]))</f>
        <v>0</v>
      </c>
      <c r="T202" s="63">
        <f>IF($B$4="в базовых ценах",калькулятор!K207,Y202*SUMPRODUCT(($B$2=Таблица2[Филиал])*($B$3=Таблица2[ФЕР/ТЕР])*(F202=Таблица2[Наименование работ])*(G202=Таблица2[ТПиР/НСиР])/Таблица2[СМР2013]))</f>
        <v>0</v>
      </c>
      <c r="U202" s="63">
        <f>IF($B$4="в базовых ценах",калькулятор!L207,Z202*SUMPRODUCT(($B$2=Таблица2[Филиал])*($B$3=Таблица2[ФЕР/ТЕР])*(F202=Таблица2[Наименование работ])*(G202=Таблица2[ТПиР/НСиР])/Таблица2[ПНР2013]))</f>
        <v>0</v>
      </c>
      <c r="V202" s="63">
        <f>IF($B$4="в базовых ценах",калькулятор!M207,AA202*SUMPRODUCT(($B$2=Таблица2[Филиал])*($B$3=Таблица2[ФЕР/ТЕР])*(F202=Таблица2[Наименование работ])*(G202=Таблица2[ТПиР/НСиР])/Таблица2[Оборудование2013]))</f>
        <v>0</v>
      </c>
      <c r="W202" s="63">
        <f>IF($B$4="в базовых ценах",калькулятор!N207,AB202*SUMPRODUCT(($B$2=Таблица2[Филиал])*($B$3=Таблица2[ФЕР/ТЕР])*(F202=Таблица2[Наименование работ])*(G202=Таблица2[ТПиР/НСиР])/Таблица2[Прочие3]))</f>
        <v>0</v>
      </c>
      <c r="X202" s="63">
        <f>IF($B$4="в текущих ценах",калькулятор!J207,S202*SUMPRODUCT(($B$2=Таблица2[Филиал])*($B$3=Таблица2[ФЕР/ТЕР])*(F202=Таблица2[Наименование работ])*(G202=Таблица2[ТПиР/НСиР])*Таблица2[ПИР2013]))</f>
        <v>0</v>
      </c>
      <c r="Y202" s="63">
        <f>IF($B$4="в текущих ценах",калькулятор!K207,T202*SUMPRODUCT(($B$2=Таблица2[Филиал])*($B$3=Таблица2[ФЕР/ТЕР])*(F202=Таблица2[Наименование работ])*(G202=Таблица2[ТПиР/НСиР])*Таблица2[СМР2013]))</f>
        <v>0</v>
      </c>
      <c r="Z202" s="63">
        <f>IF($B$4="в текущих ценах",калькулятор!L207,U202*SUMPRODUCT(($B$2=Таблица2[Филиал])*($B$3=Таблица2[ФЕР/ТЕР])*(F202=Таблица2[Наименование работ])*(G202=Таблица2[ТПиР/НСиР])*Таблица2[ПНР2013]))</f>
        <v>0</v>
      </c>
      <c r="AA202" s="63">
        <f>IF($B$4="в текущих ценах",калькулятор!M207,V202*SUMPRODUCT(($B$2=Таблица2[Филиал])*($B$3=Таблица2[ФЕР/ТЕР])*(F202=Таблица2[Наименование работ])*(G202=Таблица2[ТПиР/НСиР])*Таблица2[Оборудование2013]))</f>
        <v>0</v>
      </c>
      <c r="AB202" s="63">
        <f>IF($B$4="в текущих ценах",калькулятор!N207,W202*SUMPRODUCT(($B$2=Таблица2[Филиал])*($B$3=Таблица2[ФЕР/ТЕР])*(F202=Таблица2[Наименование работ])*(G202=Таблица2[ТПиР/НСиР])*Таблица2[Прочие3]))</f>
        <v>0</v>
      </c>
      <c r="AC202" s="63">
        <f>SUM(данные!$I202:$M202)</f>
        <v>0</v>
      </c>
      <c r="AD202" s="63">
        <f>IF(SUM(данные!$N202:$R202)&gt;данные!$AF202,данные!$AF202*0.9*1.058,SUM(данные!$N202:$R202))</f>
        <v>0</v>
      </c>
      <c r="AE202" s="63">
        <f>SUM(данные!$S202:$W202)</f>
        <v>0</v>
      </c>
      <c r="AF202" s="63">
        <f>SUM(данные!$X202:$AB202)</f>
        <v>0</v>
      </c>
      <c r="AG202" s="63">
        <f>IF($B$4="в текущих ценах",S202*SUMPRODUCT(($B$2=Таблица2[Филиал])*($B$3=Таблица2[ФЕР/ТЕР])*(F202=Таблица2[Наименование работ])*(G202=Таблица2[ТПиР/НСиР])*Таблица2[ПИР2012]),S202*SUMPRODUCT(($B$2=Таблица2[Филиал])*($B$3=Таблица2[ФЕР/ТЕР])*(F202=Таблица2[Наименование работ])*(G202=Таблица2[ТПиР/НСиР])*Таблица2[ПИР2012]))</f>
        <v>0</v>
      </c>
      <c r="AH202" s="63">
        <f>IF($B$4="в текущих ценах",T202*SUMPRODUCT(($B$2=Таблица2[Филиал])*($B$3=Таблица2[ФЕР/ТЕР])*(F202=Таблица2[Наименование работ])*(G202=Таблица2[ТПиР/НСиР])*Таблица2[СМР2012]),T202*SUMPRODUCT(($B$2=Таблица2[Филиал])*($B$3=Таблица2[ФЕР/ТЕР])*(F202=Таблица2[Наименование работ])*(G202=Таблица2[ТПиР/НСиР])*Таблица2[СМР2012]))</f>
        <v>0</v>
      </c>
      <c r="AI202" s="63">
        <f>IF($B$4="в текущих ценах",U202*SUMPRODUCT(($B$2=Таблица2[Филиал])*($B$3=Таблица2[ФЕР/ТЕР])*(F202=Таблица2[Наименование работ])*(G202=Таблица2[ТПиР/НСиР])*Таблица2[ПНР2012]),U202*SUMPRODUCT(($B$2=Таблица2[Филиал])*($B$3=Таблица2[ФЕР/ТЕР])*(F202=Таблица2[Наименование работ])*(G202=Таблица2[ТПиР/НСиР])*Таблица2[ПНР2012]))</f>
        <v>0</v>
      </c>
      <c r="AJ202" s="63">
        <f>IF($B$4="в текущих ценах",V202*SUMPRODUCT(($B$2=Таблица2[Филиал])*($B$3=Таблица2[ФЕР/ТЕР])*(F202=Таблица2[Наименование работ])*(G202=Таблица2[ТПиР/НСиР])*Таблица2[Оборудование2012]),V202*SUMPRODUCT(($B$2=Таблица2[Филиал])*($B$3=Таблица2[ФЕР/ТЕР])*(F202=Таблица2[Наименование работ])*(G202=Таблица2[ТПиР/НСиР])*Таблица2[Оборудование2012]))</f>
        <v>0</v>
      </c>
      <c r="AK202" s="63">
        <f>IF($B$4="в текущих ценах",W202*SUMPRODUCT(($B$2=Таблица2[Филиал])*($B$3=Таблица2[ФЕР/ТЕР])*(F202=Таблица2[Наименование работ])*(G202=Таблица2[ТПиР/НСиР])*Таблица2[Прочее2012]),W202*SUMPRODUCT(($B$2=Таблица2[Филиал])*($B$3=Таблица2[ФЕР/ТЕР])*(F202=Таблица2[Наименование работ])*(G202=Таблица2[ТПиР/НСиР])*Таблица2[Прочее2012]))</f>
        <v>0</v>
      </c>
      <c r="AL202" s="63">
        <f>данные!$X202+данные!$Y202+данные!$Z202+данные!$AA202+данные!$AB202</f>
        <v>0</v>
      </c>
      <c r="AM202" s="63">
        <v>1.03639035</v>
      </c>
      <c r="AN202" s="63">
        <v>1.0114049394</v>
      </c>
      <c r="AO202" s="63">
        <v>0.98210394336149998</v>
      </c>
      <c r="AP202" s="63">
        <v>0.93762413895893393</v>
      </c>
      <c r="AQ202" s="63"/>
      <c r="AR202" s="63"/>
      <c r="AS202" s="64"/>
      <c r="AU202" s="66">
        <f t="shared" si="18"/>
        <v>0</v>
      </c>
      <c r="AX202" s="66">
        <f t="shared" si="19"/>
        <v>0</v>
      </c>
      <c r="AY202" s="66">
        <f t="shared" si="20"/>
        <v>0</v>
      </c>
      <c r="AZ202" s="66">
        <f t="shared" si="21"/>
        <v>0</v>
      </c>
      <c r="BA202" s="66">
        <f t="shared" si="22"/>
        <v>0</v>
      </c>
      <c r="BB202" s="66">
        <f t="shared" si="23"/>
        <v>0</v>
      </c>
    </row>
    <row r="203" spans="4:54" x14ac:dyDescent="0.25">
      <c r="D203" s="62">
        <f>калькулятор!C208</f>
        <v>0</v>
      </c>
      <c r="E203" s="62">
        <f>калькулятор!F208</f>
        <v>0</v>
      </c>
      <c r="F203" s="62">
        <f>калькулятор!G208</f>
        <v>0</v>
      </c>
      <c r="G203" s="62">
        <f>калькулятор!H208</f>
        <v>0</v>
      </c>
      <c r="H203" s="62">
        <f>калькулятор!I208</f>
        <v>0</v>
      </c>
      <c r="I203" s="63">
        <f>S203*SUMPRODUCT(($B$2=Таблица2[Филиал])*($B$3=Таблица2[ФЕР/ТЕР])*(F203=Таблица2[Наименование работ])*(G203=Таблица2[ТПиР/НСиР])*Таблица2[ПИР2010])</f>
        <v>0</v>
      </c>
      <c r="J203" s="63">
        <f>T203*SUMPRODUCT(($B$2=Таблица2[Филиал])*($B$3=Таблица2[ФЕР/ТЕР])*(F203=Таблица2[Наименование работ])*(G203=Таблица2[ТПиР/НСиР])*Таблица2[СМР2010])</f>
        <v>0</v>
      </c>
      <c r="K203" s="63">
        <f>U203*SUMPRODUCT(($B$2=Таблица2[Филиал])*($B$3=Таблица2[ФЕР/ТЕР])*(F203=Таблица2[Наименование работ])*(G203=Таблица2[ТПиР/НСиР])*Таблица2[ПНР2010])</f>
        <v>0</v>
      </c>
      <c r="L203" s="63">
        <f>V203*SUMPRODUCT(($B$2=Таблица2[Филиал])*($B$3=Таблица2[ФЕР/ТЕР])*(F203=Таблица2[Наименование работ])*(G203=Таблица2[ТПиР/НСиР])*Таблица2[Оборудование2010])</f>
        <v>0</v>
      </c>
      <c r="M203" s="63">
        <f>W203*SUMPRODUCT(($B$2=Таблица2[Филиал])*($B$3=Таблица2[ФЕР/ТЕР])*(F203=Таблица2[Наименование работ])*(G203=Таблица2[ТПиР/НСиР])*Таблица2[Прочие2010])</f>
        <v>0</v>
      </c>
      <c r="N203" s="63">
        <f>S203*SUMPRODUCT(($B$2=Таблица2[Филиал])*($B$3=Таблица2[ФЕР/ТЕР])*(F203=Таблица2[Наименование работ])*(G203=Таблица2[ТПиР/НСиР])*Таблица2[ПИР2013-10])</f>
        <v>0</v>
      </c>
      <c r="O203" s="63">
        <f>T203*SUMPRODUCT(($B$2=Таблица2[Филиал])*($B$3=Таблица2[ФЕР/ТЕР])*(F203=Таблица2[Наименование работ])*(G203=Таблица2[ТПиР/НСиР])*Таблица2[СМР2013-10])</f>
        <v>0</v>
      </c>
      <c r="P203" s="63">
        <f>U203*SUMPRODUCT(($B$2=Таблица2[Филиал])*($B$3=Таблица2[ФЕР/ТЕР])*(F203=Таблица2[Наименование работ])*(G203=Таблица2[ТПиР/НСиР])*Таблица2[ПНР2013-10])</f>
        <v>0</v>
      </c>
      <c r="Q203" s="63">
        <f>V203*SUMPRODUCT(($B$2=Таблица2[Филиал])*($B$3=Таблица2[ФЕР/ТЕР])*(F203=Таблица2[Наименование работ])*(G203=Таблица2[ТПиР/НСиР])*Таблица2[Оборудование2013-10])</f>
        <v>0</v>
      </c>
      <c r="R203" s="63">
        <f>W203*SUMPRODUCT(($B$2=Таблица2[Филиал])*($B$3=Таблица2[ФЕР/ТЕР])*(F203=Таблица2[Наименование работ])*(G203=Таблица2[ТПиР/НСиР])*Таблица2[Прочие2013-10])</f>
        <v>0</v>
      </c>
      <c r="S203" s="63">
        <f>IF($B$4="в базовых ценах",калькулятор!J208,X203*SUMPRODUCT(($B$2=Таблица2[Филиал])*($B$3=Таблица2[ФЕР/ТЕР])*(F203=Таблица2[Наименование работ])*(G203=Таблица2[ТПиР/НСиР])/Таблица2[ПИР2013]))</f>
        <v>0</v>
      </c>
      <c r="T203" s="63">
        <f>IF($B$4="в базовых ценах",калькулятор!K208,Y203*SUMPRODUCT(($B$2=Таблица2[Филиал])*($B$3=Таблица2[ФЕР/ТЕР])*(F203=Таблица2[Наименование работ])*(G203=Таблица2[ТПиР/НСиР])/Таблица2[СМР2013]))</f>
        <v>0</v>
      </c>
      <c r="U203" s="63">
        <f>IF($B$4="в базовых ценах",калькулятор!L208,Z203*SUMPRODUCT(($B$2=Таблица2[Филиал])*($B$3=Таблица2[ФЕР/ТЕР])*(F203=Таблица2[Наименование работ])*(G203=Таблица2[ТПиР/НСиР])/Таблица2[ПНР2013]))</f>
        <v>0</v>
      </c>
      <c r="V203" s="63">
        <f>IF($B$4="в базовых ценах",калькулятор!M208,AA203*SUMPRODUCT(($B$2=Таблица2[Филиал])*($B$3=Таблица2[ФЕР/ТЕР])*(F203=Таблица2[Наименование работ])*(G203=Таблица2[ТПиР/НСиР])/Таблица2[Оборудование2013]))</f>
        <v>0</v>
      </c>
      <c r="W203" s="63">
        <f>IF($B$4="в базовых ценах",калькулятор!N208,AB203*SUMPRODUCT(($B$2=Таблица2[Филиал])*($B$3=Таблица2[ФЕР/ТЕР])*(F203=Таблица2[Наименование работ])*(G203=Таблица2[ТПиР/НСиР])/Таблица2[Прочие3]))</f>
        <v>0</v>
      </c>
      <c r="X203" s="63">
        <f>IF($B$4="в текущих ценах",калькулятор!J208,S203*SUMPRODUCT(($B$2=Таблица2[Филиал])*($B$3=Таблица2[ФЕР/ТЕР])*(F203=Таблица2[Наименование работ])*(G203=Таблица2[ТПиР/НСиР])*Таблица2[ПИР2013]))</f>
        <v>0</v>
      </c>
      <c r="Y203" s="63">
        <f>IF($B$4="в текущих ценах",калькулятор!K208,T203*SUMPRODUCT(($B$2=Таблица2[Филиал])*($B$3=Таблица2[ФЕР/ТЕР])*(F203=Таблица2[Наименование работ])*(G203=Таблица2[ТПиР/НСиР])*Таблица2[СМР2013]))</f>
        <v>0</v>
      </c>
      <c r="Z203" s="63">
        <f>IF($B$4="в текущих ценах",калькулятор!L208,U203*SUMPRODUCT(($B$2=Таблица2[Филиал])*($B$3=Таблица2[ФЕР/ТЕР])*(F203=Таблица2[Наименование работ])*(G203=Таблица2[ТПиР/НСиР])*Таблица2[ПНР2013]))</f>
        <v>0</v>
      </c>
      <c r="AA203" s="63">
        <f>IF($B$4="в текущих ценах",калькулятор!M208,V203*SUMPRODUCT(($B$2=Таблица2[Филиал])*($B$3=Таблица2[ФЕР/ТЕР])*(F203=Таблица2[Наименование работ])*(G203=Таблица2[ТПиР/НСиР])*Таблица2[Оборудование2013]))</f>
        <v>0</v>
      </c>
      <c r="AB203" s="63">
        <f>IF($B$4="в текущих ценах",калькулятор!N208,W203*SUMPRODUCT(($B$2=Таблица2[Филиал])*($B$3=Таблица2[ФЕР/ТЕР])*(F203=Таблица2[Наименование работ])*(G203=Таблица2[ТПиР/НСиР])*Таблица2[Прочие3]))</f>
        <v>0</v>
      </c>
      <c r="AC203" s="63">
        <f>SUM(данные!$I203:$M203)</f>
        <v>0</v>
      </c>
      <c r="AD203" s="63">
        <f>IF(SUM(данные!$N203:$R203)&gt;данные!$AF203,данные!$AF203*0.9*1.058,SUM(данные!$N203:$R203))</f>
        <v>0</v>
      </c>
      <c r="AE203" s="63">
        <f>SUM(данные!$S203:$W203)</f>
        <v>0</v>
      </c>
      <c r="AF203" s="63">
        <f>SUM(данные!$X203:$AB203)</f>
        <v>0</v>
      </c>
      <c r="AG203" s="63">
        <f>IF($B$4="в текущих ценах",S203*SUMPRODUCT(($B$2=Таблица2[Филиал])*($B$3=Таблица2[ФЕР/ТЕР])*(F203=Таблица2[Наименование работ])*(G203=Таблица2[ТПиР/НСиР])*Таблица2[ПИР2012]),S203*SUMPRODUCT(($B$2=Таблица2[Филиал])*($B$3=Таблица2[ФЕР/ТЕР])*(F203=Таблица2[Наименование работ])*(G203=Таблица2[ТПиР/НСиР])*Таблица2[ПИР2012]))</f>
        <v>0</v>
      </c>
      <c r="AH203" s="63">
        <f>IF($B$4="в текущих ценах",T203*SUMPRODUCT(($B$2=Таблица2[Филиал])*($B$3=Таблица2[ФЕР/ТЕР])*(F203=Таблица2[Наименование работ])*(G203=Таблица2[ТПиР/НСиР])*Таблица2[СМР2012]),T203*SUMPRODUCT(($B$2=Таблица2[Филиал])*($B$3=Таблица2[ФЕР/ТЕР])*(F203=Таблица2[Наименование работ])*(G203=Таблица2[ТПиР/НСиР])*Таблица2[СМР2012]))</f>
        <v>0</v>
      </c>
      <c r="AI203" s="63">
        <f>IF($B$4="в текущих ценах",U203*SUMPRODUCT(($B$2=Таблица2[Филиал])*($B$3=Таблица2[ФЕР/ТЕР])*(F203=Таблица2[Наименование работ])*(G203=Таблица2[ТПиР/НСиР])*Таблица2[ПНР2012]),U203*SUMPRODUCT(($B$2=Таблица2[Филиал])*($B$3=Таблица2[ФЕР/ТЕР])*(F203=Таблица2[Наименование работ])*(G203=Таблица2[ТПиР/НСиР])*Таблица2[ПНР2012]))</f>
        <v>0</v>
      </c>
      <c r="AJ203" s="63">
        <f>IF($B$4="в текущих ценах",V203*SUMPRODUCT(($B$2=Таблица2[Филиал])*($B$3=Таблица2[ФЕР/ТЕР])*(F203=Таблица2[Наименование работ])*(G203=Таблица2[ТПиР/НСиР])*Таблица2[Оборудование2012]),V203*SUMPRODUCT(($B$2=Таблица2[Филиал])*($B$3=Таблица2[ФЕР/ТЕР])*(F203=Таблица2[Наименование работ])*(G203=Таблица2[ТПиР/НСиР])*Таблица2[Оборудование2012]))</f>
        <v>0</v>
      </c>
      <c r="AK203" s="63">
        <f>IF($B$4="в текущих ценах",W203*SUMPRODUCT(($B$2=Таблица2[Филиал])*($B$3=Таблица2[ФЕР/ТЕР])*(F203=Таблица2[Наименование работ])*(G203=Таблица2[ТПиР/НСиР])*Таблица2[Прочее2012]),W203*SUMPRODUCT(($B$2=Таблица2[Филиал])*($B$3=Таблица2[ФЕР/ТЕР])*(F203=Таблица2[Наименование работ])*(G203=Таблица2[ТПиР/НСиР])*Таблица2[Прочее2012]))</f>
        <v>0</v>
      </c>
      <c r="AL203" s="63">
        <f>данные!$X203+данные!$Y203+данные!$Z203+данные!$AA203+данные!$AB203</f>
        <v>0</v>
      </c>
      <c r="AM203" s="63">
        <v>1.03639035</v>
      </c>
      <c r="AN203" s="63">
        <v>1.0114049394</v>
      </c>
      <c r="AO203" s="63">
        <v>0.98210394336149998</v>
      </c>
      <c r="AP203" s="63">
        <v>0.93762413895893393</v>
      </c>
      <c r="AQ203" s="63"/>
      <c r="AR203" s="63"/>
      <c r="AS203" s="64"/>
      <c r="AU203" s="66">
        <f t="shared" si="18"/>
        <v>0</v>
      </c>
      <c r="AX203" s="66">
        <f t="shared" si="19"/>
        <v>0</v>
      </c>
      <c r="AY203" s="66">
        <f t="shared" si="20"/>
        <v>0</v>
      </c>
      <c r="AZ203" s="66">
        <f t="shared" si="21"/>
        <v>0</v>
      </c>
      <c r="BA203" s="66">
        <f t="shared" si="22"/>
        <v>0</v>
      </c>
      <c r="BB203" s="66">
        <f t="shared" si="23"/>
        <v>0</v>
      </c>
    </row>
    <row r="204" spans="4:54" x14ac:dyDescent="0.25">
      <c r="D204" s="62">
        <f>калькулятор!C209</f>
        <v>0</v>
      </c>
      <c r="E204" s="62">
        <f>калькулятор!F209</f>
        <v>0</v>
      </c>
      <c r="F204" s="62">
        <f>калькулятор!G209</f>
        <v>0</v>
      </c>
      <c r="G204" s="62">
        <f>калькулятор!H209</f>
        <v>0</v>
      </c>
      <c r="H204" s="62">
        <f>калькулятор!I209</f>
        <v>0</v>
      </c>
      <c r="I204" s="63">
        <f>S204*SUMPRODUCT(($B$2=Таблица2[Филиал])*($B$3=Таблица2[ФЕР/ТЕР])*(F204=Таблица2[Наименование работ])*(G204=Таблица2[ТПиР/НСиР])*Таблица2[ПИР2010])</f>
        <v>0</v>
      </c>
      <c r="J204" s="63">
        <f>T204*SUMPRODUCT(($B$2=Таблица2[Филиал])*($B$3=Таблица2[ФЕР/ТЕР])*(F204=Таблица2[Наименование работ])*(G204=Таблица2[ТПиР/НСиР])*Таблица2[СМР2010])</f>
        <v>0</v>
      </c>
      <c r="K204" s="63">
        <f>U204*SUMPRODUCT(($B$2=Таблица2[Филиал])*($B$3=Таблица2[ФЕР/ТЕР])*(F204=Таблица2[Наименование работ])*(G204=Таблица2[ТПиР/НСиР])*Таблица2[ПНР2010])</f>
        <v>0</v>
      </c>
      <c r="L204" s="63">
        <f>V204*SUMPRODUCT(($B$2=Таблица2[Филиал])*($B$3=Таблица2[ФЕР/ТЕР])*(F204=Таблица2[Наименование работ])*(G204=Таблица2[ТПиР/НСиР])*Таблица2[Оборудование2010])</f>
        <v>0</v>
      </c>
      <c r="M204" s="63">
        <f>W204*SUMPRODUCT(($B$2=Таблица2[Филиал])*($B$3=Таблица2[ФЕР/ТЕР])*(F204=Таблица2[Наименование работ])*(G204=Таблица2[ТПиР/НСиР])*Таблица2[Прочие2010])</f>
        <v>0</v>
      </c>
      <c r="N204" s="63">
        <f>S204*SUMPRODUCT(($B$2=Таблица2[Филиал])*($B$3=Таблица2[ФЕР/ТЕР])*(F204=Таблица2[Наименование работ])*(G204=Таблица2[ТПиР/НСиР])*Таблица2[ПИР2013-10])</f>
        <v>0</v>
      </c>
      <c r="O204" s="63">
        <f>T204*SUMPRODUCT(($B$2=Таблица2[Филиал])*($B$3=Таблица2[ФЕР/ТЕР])*(F204=Таблица2[Наименование работ])*(G204=Таблица2[ТПиР/НСиР])*Таблица2[СМР2013-10])</f>
        <v>0</v>
      </c>
      <c r="P204" s="63">
        <f>U204*SUMPRODUCT(($B$2=Таблица2[Филиал])*($B$3=Таблица2[ФЕР/ТЕР])*(F204=Таблица2[Наименование работ])*(G204=Таблица2[ТПиР/НСиР])*Таблица2[ПНР2013-10])</f>
        <v>0</v>
      </c>
      <c r="Q204" s="63">
        <f>V204*SUMPRODUCT(($B$2=Таблица2[Филиал])*($B$3=Таблица2[ФЕР/ТЕР])*(F204=Таблица2[Наименование работ])*(G204=Таблица2[ТПиР/НСиР])*Таблица2[Оборудование2013-10])</f>
        <v>0</v>
      </c>
      <c r="R204" s="63">
        <f>W204*SUMPRODUCT(($B$2=Таблица2[Филиал])*($B$3=Таблица2[ФЕР/ТЕР])*(F204=Таблица2[Наименование работ])*(G204=Таблица2[ТПиР/НСиР])*Таблица2[Прочие2013-10])</f>
        <v>0</v>
      </c>
      <c r="S204" s="63">
        <f>IF($B$4="в базовых ценах",калькулятор!J209,X204*SUMPRODUCT(($B$2=Таблица2[Филиал])*($B$3=Таблица2[ФЕР/ТЕР])*(F204=Таблица2[Наименование работ])*(G204=Таблица2[ТПиР/НСиР])/Таблица2[ПИР2013]))</f>
        <v>0</v>
      </c>
      <c r="T204" s="63">
        <f>IF($B$4="в базовых ценах",калькулятор!K209,Y204*SUMPRODUCT(($B$2=Таблица2[Филиал])*($B$3=Таблица2[ФЕР/ТЕР])*(F204=Таблица2[Наименование работ])*(G204=Таблица2[ТПиР/НСиР])/Таблица2[СМР2013]))</f>
        <v>0</v>
      </c>
      <c r="U204" s="63">
        <f>IF($B$4="в базовых ценах",калькулятор!L209,Z204*SUMPRODUCT(($B$2=Таблица2[Филиал])*($B$3=Таблица2[ФЕР/ТЕР])*(F204=Таблица2[Наименование работ])*(G204=Таблица2[ТПиР/НСиР])/Таблица2[ПНР2013]))</f>
        <v>0</v>
      </c>
      <c r="V204" s="63">
        <f>IF($B$4="в базовых ценах",калькулятор!M209,AA204*SUMPRODUCT(($B$2=Таблица2[Филиал])*($B$3=Таблица2[ФЕР/ТЕР])*(F204=Таблица2[Наименование работ])*(G204=Таблица2[ТПиР/НСиР])/Таблица2[Оборудование2013]))</f>
        <v>0</v>
      </c>
      <c r="W204" s="63">
        <f>IF($B$4="в базовых ценах",калькулятор!N209,AB204*SUMPRODUCT(($B$2=Таблица2[Филиал])*($B$3=Таблица2[ФЕР/ТЕР])*(F204=Таблица2[Наименование работ])*(G204=Таблица2[ТПиР/НСиР])/Таблица2[Прочие3]))</f>
        <v>0</v>
      </c>
      <c r="X204" s="63">
        <f>IF($B$4="в текущих ценах",калькулятор!J209,S204*SUMPRODUCT(($B$2=Таблица2[Филиал])*($B$3=Таблица2[ФЕР/ТЕР])*(F204=Таблица2[Наименование работ])*(G204=Таблица2[ТПиР/НСиР])*Таблица2[ПИР2013]))</f>
        <v>0</v>
      </c>
      <c r="Y204" s="63">
        <f>IF($B$4="в текущих ценах",калькулятор!K209,T204*SUMPRODUCT(($B$2=Таблица2[Филиал])*($B$3=Таблица2[ФЕР/ТЕР])*(F204=Таблица2[Наименование работ])*(G204=Таблица2[ТПиР/НСиР])*Таблица2[СМР2013]))</f>
        <v>0</v>
      </c>
      <c r="Z204" s="63">
        <f>IF($B$4="в текущих ценах",калькулятор!L209,U204*SUMPRODUCT(($B$2=Таблица2[Филиал])*($B$3=Таблица2[ФЕР/ТЕР])*(F204=Таблица2[Наименование работ])*(G204=Таблица2[ТПиР/НСиР])*Таблица2[ПНР2013]))</f>
        <v>0</v>
      </c>
      <c r="AA204" s="63">
        <f>IF($B$4="в текущих ценах",калькулятор!M209,V204*SUMPRODUCT(($B$2=Таблица2[Филиал])*($B$3=Таблица2[ФЕР/ТЕР])*(F204=Таблица2[Наименование работ])*(G204=Таблица2[ТПиР/НСиР])*Таблица2[Оборудование2013]))</f>
        <v>0</v>
      </c>
      <c r="AB204" s="63">
        <f>IF($B$4="в текущих ценах",калькулятор!N209,W204*SUMPRODUCT(($B$2=Таблица2[Филиал])*($B$3=Таблица2[ФЕР/ТЕР])*(F204=Таблица2[Наименование работ])*(G204=Таблица2[ТПиР/НСиР])*Таблица2[Прочие3]))</f>
        <v>0</v>
      </c>
      <c r="AC204" s="63">
        <f>SUM(данные!$I204:$M204)</f>
        <v>0</v>
      </c>
      <c r="AD204" s="63">
        <f>IF(SUM(данные!$N204:$R204)&gt;данные!$AF204,данные!$AF204*0.9*1.058,SUM(данные!$N204:$R204))</f>
        <v>0</v>
      </c>
      <c r="AE204" s="63">
        <f>SUM(данные!$S204:$W204)</f>
        <v>0</v>
      </c>
      <c r="AF204" s="63">
        <f>SUM(данные!$X204:$AB204)</f>
        <v>0</v>
      </c>
      <c r="AG204" s="63">
        <f>IF($B$4="в текущих ценах",S204*SUMPRODUCT(($B$2=Таблица2[Филиал])*($B$3=Таблица2[ФЕР/ТЕР])*(F204=Таблица2[Наименование работ])*(G204=Таблица2[ТПиР/НСиР])*Таблица2[ПИР2012]),S204*SUMPRODUCT(($B$2=Таблица2[Филиал])*($B$3=Таблица2[ФЕР/ТЕР])*(F204=Таблица2[Наименование работ])*(G204=Таблица2[ТПиР/НСиР])*Таблица2[ПИР2012]))</f>
        <v>0</v>
      </c>
      <c r="AH204" s="63">
        <f>IF($B$4="в текущих ценах",T204*SUMPRODUCT(($B$2=Таблица2[Филиал])*($B$3=Таблица2[ФЕР/ТЕР])*(F204=Таблица2[Наименование работ])*(G204=Таблица2[ТПиР/НСиР])*Таблица2[СМР2012]),T204*SUMPRODUCT(($B$2=Таблица2[Филиал])*($B$3=Таблица2[ФЕР/ТЕР])*(F204=Таблица2[Наименование работ])*(G204=Таблица2[ТПиР/НСиР])*Таблица2[СМР2012]))</f>
        <v>0</v>
      </c>
      <c r="AI204" s="63">
        <f>IF($B$4="в текущих ценах",U204*SUMPRODUCT(($B$2=Таблица2[Филиал])*($B$3=Таблица2[ФЕР/ТЕР])*(F204=Таблица2[Наименование работ])*(G204=Таблица2[ТПиР/НСиР])*Таблица2[ПНР2012]),U204*SUMPRODUCT(($B$2=Таблица2[Филиал])*($B$3=Таблица2[ФЕР/ТЕР])*(F204=Таблица2[Наименование работ])*(G204=Таблица2[ТПиР/НСиР])*Таблица2[ПНР2012]))</f>
        <v>0</v>
      </c>
      <c r="AJ204" s="63">
        <f>IF($B$4="в текущих ценах",V204*SUMPRODUCT(($B$2=Таблица2[Филиал])*($B$3=Таблица2[ФЕР/ТЕР])*(F204=Таблица2[Наименование работ])*(G204=Таблица2[ТПиР/НСиР])*Таблица2[Оборудование2012]),V204*SUMPRODUCT(($B$2=Таблица2[Филиал])*($B$3=Таблица2[ФЕР/ТЕР])*(F204=Таблица2[Наименование работ])*(G204=Таблица2[ТПиР/НСиР])*Таблица2[Оборудование2012]))</f>
        <v>0</v>
      </c>
      <c r="AK204" s="63">
        <f>IF($B$4="в текущих ценах",W204*SUMPRODUCT(($B$2=Таблица2[Филиал])*($B$3=Таблица2[ФЕР/ТЕР])*(F204=Таблица2[Наименование работ])*(G204=Таблица2[ТПиР/НСиР])*Таблица2[Прочее2012]),W204*SUMPRODUCT(($B$2=Таблица2[Филиал])*($B$3=Таблица2[ФЕР/ТЕР])*(F204=Таблица2[Наименование работ])*(G204=Таблица2[ТПиР/НСиР])*Таблица2[Прочее2012]))</f>
        <v>0</v>
      </c>
      <c r="AL204" s="63">
        <f>данные!$X204+данные!$Y204+данные!$Z204+данные!$AA204+данные!$AB204</f>
        <v>0</v>
      </c>
      <c r="AM204" s="63">
        <v>1.03639035</v>
      </c>
      <c r="AN204" s="63">
        <v>1.0114049394</v>
      </c>
      <c r="AO204" s="63">
        <v>0.98210394336149998</v>
      </c>
      <c r="AP204" s="63">
        <v>0.93762413895893393</v>
      </c>
      <c r="AQ204" s="63"/>
      <c r="AR204" s="63"/>
      <c r="AS204" s="64"/>
      <c r="AU204" s="66">
        <f t="shared" si="18"/>
        <v>0</v>
      </c>
      <c r="AX204" s="66">
        <f t="shared" si="19"/>
        <v>0</v>
      </c>
      <c r="AY204" s="66">
        <f t="shared" si="20"/>
        <v>0</v>
      </c>
      <c r="AZ204" s="66">
        <f t="shared" si="21"/>
        <v>0</v>
      </c>
      <c r="BA204" s="66">
        <f t="shared" si="22"/>
        <v>0</v>
      </c>
      <c r="BB204" s="66">
        <f t="shared" si="23"/>
        <v>0</v>
      </c>
    </row>
    <row r="205" spans="4:54" x14ac:dyDescent="0.25">
      <c r="D205" s="62">
        <f>калькулятор!C210</f>
        <v>0</v>
      </c>
      <c r="E205" s="62">
        <f>калькулятор!F210</f>
        <v>0</v>
      </c>
      <c r="F205" s="62">
        <f>калькулятор!G210</f>
        <v>0</v>
      </c>
      <c r="G205" s="62">
        <f>калькулятор!H210</f>
        <v>0</v>
      </c>
      <c r="H205" s="62">
        <f>калькулятор!I210</f>
        <v>0</v>
      </c>
      <c r="I205" s="63">
        <f>S205*SUMPRODUCT(($B$2=Таблица2[Филиал])*($B$3=Таблица2[ФЕР/ТЕР])*(F205=Таблица2[Наименование работ])*(G205=Таблица2[ТПиР/НСиР])*Таблица2[ПИР2010])</f>
        <v>0</v>
      </c>
      <c r="J205" s="63">
        <f>T205*SUMPRODUCT(($B$2=Таблица2[Филиал])*($B$3=Таблица2[ФЕР/ТЕР])*(F205=Таблица2[Наименование работ])*(G205=Таблица2[ТПиР/НСиР])*Таблица2[СМР2010])</f>
        <v>0</v>
      </c>
      <c r="K205" s="63">
        <f>U205*SUMPRODUCT(($B$2=Таблица2[Филиал])*($B$3=Таблица2[ФЕР/ТЕР])*(F205=Таблица2[Наименование работ])*(G205=Таблица2[ТПиР/НСиР])*Таблица2[ПНР2010])</f>
        <v>0</v>
      </c>
      <c r="L205" s="63">
        <f>V205*SUMPRODUCT(($B$2=Таблица2[Филиал])*($B$3=Таблица2[ФЕР/ТЕР])*(F205=Таблица2[Наименование работ])*(G205=Таблица2[ТПиР/НСиР])*Таблица2[Оборудование2010])</f>
        <v>0</v>
      </c>
      <c r="M205" s="63">
        <f>W205*SUMPRODUCT(($B$2=Таблица2[Филиал])*($B$3=Таблица2[ФЕР/ТЕР])*(F205=Таблица2[Наименование работ])*(G205=Таблица2[ТПиР/НСиР])*Таблица2[Прочие2010])</f>
        <v>0</v>
      </c>
      <c r="N205" s="63">
        <f>S205*SUMPRODUCT(($B$2=Таблица2[Филиал])*($B$3=Таблица2[ФЕР/ТЕР])*(F205=Таблица2[Наименование работ])*(G205=Таблица2[ТПиР/НСиР])*Таблица2[ПИР2013-10])</f>
        <v>0</v>
      </c>
      <c r="O205" s="63">
        <f>T205*SUMPRODUCT(($B$2=Таблица2[Филиал])*($B$3=Таблица2[ФЕР/ТЕР])*(F205=Таблица2[Наименование работ])*(G205=Таблица2[ТПиР/НСиР])*Таблица2[СМР2013-10])</f>
        <v>0</v>
      </c>
      <c r="P205" s="63">
        <f>U205*SUMPRODUCT(($B$2=Таблица2[Филиал])*($B$3=Таблица2[ФЕР/ТЕР])*(F205=Таблица2[Наименование работ])*(G205=Таблица2[ТПиР/НСиР])*Таблица2[ПНР2013-10])</f>
        <v>0</v>
      </c>
      <c r="Q205" s="63">
        <f>V205*SUMPRODUCT(($B$2=Таблица2[Филиал])*($B$3=Таблица2[ФЕР/ТЕР])*(F205=Таблица2[Наименование работ])*(G205=Таблица2[ТПиР/НСиР])*Таблица2[Оборудование2013-10])</f>
        <v>0</v>
      </c>
      <c r="R205" s="63">
        <f>W205*SUMPRODUCT(($B$2=Таблица2[Филиал])*($B$3=Таблица2[ФЕР/ТЕР])*(F205=Таблица2[Наименование работ])*(G205=Таблица2[ТПиР/НСиР])*Таблица2[Прочие2013-10])</f>
        <v>0</v>
      </c>
      <c r="S205" s="63">
        <f>IF($B$4="в базовых ценах",калькулятор!J210,X205*SUMPRODUCT(($B$2=Таблица2[Филиал])*($B$3=Таблица2[ФЕР/ТЕР])*(F205=Таблица2[Наименование работ])*(G205=Таблица2[ТПиР/НСиР])/Таблица2[ПИР2013]))</f>
        <v>0</v>
      </c>
      <c r="T205" s="63">
        <f>IF($B$4="в базовых ценах",калькулятор!K210,Y205*SUMPRODUCT(($B$2=Таблица2[Филиал])*($B$3=Таблица2[ФЕР/ТЕР])*(F205=Таблица2[Наименование работ])*(G205=Таблица2[ТПиР/НСиР])/Таблица2[СМР2013]))</f>
        <v>0</v>
      </c>
      <c r="U205" s="63">
        <f>IF($B$4="в базовых ценах",калькулятор!L210,Z205*SUMPRODUCT(($B$2=Таблица2[Филиал])*($B$3=Таблица2[ФЕР/ТЕР])*(F205=Таблица2[Наименование работ])*(G205=Таблица2[ТПиР/НСиР])/Таблица2[ПНР2013]))</f>
        <v>0</v>
      </c>
      <c r="V205" s="63">
        <f>IF($B$4="в базовых ценах",калькулятор!M210,AA205*SUMPRODUCT(($B$2=Таблица2[Филиал])*($B$3=Таблица2[ФЕР/ТЕР])*(F205=Таблица2[Наименование работ])*(G205=Таблица2[ТПиР/НСиР])/Таблица2[Оборудование2013]))</f>
        <v>0</v>
      </c>
      <c r="W205" s="63">
        <f>IF($B$4="в базовых ценах",калькулятор!N210,AB205*SUMPRODUCT(($B$2=Таблица2[Филиал])*($B$3=Таблица2[ФЕР/ТЕР])*(F205=Таблица2[Наименование работ])*(G205=Таблица2[ТПиР/НСиР])/Таблица2[Прочие3]))</f>
        <v>0</v>
      </c>
      <c r="X205" s="63">
        <f>IF($B$4="в текущих ценах",калькулятор!J210,S205*SUMPRODUCT(($B$2=Таблица2[Филиал])*($B$3=Таблица2[ФЕР/ТЕР])*(F205=Таблица2[Наименование работ])*(G205=Таблица2[ТПиР/НСиР])*Таблица2[ПИР2013]))</f>
        <v>0</v>
      </c>
      <c r="Y205" s="63">
        <f>IF($B$4="в текущих ценах",калькулятор!K210,T205*SUMPRODUCT(($B$2=Таблица2[Филиал])*($B$3=Таблица2[ФЕР/ТЕР])*(F205=Таблица2[Наименование работ])*(G205=Таблица2[ТПиР/НСиР])*Таблица2[СМР2013]))</f>
        <v>0</v>
      </c>
      <c r="Z205" s="63">
        <f>IF($B$4="в текущих ценах",калькулятор!L210,U205*SUMPRODUCT(($B$2=Таблица2[Филиал])*($B$3=Таблица2[ФЕР/ТЕР])*(F205=Таблица2[Наименование работ])*(G205=Таблица2[ТПиР/НСиР])*Таблица2[ПНР2013]))</f>
        <v>0</v>
      </c>
      <c r="AA205" s="63">
        <f>IF($B$4="в текущих ценах",калькулятор!M210,V205*SUMPRODUCT(($B$2=Таблица2[Филиал])*($B$3=Таблица2[ФЕР/ТЕР])*(F205=Таблица2[Наименование работ])*(G205=Таблица2[ТПиР/НСиР])*Таблица2[Оборудование2013]))</f>
        <v>0</v>
      </c>
      <c r="AB205" s="63">
        <f>IF($B$4="в текущих ценах",калькулятор!N210,W205*SUMPRODUCT(($B$2=Таблица2[Филиал])*($B$3=Таблица2[ФЕР/ТЕР])*(F205=Таблица2[Наименование работ])*(G205=Таблица2[ТПиР/НСиР])*Таблица2[Прочие3]))</f>
        <v>0</v>
      </c>
      <c r="AC205" s="63">
        <f>SUM(данные!$I205:$M205)</f>
        <v>0</v>
      </c>
      <c r="AD205" s="63">
        <f>IF(SUM(данные!$N205:$R205)&gt;данные!$AF205,данные!$AF205*0.9*1.058,SUM(данные!$N205:$R205))</f>
        <v>0</v>
      </c>
      <c r="AE205" s="63">
        <f>SUM(данные!$S205:$W205)</f>
        <v>0</v>
      </c>
      <c r="AF205" s="63">
        <f>SUM(данные!$X205:$AB205)</f>
        <v>0</v>
      </c>
      <c r="AG205" s="63">
        <f>IF($B$4="в текущих ценах",S205*SUMPRODUCT(($B$2=Таблица2[Филиал])*($B$3=Таблица2[ФЕР/ТЕР])*(F205=Таблица2[Наименование работ])*(G205=Таблица2[ТПиР/НСиР])*Таблица2[ПИР2012]),S205*SUMPRODUCT(($B$2=Таблица2[Филиал])*($B$3=Таблица2[ФЕР/ТЕР])*(F205=Таблица2[Наименование работ])*(G205=Таблица2[ТПиР/НСиР])*Таблица2[ПИР2012]))</f>
        <v>0</v>
      </c>
      <c r="AH205" s="63">
        <f>IF($B$4="в текущих ценах",T205*SUMPRODUCT(($B$2=Таблица2[Филиал])*($B$3=Таблица2[ФЕР/ТЕР])*(F205=Таблица2[Наименование работ])*(G205=Таблица2[ТПиР/НСиР])*Таблица2[СМР2012]),T205*SUMPRODUCT(($B$2=Таблица2[Филиал])*($B$3=Таблица2[ФЕР/ТЕР])*(F205=Таблица2[Наименование работ])*(G205=Таблица2[ТПиР/НСиР])*Таблица2[СМР2012]))</f>
        <v>0</v>
      </c>
      <c r="AI205" s="63">
        <f>IF($B$4="в текущих ценах",U205*SUMPRODUCT(($B$2=Таблица2[Филиал])*($B$3=Таблица2[ФЕР/ТЕР])*(F205=Таблица2[Наименование работ])*(G205=Таблица2[ТПиР/НСиР])*Таблица2[ПНР2012]),U205*SUMPRODUCT(($B$2=Таблица2[Филиал])*($B$3=Таблица2[ФЕР/ТЕР])*(F205=Таблица2[Наименование работ])*(G205=Таблица2[ТПиР/НСиР])*Таблица2[ПНР2012]))</f>
        <v>0</v>
      </c>
      <c r="AJ205" s="63">
        <f>IF($B$4="в текущих ценах",V205*SUMPRODUCT(($B$2=Таблица2[Филиал])*($B$3=Таблица2[ФЕР/ТЕР])*(F205=Таблица2[Наименование работ])*(G205=Таблица2[ТПиР/НСиР])*Таблица2[Оборудование2012]),V205*SUMPRODUCT(($B$2=Таблица2[Филиал])*($B$3=Таблица2[ФЕР/ТЕР])*(F205=Таблица2[Наименование работ])*(G205=Таблица2[ТПиР/НСиР])*Таблица2[Оборудование2012]))</f>
        <v>0</v>
      </c>
      <c r="AK205" s="63">
        <f>IF($B$4="в текущих ценах",W205*SUMPRODUCT(($B$2=Таблица2[Филиал])*($B$3=Таблица2[ФЕР/ТЕР])*(F205=Таблица2[Наименование работ])*(G205=Таблица2[ТПиР/НСиР])*Таблица2[Прочее2012]),W205*SUMPRODUCT(($B$2=Таблица2[Филиал])*($B$3=Таблица2[ФЕР/ТЕР])*(F205=Таблица2[Наименование работ])*(G205=Таблица2[ТПиР/НСиР])*Таблица2[Прочее2012]))</f>
        <v>0</v>
      </c>
      <c r="AL205" s="63">
        <f>данные!$X205+данные!$Y205+данные!$Z205+данные!$AA205+данные!$AB205</f>
        <v>0</v>
      </c>
      <c r="AM205" s="63">
        <v>1.03639035</v>
      </c>
      <c r="AN205" s="63">
        <v>1.0114049394</v>
      </c>
      <c r="AO205" s="63">
        <v>0.98210394336149998</v>
      </c>
      <c r="AP205" s="63">
        <v>0.93762413895893393</v>
      </c>
      <c r="AQ205" s="63"/>
      <c r="AR205" s="63"/>
      <c r="AS205" s="64"/>
      <c r="AU205" s="66">
        <f t="shared" si="18"/>
        <v>0</v>
      </c>
      <c r="AX205" s="66">
        <f t="shared" si="19"/>
        <v>0</v>
      </c>
      <c r="AY205" s="66">
        <f t="shared" si="20"/>
        <v>0</v>
      </c>
      <c r="AZ205" s="66">
        <f t="shared" si="21"/>
        <v>0</v>
      </c>
      <c r="BA205" s="66">
        <f t="shared" si="22"/>
        <v>0</v>
      </c>
      <c r="BB205" s="66">
        <f t="shared" si="23"/>
        <v>0</v>
      </c>
    </row>
    <row r="206" spans="4:54" x14ac:dyDescent="0.25">
      <c r="D206" s="62">
        <f>калькулятор!C211</f>
        <v>0</v>
      </c>
      <c r="E206" s="62">
        <f>калькулятор!F211</f>
        <v>0</v>
      </c>
      <c r="F206" s="62">
        <f>калькулятор!G211</f>
        <v>0</v>
      </c>
      <c r="G206" s="62">
        <f>калькулятор!H211</f>
        <v>0</v>
      </c>
      <c r="H206" s="62">
        <f>калькулятор!I211</f>
        <v>0</v>
      </c>
      <c r="I206" s="63">
        <f>S206*SUMPRODUCT(($B$2=Таблица2[Филиал])*($B$3=Таблица2[ФЕР/ТЕР])*(F206=Таблица2[Наименование работ])*(G206=Таблица2[ТПиР/НСиР])*Таблица2[ПИР2010])</f>
        <v>0</v>
      </c>
      <c r="J206" s="63">
        <f>T206*SUMPRODUCT(($B$2=Таблица2[Филиал])*($B$3=Таблица2[ФЕР/ТЕР])*(F206=Таблица2[Наименование работ])*(G206=Таблица2[ТПиР/НСиР])*Таблица2[СМР2010])</f>
        <v>0</v>
      </c>
      <c r="K206" s="63">
        <f>U206*SUMPRODUCT(($B$2=Таблица2[Филиал])*($B$3=Таблица2[ФЕР/ТЕР])*(F206=Таблица2[Наименование работ])*(G206=Таблица2[ТПиР/НСиР])*Таблица2[ПНР2010])</f>
        <v>0</v>
      </c>
      <c r="L206" s="63">
        <f>V206*SUMPRODUCT(($B$2=Таблица2[Филиал])*($B$3=Таблица2[ФЕР/ТЕР])*(F206=Таблица2[Наименование работ])*(G206=Таблица2[ТПиР/НСиР])*Таблица2[Оборудование2010])</f>
        <v>0</v>
      </c>
      <c r="M206" s="63">
        <f>W206*SUMPRODUCT(($B$2=Таблица2[Филиал])*($B$3=Таблица2[ФЕР/ТЕР])*(F206=Таблица2[Наименование работ])*(G206=Таблица2[ТПиР/НСиР])*Таблица2[Прочие2010])</f>
        <v>0</v>
      </c>
      <c r="N206" s="63">
        <f>S206*SUMPRODUCT(($B$2=Таблица2[Филиал])*($B$3=Таблица2[ФЕР/ТЕР])*(F206=Таблица2[Наименование работ])*(G206=Таблица2[ТПиР/НСиР])*Таблица2[ПИР2013-10])</f>
        <v>0</v>
      </c>
      <c r="O206" s="63">
        <f>T206*SUMPRODUCT(($B$2=Таблица2[Филиал])*($B$3=Таблица2[ФЕР/ТЕР])*(F206=Таблица2[Наименование работ])*(G206=Таблица2[ТПиР/НСиР])*Таблица2[СМР2013-10])</f>
        <v>0</v>
      </c>
      <c r="P206" s="63">
        <f>U206*SUMPRODUCT(($B$2=Таблица2[Филиал])*($B$3=Таблица2[ФЕР/ТЕР])*(F206=Таблица2[Наименование работ])*(G206=Таблица2[ТПиР/НСиР])*Таблица2[ПНР2013-10])</f>
        <v>0</v>
      </c>
      <c r="Q206" s="63">
        <f>V206*SUMPRODUCT(($B$2=Таблица2[Филиал])*($B$3=Таблица2[ФЕР/ТЕР])*(F206=Таблица2[Наименование работ])*(G206=Таблица2[ТПиР/НСиР])*Таблица2[Оборудование2013-10])</f>
        <v>0</v>
      </c>
      <c r="R206" s="63">
        <f>W206*SUMPRODUCT(($B$2=Таблица2[Филиал])*($B$3=Таблица2[ФЕР/ТЕР])*(F206=Таблица2[Наименование работ])*(G206=Таблица2[ТПиР/НСиР])*Таблица2[Прочие2013-10])</f>
        <v>0</v>
      </c>
      <c r="S206" s="63">
        <f>IF($B$4="в базовых ценах",калькулятор!J211,X206*SUMPRODUCT(($B$2=Таблица2[Филиал])*($B$3=Таблица2[ФЕР/ТЕР])*(F206=Таблица2[Наименование работ])*(G206=Таблица2[ТПиР/НСиР])/Таблица2[ПИР2013]))</f>
        <v>0</v>
      </c>
      <c r="T206" s="63">
        <f>IF($B$4="в базовых ценах",калькулятор!K211,Y206*SUMPRODUCT(($B$2=Таблица2[Филиал])*($B$3=Таблица2[ФЕР/ТЕР])*(F206=Таблица2[Наименование работ])*(G206=Таблица2[ТПиР/НСиР])/Таблица2[СМР2013]))</f>
        <v>0</v>
      </c>
      <c r="U206" s="63">
        <f>IF($B$4="в базовых ценах",калькулятор!L211,Z206*SUMPRODUCT(($B$2=Таблица2[Филиал])*($B$3=Таблица2[ФЕР/ТЕР])*(F206=Таблица2[Наименование работ])*(G206=Таблица2[ТПиР/НСиР])/Таблица2[ПНР2013]))</f>
        <v>0</v>
      </c>
      <c r="V206" s="63">
        <f>IF($B$4="в базовых ценах",калькулятор!M211,AA206*SUMPRODUCT(($B$2=Таблица2[Филиал])*($B$3=Таблица2[ФЕР/ТЕР])*(F206=Таблица2[Наименование работ])*(G206=Таблица2[ТПиР/НСиР])/Таблица2[Оборудование2013]))</f>
        <v>0</v>
      </c>
      <c r="W206" s="63">
        <f>IF($B$4="в базовых ценах",калькулятор!N211,AB206*SUMPRODUCT(($B$2=Таблица2[Филиал])*($B$3=Таблица2[ФЕР/ТЕР])*(F206=Таблица2[Наименование работ])*(G206=Таблица2[ТПиР/НСиР])/Таблица2[Прочие3]))</f>
        <v>0</v>
      </c>
      <c r="X206" s="63">
        <f>IF($B$4="в текущих ценах",калькулятор!J211,S206*SUMPRODUCT(($B$2=Таблица2[Филиал])*($B$3=Таблица2[ФЕР/ТЕР])*(F206=Таблица2[Наименование работ])*(G206=Таблица2[ТПиР/НСиР])*Таблица2[ПИР2013]))</f>
        <v>0</v>
      </c>
      <c r="Y206" s="63">
        <f>IF($B$4="в текущих ценах",калькулятор!K211,T206*SUMPRODUCT(($B$2=Таблица2[Филиал])*($B$3=Таблица2[ФЕР/ТЕР])*(F206=Таблица2[Наименование работ])*(G206=Таблица2[ТПиР/НСиР])*Таблица2[СМР2013]))</f>
        <v>0</v>
      </c>
      <c r="Z206" s="63">
        <f>IF($B$4="в текущих ценах",калькулятор!L211,U206*SUMPRODUCT(($B$2=Таблица2[Филиал])*($B$3=Таблица2[ФЕР/ТЕР])*(F206=Таблица2[Наименование работ])*(G206=Таблица2[ТПиР/НСиР])*Таблица2[ПНР2013]))</f>
        <v>0</v>
      </c>
      <c r="AA206" s="63">
        <f>IF($B$4="в текущих ценах",калькулятор!M211,V206*SUMPRODUCT(($B$2=Таблица2[Филиал])*($B$3=Таблица2[ФЕР/ТЕР])*(F206=Таблица2[Наименование работ])*(G206=Таблица2[ТПиР/НСиР])*Таблица2[Оборудование2013]))</f>
        <v>0</v>
      </c>
      <c r="AB206" s="63">
        <f>IF($B$4="в текущих ценах",калькулятор!N211,W206*SUMPRODUCT(($B$2=Таблица2[Филиал])*($B$3=Таблица2[ФЕР/ТЕР])*(F206=Таблица2[Наименование работ])*(G206=Таблица2[ТПиР/НСиР])*Таблица2[Прочие3]))</f>
        <v>0</v>
      </c>
      <c r="AC206" s="63">
        <f>SUM(данные!$I206:$M206)</f>
        <v>0</v>
      </c>
      <c r="AD206" s="63">
        <f>IF(SUM(данные!$N206:$R206)&gt;данные!$AF206,данные!$AF206*0.9*1.058,SUM(данные!$N206:$R206))</f>
        <v>0</v>
      </c>
      <c r="AE206" s="63">
        <f>SUM(данные!$S206:$W206)</f>
        <v>0</v>
      </c>
      <c r="AF206" s="63">
        <f>SUM(данные!$X206:$AB206)</f>
        <v>0</v>
      </c>
      <c r="AG206" s="63">
        <f>IF($B$4="в текущих ценах",S206*SUMPRODUCT(($B$2=Таблица2[Филиал])*($B$3=Таблица2[ФЕР/ТЕР])*(F206=Таблица2[Наименование работ])*(G206=Таблица2[ТПиР/НСиР])*Таблица2[ПИР2012]),S206*SUMPRODUCT(($B$2=Таблица2[Филиал])*($B$3=Таблица2[ФЕР/ТЕР])*(F206=Таблица2[Наименование работ])*(G206=Таблица2[ТПиР/НСиР])*Таблица2[ПИР2012]))</f>
        <v>0</v>
      </c>
      <c r="AH206" s="63">
        <f>IF($B$4="в текущих ценах",T206*SUMPRODUCT(($B$2=Таблица2[Филиал])*($B$3=Таблица2[ФЕР/ТЕР])*(F206=Таблица2[Наименование работ])*(G206=Таблица2[ТПиР/НСиР])*Таблица2[СМР2012]),T206*SUMPRODUCT(($B$2=Таблица2[Филиал])*($B$3=Таблица2[ФЕР/ТЕР])*(F206=Таблица2[Наименование работ])*(G206=Таблица2[ТПиР/НСиР])*Таблица2[СМР2012]))</f>
        <v>0</v>
      </c>
      <c r="AI206" s="63">
        <f>IF($B$4="в текущих ценах",U206*SUMPRODUCT(($B$2=Таблица2[Филиал])*($B$3=Таблица2[ФЕР/ТЕР])*(F206=Таблица2[Наименование работ])*(G206=Таблица2[ТПиР/НСиР])*Таблица2[ПНР2012]),U206*SUMPRODUCT(($B$2=Таблица2[Филиал])*($B$3=Таблица2[ФЕР/ТЕР])*(F206=Таблица2[Наименование работ])*(G206=Таблица2[ТПиР/НСиР])*Таблица2[ПНР2012]))</f>
        <v>0</v>
      </c>
      <c r="AJ206" s="63">
        <f>IF($B$4="в текущих ценах",V206*SUMPRODUCT(($B$2=Таблица2[Филиал])*($B$3=Таблица2[ФЕР/ТЕР])*(F206=Таблица2[Наименование работ])*(G206=Таблица2[ТПиР/НСиР])*Таблица2[Оборудование2012]),V206*SUMPRODUCT(($B$2=Таблица2[Филиал])*($B$3=Таблица2[ФЕР/ТЕР])*(F206=Таблица2[Наименование работ])*(G206=Таблица2[ТПиР/НСиР])*Таблица2[Оборудование2012]))</f>
        <v>0</v>
      </c>
      <c r="AK206" s="63">
        <f>IF($B$4="в текущих ценах",W206*SUMPRODUCT(($B$2=Таблица2[Филиал])*($B$3=Таблица2[ФЕР/ТЕР])*(F206=Таблица2[Наименование работ])*(G206=Таблица2[ТПиР/НСиР])*Таблица2[Прочее2012]),W206*SUMPRODUCT(($B$2=Таблица2[Филиал])*($B$3=Таблица2[ФЕР/ТЕР])*(F206=Таблица2[Наименование работ])*(G206=Таблица2[ТПиР/НСиР])*Таблица2[Прочее2012]))</f>
        <v>0</v>
      </c>
      <c r="AL206" s="63">
        <f>данные!$X206+данные!$Y206+данные!$Z206+данные!$AA206+данные!$AB206</f>
        <v>0</v>
      </c>
      <c r="AM206" s="63">
        <v>1.03639035</v>
      </c>
      <c r="AN206" s="63">
        <v>1.0114049394</v>
      </c>
      <c r="AO206" s="63">
        <v>0.98210394336149998</v>
      </c>
      <c r="AP206" s="63">
        <v>0.93762413895893393</v>
      </c>
      <c r="AQ206" s="63"/>
      <c r="AR206" s="63"/>
      <c r="AS206" s="64"/>
      <c r="AU206" s="66">
        <f t="shared" si="18"/>
        <v>0</v>
      </c>
      <c r="AX206" s="66">
        <f t="shared" si="19"/>
        <v>0</v>
      </c>
      <c r="AY206" s="66">
        <f t="shared" si="20"/>
        <v>0</v>
      </c>
      <c r="AZ206" s="66">
        <f t="shared" si="21"/>
        <v>0</v>
      </c>
      <c r="BA206" s="66">
        <f t="shared" si="22"/>
        <v>0</v>
      </c>
      <c r="BB206" s="66">
        <f t="shared" si="23"/>
        <v>0</v>
      </c>
    </row>
    <row r="207" spans="4:54" x14ac:dyDescent="0.25">
      <c r="D207" s="62">
        <f>калькулятор!C212</f>
        <v>0</v>
      </c>
      <c r="E207" s="62">
        <f>калькулятор!F212</f>
        <v>0</v>
      </c>
      <c r="F207" s="62">
        <f>калькулятор!G212</f>
        <v>0</v>
      </c>
      <c r="G207" s="62">
        <f>калькулятор!H212</f>
        <v>0</v>
      </c>
      <c r="H207" s="62">
        <f>калькулятор!I212</f>
        <v>0</v>
      </c>
      <c r="I207" s="63">
        <f>S207*SUMPRODUCT(($B$2=Таблица2[Филиал])*($B$3=Таблица2[ФЕР/ТЕР])*(F207=Таблица2[Наименование работ])*(G207=Таблица2[ТПиР/НСиР])*Таблица2[ПИР2010])</f>
        <v>0</v>
      </c>
      <c r="J207" s="63">
        <f>T207*SUMPRODUCT(($B$2=Таблица2[Филиал])*($B$3=Таблица2[ФЕР/ТЕР])*(F207=Таблица2[Наименование работ])*(G207=Таблица2[ТПиР/НСиР])*Таблица2[СМР2010])</f>
        <v>0</v>
      </c>
      <c r="K207" s="63">
        <f>U207*SUMPRODUCT(($B$2=Таблица2[Филиал])*($B$3=Таблица2[ФЕР/ТЕР])*(F207=Таблица2[Наименование работ])*(G207=Таблица2[ТПиР/НСиР])*Таблица2[ПНР2010])</f>
        <v>0</v>
      </c>
      <c r="L207" s="63">
        <f>V207*SUMPRODUCT(($B$2=Таблица2[Филиал])*($B$3=Таблица2[ФЕР/ТЕР])*(F207=Таблица2[Наименование работ])*(G207=Таблица2[ТПиР/НСиР])*Таблица2[Оборудование2010])</f>
        <v>0</v>
      </c>
      <c r="M207" s="63">
        <f>W207*SUMPRODUCT(($B$2=Таблица2[Филиал])*($B$3=Таблица2[ФЕР/ТЕР])*(F207=Таблица2[Наименование работ])*(G207=Таблица2[ТПиР/НСиР])*Таблица2[Прочие2010])</f>
        <v>0</v>
      </c>
      <c r="N207" s="63">
        <f>S207*SUMPRODUCT(($B$2=Таблица2[Филиал])*($B$3=Таблица2[ФЕР/ТЕР])*(F207=Таблица2[Наименование работ])*(G207=Таблица2[ТПиР/НСиР])*Таблица2[ПИР2013-10])</f>
        <v>0</v>
      </c>
      <c r="O207" s="63">
        <f>T207*SUMPRODUCT(($B$2=Таблица2[Филиал])*($B$3=Таблица2[ФЕР/ТЕР])*(F207=Таблица2[Наименование работ])*(G207=Таблица2[ТПиР/НСиР])*Таблица2[СМР2013-10])</f>
        <v>0</v>
      </c>
      <c r="P207" s="63">
        <f>U207*SUMPRODUCT(($B$2=Таблица2[Филиал])*($B$3=Таблица2[ФЕР/ТЕР])*(F207=Таблица2[Наименование работ])*(G207=Таблица2[ТПиР/НСиР])*Таблица2[ПНР2013-10])</f>
        <v>0</v>
      </c>
      <c r="Q207" s="63">
        <f>V207*SUMPRODUCT(($B$2=Таблица2[Филиал])*($B$3=Таблица2[ФЕР/ТЕР])*(F207=Таблица2[Наименование работ])*(G207=Таблица2[ТПиР/НСиР])*Таблица2[Оборудование2013-10])</f>
        <v>0</v>
      </c>
      <c r="R207" s="63">
        <f>W207*SUMPRODUCT(($B$2=Таблица2[Филиал])*($B$3=Таблица2[ФЕР/ТЕР])*(F207=Таблица2[Наименование работ])*(G207=Таблица2[ТПиР/НСиР])*Таблица2[Прочие2013-10])</f>
        <v>0</v>
      </c>
      <c r="S207" s="63">
        <f>IF($B$4="в базовых ценах",калькулятор!J212,X207*SUMPRODUCT(($B$2=Таблица2[Филиал])*($B$3=Таблица2[ФЕР/ТЕР])*(F207=Таблица2[Наименование работ])*(G207=Таблица2[ТПиР/НСиР])/Таблица2[ПИР2013]))</f>
        <v>0</v>
      </c>
      <c r="T207" s="63">
        <f>IF($B$4="в базовых ценах",калькулятор!K212,Y207*SUMPRODUCT(($B$2=Таблица2[Филиал])*($B$3=Таблица2[ФЕР/ТЕР])*(F207=Таблица2[Наименование работ])*(G207=Таблица2[ТПиР/НСиР])/Таблица2[СМР2013]))</f>
        <v>0</v>
      </c>
      <c r="U207" s="63">
        <f>IF($B$4="в базовых ценах",калькулятор!L212,Z207*SUMPRODUCT(($B$2=Таблица2[Филиал])*($B$3=Таблица2[ФЕР/ТЕР])*(F207=Таблица2[Наименование работ])*(G207=Таблица2[ТПиР/НСиР])/Таблица2[ПНР2013]))</f>
        <v>0</v>
      </c>
      <c r="V207" s="63">
        <f>IF($B$4="в базовых ценах",калькулятор!M212,AA207*SUMPRODUCT(($B$2=Таблица2[Филиал])*($B$3=Таблица2[ФЕР/ТЕР])*(F207=Таблица2[Наименование работ])*(G207=Таблица2[ТПиР/НСиР])/Таблица2[Оборудование2013]))</f>
        <v>0</v>
      </c>
      <c r="W207" s="63">
        <f>IF($B$4="в базовых ценах",калькулятор!N212,AB207*SUMPRODUCT(($B$2=Таблица2[Филиал])*($B$3=Таблица2[ФЕР/ТЕР])*(F207=Таблица2[Наименование работ])*(G207=Таблица2[ТПиР/НСиР])/Таблица2[Прочие3]))</f>
        <v>0</v>
      </c>
      <c r="X207" s="63">
        <f>IF($B$4="в текущих ценах",калькулятор!J212,S207*SUMPRODUCT(($B$2=Таблица2[Филиал])*($B$3=Таблица2[ФЕР/ТЕР])*(F207=Таблица2[Наименование работ])*(G207=Таблица2[ТПиР/НСиР])*Таблица2[ПИР2013]))</f>
        <v>0</v>
      </c>
      <c r="Y207" s="63">
        <f>IF($B$4="в текущих ценах",калькулятор!K212,T207*SUMPRODUCT(($B$2=Таблица2[Филиал])*($B$3=Таблица2[ФЕР/ТЕР])*(F207=Таблица2[Наименование работ])*(G207=Таблица2[ТПиР/НСиР])*Таблица2[СМР2013]))</f>
        <v>0</v>
      </c>
      <c r="Z207" s="63">
        <f>IF($B$4="в текущих ценах",калькулятор!L212,U207*SUMPRODUCT(($B$2=Таблица2[Филиал])*($B$3=Таблица2[ФЕР/ТЕР])*(F207=Таблица2[Наименование работ])*(G207=Таблица2[ТПиР/НСиР])*Таблица2[ПНР2013]))</f>
        <v>0</v>
      </c>
      <c r="AA207" s="63">
        <f>IF($B$4="в текущих ценах",калькулятор!M212,V207*SUMPRODUCT(($B$2=Таблица2[Филиал])*($B$3=Таблица2[ФЕР/ТЕР])*(F207=Таблица2[Наименование работ])*(G207=Таблица2[ТПиР/НСиР])*Таблица2[Оборудование2013]))</f>
        <v>0</v>
      </c>
      <c r="AB207" s="63">
        <f>IF($B$4="в текущих ценах",калькулятор!N212,W207*SUMPRODUCT(($B$2=Таблица2[Филиал])*($B$3=Таблица2[ФЕР/ТЕР])*(F207=Таблица2[Наименование работ])*(G207=Таблица2[ТПиР/НСиР])*Таблица2[Прочие3]))</f>
        <v>0</v>
      </c>
      <c r="AC207" s="63">
        <f>SUM(данные!$I207:$M207)</f>
        <v>0</v>
      </c>
      <c r="AD207" s="63">
        <f>IF(SUM(данные!$N207:$R207)&gt;данные!$AF207,данные!$AF207*0.9*1.058,SUM(данные!$N207:$R207))</f>
        <v>0</v>
      </c>
      <c r="AE207" s="63">
        <f>SUM(данные!$S207:$W207)</f>
        <v>0</v>
      </c>
      <c r="AF207" s="63">
        <f>SUM(данные!$X207:$AB207)</f>
        <v>0</v>
      </c>
      <c r="AG207" s="63">
        <f>IF($B$4="в текущих ценах",S207*SUMPRODUCT(($B$2=Таблица2[Филиал])*($B$3=Таблица2[ФЕР/ТЕР])*(F207=Таблица2[Наименование работ])*(G207=Таблица2[ТПиР/НСиР])*Таблица2[ПИР2012]),S207*SUMPRODUCT(($B$2=Таблица2[Филиал])*($B$3=Таблица2[ФЕР/ТЕР])*(F207=Таблица2[Наименование работ])*(G207=Таблица2[ТПиР/НСиР])*Таблица2[ПИР2012]))</f>
        <v>0</v>
      </c>
      <c r="AH207" s="63">
        <f>IF($B$4="в текущих ценах",T207*SUMPRODUCT(($B$2=Таблица2[Филиал])*($B$3=Таблица2[ФЕР/ТЕР])*(F207=Таблица2[Наименование работ])*(G207=Таблица2[ТПиР/НСиР])*Таблица2[СМР2012]),T207*SUMPRODUCT(($B$2=Таблица2[Филиал])*($B$3=Таблица2[ФЕР/ТЕР])*(F207=Таблица2[Наименование работ])*(G207=Таблица2[ТПиР/НСиР])*Таблица2[СМР2012]))</f>
        <v>0</v>
      </c>
      <c r="AI207" s="63">
        <f>IF($B$4="в текущих ценах",U207*SUMPRODUCT(($B$2=Таблица2[Филиал])*($B$3=Таблица2[ФЕР/ТЕР])*(F207=Таблица2[Наименование работ])*(G207=Таблица2[ТПиР/НСиР])*Таблица2[ПНР2012]),U207*SUMPRODUCT(($B$2=Таблица2[Филиал])*($B$3=Таблица2[ФЕР/ТЕР])*(F207=Таблица2[Наименование работ])*(G207=Таблица2[ТПиР/НСиР])*Таблица2[ПНР2012]))</f>
        <v>0</v>
      </c>
      <c r="AJ207" s="63">
        <f>IF($B$4="в текущих ценах",V207*SUMPRODUCT(($B$2=Таблица2[Филиал])*($B$3=Таблица2[ФЕР/ТЕР])*(F207=Таблица2[Наименование работ])*(G207=Таблица2[ТПиР/НСиР])*Таблица2[Оборудование2012]),V207*SUMPRODUCT(($B$2=Таблица2[Филиал])*($B$3=Таблица2[ФЕР/ТЕР])*(F207=Таблица2[Наименование работ])*(G207=Таблица2[ТПиР/НСиР])*Таблица2[Оборудование2012]))</f>
        <v>0</v>
      </c>
      <c r="AK207" s="63">
        <f>IF($B$4="в текущих ценах",W207*SUMPRODUCT(($B$2=Таблица2[Филиал])*($B$3=Таблица2[ФЕР/ТЕР])*(F207=Таблица2[Наименование работ])*(G207=Таблица2[ТПиР/НСиР])*Таблица2[Прочее2012]),W207*SUMPRODUCT(($B$2=Таблица2[Филиал])*($B$3=Таблица2[ФЕР/ТЕР])*(F207=Таблица2[Наименование работ])*(G207=Таблица2[ТПиР/НСиР])*Таблица2[Прочее2012]))</f>
        <v>0</v>
      </c>
      <c r="AL207" s="63">
        <f>данные!$X207+данные!$Y207+данные!$Z207+данные!$AA207+данные!$AB207</f>
        <v>0</v>
      </c>
      <c r="AM207" s="63">
        <v>1.03639035</v>
      </c>
      <c r="AN207" s="63">
        <v>1.0114049394</v>
      </c>
      <c r="AO207" s="63">
        <v>0.98210394336149998</v>
      </c>
      <c r="AP207" s="63">
        <v>0.93762413895893393</v>
      </c>
      <c r="AQ207" s="63"/>
      <c r="AR207" s="63"/>
      <c r="AS207" s="64"/>
      <c r="AU207" s="66">
        <f t="shared" si="18"/>
        <v>0</v>
      </c>
      <c r="AX207" s="66">
        <f t="shared" si="19"/>
        <v>0</v>
      </c>
      <c r="AY207" s="66">
        <f t="shared" si="20"/>
        <v>0</v>
      </c>
      <c r="AZ207" s="66">
        <f t="shared" si="21"/>
        <v>0</v>
      </c>
      <c r="BA207" s="66">
        <f t="shared" si="22"/>
        <v>0</v>
      </c>
      <c r="BB207" s="66">
        <f t="shared" si="23"/>
        <v>0</v>
      </c>
    </row>
    <row r="208" spans="4:54" x14ac:dyDescent="0.25">
      <c r="D208" s="62">
        <f>калькулятор!C213</f>
        <v>0</v>
      </c>
      <c r="E208" s="62">
        <f>калькулятор!F213</f>
        <v>0</v>
      </c>
      <c r="F208" s="62">
        <f>калькулятор!G213</f>
        <v>0</v>
      </c>
      <c r="G208" s="62">
        <f>калькулятор!H213</f>
        <v>0</v>
      </c>
      <c r="H208" s="62">
        <f>калькулятор!I213</f>
        <v>0</v>
      </c>
      <c r="I208" s="63">
        <f>S208*SUMPRODUCT(($B$2=Таблица2[Филиал])*($B$3=Таблица2[ФЕР/ТЕР])*(F208=Таблица2[Наименование работ])*(G208=Таблица2[ТПиР/НСиР])*Таблица2[ПИР2010])</f>
        <v>0</v>
      </c>
      <c r="J208" s="63">
        <f>T208*SUMPRODUCT(($B$2=Таблица2[Филиал])*($B$3=Таблица2[ФЕР/ТЕР])*(F208=Таблица2[Наименование работ])*(G208=Таблица2[ТПиР/НСиР])*Таблица2[СМР2010])</f>
        <v>0</v>
      </c>
      <c r="K208" s="63">
        <f>U208*SUMPRODUCT(($B$2=Таблица2[Филиал])*($B$3=Таблица2[ФЕР/ТЕР])*(F208=Таблица2[Наименование работ])*(G208=Таблица2[ТПиР/НСиР])*Таблица2[ПНР2010])</f>
        <v>0</v>
      </c>
      <c r="L208" s="63">
        <f>V208*SUMPRODUCT(($B$2=Таблица2[Филиал])*($B$3=Таблица2[ФЕР/ТЕР])*(F208=Таблица2[Наименование работ])*(G208=Таблица2[ТПиР/НСиР])*Таблица2[Оборудование2010])</f>
        <v>0</v>
      </c>
      <c r="M208" s="63">
        <f>W208*SUMPRODUCT(($B$2=Таблица2[Филиал])*($B$3=Таблица2[ФЕР/ТЕР])*(F208=Таблица2[Наименование работ])*(G208=Таблица2[ТПиР/НСиР])*Таблица2[Прочие2010])</f>
        <v>0</v>
      </c>
      <c r="N208" s="63">
        <f>S208*SUMPRODUCT(($B$2=Таблица2[Филиал])*($B$3=Таблица2[ФЕР/ТЕР])*(F208=Таблица2[Наименование работ])*(G208=Таблица2[ТПиР/НСиР])*Таблица2[ПИР2013-10])</f>
        <v>0</v>
      </c>
      <c r="O208" s="63">
        <f>T208*SUMPRODUCT(($B$2=Таблица2[Филиал])*($B$3=Таблица2[ФЕР/ТЕР])*(F208=Таблица2[Наименование работ])*(G208=Таблица2[ТПиР/НСиР])*Таблица2[СМР2013-10])</f>
        <v>0</v>
      </c>
      <c r="P208" s="63">
        <f>U208*SUMPRODUCT(($B$2=Таблица2[Филиал])*($B$3=Таблица2[ФЕР/ТЕР])*(F208=Таблица2[Наименование работ])*(G208=Таблица2[ТПиР/НСиР])*Таблица2[ПНР2013-10])</f>
        <v>0</v>
      </c>
      <c r="Q208" s="63">
        <f>V208*SUMPRODUCT(($B$2=Таблица2[Филиал])*($B$3=Таблица2[ФЕР/ТЕР])*(F208=Таблица2[Наименование работ])*(G208=Таблица2[ТПиР/НСиР])*Таблица2[Оборудование2013-10])</f>
        <v>0</v>
      </c>
      <c r="R208" s="63">
        <f>W208*SUMPRODUCT(($B$2=Таблица2[Филиал])*($B$3=Таблица2[ФЕР/ТЕР])*(F208=Таблица2[Наименование работ])*(G208=Таблица2[ТПиР/НСиР])*Таблица2[Прочие2013-10])</f>
        <v>0</v>
      </c>
      <c r="S208" s="63">
        <f>IF($B$4="в базовых ценах",калькулятор!J213,X208*SUMPRODUCT(($B$2=Таблица2[Филиал])*($B$3=Таблица2[ФЕР/ТЕР])*(F208=Таблица2[Наименование работ])*(G208=Таблица2[ТПиР/НСиР])/Таблица2[ПИР2013]))</f>
        <v>0</v>
      </c>
      <c r="T208" s="63">
        <f>IF($B$4="в базовых ценах",калькулятор!K213,Y208*SUMPRODUCT(($B$2=Таблица2[Филиал])*($B$3=Таблица2[ФЕР/ТЕР])*(F208=Таблица2[Наименование работ])*(G208=Таблица2[ТПиР/НСиР])/Таблица2[СМР2013]))</f>
        <v>0</v>
      </c>
      <c r="U208" s="63">
        <f>IF($B$4="в базовых ценах",калькулятор!L213,Z208*SUMPRODUCT(($B$2=Таблица2[Филиал])*($B$3=Таблица2[ФЕР/ТЕР])*(F208=Таблица2[Наименование работ])*(G208=Таблица2[ТПиР/НСиР])/Таблица2[ПНР2013]))</f>
        <v>0</v>
      </c>
      <c r="V208" s="63">
        <f>IF($B$4="в базовых ценах",калькулятор!M213,AA208*SUMPRODUCT(($B$2=Таблица2[Филиал])*($B$3=Таблица2[ФЕР/ТЕР])*(F208=Таблица2[Наименование работ])*(G208=Таблица2[ТПиР/НСиР])/Таблица2[Оборудование2013]))</f>
        <v>0</v>
      </c>
      <c r="W208" s="63">
        <f>IF($B$4="в базовых ценах",калькулятор!N213,AB208*SUMPRODUCT(($B$2=Таблица2[Филиал])*($B$3=Таблица2[ФЕР/ТЕР])*(F208=Таблица2[Наименование работ])*(G208=Таблица2[ТПиР/НСиР])/Таблица2[Прочие3]))</f>
        <v>0</v>
      </c>
      <c r="X208" s="63">
        <f>IF($B$4="в текущих ценах",калькулятор!J213,S208*SUMPRODUCT(($B$2=Таблица2[Филиал])*($B$3=Таблица2[ФЕР/ТЕР])*(F208=Таблица2[Наименование работ])*(G208=Таблица2[ТПиР/НСиР])*Таблица2[ПИР2013]))</f>
        <v>0</v>
      </c>
      <c r="Y208" s="63">
        <f>IF($B$4="в текущих ценах",калькулятор!K213,T208*SUMPRODUCT(($B$2=Таблица2[Филиал])*($B$3=Таблица2[ФЕР/ТЕР])*(F208=Таблица2[Наименование работ])*(G208=Таблица2[ТПиР/НСиР])*Таблица2[СМР2013]))</f>
        <v>0</v>
      </c>
      <c r="Z208" s="63">
        <f>IF($B$4="в текущих ценах",калькулятор!L213,U208*SUMPRODUCT(($B$2=Таблица2[Филиал])*($B$3=Таблица2[ФЕР/ТЕР])*(F208=Таблица2[Наименование работ])*(G208=Таблица2[ТПиР/НСиР])*Таблица2[ПНР2013]))</f>
        <v>0</v>
      </c>
      <c r="AA208" s="63">
        <f>IF($B$4="в текущих ценах",калькулятор!M213,V208*SUMPRODUCT(($B$2=Таблица2[Филиал])*($B$3=Таблица2[ФЕР/ТЕР])*(F208=Таблица2[Наименование работ])*(G208=Таблица2[ТПиР/НСиР])*Таблица2[Оборудование2013]))</f>
        <v>0</v>
      </c>
      <c r="AB208" s="63">
        <f>IF($B$4="в текущих ценах",калькулятор!N213,W208*SUMPRODUCT(($B$2=Таблица2[Филиал])*($B$3=Таблица2[ФЕР/ТЕР])*(F208=Таблица2[Наименование работ])*(G208=Таблица2[ТПиР/НСиР])*Таблица2[Прочие3]))</f>
        <v>0</v>
      </c>
      <c r="AC208" s="63">
        <f>SUM(данные!$I208:$M208)</f>
        <v>0</v>
      </c>
      <c r="AD208" s="63">
        <f>IF(SUM(данные!$N208:$R208)&gt;данные!$AF208,данные!$AF208*0.9*1.058,SUM(данные!$N208:$R208))</f>
        <v>0</v>
      </c>
      <c r="AE208" s="63">
        <f>SUM(данные!$S208:$W208)</f>
        <v>0</v>
      </c>
      <c r="AF208" s="63">
        <f>SUM(данные!$X208:$AB208)</f>
        <v>0</v>
      </c>
      <c r="AG208" s="63">
        <f>IF($B$4="в текущих ценах",S208*SUMPRODUCT(($B$2=Таблица2[Филиал])*($B$3=Таблица2[ФЕР/ТЕР])*(F208=Таблица2[Наименование работ])*(G208=Таблица2[ТПиР/НСиР])*Таблица2[ПИР2012]),S208*SUMPRODUCT(($B$2=Таблица2[Филиал])*($B$3=Таблица2[ФЕР/ТЕР])*(F208=Таблица2[Наименование работ])*(G208=Таблица2[ТПиР/НСиР])*Таблица2[ПИР2012]))</f>
        <v>0</v>
      </c>
      <c r="AH208" s="63">
        <f>IF($B$4="в текущих ценах",T208*SUMPRODUCT(($B$2=Таблица2[Филиал])*($B$3=Таблица2[ФЕР/ТЕР])*(F208=Таблица2[Наименование работ])*(G208=Таблица2[ТПиР/НСиР])*Таблица2[СМР2012]),T208*SUMPRODUCT(($B$2=Таблица2[Филиал])*($B$3=Таблица2[ФЕР/ТЕР])*(F208=Таблица2[Наименование работ])*(G208=Таблица2[ТПиР/НСиР])*Таблица2[СМР2012]))</f>
        <v>0</v>
      </c>
      <c r="AI208" s="63">
        <f>IF($B$4="в текущих ценах",U208*SUMPRODUCT(($B$2=Таблица2[Филиал])*($B$3=Таблица2[ФЕР/ТЕР])*(F208=Таблица2[Наименование работ])*(G208=Таблица2[ТПиР/НСиР])*Таблица2[ПНР2012]),U208*SUMPRODUCT(($B$2=Таблица2[Филиал])*($B$3=Таблица2[ФЕР/ТЕР])*(F208=Таблица2[Наименование работ])*(G208=Таблица2[ТПиР/НСиР])*Таблица2[ПНР2012]))</f>
        <v>0</v>
      </c>
      <c r="AJ208" s="63">
        <f>IF($B$4="в текущих ценах",V208*SUMPRODUCT(($B$2=Таблица2[Филиал])*($B$3=Таблица2[ФЕР/ТЕР])*(F208=Таблица2[Наименование работ])*(G208=Таблица2[ТПиР/НСиР])*Таблица2[Оборудование2012]),V208*SUMPRODUCT(($B$2=Таблица2[Филиал])*($B$3=Таблица2[ФЕР/ТЕР])*(F208=Таблица2[Наименование работ])*(G208=Таблица2[ТПиР/НСиР])*Таблица2[Оборудование2012]))</f>
        <v>0</v>
      </c>
      <c r="AK208" s="63">
        <f>IF($B$4="в текущих ценах",W208*SUMPRODUCT(($B$2=Таблица2[Филиал])*($B$3=Таблица2[ФЕР/ТЕР])*(F208=Таблица2[Наименование работ])*(G208=Таблица2[ТПиР/НСиР])*Таблица2[Прочее2012]),W208*SUMPRODUCT(($B$2=Таблица2[Филиал])*($B$3=Таблица2[ФЕР/ТЕР])*(F208=Таблица2[Наименование работ])*(G208=Таблица2[ТПиР/НСиР])*Таблица2[Прочее2012]))</f>
        <v>0</v>
      </c>
      <c r="AL208" s="63">
        <f>данные!$X208+данные!$Y208+данные!$Z208+данные!$AA208+данные!$AB208</f>
        <v>0</v>
      </c>
      <c r="AM208" s="63">
        <v>1.03639035</v>
      </c>
      <c r="AN208" s="63">
        <v>1.0114049394</v>
      </c>
      <c r="AO208" s="63">
        <v>0.98210394336149998</v>
      </c>
      <c r="AP208" s="63">
        <v>0.93762413895893393</v>
      </c>
      <c r="AQ208" s="63"/>
      <c r="AR208" s="63"/>
      <c r="AS208" s="64"/>
      <c r="AU208" s="66">
        <f t="shared" si="18"/>
        <v>0</v>
      </c>
      <c r="AX208" s="66">
        <f t="shared" si="19"/>
        <v>0</v>
      </c>
      <c r="AY208" s="66">
        <f t="shared" si="20"/>
        <v>0</v>
      </c>
      <c r="AZ208" s="66">
        <f t="shared" si="21"/>
        <v>0</v>
      </c>
      <c r="BA208" s="66">
        <f t="shared" si="22"/>
        <v>0</v>
      </c>
      <c r="BB208" s="66">
        <f t="shared" si="23"/>
        <v>0</v>
      </c>
    </row>
    <row r="209" spans="4:54" x14ac:dyDescent="0.25">
      <c r="D209" s="62">
        <f>калькулятор!C214</f>
        <v>0</v>
      </c>
      <c r="E209" s="62">
        <f>калькулятор!F214</f>
        <v>0</v>
      </c>
      <c r="F209" s="62">
        <f>калькулятор!G214</f>
        <v>0</v>
      </c>
      <c r="G209" s="62">
        <f>калькулятор!H214</f>
        <v>0</v>
      </c>
      <c r="H209" s="62">
        <f>калькулятор!I214</f>
        <v>0</v>
      </c>
      <c r="I209" s="63">
        <f>S209*SUMPRODUCT(($B$2=Таблица2[Филиал])*($B$3=Таблица2[ФЕР/ТЕР])*(F209=Таблица2[Наименование работ])*(G209=Таблица2[ТПиР/НСиР])*Таблица2[ПИР2010])</f>
        <v>0</v>
      </c>
      <c r="J209" s="63">
        <f>T209*SUMPRODUCT(($B$2=Таблица2[Филиал])*($B$3=Таблица2[ФЕР/ТЕР])*(F209=Таблица2[Наименование работ])*(G209=Таблица2[ТПиР/НСиР])*Таблица2[СМР2010])</f>
        <v>0</v>
      </c>
      <c r="K209" s="63">
        <f>U209*SUMPRODUCT(($B$2=Таблица2[Филиал])*($B$3=Таблица2[ФЕР/ТЕР])*(F209=Таблица2[Наименование работ])*(G209=Таблица2[ТПиР/НСиР])*Таблица2[ПНР2010])</f>
        <v>0</v>
      </c>
      <c r="L209" s="63">
        <f>V209*SUMPRODUCT(($B$2=Таблица2[Филиал])*($B$3=Таблица2[ФЕР/ТЕР])*(F209=Таблица2[Наименование работ])*(G209=Таблица2[ТПиР/НСиР])*Таблица2[Оборудование2010])</f>
        <v>0</v>
      </c>
      <c r="M209" s="63">
        <f>W209*SUMPRODUCT(($B$2=Таблица2[Филиал])*($B$3=Таблица2[ФЕР/ТЕР])*(F209=Таблица2[Наименование работ])*(G209=Таблица2[ТПиР/НСиР])*Таблица2[Прочие2010])</f>
        <v>0</v>
      </c>
      <c r="N209" s="63">
        <f>S209*SUMPRODUCT(($B$2=Таблица2[Филиал])*($B$3=Таблица2[ФЕР/ТЕР])*(F209=Таблица2[Наименование работ])*(G209=Таблица2[ТПиР/НСиР])*Таблица2[ПИР2013-10])</f>
        <v>0</v>
      </c>
      <c r="O209" s="63">
        <f>T209*SUMPRODUCT(($B$2=Таблица2[Филиал])*($B$3=Таблица2[ФЕР/ТЕР])*(F209=Таблица2[Наименование работ])*(G209=Таблица2[ТПиР/НСиР])*Таблица2[СМР2013-10])</f>
        <v>0</v>
      </c>
      <c r="P209" s="63">
        <f>U209*SUMPRODUCT(($B$2=Таблица2[Филиал])*($B$3=Таблица2[ФЕР/ТЕР])*(F209=Таблица2[Наименование работ])*(G209=Таблица2[ТПиР/НСиР])*Таблица2[ПНР2013-10])</f>
        <v>0</v>
      </c>
      <c r="Q209" s="63">
        <f>V209*SUMPRODUCT(($B$2=Таблица2[Филиал])*($B$3=Таблица2[ФЕР/ТЕР])*(F209=Таблица2[Наименование работ])*(G209=Таблица2[ТПиР/НСиР])*Таблица2[Оборудование2013-10])</f>
        <v>0</v>
      </c>
      <c r="R209" s="63">
        <f>W209*SUMPRODUCT(($B$2=Таблица2[Филиал])*($B$3=Таблица2[ФЕР/ТЕР])*(F209=Таблица2[Наименование работ])*(G209=Таблица2[ТПиР/НСиР])*Таблица2[Прочие2013-10])</f>
        <v>0</v>
      </c>
      <c r="S209" s="63">
        <f>IF($B$4="в базовых ценах",калькулятор!J214,X209*SUMPRODUCT(($B$2=Таблица2[Филиал])*($B$3=Таблица2[ФЕР/ТЕР])*(F209=Таблица2[Наименование работ])*(G209=Таблица2[ТПиР/НСиР])/Таблица2[ПИР2013]))</f>
        <v>0</v>
      </c>
      <c r="T209" s="63">
        <f>IF($B$4="в базовых ценах",калькулятор!K214,Y209*SUMPRODUCT(($B$2=Таблица2[Филиал])*($B$3=Таблица2[ФЕР/ТЕР])*(F209=Таблица2[Наименование работ])*(G209=Таблица2[ТПиР/НСиР])/Таблица2[СМР2013]))</f>
        <v>0</v>
      </c>
      <c r="U209" s="63">
        <f>IF($B$4="в базовых ценах",калькулятор!L214,Z209*SUMPRODUCT(($B$2=Таблица2[Филиал])*($B$3=Таблица2[ФЕР/ТЕР])*(F209=Таблица2[Наименование работ])*(G209=Таблица2[ТПиР/НСиР])/Таблица2[ПНР2013]))</f>
        <v>0</v>
      </c>
      <c r="V209" s="63">
        <f>IF($B$4="в базовых ценах",калькулятор!M214,AA209*SUMPRODUCT(($B$2=Таблица2[Филиал])*($B$3=Таблица2[ФЕР/ТЕР])*(F209=Таблица2[Наименование работ])*(G209=Таблица2[ТПиР/НСиР])/Таблица2[Оборудование2013]))</f>
        <v>0</v>
      </c>
      <c r="W209" s="63">
        <f>IF($B$4="в базовых ценах",калькулятор!N214,AB209*SUMPRODUCT(($B$2=Таблица2[Филиал])*($B$3=Таблица2[ФЕР/ТЕР])*(F209=Таблица2[Наименование работ])*(G209=Таблица2[ТПиР/НСиР])/Таблица2[Прочие3]))</f>
        <v>0</v>
      </c>
      <c r="X209" s="63">
        <f>IF($B$4="в текущих ценах",калькулятор!J214,S209*SUMPRODUCT(($B$2=Таблица2[Филиал])*($B$3=Таблица2[ФЕР/ТЕР])*(F209=Таблица2[Наименование работ])*(G209=Таблица2[ТПиР/НСиР])*Таблица2[ПИР2013]))</f>
        <v>0</v>
      </c>
      <c r="Y209" s="63">
        <f>IF($B$4="в текущих ценах",калькулятор!K214,T209*SUMPRODUCT(($B$2=Таблица2[Филиал])*($B$3=Таблица2[ФЕР/ТЕР])*(F209=Таблица2[Наименование работ])*(G209=Таблица2[ТПиР/НСиР])*Таблица2[СМР2013]))</f>
        <v>0</v>
      </c>
      <c r="Z209" s="63">
        <f>IF($B$4="в текущих ценах",калькулятор!L214,U209*SUMPRODUCT(($B$2=Таблица2[Филиал])*($B$3=Таблица2[ФЕР/ТЕР])*(F209=Таблица2[Наименование работ])*(G209=Таблица2[ТПиР/НСиР])*Таблица2[ПНР2013]))</f>
        <v>0</v>
      </c>
      <c r="AA209" s="63">
        <f>IF($B$4="в текущих ценах",калькулятор!M214,V209*SUMPRODUCT(($B$2=Таблица2[Филиал])*($B$3=Таблица2[ФЕР/ТЕР])*(F209=Таблица2[Наименование работ])*(G209=Таблица2[ТПиР/НСиР])*Таблица2[Оборудование2013]))</f>
        <v>0</v>
      </c>
      <c r="AB209" s="63">
        <f>IF($B$4="в текущих ценах",калькулятор!N214,W209*SUMPRODUCT(($B$2=Таблица2[Филиал])*($B$3=Таблица2[ФЕР/ТЕР])*(F209=Таблица2[Наименование работ])*(G209=Таблица2[ТПиР/НСиР])*Таблица2[Прочие3]))</f>
        <v>0</v>
      </c>
      <c r="AC209" s="63">
        <f>SUM(данные!$I209:$M209)</f>
        <v>0</v>
      </c>
      <c r="AD209" s="63">
        <f>IF(SUM(данные!$N209:$R209)&gt;данные!$AF209,данные!$AF209*0.9*1.058,SUM(данные!$N209:$R209))</f>
        <v>0</v>
      </c>
      <c r="AE209" s="63">
        <f>SUM(данные!$S209:$W209)</f>
        <v>0</v>
      </c>
      <c r="AF209" s="63">
        <f>SUM(данные!$X209:$AB209)</f>
        <v>0</v>
      </c>
      <c r="AG209" s="63">
        <f>IF($B$4="в текущих ценах",S209*SUMPRODUCT(($B$2=Таблица2[Филиал])*($B$3=Таблица2[ФЕР/ТЕР])*(F209=Таблица2[Наименование работ])*(G209=Таблица2[ТПиР/НСиР])*Таблица2[ПИР2012]),S209*SUMPRODUCT(($B$2=Таблица2[Филиал])*($B$3=Таблица2[ФЕР/ТЕР])*(F209=Таблица2[Наименование работ])*(G209=Таблица2[ТПиР/НСиР])*Таблица2[ПИР2012]))</f>
        <v>0</v>
      </c>
      <c r="AH209" s="63">
        <f>IF($B$4="в текущих ценах",T209*SUMPRODUCT(($B$2=Таблица2[Филиал])*($B$3=Таблица2[ФЕР/ТЕР])*(F209=Таблица2[Наименование работ])*(G209=Таблица2[ТПиР/НСиР])*Таблица2[СМР2012]),T209*SUMPRODUCT(($B$2=Таблица2[Филиал])*($B$3=Таблица2[ФЕР/ТЕР])*(F209=Таблица2[Наименование работ])*(G209=Таблица2[ТПиР/НСиР])*Таблица2[СМР2012]))</f>
        <v>0</v>
      </c>
      <c r="AI209" s="63">
        <f>IF($B$4="в текущих ценах",U209*SUMPRODUCT(($B$2=Таблица2[Филиал])*($B$3=Таблица2[ФЕР/ТЕР])*(F209=Таблица2[Наименование работ])*(G209=Таблица2[ТПиР/НСиР])*Таблица2[ПНР2012]),U209*SUMPRODUCT(($B$2=Таблица2[Филиал])*($B$3=Таблица2[ФЕР/ТЕР])*(F209=Таблица2[Наименование работ])*(G209=Таблица2[ТПиР/НСиР])*Таблица2[ПНР2012]))</f>
        <v>0</v>
      </c>
      <c r="AJ209" s="63">
        <f>IF($B$4="в текущих ценах",V209*SUMPRODUCT(($B$2=Таблица2[Филиал])*($B$3=Таблица2[ФЕР/ТЕР])*(F209=Таблица2[Наименование работ])*(G209=Таблица2[ТПиР/НСиР])*Таблица2[Оборудование2012]),V209*SUMPRODUCT(($B$2=Таблица2[Филиал])*($B$3=Таблица2[ФЕР/ТЕР])*(F209=Таблица2[Наименование работ])*(G209=Таблица2[ТПиР/НСиР])*Таблица2[Оборудование2012]))</f>
        <v>0</v>
      </c>
      <c r="AK209" s="63">
        <f>IF($B$4="в текущих ценах",W209*SUMPRODUCT(($B$2=Таблица2[Филиал])*($B$3=Таблица2[ФЕР/ТЕР])*(F209=Таблица2[Наименование работ])*(G209=Таблица2[ТПиР/НСиР])*Таблица2[Прочее2012]),W209*SUMPRODUCT(($B$2=Таблица2[Филиал])*($B$3=Таблица2[ФЕР/ТЕР])*(F209=Таблица2[Наименование работ])*(G209=Таблица2[ТПиР/НСиР])*Таблица2[Прочее2012]))</f>
        <v>0</v>
      </c>
      <c r="AL209" s="63">
        <f>данные!$X209+данные!$Y209+данные!$Z209+данные!$AA209+данные!$AB209</f>
        <v>0</v>
      </c>
      <c r="AM209" s="63">
        <v>1.03639035</v>
      </c>
      <c r="AN209" s="63">
        <v>1.0114049394</v>
      </c>
      <c r="AO209" s="63">
        <v>0.98210394336149998</v>
      </c>
      <c r="AP209" s="63">
        <v>0.93762413895893393</v>
      </c>
      <c r="AQ209" s="63"/>
      <c r="AR209" s="63"/>
      <c r="AS209" s="64"/>
      <c r="AU209" s="66">
        <f t="shared" si="18"/>
        <v>0</v>
      </c>
      <c r="AX209" s="66">
        <f t="shared" si="19"/>
        <v>0</v>
      </c>
      <c r="AY209" s="66">
        <f t="shared" si="20"/>
        <v>0</v>
      </c>
      <c r="AZ209" s="66">
        <f t="shared" si="21"/>
        <v>0</v>
      </c>
      <c r="BA209" s="66">
        <f t="shared" si="22"/>
        <v>0</v>
      </c>
      <c r="BB209" s="66">
        <f t="shared" si="23"/>
        <v>0</v>
      </c>
    </row>
    <row r="210" spans="4:54" x14ac:dyDescent="0.25">
      <c r="D210" s="62">
        <f>калькулятор!C215</f>
        <v>0</v>
      </c>
      <c r="E210" s="62">
        <f>калькулятор!F215</f>
        <v>0</v>
      </c>
      <c r="F210" s="62">
        <f>калькулятор!G215</f>
        <v>0</v>
      </c>
      <c r="G210" s="62">
        <f>калькулятор!H215</f>
        <v>0</v>
      </c>
      <c r="H210" s="62">
        <f>калькулятор!I215</f>
        <v>0</v>
      </c>
      <c r="I210" s="63">
        <f>S210*SUMPRODUCT(($B$2=Таблица2[Филиал])*($B$3=Таблица2[ФЕР/ТЕР])*(F210=Таблица2[Наименование работ])*(G210=Таблица2[ТПиР/НСиР])*Таблица2[ПИР2010])</f>
        <v>0</v>
      </c>
      <c r="J210" s="63">
        <f>T210*SUMPRODUCT(($B$2=Таблица2[Филиал])*($B$3=Таблица2[ФЕР/ТЕР])*(F210=Таблица2[Наименование работ])*(G210=Таблица2[ТПиР/НСиР])*Таблица2[СМР2010])</f>
        <v>0</v>
      </c>
      <c r="K210" s="63">
        <f>U210*SUMPRODUCT(($B$2=Таблица2[Филиал])*($B$3=Таблица2[ФЕР/ТЕР])*(F210=Таблица2[Наименование работ])*(G210=Таблица2[ТПиР/НСиР])*Таблица2[ПНР2010])</f>
        <v>0</v>
      </c>
      <c r="L210" s="63">
        <f>V210*SUMPRODUCT(($B$2=Таблица2[Филиал])*($B$3=Таблица2[ФЕР/ТЕР])*(F210=Таблица2[Наименование работ])*(G210=Таблица2[ТПиР/НСиР])*Таблица2[Оборудование2010])</f>
        <v>0</v>
      </c>
      <c r="M210" s="63">
        <f>W210*SUMPRODUCT(($B$2=Таблица2[Филиал])*($B$3=Таблица2[ФЕР/ТЕР])*(F210=Таблица2[Наименование работ])*(G210=Таблица2[ТПиР/НСиР])*Таблица2[Прочие2010])</f>
        <v>0</v>
      </c>
      <c r="N210" s="63">
        <f>S210*SUMPRODUCT(($B$2=Таблица2[Филиал])*($B$3=Таблица2[ФЕР/ТЕР])*(F210=Таблица2[Наименование работ])*(G210=Таблица2[ТПиР/НСиР])*Таблица2[ПИР2013-10])</f>
        <v>0</v>
      </c>
      <c r="O210" s="63">
        <f>T210*SUMPRODUCT(($B$2=Таблица2[Филиал])*($B$3=Таблица2[ФЕР/ТЕР])*(F210=Таблица2[Наименование работ])*(G210=Таблица2[ТПиР/НСиР])*Таблица2[СМР2013-10])</f>
        <v>0</v>
      </c>
      <c r="P210" s="63">
        <f>U210*SUMPRODUCT(($B$2=Таблица2[Филиал])*($B$3=Таблица2[ФЕР/ТЕР])*(F210=Таблица2[Наименование работ])*(G210=Таблица2[ТПиР/НСиР])*Таблица2[ПНР2013-10])</f>
        <v>0</v>
      </c>
      <c r="Q210" s="63">
        <f>V210*SUMPRODUCT(($B$2=Таблица2[Филиал])*($B$3=Таблица2[ФЕР/ТЕР])*(F210=Таблица2[Наименование работ])*(G210=Таблица2[ТПиР/НСиР])*Таблица2[Оборудование2013-10])</f>
        <v>0</v>
      </c>
      <c r="R210" s="63">
        <f>W210*SUMPRODUCT(($B$2=Таблица2[Филиал])*($B$3=Таблица2[ФЕР/ТЕР])*(F210=Таблица2[Наименование работ])*(G210=Таблица2[ТПиР/НСиР])*Таблица2[Прочие2013-10])</f>
        <v>0</v>
      </c>
      <c r="S210" s="63">
        <f>IF($B$4="в базовых ценах",калькулятор!J215,X210*SUMPRODUCT(($B$2=Таблица2[Филиал])*($B$3=Таблица2[ФЕР/ТЕР])*(F210=Таблица2[Наименование работ])*(G210=Таблица2[ТПиР/НСиР])/Таблица2[ПИР2013]))</f>
        <v>0</v>
      </c>
      <c r="T210" s="63">
        <f>IF($B$4="в базовых ценах",калькулятор!K215,Y210*SUMPRODUCT(($B$2=Таблица2[Филиал])*($B$3=Таблица2[ФЕР/ТЕР])*(F210=Таблица2[Наименование работ])*(G210=Таблица2[ТПиР/НСиР])/Таблица2[СМР2013]))</f>
        <v>0</v>
      </c>
      <c r="U210" s="63">
        <f>IF($B$4="в базовых ценах",калькулятор!L215,Z210*SUMPRODUCT(($B$2=Таблица2[Филиал])*($B$3=Таблица2[ФЕР/ТЕР])*(F210=Таблица2[Наименование работ])*(G210=Таблица2[ТПиР/НСиР])/Таблица2[ПНР2013]))</f>
        <v>0</v>
      </c>
      <c r="V210" s="63">
        <f>IF($B$4="в базовых ценах",калькулятор!M215,AA210*SUMPRODUCT(($B$2=Таблица2[Филиал])*($B$3=Таблица2[ФЕР/ТЕР])*(F210=Таблица2[Наименование работ])*(G210=Таблица2[ТПиР/НСиР])/Таблица2[Оборудование2013]))</f>
        <v>0</v>
      </c>
      <c r="W210" s="63">
        <f>IF($B$4="в базовых ценах",калькулятор!N215,AB210*SUMPRODUCT(($B$2=Таблица2[Филиал])*($B$3=Таблица2[ФЕР/ТЕР])*(F210=Таблица2[Наименование работ])*(G210=Таблица2[ТПиР/НСиР])/Таблица2[Прочие3]))</f>
        <v>0</v>
      </c>
      <c r="X210" s="63">
        <f>IF($B$4="в текущих ценах",калькулятор!J215,S210*SUMPRODUCT(($B$2=Таблица2[Филиал])*($B$3=Таблица2[ФЕР/ТЕР])*(F210=Таблица2[Наименование работ])*(G210=Таблица2[ТПиР/НСиР])*Таблица2[ПИР2013]))</f>
        <v>0</v>
      </c>
      <c r="Y210" s="63">
        <f>IF($B$4="в текущих ценах",калькулятор!K215,T210*SUMPRODUCT(($B$2=Таблица2[Филиал])*($B$3=Таблица2[ФЕР/ТЕР])*(F210=Таблица2[Наименование работ])*(G210=Таблица2[ТПиР/НСиР])*Таблица2[СМР2013]))</f>
        <v>0</v>
      </c>
      <c r="Z210" s="63">
        <f>IF($B$4="в текущих ценах",калькулятор!L215,U210*SUMPRODUCT(($B$2=Таблица2[Филиал])*($B$3=Таблица2[ФЕР/ТЕР])*(F210=Таблица2[Наименование работ])*(G210=Таблица2[ТПиР/НСиР])*Таблица2[ПНР2013]))</f>
        <v>0</v>
      </c>
      <c r="AA210" s="63">
        <f>IF($B$4="в текущих ценах",калькулятор!M215,V210*SUMPRODUCT(($B$2=Таблица2[Филиал])*($B$3=Таблица2[ФЕР/ТЕР])*(F210=Таблица2[Наименование работ])*(G210=Таблица2[ТПиР/НСиР])*Таблица2[Оборудование2013]))</f>
        <v>0</v>
      </c>
      <c r="AB210" s="63">
        <f>IF($B$4="в текущих ценах",калькулятор!N215,W210*SUMPRODUCT(($B$2=Таблица2[Филиал])*($B$3=Таблица2[ФЕР/ТЕР])*(F210=Таблица2[Наименование работ])*(G210=Таблица2[ТПиР/НСиР])*Таблица2[Прочие3]))</f>
        <v>0</v>
      </c>
      <c r="AC210" s="63">
        <f>SUM(данные!$I210:$M210)</f>
        <v>0</v>
      </c>
      <c r="AD210" s="63">
        <f>IF(SUM(данные!$N210:$R210)&gt;данные!$AF210,данные!$AF210*0.9*1.058,SUM(данные!$N210:$R210))</f>
        <v>0</v>
      </c>
      <c r="AE210" s="63">
        <f>SUM(данные!$S210:$W210)</f>
        <v>0</v>
      </c>
      <c r="AF210" s="63">
        <f>SUM(данные!$X210:$AB210)</f>
        <v>0</v>
      </c>
      <c r="AG210" s="63">
        <f>IF($B$4="в текущих ценах",S210*SUMPRODUCT(($B$2=Таблица2[Филиал])*($B$3=Таблица2[ФЕР/ТЕР])*(F210=Таблица2[Наименование работ])*(G210=Таблица2[ТПиР/НСиР])*Таблица2[ПИР2012]),S210*SUMPRODUCT(($B$2=Таблица2[Филиал])*($B$3=Таблица2[ФЕР/ТЕР])*(F210=Таблица2[Наименование работ])*(G210=Таблица2[ТПиР/НСиР])*Таблица2[ПИР2012]))</f>
        <v>0</v>
      </c>
      <c r="AH210" s="63">
        <f>IF($B$4="в текущих ценах",T210*SUMPRODUCT(($B$2=Таблица2[Филиал])*($B$3=Таблица2[ФЕР/ТЕР])*(F210=Таблица2[Наименование работ])*(G210=Таблица2[ТПиР/НСиР])*Таблица2[СМР2012]),T210*SUMPRODUCT(($B$2=Таблица2[Филиал])*($B$3=Таблица2[ФЕР/ТЕР])*(F210=Таблица2[Наименование работ])*(G210=Таблица2[ТПиР/НСиР])*Таблица2[СМР2012]))</f>
        <v>0</v>
      </c>
      <c r="AI210" s="63">
        <f>IF($B$4="в текущих ценах",U210*SUMPRODUCT(($B$2=Таблица2[Филиал])*($B$3=Таблица2[ФЕР/ТЕР])*(F210=Таблица2[Наименование работ])*(G210=Таблица2[ТПиР/НСиР])*Таблица2[ПНР2012]),U210*SUMPRODUCT(($B$2=Таблица2[Филиал])*($B$3=Таблица2[ФЕР/ТЕР])*(F210=Таблица2[Наименование работ])*(G210=Таблица2[ТПиР/НСиР])*Таблица2[ПНР2012]))</f>
        <v>0</v>
      </c>
      <c r="AJ210" s="63">
        <f>IF($B$4="в текущих ценах",V210*SUMPRODUCT(($B$2=Таблица2[Филиал])*($B$3=Таблица2[ФЕР/ТЕР])*(F210=Таблица2[Наименование работ])*(G210=Таблица2[ТПиР/НСиР])*Таблица2[Оборудование2012]),V210*SUMPRODUCT(($B$2=Таблица2[Филиал])*($B$3=Таблица2[ФЕР/ТЕР])*(F210=Таблица2[Наименование работ])*(G210=Таблица2[ТПиР/НСиР])*Таблица2[Оборудование2012]))</f>
        <v>0</v>
      </c>
      <c r="AK210" s="63">
        <f>IF($B$4="в текущих ценах",W210*SUMPRODUCT(($B$2=Таблица2[Филиал])*($B$3=Таблица2[ФЕР/ТЕР])*(F210=Таблица2[Наименование работ])*(G210=Таблица2[ТПиР/НСиР])*Таблица2[Прочее2012]),W210*SUMPRODUCT(($B$2=Таблица2[Филиал])*($B$3=Таблица2[ФЕР/ТЕР])*(F210=Таблица2[Наименование работ])*(G210=Таблица2[ТПиР/НСиР])*Таблица2[Прочее2012]))</f>
        <v>0</v>
      </c>
      <c r="AL210" s="63">
        <f>данные!$X210+данные!$Y210+данные!$Z210+данные!$AA210+данные!$AB210</f>
        <v>0</v>
      </c>
      <c r="AM210" s="63">
        <v>1.03639035</v>
      </c>
      <c r="AN210" s="63">
        <v>1.0114049394</v>
      </c>
      <c r="AO210" s="63">
        <v>0.98210394336149998</v>
      </c>
      <c r="AP210" s="63">
        <v>0.93762413895893393</v>
      </c>
      <c r="AQ210" s="63"/>
      <c r="AR210" s="63"/>
      <c r="AS210" s="64"/>
      <c r="AU210" s="66">
        <f t="shared" si="18"/>
        <v>0</v>
      </c>
      <c r="AX210" s="66">
        <f t="shared" si="19"/>
        <v>0</v>
      </c>
      <c r="AY210" s="66">
        <f t="shared" si="20"/>
        <v>0</v>
      </c>
      <c r="AZ210" s="66">
        <f t="shared" si="21"/>
        <v>0</v>
      </c>
      <c r="BA210" s="66">
        <f t="shared" si="22"/>
        <v>0</v>
      </c>
      <c r="BB210" s="66">
        <f t="shared" si="23"/>
        <v>0</v>
      </c>
    </row>
    <row r="211" spans="4:54" x14ac:dyDescent="0.25">
      <c r="D211" s="62">
        <f>калькулятор!C216</f>
        <v>0</v>
      </c>
      <c r="E211" s="62">
        <f>калькулятор!F216</f>
        <v>0</v>
      </c>
      <c r="F211" s="62">
        <f>калькулятор!G216</f>
        <v>0</v>
      </c>
      <c r="G211" s="62">
        <f>калькулятор!H216</f>
        <v>0</v>
      </c>
      <c r="H211" s="62">
        <f>калькулятор!I216</f>
        <v>0</v>
      </c>
      <c r="I211" s="63">
        <f>S211*SUMPRODUCT(($B$2=Таблица2[Филиал])*($B$3=Таблица2[ФЕР/ТЕР])*(F211=Таблица2[Наименование работ])*(G211=Таблица2[ТПиР/НСиР])*Таблица2[ПИР2010])</f>
        <v>0</v>
      </c>
      <c r="J211" s="63">
        <f>T211*SUMPRODUCT(($B$2=Таблица2[Филиал])*($B$3=Таблица2[ФЕР/ТЕР])*(F211=Таблица2[Наименование работ])*(G211=Таблица2[ТПиР/НСиР])*Таблица2[СМР2010])</f>
        <v>0</v>
      </c>
      <c r="K211" s="63">
        <f>U211*SUMPRODUCT(($B$2=Таблица2[Филиал])*($B$3=Таблица2[ФЕР/ТЕР])*(F211=Таблица2[Наименование работ])*(G211=Таблица2[ТПиР/НСиР])*Таблица2[ПНР2010])</f>
        <v>0</v>
      </c>
      <c r="L211" s="63">
        <f>V211*SUMPRODUCT(($B$2=Таблица2[Филиал])*($B$3=Таблица2[ФЕР/ТЕР])*(F211=Таблица2[Наименование работ])*(G211=Таблица2[ТПиР/НСиР])*Таблица2[Оборудование2010])</f>
        <v>0</v>
      </c>
      <c r="M211" s="63">
        <f>W211*SUMPRODUCT(($B$2=Таблица2[Филиал])*($B$3=Таблица2[ФЕР/ТЕР])*(F211=Таблица2[Наименование работ])*(G211=Таблица2[ТПиР/НСиР])*Таблица2[Прочие2010])</f>
        <v>0</v>
      </c>
      <c r="N211" s="63">
        <f>S211*SUMPRODUCT(($B$2=Таблица2[Филиал])*($B$3=Таблица2[ФЕР/ТЕР])*(F211=Таблица2[Наименование работ])*(G211=Таблица2[ТПиР/НСиР])*Таблица2[ПИР2013-10])</f>
        <v>0</v>
      </c>
      <c r="O211" s="63">
        <f>T211*SUMPRODUCT(($B$2=Таблица2[Филиал])*($B$3=Таблица2[ФЕР/ТЕР])*(F211=Таблица2[Наименование работ])*(G211=Таблица2[ТПиР/НСиР])*Таблица2[СМР2013-10])</f>
        <v>0</v>
      </c>
      <c r="P211" s="63">
        <f>U211*SUMPRODUCT(($B$2=Таблица2[Филиал])*($B$3=Таблица2[ФЕР/ТЕР])*(F211=Таблица2[Наименование работ])*(G211=Таблица2[ТПиР/НСиР])*Таблица2[ПНР2013-10])</f>
        <v>0</v>
      </c>
      <c r="Q211" s="63">
        <f>V211*SUMPRODUCT(($B$2=Таблица2[Филиал])*($B$3=Таблица2[ФЕР/ТЕР])*(F211=Таблица2[Наименование работ])*(G211=Таблица2[ТПиР/НСиР])*Таблица2[Оборудование2013-10])</f>
        <v>0</v>
      </c>
      <c r="R211" s="63">
        <f>W211*SUMPRODUCT(($B$2=Таблица2[Филиал])*($B$3=Таблица2[ФЕР/ТЕР])*(F211=Таблица2[Наименование работ])*(G211=Таблица2[ТПиР/НСиР])*Таблица2[Прочие2013-10])</f>
        <v>0</v>
      </c>
      <c r="S211" s="63">
        <f>IF($B$4="в базовых ценах",калькулятор!J216,X211*SUMPRODUCT(($B$2=Таблица2[Филиал])*($B$3=Таблица2[ФЕР/ТЕР])*(F211=Таблица2[Наименование работ])*(G211=Таблица2[ТПиР/НСиР])/Таблица2[ПИР2013]))</f>
        <v>0</v>
      </c>
      <c r="T211" s="63">
        <f>IF($B$4="в базовых ценах",калькулятор!K216,Y211*SUMPRODUCT(($B$2=Таблица2[Филиал])*($B$3=Таблица2[ФЕР/ТЕР])*(F211=Таблица2[Наименование работ])*(G211=Таблица2[ТПиР/НСиР])/Таблица2[СМР2013]))</f>
        <v>0</v>
      </c>
      <c r="U211" s="63">
        <f>IF($B$4="в базовых ценах",калькулятор!L216,Z211*SUMPRODUCT(($B$2=Таблица2[Филиал])*($B$3=Таблица2[ФЕР/ТЕР])*(F211=Таблица2[Наименование работ])*(G211=Таблица2[ТПиР/НСиР])/Таблица2[ПНР2013]))</f>
        <v>0</v>
      </c>
      <c r="V211" s="63">
        <f>IF($B$4="в базовых ценах",калькулятор!M216,AA211*SUMPRODUCT(($B$2=Таблица2[Филиал])*($B$3=Таблица2[ФЕР/ТЕР])*(F211=Таблица2[Наименование работ])*(G211=Таблица2[ТПиР/НСиР])/Таблица2[Оборудование2013]))</f>
        <v>0</v>
      </c>
      <c r="W211" s="63">
        <f>IF($B$4="в базовых ценах",калькулятор!N216,AB211*SUMPRODUCT(($B$2=Таблица2[Филиал])*($B$3=Таблица2[ФЕР/ТЕР])*(F211=Таблица2[Наименование работ])*(G211=Таблица2[ТПиР/НСиР])/Таблица2[Прочие3]))</f>
        <v>0</v>
      </c>
      <c r="X211" s="63">
        <f>IF($B$4="в текущих ценах",калькулятор!J216,S211*SUMPRODUCT(($B$2=Таблица2[Филиал])*($B$3=Таблица2[ФЕР/ТЕР])*(F211=Таблица2[Наименование работ])*(G211=Таблица2[ТПиР/НСиР])*Таблица2[ПИР2013]))</f>
        <v>0</v>
      </c>
      <c r="Y211" s="63">
        <f>IF($B$4="в текущих ценах",калькулятор!K216,T211*SUMPRODUCT(($B$2=Таблица2[Филиал])*($B$3=Таблица2[ФЕР/ТЕР])*(F211=Таблица2[Наименование работ])*(G211=Таблица2[ТПиР/НСиР])*Таблица2[СМР2013]))</f>
        <v>0</v>
      </c>
      <c r="Z211" s="63">
        <f>IF($B$4="в текущих ценах",калькулятор!L216,U211*SUMPRODUCT(($B$2=Таблица2[Филиал])*($B$3=Таблица2[ФЕР/ТЕР])*(F211=Таблица2[Наименование работ])*(G211=Таблица2[ТПиР/НСиР])*Таблица2[ПНР2013]))</f>
        <v>0</v>
      </c>
      <c r="AA211" s="63">
        <f>IF($B$4="в текущих ценах",калькулятор!M216,V211*SUMPRODUCT(($B$2=Таблица2[Филиал])*($B$3=Таблица2[ФЕР/ТЕР])*(F211=Таблица2[Наименование работ])*(G211=Таблица2[ТПиР/НСиР])*Таблица2[Оборудование2013]))</f>
        <v>0</v>
      </c>
      <c r="AB211" s="63">
        <f>IF($B$4="в текущих ценах",калькулятор!N216,W211*SUMPRODUCT(($B$2=Таблица2[Филиал])*($B$3=Таблица2[ФЕР/ТЕР])*(F211=Таблица2[Наименование работ])*(G211=Таблица2[ТПиР/НСиР])*Таблица2[Прочие3]))</f>
        <v>0</v>
      </c>
      <c r="AC211" s="63">
        <f>SUM(данные!$I211:$M211)</f>
        <v>0</v>
      </c>
      <c r="AD211" s="63">
        <f>IF(SUM(данные!$N211:$R211)&gt;данные!$AF211,данные!$AF211*0.9*1.058,SUM(данные!$N211:$R211))</f>
        <v>0</v>
      </c>
      <c r="AE211" s="63">
        <f>SUM(данные!$S211:$W211)</f>
        <v>0</v>
      </c>
      <c r="AF211" s="63">
        <f>SUM(данные!$X211:$AB211)</f>
        <v>0</v>
      </c>
      <c r="AG211" s="63">
        <f>IF($B$4="в текущих ценах",S211*SUMPRODUCT(($B$2=Таблица2[Филиал])*($B$3=Таблица2[ФЕР/ТЕР])*(F211=Таблица2[Наименование работ])*(G211=Таблица2[ТПиР/НСиР])*Таблица2[ПИР2012]),S211*SUMPRODUCT(($B$2=Таблица2[Филиал])*($B$3=Таблица2[ФЕР/ТЕР])*(F211=Таблица2[Наименование работ])*(G211=Таблица2[ТПиР/НСиР])*Таблица2[ПИР2012]))</f>
        <v>0</v>
      </c>
      <c r="AH211" s="63">
        <f>IF($B$4="в текущих ценах",T211*SUMPRODUCT(($B$2=Таблица2[Филиал])*($B$3=Таблица2[ФЕР/ТЕР])*(F211=Таблица2[Наименование работ])*(G211=Таблица2[ТПиР/НСиР])*Таблица2[СМР2012]),T211*SUMPRODUCT(($B$2=Таблица2[Филиал])*($B$3=Таблица2[ФЕР/ТЕР])*(F211=Таблица2[Наименование работ])*(G211=Таблица2[ТПиР/НСиР])*Таблица2[СМР2012]))</f>
        <v>0</v>
      </c>
      <c r="AI211" s="63">
        <f>IF($B$4="в текущих ценах",U211*SUMPRODUCT(($B$2=Таблица2[Филиал])*($B$3=Таблица2[ФЕР/ТЕР])*(F211=Таблица2[Наименование работ])*(G211=Таблица2[ТПиР/НСиР])*Таблица2[ПНР2012]),U211*SUMPRODUCT(($B$2=Таблица2[Филиал])*($B$3=Таблица2[ФЕР/ТЕР])*(F211=Таблица2[Наименование работ])*(G211=Таблица2[ТПиР/НСиР])*Таблица2[ПНР2012]))</f>
        <v>0</v>
      </c>
      <c r="AJ211" s="63">
        <f>IF($B$4="в текущих ценах",V211*SUMPRODUCT(($B$2=Таблица2[Филиал])*($B$3=Таблица2[ФЕР/ТЕР])*(F211=Таблица2[Наименование работ])*(G211=Таблица2[ТПиР/НСиР])*Таблица2[Оборудование2012]),V211*SUMPRODUCT(($B$2=Таблица2[Филиал])*($B$3=Таблица2[ФЕР/ТЕР])*(F211=Таблица2[Наименование работ])*(G211=Таблица2[ТПиР/НСиР])*Таблица2[Оборудование2012]))</f>
        <v>0</v>
      </c>
      <c r="AK211" s="63">
        <f>IF($B$4="в текущих ценах",W211*SUMPRODUCT(($B$2=Таблица2[Филиал])*($B$3=Таблица2[ФЕР/ТЕР])*(F211=Таблица2[Наименование работ])*(G211=Таблица2[ТПиР/НСиР])*Таблица2[Прочее2012]),W211*SUMPRODUCT(($B$2=Таблица2[Филиал])*($B$3=Таблица2[ФЕР/ТЕР])*(F211=Таблица2[Наименование работ])*(G211=Таблица2[ТПиР/НСиР])*Таблица2[Прочее2012]))</f>
        <v>0</v>
      </c>
      <c r="AL211" s="63">
        <f>данные!$X211+данные!$Y211+данные!$Z211+данные!$AA211+данные!$AB211</f>
        <v>0</v>
      </c>
      <c r="AM211" s="63">
        <v>1.03639035</v>
      </c>
      <c r="AN211" s="63">
        <v>1.0114049394</v>
      </c>
      <c r="AO211" s="63">
        <v>0.98210394336149998</v>
      </c>
      <c r="AP211" s="63">
        <v>0.93762413895893393</v>
      </c>
      <c r="AQ211" s="63"/>
      <c r="AR211" s="63"/>
      <c r="AS211" s="64"/>
      <c r="AU211" s="66">
        <f t="shared" si="18"/>
        <v>0</v>
      </c>
      <c r="AX211" s="66">
        <f t="shared" si="19"/>
        <v>0</v>
      </c>
      <c r="AY211" s="66">
        <f t="shared" si="20"/>
        <v>0</v>
      </c>
      <c r="AZ211" s="66">
        <f t="shared" si="21"/>
        <v>0</v>
      </c>
      <c r="BA211" s="66">
        <f t="shared" si="22"/>
        <v>0</v>
      </c>
      <c r="BB211" s="66">
        <f t="shared" si="23"/>
        <v>0</v>
      </c>
    </row>
    <row r="212" spans="4:54" x14ac:dyDescent="0.25">
      <c r="D212" s="62">
        <f>калькулятор!C217</f>
        <v>0</v>
      </c>
      <c r="E212" s="62">
        <f>калькулятор!F217</f>
        <v>0</v>
      </c>
      <c r="F212" s="62">
        <f>калькулятор!G217</f>
        <v>0</v>
      </c>
      <c r="G212" s="62">
        <f>калькулятор!H217</f>
        <v>0</v>
      </c>
      <c r="H212" s="62">
        <f>калькулятор!I217</f>
        <v>0</v>
      </c>
      <c r="I212" s="63">
        <f>S212*SUMPRODUCT(($B$2=Таблица2[Филиал])*($B$3=Таблица2[ФЕР/ТЕР])*(F212=Таблица2[Наименование работ])*(G212=Таблица2[ТПиР/НСиР])*Таблица2[ПИР2010])</f>
        <v>0</v>
      </c>
      <c r="J212" s="63">
        <f>T212*SUMPRODUCT(($B$2=Таблица2[Филиал])*($B$3=Таблица2[ФЕР/ТЕР])*(F212=Таблица2[Наименование работ])*(G212=Таблица2[ТПиР/НСиР])*Таблица2[СМР2010])</f>
        <v>0</v>
      </c>
      <c r="K212" s="63">
        <f>U212*SUMPRODUCT(($B$2=Таблица2[Филиал])*($B$3=Таблица2[ФЕР/ТЕР])*(F212=Таблица2[Наименование работ])*(G212=Таблица2[ТПиР/НСиР])*Таблица2[ПНР2010])</f>
        <v>0</v>
      </c>
      <c r="L212" s="63">
        <f>V212*SUMPRODUCT(($B$2=Таблица2[Филиал])*($B$3=Таблица2[ФЕР/ТЕР])*(F212=Таблица2[Наименование работ])*(G212=Таблица2[ТПиР/НСиР])*Таблица2[Оборудование2010])</f>
        <v>0</v>
      </c>
      <c r="M212" s="63">
        <f>W212*SUMPRODUCT(($B$2=Таблица2[Филиал])*($B$3=Таблица2[ФЕР/ТЕР])*(F212=Таблица2[Наименование работ])*(G212=Таблица2[ТПиР/НСиР])*Таблица2[Прочие2010])</f>
        <v>0</v>
      </c>
      <c r="N212" s="63">
        <f>S212*SUMPRODUCT(($B$2=Таблица2[Филиал])*($B$3=Таблица2[ФЕР/ТЕР])*(F212=Таблица2[Наименование работ])*(G212=Таблица2[ТПиР/НСиР])*Таблица2[ПИР2013-10])</f>
        <v>0</v>
      </c>
      <c r="O212" s="63">
        <f>T212*SUMPRODUCT(($B$2=Таблица2[Филиал])*($B$3=Таблица2[ФЕР/ТЕР])*(F212=Таблица2[Наименование работ])*(G212=Таблица2[ТПиР/НСиР])*Таблица2[СМР2013-10])</f>
        <v>0</v>
      </c>
      <c r="P212" s="63">
        <f>U212*SUMPRODUCT(($B$2=Таблица2[Филиал])*($B$3=Таблица2[ФЕР/ТЕР])*(F212=Таблица2[Наименование работ])*(G212=Таблица2[ТПиР/НСиР])*Таблица2[ПНР2013-10])</f>
        <v>0</v>
      </c>
      <c r="Q212" s="63">
        <f>V212*SUMPRODUCT(($B$2=Таблица2[Филиал])*($B$3=Таблица2[ФЕР/ТЕР])*(F212=Таблица2[Наименование работ])*(G212=Таблица2[ТПиР/НСиР])*Таблица2[Оборудование2013-10])</f>
        <v>0</v>
      </c>
      <c r="R212" s="63">
        <f>W212*SUMPRODUCT(($B$2=Таблица2[Филиал])*($B$3=Таблица2[ФЕР/ТЕР])*(F212=Таблица2[Наименование работ])*(G212=Таблица2[ТПиР/НСиР])*Таблица2[Прочие2013-10])</f>
        <v>0</v>
      </c>
      <c r="S212" s="63">
        <f>IF($B$4="в базовых ценах",калькулятор!J217,X212*SUMPRODUCT(($B$2=Таблица2[Филиал])*($B$3=Таблица2[ФЕР/ТЕР])*(F212=Таблица2[Наименование работ])*(G212=Таблица2[ТПиР/НСиР])/Таблица2[ПИР2013]))</f>
        <v>0</v>
      </c>
      <c r="T212" s="63">
        <f>IF($B$4="в базовых ценах",калькулятор!K217,Y212*SUMPRODUCT(($B$2=Таблица2[Филиал])*($B$3=Таблица2[ФЕР/ТЕР])*(F212=Таблица2[Наименование работ])*(G212=Таблица2[ТПиР/НСиР])/Таблица2[СМР2013]))</f>
        <v>0</v>
      </c>
      <c r="U212" s="63">
        <f>IF($B$4="в базовых ценах",калькулятор!L217,Z212*SUMPRODUCT(($B$2=Таблица2[Филиал])*($B$3=Таблица2[ФЕР/ТЕР])*(F212=Таблица2[Наименование работ])*(G212=Таблица2[ТПиР/НСиР])/Таблица2[ПНР2013]))</f>
        <v>0</v>
      </c>
      <c r="V212" s="63">
        <f>IF($B$4="в базовых ценах",калькулятор!M217,AA212*SUMPRODUCT(($B$2=Таблица2[Филиал])*($B$3=Таблица2[ФЕР/ТЕР])*(F212=Таблица2[Наименование работ])*(G212=Таблица2[ТПиР/НСиР])/Таблица2[Оборудование2013]))</f>
        <v>0</v>
      </c>
      <c r="W212" s="63">
        <f>IF($B$4="в базовых ценах",калькулятор!N217,AB212*SUMPRODUCT(($B$2=Таблица2[Филиал])*($B$3=Таблица2[ФЕР/ТЕР])*(F212=Таблица2[Наименование работ])*(G212=Таблица2[ТПиР/НСиР])/Таблица2[Прочие3]))</f>
        <v>0</v>
      </c>
      <c r="X212" s="63">
        <f>IF($B$4="в текущих ценах",калькулятор!J217,S212*SUMPRODUCT(($B$2=Таблица2[Филиал])*($B$3=Таблица2[ФЕР/ТЕР])*(F212=Таблица2[Наименование работ])*(G212=Таблица2[ТПиР/НСиР])*Таблица2[ПИР2013]))</f>
        <v>0</v>
      </c>
      <c r="Y212" s="63">
        <f>IF($B$4="в текущих ценах",калькулятор!K217,T212*SUMPRODUCT(($B$2=Таблица2[Филиал])*($B$3=Таблица2[ФЕР/ТЕР])*(F212=Таблица2[Наименование работ])*(G212=Таблица2[ТПиР/НСиР])*Таблица2[СМР2013]))</f>
        <v>0</v>
      </c>
      <c r="Z212" s="63">
        <f>IF($B$4="в текущих ценах",калькулятор!L217,U212*SUMPRODUCT(($B$2=Таблица2[Филиал])*($B$3=Таблица2[ФЕР/ТЕР])*(F212=Таблица2[Наименование работ])*(G212=Таблица2[ТПиР/НСиР])*Таблица2[ПНР2013]))</f>
        <v>0</v>
      </c>
      <c r="AA212" s="63">
        <f>IF($B$4="в текущих ценах",калькулятор!M217,V212*SUMPRODUCT(($B$2=Таблица2[Филиал])*($B$3=Таблица2[ФЕР/ТЕР])*(F212=Таблица2[Наименование работ])*(G212=Таблица2[ТПиР/НСиР])*Таблица2[Оборудование2013]))</f>
        <v>0</v>
      </c>
      <c r="AB212" s="63">
        <f>IF($B$4="в текущих ценах",калькулятор!N217,W212*SUMPRODUCT(($B$2=Таблица2[Филиал])*($B$3=Таблица2[ФЕР/ТЕР])*(F212=Таблица2[Наименование работ])*(G212=Таблица2[ТПиР/НСиР])*Таблица2[Прочие3]))</f>
        <v>0</v>
      </c>
      <c r="AC212" s="63">
        <f>SUM(данные!$I212:$M212)</f>
        <v>0</v>
      </c>
      <c r="AD212" s="63">
        <f>IF(SUM(данные!$N212:$R212)&gt;данные!$AF212,данные!$AF212*0.9*1.058,SUM(данные!$N212:$R212))</f>
        <v>0</v>
      </c>
      <c r="AE212" s="63">
        <f>SUM(данные!$S212:$W212)</f>
        <v>0</v>
      </c>
      <c r="AF212" s="63">
        <f>SUM(данные!$X212:$AB212)</f>
        <v>0</v>
      </c>
      <c r="AG212" s="63">
        <f>IF($B$4="в текущих ценах",S212*SUMPRODUCT(($B$2=Таблица2[Филиал])*($B$3=Таблица2[ФЕР/ТЕР])*(F212=Таблица2[Наименование работ])*(G212=Таблица2[ТПиР/НСиР])*Таблица2[ПИР2012]),S212*SUMPRODUCT(($B$2=Таблица2[Филиал])*($B$3=Таблица2[ФЕР/ТЕР])*(F212=Таблица2[Наименование работ])*(G212=Таблица2[ТПиР/НСиР])*Таблица2[ПИР2012]))</f>
        <v>0</v>
      </c>
      <c r="AH212" s="63">
        <f>IF($B$4="в текущих ценах",T212*SUMPRODUCT(($B$2=Таблица2[Филиал])*($B$3=Таблица2[ФЕР/ТЕР])*(F212=Таблица2[Наименование работ])*(G212=Таблица2[ТПиР/НСиР])*Таблица2[СМР2012]),T212*SUMPRODUCT(($B$2=Таблица2[Филиал])*($B$3=Таблица2[ФЕР/ТЕР])*(F212=Таблица2[Наименование работ])*(G212=Таблица2[ТПиР/НСиР])*Таблица2[СМР2012]))</f>
        <v>0</v>
      </c>
      <c r="AI212" s="63">
        <f>IF($B$4="в текущих ценах",U212*SUMPRODUCT(($B$2=Таблица2[Филиал])*($B$3=Таблица2[ФЕР/ТЕР])*(F212=Таблица2[Наименование работ])*(G212=Таблица2[ТПиР/НСиР])*Таблица2[ПНР2012]),U212*SUMPRODUCT(($B$2=Таблица2[Филиал])*($B$3=Таблица2[ФЕР/ТЕР])*(F212=Таблица2[Наименование работ])*(G212=Таблица2[ТПиР/НСиР])*Таблица2[ПНР2012]))</f>
        <v>0</v>
      </c>
      <c r="AJ212" s="63">
        <f>IF($B$4="в текущих ценах",V212*SUMPRODUCT(($B$2=Таблица2[Филиал])*($B$3=Таблица2[ФЕР/ТЕР])*(F212=Таблица2[Наименование работ])*(G212=Таблица2[ТПиР/НСиР])*Таблица2[Оборудование2012]),V212*SUMPRODUCT(($B$2=Таблица2[Филиал])*($B$3=Таблица2[ФЕР/ТЕР])*(F212=Таблица2[Наименование работ])*(G212=Таблица2[ТПиР/НСиР])*Таблица2[Оборудование2012]))</f>
        <v>0</v>
      </c>
      <c r="AK212" s="63">
        <f>IF($B$4="в текущих ценах",W212*SUMPRODUCT(($B$2=Таблица2[Филиал])*($B$3=Таблица2[ФЕР/ТЕР])*(F212=Таблица2[Наименование работ])*(G212=Таблица2[ТПиР/НСиР])*Таблица2[Прочее2012]),W212*SUMPRODUCT(($B$2=Таблица2[Филиал])*($B$3=Таблица2[ФЕР/ТЕР])*(F212=Таблица2[Наименование работ])*(G212=Таблица2[ТПиР/НСиР])*Таблица2[Прочее2012]))</f>
        <v>0</v>
      </c>
      <c r="AL212" s="63">
        <f>данные!$X212+данные!$Y212+данные!$Z212+данные!$AA212+данные!$AB212</f>
        <v>0</v>
      </c>
      <c r="AM212" s="63">
        <v>1.03639035</v>
      </c>
      <c r="AN212" s="63">
        <v>1.0114049394</v>
      </c>
      <c r="AO212" s="63">
        <v>0.98210394336149998</v>
      </c>
      <c r="AP212" s="63">
        <v>0.93762413895893393</v>
      </c>
      <c r="AQ212" s="63"/>
      <c r="AR212" s="63"/>
      <c r="AS212" s="64"/>
      <c r="AU212" s="66">
        <f t="shared" si="18"/>
        <v>0</v>
      </c>
      <c r="AX212" s="66">
        <f t="shared" si="19"/>
        <v>0</v>
      </c>
      <c r="AY212" s="66">
        <f t="shared" si="20"/>
        <v>0</v>
      </c>
      <c r="AZ212" s="66">
        <f t="shared" si="21"/>
        <v>0</v>
      </c>
      <c r="BA212" s="66">
        <f t="shared" si="22"/>
        <v>0</v>
      </c>
      <c r="BB212" s="66">
        <f t="shared" si="23"/>
        <v>0</v>
      </c>
    </row>
    <row r="213" spans="4:54" x14ac:dyDescent="0.25">
      <c r="D213" s="62">
        <f>калькулятор!C218</f>
        <v>0</v>
      </c>
      <c r="E213" s="62">
        <f>калькулятор!F218</f>
        <v>0</v>
      </c>
      <c r="F213" s="62">
        <f>калькулятор!G218</f>
        <v>0</v>
      </c>
      <c r="G213" s="62">
        <f>калькулятор!H218</f>
        <v>0</v>
      </c>
      <c r="H213" s="62">
        <f>калькулятор!I218</f>
        <v>0</v>
      </c>
      <c r="I213" s="63">
        <f>S213*SUMPRODUCT(($B$2=Таблица2[Филиал])*($B$3=Таблица2[ФЕР/ТЕР])*(F213=Таблица2[Наименование работ])*(G213=Таблица2[ТПиР/НСиР])*Таблица2[ПИР2010])</f>
        <v>0</v>
      </c>
      <c r="J213" s="63">
        <f>T213*SUMPRODUCT(($B$2=Таблица2[Филиал])*($B$3=Таблица2[ФЕР/ТЕР])*(F213=Таблица2[Наименование работ])*(G213=Таблица2[ТПиР/НСиР])*Таблица2[СМР2010])</f>
        <v>0</v>
      </c>
      <c r="K213" s="63">
        <f>U213*SUMPRODUCT(($B$2=Таблица2[Филиал])*($B$3=Таблица2[ФЕР/ТЕР])*(F213=Таблица2[Наименование работ])*(G213=Таблица2[ТПиР/НСиР])*Таблица2[ПНР2010])</f>
        <v>0</v>
      </c>
      <c r="L213" s="63">
        <f>V213*SUMPRODUCT(($B$2=Таблица2[Филиал])*($B$3=Таблица2[ФЕР/ТЕР])*(F213=Таблица2[Наименование работ])*(G213=Таблица2[ТПиР/НСиР])*Таблица2[Оборудование2010])</f>
        <v>0</v>
      </c>
      <c r="M213" s="63">
        <f>W213*SUMPRODUCT(($B$2=Таблица2[Филиал])*($B$3=Таблица2[ФЕР/ТЕР])*(F213=Таблица2[Наименование работ])*(G213=Таблица2[ТПиР/НСиР])*Таблица2[Прочие2010])</f>
        <v>0</v>
      </c>
      <c r="N213" s="63">
        <f>S213*SUMPRODUCT(($B$2=Таблица2[Филиал])*($B$3=Таблица2[ФЕР/ТЕР])*(F213=Таблица2[Наименование работ])*(G213=Таблица2[ТПиР/НСиР])*Таблица2[ПИР2013-10])</f>
        <v>0</v>
      </c>
      <c r="O213" s="63">
        <f>T213*SUMPRODUCT(($B$2=Таблица2[Филиал])*($B$3=Таблица2[ФЕР/ТЕР])*(F213=Таблица2[Наименование работ])*(G213=Таблица2[ТПиР/НСиР])*Таблица2[СМР2013-10])</f>
        <v>0</v>
      </c>
      <c r="P213" s="63">
        <f>U213*SUMPRODUCT(($B$2=Таблица2[Филиал])*($B$3=Таблица2[ФЕР/ТЕР])*(F213=Таблица2[Наименование работ])*(G213=Таблица2[ТПиР/НСиР])*Таблица2[ПНР2013-10])</f>
        <v>0</v>
      </c>
      <c r="Q213" s="63">
        <f>V213*SUMPRODUCT(($B$2=Таблица2[Филиал])*($B$3=Таблица2[ФЕР/ТЕР])*(F213=Таблица2[Наименование работ])*(G213=Таблица2[ТПиР/НСиР])*Таблица2[Оборудование2013-10])</f>
        <v>0</v>
      </c>
      <c r="R213" s="63">
        <f>W213*SUMPRODUCT(($B$2=Таблица2[Филиал])*($B$3=Таблица2[ФЕР/ТЕР])*(F213=Таблица2[Наименование работ])*(G213=Таблица2[ТПиР/НСиР])*Таблица2[Прочие2013-10])</f>
        <v>0</v>
      </c>
      <c r="S213" s="63">
        <f>IF($B$4="в базовых ценах",калькулятор!J218,X213*SUMPRODUCT(($B$2=Таблица2[Филиал])*($B$3=Таблица2[ФЕР/ТЕР])*(F213=Таблица2[Наименование работ])*(G213=Таблица2[ТПиР/НСиР])/Таблица2[ПИР2013]))</f>
        <v>0</v>
      </c>
      <c r="T213" s="63">
        <f>IF($B$4="в базовых ценах",калькулятор!K218,Y213*SUMPRODUCT(($B$2=Таблица2[Филиал])*($B$3=Таблица2[ФЕР/ТЕР])*(F213=Таблица2[Наименование работ])*(G213=Таблица2[ТПиР/НСиР])/Таблица2[СМР2013]))</f>
        <v>0</v>
      </c>
      <c r="U213" s="63">
        <f>IF($B$4="в базовых ценах",калькулятор!L218,Z213*SUMPRODUCT(($B$2=Таблица2[Филиал])*($B$3=Таблица2[ФЕР/ТЕР])*(F213=Таблица2[Наименование работ])*(G213=Таблица2[ТПиР/НСиР])/Таблица2[ПНР2013]))</f>
        <v>0</v>
      </c>
      <c r="V213" s="63">
        <f>IF($B$4="в базовых ценах",калькулятор!M218,AA213*SUMPRODUCT(($B$2=Таблица2[Филиал])*($B$3=Таблица2[ФЕР/ТЕР])*(F213=Таблица2[Наименование работ])*(G213=Таблица2[ТПиР/НСиР])/Таблица2[Оборудование2013]))</f>
        <v>0</v>
      </c>
      <c r="W213" s="63">
        <f>IF($B$4="в базовых ценах",калькулятор!N218,AB213*SUMPRODUCT(($B$2=Таблица2[Филиал])*($B$3=Таблица2[ФЕР/ТЕР])*(F213=Таблица2[Наименование работ])*(G213=Таблица2[ТПиР/НСиР])/Таблица2[Прочие3]))</f>
        <v>0</v>
      </c>
      <c r="X213" s="63">
        <f>IF($B$4="в текущих ценах",калькулятор!J218,S213*SUMPRODUCT(($B$2=Таблица2[Филиал])*($B$3=Таблица2[ФЕР/ТЕР])*(F213=Таблица2[Наименование работ])*(G213=Таблица2[ТПиР/НСиР])*Таблица2[ПИР2013]))</f>
        <v>0</v>
      </c>
      <c r="Y213" s="63">
        <f>IF($B$4="в текущих ценах",калькулятор!K218,T213*SUMPRODUCT(($B$2=Таблица2[Филиал])*($B$3=Таблица2[ФЕР/ТЕР])*(F213=Таблица2[Наименование работ])*(G213=Таблица2[ТПиР/НСиР])*Таблица2[СМР2013]))</f>
        <v>0</v>
      </c>
      <c r="Z213" s="63">
        <f>IF($B$4="в текущих ценах",калькулятор!L218,U213*SUMPRODUCT(($B$2=Таблица2[Филиал])*($B$3=Таблица2[ФЕР/ТЕР])*(F213=Таблица2[Наименование работ])*(G213=Таблица2[ТПиР/НСиР])*Таблица2[ПНР2013]))</f>
        <v>0</v>
      </c>
      <c r="AA213" s="63">
        <f>IF($B$4="в текущих ценах",калькулятор!M218,V213*SUMPRODUCT(($B$2=Таблица2[Филиал])*($B$3=Таблица2[ФЕР/ТЕР])*(F213=Таблица2[Наименование работ])*(G213=Таблица2[ТПиР/НСиР])*Таблица2[Оборудование2013]))</f>
        <v>0</v>
      </c>
      <c r="AB213" s="63">
        <f>IF($B$4="в текущих ценах",калькулятор!N218,W213*SUMPRODUCT(($B$2=Таблица2[Филиал])*($B$3=Таблица2[ФЕР/ТЕР])*(F213=Таблица2[Наименование работ])*(G213=Таблица2[ТПиР/НСиР])*Таблица2[Прочие3]))</f>
        <v>0</v>
      </c>
      <c r="AC213" s="63">
        <f>SUM(данные!$I213:$M213)</f>
        <v>0</v>
      </c>
      <c r="AD213" s="63">
        <f>IF(SUM(данные!$N213:$R213)&gt;данные!$AF213,данные!$AF213*0.9*1.058,SUM(данные!$N213:$R213))</f>
        <v>0</v>
      </c>
      <c r="AE213" s="63">
        <f>SUM(данные!$S213:$W213)</f>
        <v>0</v>
      </c>
      <c r="AF213" s="63">
        <f>SUM(данные!$X213:$AB213)</f>
        <v>0</v>
      </c>
      <c r="AG213" s="63">
        <f>IF($B$4="в текущих ценах",S213*SUMPRODUCT(($B$2=Таблица2[Филиал])*($B$3=Таблица2[ФЕР/ТЕР])*(F213=Таблица2[Наименование работ])*(G213=Таблица2[ТПиР/НСиР])*Таблица2[ПИР2012]),S213*SUMPRODUCT(($B$2=Таблица2[Филиал])*($B$3=Таблица2[ФЕР/ТЕР])*(F213=Таблица2[Наименование работ])*(G213=Таблица2[ТПиР/НСиР])*Таблица2[ПИР2012]))</f>
        <v>0</v>
      </c>
      <c r="AH213" s="63">
        <f>IF($B$4="в текущих ценах",T213*SUMPRODUCT(($B$2=Таблица2[Филиал])*($B$3=Таблица2[ФЕР/ТЕР])*(F213=Таблица2[Наименование работ])*(G213=Таблица2[ТПиР/НСиР])*Таблица2[СМР2012]),T213*SUMPRODUCT(($B$2=Таблица2[Филиал])*($B$3=Таблица2[ФЕР/ТЕР])*(F213=Таблица2[Наименование работ])*(G213=Таблица2[ТПиР/НСиР])*Таблица2[СМР2012]))</f>
        <v>0</v>
      </c>
      <c r="AI213" s="63">
        <f>IF($B$4="в текущих ценах",U213*SUMPRODUCT(($B$2=Таблица2[Филиал])*($B$3=Таблица2[ФЕР/ТЕР])*(F213=Таблица2[Наименование работ])*(G213=Таблица2[ТПиР/НСиР])*Таблица2[ПНР2012]),U213*SUMPRODUCT(($B$2=Таблица2[Филиал])*($B$3=Таблица2[ФЕР/ТЕР])*(F213=Таблица2[Наименование работ])*(G213=Таблица2[ТПиР/НСиР])*Таблица2[ПНР2012]))</f>
        <v>0</v>
      </c>
      <c r="AJ213" s="63">
        <f>IF($B$4="в текущих ценах",V213*SUMPRODUCT(($B$2=Таблица2[Филиал])*($B$3=Таблица2[ФЕР/ТЕР])*(F213=Таблица2[Наименование работ])*(G213=Таблица2[ТПиР/НСиР])*Таблица2[Оборудование2012]),V213*SUMPRODUCT(($B$2=Таблица2[Филиал])*($B$3=Таблица2[ФЕР/ТЕР])*(F213=Таблица2[Наименование работ])*(G213=Таблица2[ТПиР/НСиР])*Таблица2[Оборудование2012]))</f>
        <v>0</v>
      </c>
      <c r="AK213" s="63">
        <f>IF($B$4="в текущих ценах",W213*SUMPRODUCT(($B$2=Таблица2[Филиал])*($B$3=Таблица2[ФЕР/ТЕР])*(F213=Таблица2[Наименование работ])*(G213=Таблица2[ТПиР/НСиР])*Таблица2[Прочее2012]),W213*SUMPRODUCT(($B$2=Таблица2[Филиал])*($B$3=Таблица2[ФЕР/ТЕР])*(F213=Таблица2[Наименование работ])*(G213=Таблица2[ТПиР/НСиР])*Таблица2[Прочее2012]))</f>
        <v>0</v>
      </c>
      <c r="AL213" s="63">
        <f>данные!$X213+данные!$Y213+данные!$Z213+данные!$AA213+данные!$AB213</f>
        <v>0</v>
      </c>
      <c r="AM213" s="63">
        <v>1.03639035</v>
      </c>
      <c r="AN213" s="63">
        <v>1.0114049394</v>
      </c>
      <c r="AO213" s="63">
        <v>0.98210394336149998</v>
      </c>
      <c r="AP213" s="63">
        <v>0.93762413895893393</v>
      </c>
      <c r="AQ213" s="63"/>
      <c r="AR213" s="63"/>
      <c r="AS213" s="64"/>
      <c r="AU213" s="66">
        <f t="shared" si="18"/>
        <v>0</v>
      </c>
      <c r="AX213" s="66">
        <f t="shared" si="19"/>
        <v>0</v>
      </c>
      <c r="AY213" s="66">
        <f t="shared" si="20"/>
        <v>0</v>
      </c>
      <c r="AZ213" s="66">
        <f t="shared" si="21"/>
        <v>0</v>
      </c>
      <c r="BA213" s="66">
        <f t="shared" si="22"/>
        <v>0</v>
      </c>
      <c r="BB213" s="66">
        <f t="shared" si="23"/>
        <v>0</v>
      </c>
    </row>
    <row r="214" spans="4:54" x14ac:dyDescent="0.25">
      <c r="D214" s="62">
        <f>калькулятор!C219</f>
        <v>0</v>
      </c>
      <c r="E214" s="62">
        <f>калькулятор!F219</f>
        <v>0</v>
      </c>
      <c r="F214" s="62">
        <f>калькулятор!G219</f>
        <v>0</v>
      </c>
      <c r="G214" s="62">
        <f>калькулятор!H219</f>
        <v>0</v>
      </c>
      <c r="H214" s="62">
        <f>калькулятор!I219</f>
        <v>0</v>
      </c>
      <c r="I214" s="63">
        <f>S214*SUMPRODUCT(($B$2=Таблица2[Филиал])*($B$3=Таблица2[ФЕР/ТЕР])*(F214=Таблица2[Наименование работ])*(G214=Таблица2[ТПиР/НСиР])*Таблица2[ПИР2010])</f>
        <v>0</v>
      </c>
      <c r="J214" s="63">
        <f>T214*SUMPRODUCT(($B$2=Таблица2[Филиал])*($B$3=Таблица2[ФЕР/ТЕР])*(F214=Таблица2[Наименование работ])*(G214=Таблица2[ТПиР/НСиР])*Таблица2[СМР2010])</f>
        <v>0</v>
      </c>
      <c r="K214" s="63">
        <f>U214*SUMPRODUCT(($B$2=Таблица2[Филиал])*($B$3=Таблица2[ФЕР/ТЕР])*(F214=Таблица2[Наименование работ])*(G214=Таблица2[ТПиР/НСиР])*Таблица2[ПНР2010])</f>
        <v>0</v>
      </c>
      <c r="L214" s="63">
        <f>V214*SUMPRODUCT(($B$2=Таблица2[Филиал])*($B$3=Таблица2[ФЕР/ТЕР])*(F214=Таблица2[Наименование работ])*(G214=Таблица2[ТПиР/НСиР])*Таблица2[Оборудование2010])</f>
        <v>0</v>
      </c>
      <c r="M214" s="63">
        <f>W214*SUMPRODUCT(($B$2=Таблица2[Филиал])*($B$3=Таблица2[ФЕР/ТЕР])*(F214=Таблица2[Наименование работ])*(G214=Таблица2[ТПиР/НСиР])*Таблица2[Прочие2010])</f>
        <v>0</v>
      </c>
      <c r="N214" s="63">
        <f>S214*SUMPRODUCT(($B$2=Таблица2[Филиал])*($B$3=Таблица2[ФЕР/ТЕР])*(F214=Таблица2[Наименование работ])*(G214=Таблица2[ТПиР/НСиР])*Таблица2[ПИР2013-10])</f>
        <v>0</v>
      </c>
      <c r="O214" s="63">
        <f>T214*SUMPRODUCT(($B$2=Таблица2[Филиал])*($B$3=Таблица2[ФЕР/ТЕР])*(F214=Таблица2[Наименование работ])*(G214=Таблица2[ТПиР/НСиР])*Таблица2[СМР2013-10])</f>
        <v>0</v>
      </c>
      <c r="P214" s="63">
        <f>U214*SUMPRODUCT(($B$2=Таблица2[Филиал])*($B$3=Таблица2[ФЕР/ТЕР])*(F214=Таблица2[Наименование работ])*(G214=Таблица2[ТПиР/НСиР])*Таблица2[ПНР2013-10])</f>
        <v>0</v>
      </c>
      <c r="Q214" s="63">
        <f>V214*SUMPRODUCT(($B$2=Таблица2[Филиал])*($B$3=Таблица2[ФЕР/ТЕР])*(F214=Таблица2[Наименование работ])*(G214=Таблица2[ТПиР/НСиР])*Таблица2[Оборудование2013-10])</f>
        <v>0</v>
      </c>
      <c r="R214" s="63">
        <f>W214*SUMPRODUCT(($B$2=Таблица2[Филиал])*($B$3=Таблица2[ФЕР/ТЕР])*(F214=Таблица2[Наименование работ])*(G214=Таблица2[ТПиР/НСиР])*Таблица2[Прочие2013-10])</f>
        <v>0</v>
      </c>
      <c r="S214" s="63">
        <f>IF($B$4="в базовых ценах",калькулятор!J219,X214*SUMPRODUCT(($B$2=Таблица2[Филиал])*($B$3=Таблица2[ФЕР/ТЕР])*(F214=Таблица2[Наименование работ])*(G214=Таблица2[ТПиР/НСиР])/Таблица2[ПИР2013]))</f>
        <v>0</v>
      </c>
      <c r="T214" s="63">
        <f>IF($B$4="в базовых ценах",калькулятор!K219,Y214*SUMPRODUCT(($B$2=Таблица2[Филиал])*($B$3=Таблица2[ФЕР/ТЕР])*(F214=Таблица2[Наименование работ])*(G214=Таблица2[ТПиР/НСиР])/Таблица2[СМР2013]))</f>
        <v>0</v>
      </c>
      <c r="U214" s="63">
        <f>IF($B$4="в базовых ценах",калькулятор!L219,Z214*SUMPRODUCT(($B$2=Таблица2[Филиал])*($B$3=Таблица2[ФЕР/ТЕР])*(F214=Таблица2[Наименование работ])*(G214=Таблица2[ТПиР/НСиР])/Таблица2[ПНР2013]))</f>
        <v>0</v>
      </c>
      <c r="V214" s="63">
        <f>IF($B$4="в базовых ценах",калькулятор!M219,AA214*SUMPRODUCT(($B$2=Таблица2[Филиал])*($B$3=Таблица2[ФЕР/ТЕР])*(F214=Таблица2[Наименование работ])*(G214=Таблица2[ТПиР/НСиР])/Таблица2[Оборудование2013]))</f>
        <v>0</v>
      </c>
      <c r="W214" s="63">
        <f>IF($B$4="в базовых ценах",калькулятор!N219,AB214*SUMPRODUCT(($B$2=Таблица2[Филиал])*($B$3=Таблица2[ФЕР/ТЕР])*(F214=Таблица2[Наименование работ])*(G214=Таблица2[ТПиР/НСиР])/Таблица2[Прочие3]))</f>
        <v>0</v>
      </c>
      <c r="X214" s="63">
        <f>IF($B$4="в текущих ценах",калькулятор!J219,S214*SUMPRODUCT(($B$2=Таблица2[Филиал])*($B$3=Таблица2[ФЕР/ТЕР])*(F214=Таблица2[Наименование работ])*(G214=Таблица2[ТПиР/НСиР])*Таблица2[ПИР2013]))</f>
        <v>0</v>
      </c>
      <c r="Y214" s="63">
        <f>IF($B$4="в текущих ценах",калькулятор!K219,T214*SUMPRODUCT(($B$2=Таблица2[Филиал])*($B$3=Таблица2[ФЕР/ТЕР])*(F214=Таблица2[Наименование работ])*(G214=Таблица2[ТПиР/НСиР])*Таблица2[СМР2013]))</f>
        <v>0</v>
      </c>
      <c r="Z214" s="63">
        <f>IF($B$4="в текущих ценах",калькулятор!L219,U214*SUMPRODUCT(($B$2=Таблица2[Филиал])*($B$3=Таблица2[ФЕР/ТЕР])*(F214=Таблица2[Наименование работ])*(G214=Таблица2[ТПиР/НСиР])*Таблица2[ПНР2013]))</f>
        <v>0</v>
      </c>
      <c r="AA214" s="63">
        <f>IF($B$4="в текущих ценах",калькулятор!M219,V214*SUMPRODUCT(($B$2=Таблица2[Филиал])*($B$3=Таблица2[ФЕР/ТЕР])*(F214=Таблица2[Наименование работ])*(G214=Таблица2[ТПиР/НСиР])*Таблица2[Оборудование2013]))</f>
        <v>0</v>
      </c>
      <c r="AB214" s="63">
        <f>IF($B$4="в текущих ценах",калькулятор!N219,W214*SUMPRODUCT(($B$2=Таблица2[Филиал])*($B$3=Таблица2[ФЕР/ТЕР])*(F214=Таблица2[Наименование работ])*(G214=Таблица2[ТПиР/НСиР])*Таблица2[Прочие3]))</f>
        <v>0</v>
      </c>
      <c r="AC214" s="63">
        <f>SUM(данные!$I214:$M214)</f>
        <v>0</v>
      </c>
      <c r="AD214" s="63">
        <f>IF(SUM(данные!$N214:$R214)&gt;данные!$AF214,данные!$AF214*0.9*1.058,SUM(данные!$N214:$R214))</f>
        <v>0</v>
      </c>
      <c r="AE214" s="63">
        <f>SUM(данные!$S214:$W214)</f>
        <v>0</v>
      </c>
      <c r="AF214" s="63">
        <f>SUM(данные!$X214:$AB214)</f>
        <v>0</v>
      </c>
      <c r="AG214" s="63">
        <f>IF($B$4="в текущих ценах",S214*SUMPRODUCT(($B$2=Таблица2[Филиал])*($B$3=Таблица2[ФЕР/ТЕР])*(F214=Таблица2[Наименование работ])*(G214=Таблица2[ТПиР/НСиР])*Таблица2[ПИР2012]),S214*SUMPRODUCT(($B$2=Таблица2[Филиал])*($B$3=Таблица2[ФЕР/ТЕР])*(F214=Таблица2[Наименование работ])*(G214=Таблица2[ТПиР/НСиР])*Таблица2[ПИР2012]))</f>
        <v>0</v>
      </c>
      <c r="AH214" s="63">
        <f>IF($B$4="в текущих ценах",T214*SUMPRODUCT(($B$2=Таблица2[Филиал])*($B$3=Таблица2[ФЕР/ТЕР])*(F214=Таблица2[Наименование работ])*(G214=Таблица2[ТПиР/НСиР])*Таблица2[СМР2012]),T214*SUMPRODUCT(($B$2=Таблица2[Филиал])*($B$3=Таблица2[ФЕР/ТЕР])*(F214=Таблица2[Наименование работ])*(G214=Таблица2[ТПиР/НСиР])*Таблица2[СМР2012]))</f>
        <v>0</v>
      </c>
      <c r="AI214" s="63">
        <f>IF($B$4="в текущих ценах",U214*SUMPRODUCT(($B$2=Таблица2[Филиал])*($B$3=Таблица2[ФЕР/ТЕР])*(F214=Таблица2[Наименование работ])*(G214=Таблица2[ТПиР/НСиР])*Таблица2[ПНР2012]),U214*SUMPRODUCT(($B$2=Таблица2[Филиал])*($B$3=Таблица2[ФЕР/ТЕР])*(F214=Таблица2[Наименование работ])*(G214=Таблица2[ТПиР/НСиР])*Таблица2[ПНР2012]))</f>
        <v>0</v>
      </c>
      <c r="AJ214" s="63">
        <f>IF($B$4="в текущих ценах",V214*SUMPRODUCT(($B$2=Таблица2[Филиал])*($B$3=Таблица2[ФЕР/ТЕР])*(F214=Таблица2[Наименование работ])*(G214=Таблица2[ТПиР/НСиР])*Таблица2[Оборудование2012]),V214*SUMPRODUCT(($B$2=Таблица2[Филиал])*($B$3=Таблица2[ФЕР/ТЕР])*(F214=Таблица2[Наименование работ])*(G214=Таблица2[ТПиР/НСиР])*Таблица2[Оборудование2012]))</f>
        <v>0</v>
      </c>
      <c r="AK214" s="63">
        <f>IF($B$4="в текущих ценах",W214*SUMPRODUCT(($B$2=Таблица2[Филиал])*($B$3=Таблица2[ФЕР/ТЕР])*(F214=Таблица2[Наименование работ])*(G214=Таблица2[ТПиР/НСиР])*Таблица2[Прочее2012]),W214*SUMPRODUCT(($B$2=Таблица2[Филиал])*($B$3=Таблица2[ФЕР/ТЕР])*(F214=Таблица2[Наименование работ])*(G214=Таблица2[ТПиР/НСиР])*Таблица2[Прочее2012]))</f>
        <v>0</v>
      </c>
      <c r="AL214" s="63">
        <f>данные!$X214+данные!$Y214+данные!$Z214+данные!$AA214+данные!$AB214</f>
        <v>0</v>
      </c>
      <c r="AM214" s="63">
        <v>1.03639035</v>
      </c>
      <c r="AN214" s="63">
        <v>1.0114049394</v>
      </c>
      <c r="AO214" s="63">
        <v>0.98210394336149998</v>
      </c>
      <c r="AP214" s="63">
        <v>0.93762413895893393</v>
      </c>
      <c r="AQ214" s="63"/>
      <c r="AR214" s="63"/>
      <c r="AS214" s="64"/>
      <c r="AU214" s="66">
        <f t="shared" si="18"/>
        <v>0</v>
      </c>
      <c r="AX214" s="66">
        <f t="shared" si="19"/>
        <v>0</v>
      </c>
      <c r="AY214" s="66">
        <f t="shared" si="20"/>
        <v>0</v>
      </c>
      <c r="AZ214" s="66">
        <f t="shared" si="21"/>
        <v>0</v>
      </c>
      <c r="BA214" s="66">
        <f t="shared" si="22"/>
        <v>0</v>
      </c>
      <c r="BB214" s="66">
        <f t="shared" si="23"/>
        <v>0</v>
      </c>
    </row>
    <row r="215" spans="4:54" x14ac:dyDescent="0.25">
      <c r="D215" s="62">
        <f>калькулятор!C220</f>
        <v>0</v>
      </c>
      <c r="E215" s="62">
        <f>калькулятор!F220</f>
        <v>0</v>
      </c>
      <c r="F215" s="62">
        <f>калькулятор!G220</f>
        <v>0</v>
      </c>
      <c r="G215" s="62">
        <f>калькулятор!H220</f>
        <v>0</v>
      </c>
      <c r="H215" s="62">
        <f>калькулятор!I220</f>
        <v>0</v>
      </c>
      <c r="I215" s="63">
        <f>S215*SUMPRODUCT(($B$2=Таблица2[Филиал])*($B$3=Таблица2[ФЕР/ТЕР])*(F215=Таблица2[Наименование работ])*(G215=Таблица2[ТПиР/НСиР])*Таблица2[ПИР2010])</f>
        <v>0</v>
      </c>
      <c r="J215" s="63">
        <f>T215*SUMPRODUCT(($B$2=Таблица2[Филиал])*($B$3=Таблица2[ФЕР/ТЕР])*(F215=Таблица2[Наименование работ])*(G215=Таблица2[ТПиР/НСиР])*Таблица2[СМР2010])</f>
        <v>0</v>
      </c>
      <c r="K215" s="63">
        <f>U215*SUMPRODUCT(($B$2=Таблица2[Филиал])*($B$3=Таблица2[ФЕР/ТЕР])*(F215=Таблица2[Наименование работ])*(G215=Таблица2[ТПиР/НСиР])*Таблица2[ПНР2010])</f>
        <v>0</v>
      </c>
      <c r="L215" s="63">
        <f>V215*SUMPRODUCT(($B$2=Таблица2[Филиал])*($B$3=Таблица2[ФЕР/ТЕР])*(F215=Таблица2[Наименование работ])*(G215=Таблица2[ТПиР/НСиР])*Таблица2[Оборудование2010])</f>
        <v>0</v>
      </c>
      <c r="M215" s="63">
        <f>W215*SUMPRODUCT(($B$2=Таблица2[Филиал])*($B$3=Таблица2[ФЕР/ТЕР])*(F215=Таблица2[Наименование работ])*(G215=Таблица2[ТПиР/НСиР])*Таблица2[Прочие2010])</f>
        <v>0</v>
      </c>
      <c r="N215" s="63">
        <f>S215*SUMPRODUCT(($B$2=Таблица2[Филиал])*($B$3=Таблица2[ФЕР/ТЕР])*(F215=Таблица2[Наименование работ])*(G215=Таблица2[ТПиР/НСиР])*Таблица2[ПИР2013-10])</f>
        <v>0</v>
      </c>
      <c r="O215" s="63">
        <f>T215*SUMPRODUCT(($B$2=Таблица2[Филиал])*($B$3=Таблица2[ФЕР/ТЕР])*(F215=Таблица2[Наименование работ])*(G215=Таблица2[ТПиР/НСиР])*Таблица2[СМР2013-10])</f>
        <v>0</v>
      </c>
      <c r="P215" s="63">
        <f>U215*SUMPRODUCT(($B$2=Таблица2[Филиал])*($B$3=Таблица2[ФЕР/ТЕР])*(F215=Таблица2[Наименование работ])*(G215=Таблица2[ТПиР/НСиР])*Таблица2[ПНР2013-10])</f>
        <v>0</v>
      </c>
      <c r="Q215" s="63">
        <f>V215*SUMPRODUCT(($B$2=Таблица2[Филиал])*($B$3=Таблица2[ФЕР/ТЕР])*(F215=Таблица2[Наименование работ])*(G215=Таблица2[ТПиР/НСиР])*Таблица2[Оборудование2013-10])</f>
        <v>0</v>
      </c>
      <c r="R215" s="63">
        <f>W215*SUMPRODUCT(($B$2=Таблица2[Филиал])*($B$3=Таблица2[ФЕР/ТЕР])*(F215=Таблица2[Наименование работ])*(G215=Таблица2[ТПиР/НСиР])*Таблица2[Прочие2013-10])</f>
        <v>0</v>
      </c>
      <c r="S215" s="63">
        <f>IF($B$4="в базовых ценах",калькулятор!J220,X215*SUMPRODUCT(($B$2=Таблица2[Филиал])*($B$3=Таблица2[ФЕР/ТЕР])*(F215=Таблица2[Наименование работ])*(G215=Таблица2[ТПиР/НСиР])/Таблица2[ПИР2013]))</f>
        <v>0</v>
      </c>
      <c r="T215" s="63">
        <f>IF($B$4="в базовых ценах",калькулятор!K220,Y215*SUMPRODUCT(($B$2=Таблица2[Филиал])*($B$3=Таблица2[ФЕР/ТЕР])*(F215=Таблица2[Наименование работ])*(G215=Таблица2[ТПиР/НСиР])/Таблица2[СМР2013]))</f>
        <v>0</v>
      </c>
      <c r="U215" s="63">
        <f>IF($B$4="в базовых ценах",калькулятор!L220,Z215*SUMPRODUCT(($B$2=Таблица2[Филиал])*($B$3=Таблица2[ФЕР/ТЕР])*(F215=Таблица2[Наименование работ])*(G215=Таблица2[ТПиР/НСиР])/Таблица2[ПНР2013]))</f>
        <v>0</v>
      </c>
      <c r="V215" s="63">
        <f>IF($B$4="в базовых ценах",калькулятор!M220,AA215*SUMPRODUCT(($B$2=Таблица2[Филиал])*($B$3=Таблица2[ФЕР/ТЕР])*(F215=Таблица2[Наименование работ])*(G215=Таблица2[ТПиР/НСиР])/Таблица2[Оборудование2013]))</f>
        <v>0</v>
      </c>
      <c r="W215" s="63">
        <f>IF($B$4="в базовых ценах",калькулятор!N220,AB215*SUMPRODUCT(($B$2=Таблица2[Филиал])*($B$3=Таблица2[ФЕР/ТЕР])*(F215=Таблица2[Наименование работ])*(G215=Таблица2[ТПиР/НСиР])/Таблица2[Прочие3]))</f>
        <v>0</v>
      </c>
      <c r="X215" s="63">
        <f>IF($B$4="в текущих ценах",калькулятор!J220,S215*SUMPRODUCT(($B$2=Таблица2[Филиал])*($B$3=Таблица2[ФЕР/ТЕР])*(F215=Таблица2[Наименование работ])*(G215=Таблица2[ТПиР/НСиР])*Таблица2[ПИР2013]))</f>
        <v>0</v>
      </c>
      <c r="Y215" s="63">
        <f>IF($B$4="в текущих ценах",калькулятор!K220,T215*SUMPRODUCT(($B$2=Таблица2[Филиал])*($B$3=Таблица2[ФЕР/ТЕР])*(F215=Таблица2[Наименование работ])*(G215=Таблица2[ТПиР/НСиР])*Таблица2[СМР2013]))</f>
        <v>0</v>
      </c>
      <c r="Z215" s="63">
        <f>IF($B$4="в текущих ценах",калькулятор!L220,U215*SUMPRODUCT(($B$2=Таблица2[Филиал])*($B$3=Таблица2[ФЕР/ТЕР])*(F215=Таблица2[Наименование работ])*(G215=Таблица2[ТПиР/НСиР])*Таблица2[ПНР2013]))</f>
        <v>0</v>
      </c>
      <c r="AA215" s="63">
        <f>IF($B$4="в текущих ценах",калькулятор!M220,V215*SUMPRODUCT(($B$2=Таблица2[Филиал])*($B$3=Таблица2[ФЕР/ТЕР])*(F215=Таблица2[Наименование работ])*(G215=Таблица2[ТПиР/НСиР])*Таблица2[Оборудование2013]))</f>
        <v>0</v>
      </c>
      <c r="AB215" s="63">
        <f>IF($B$4="в текущих ценах",калькулятор!N220,W215*SUMPRODUCT(($B$2=Таблица2[Филиал])*($B$3=Таблица2[ФЕР/ТЕР])*(F215=Таблица2[Наименование работ])*(G215=Таблица2[ТПиР/НСиР])*Таблица2[Прочие3]))</f>
        <v>0</v>
      </c>
      <c r="AC215" s="63">
        <f>SUM(данные!$I215:$M215)</f>
        <v>0</v>
      </c>
      <c r="AD215" s="63">
        <f>IF(SUM(данные!$N215:$R215)&gt;данные!$AF215,данные!$AF215*0.9*1.058,SUM(данные!$N215:$R215))</f>
        <v>0</v>
      </c>
      <c r="AE215" s="63">
        <f>SUM(данные!$S215:$W215)</f>
        <v>0</v>
      </c>
      <c r="AF215" s="63">
        <f>SUM(данные!$X215:$AB215)</f>
        <v>0</v>
      </c>
      <c r="AG215" s="63">
        <f>IF($B$4="в текущих ценах",S215*SUMPRODUCT(($B$2=Таблица2[Филиал])*($B$3=Таблица2[ФЕР/ТЕР])*(F215=Таблица2[Наименование работ])*(G215=Таблица2[ТПиР/НСиР])*Таблица2[ПИР2012]),S215*SUMPRODUCT(($B$2=Таблица2[Филиал])*($B$3=Таблица2[ФЕР/ТЕР])*(F215=Таблица2[Наименование работ])*(G215=Таблица2[ТПиР/НСиР])*Таблица2[ПИР2012]))</f>
        <v>0</v>
      </c>
      <c r="AH215" s="63">
        <f>IF($B$4="в текущих ценах",T215*SUMPRODUCT(($B$2=Таблица2[Филиал])*($B$3=Таблица2[ФЕР/ТЕР])*(F215=Таблица2[Наименование работ])*(G215=Таблица2[ТПиР/НСиР])*Таблица2[СМР2012]),T215*SUMPRODUCT(($B$2=Таблица2[Филиал])*($B$3=Таблица2[ФЕР/ТЕР])*(F215=Таблица2[Наименование работ])*(G215=Таблица2[ТПиР/НСиР])*Таблица2[СМР2012]))</f>
        <v>0</v>
      </c>
      <c r="AI215" s="63">
        <f>IF($B$4="в текущих ценах",U215*SUMPRODUCT(($B$2=Таблица2[Филиал])*($B$3=Таблица2[ФЕР/ТЕР])*(F215=Таблица2[Наименование работ])*(G215=Таблица2[ТПиР/НСиР])*Таблица2[ПНР2012]),U215*SUMPRODUCT(($B$2=Таблица2[Филиал])*($B$3=Таблица2[ФЕР/ТЕР])*(F215=Таблица2[Наименование работ])*(G215=Таблица2[ТПиР/НСиР])*Таблица2[ПНР2012]))</f>
        <v>0</v>
      </c>
      <c r="AJ215" s="63">
        <f>IF($B$4="в текущих ценах",V215*SUMPRODUCT(($B$2=Таблица2[Филиал])*($B$3=Таблица2[ФЕР/ТЕР])*(F215=Таблица2[Наименование работ])*(G215=Таблица2[ТПиР/НСиР])*Таблица2[Оборудование2012]),V215*SUMPRODUCT(($B$2=Таблица2[Филиал])*($B$3=Таблица2[ФЕР/ТЕР])*(F215=Таблица2[Наименование работ])*(G215=Таблица2[ТПиР/НСиР])*Таблица2[Оборудование2012]))</f>
        <v>0</v>
      </c>
      <c r="AK215" s="63">
        <f>IF($B$4="в текущих ценах",W215*SUMPRODUCT(($B$2=Таблица2[Филиал])*($B$3=Таблица2[ФЕР/ТЕР])*(F215=Таблица2[Наименование работ])*(G215=Таблица2[ТПиР/НСиР])*Таблица2[Прочее2012]),W215*SUMPRODUCT(($B$2=Таблица2[Филиал])*($B$3=Таблица2[ФЕР/ТЕР])*(F215=Таблица2[Наименование работ])*(G215=Таблица2[ТПиР/НСиР])*Таблица2[Прочее2012]))</f>
        <v>0</v>
      </c>
      <c r="AL215" s="63">
        <f>данные!$X215+данные!$Y215+данные!$Z215+данные!$AA215+данные!$AB215</f>
        <v>0</v>
      </c>
      <c r="AM215" s="63">
        <v>1.03639035</v>
      </c>
      <c r="AN215" s="63">
        <v>1.0114049394</v>
      </c>
      <c r="AO215" s="63">
        <v>0.98210394336149998</v>
      </c>
      <c r="AP215" s="63">
        <v>0.93762413895893393</v>
      </c>
      <c r="AQ215" s="63"/>
      <c r="AR215" s="63"/>
      <c r="AS215" s="64"/>
      <c r="AU215" s="66">
        <f t="shared" si="18"/>
        <v>0</v>
      </c>
      <c r="AX215" s="66">
        <f t="shared" si="19"/>
        <v>0</v>
      </c>
      <c r="AY215" s="66">
        <f t="shared" si="20"/>
        <v>0</v>
      </c>
      <c r="AZ215" s="66">
        <f t="shared" si="21"/>
        <v>0</v>
      </c>
      <c r="BA215" s="66">
        <f t="shared" si="22"/>
        <v>0</v>
      </c>
      <c r="BB215" s="66">
        <f t="shared" si="23"/>
        <v>0</v>
      </c>
    </row>
    <row r="216" spans="4:54" x14ac:dyDescent="0.25">
      <c r="D216" s="65">
        <f>калькулятор!C221</f>
        <v>0</v>
      </c>
      <c r="E216" s="65">
        <f>калькулятор!F221</f>
        <v>0</v>
      </c>
      <c r="F216" s="65">
        <f>калькулятор!G221</f>
        <v>0</v>
      </c>
      <c r="G216" s="65">
        <f>калькулятор!H221</f>
        <v>0</v>
      </c>
      <c r="H216" s="65">
        <f>калькулятор!I221</f>
        <v>0</v>
      </c>
      <c r="I216" s="56">
        <f>S216*SUMPRODUCT(($B$2=Таблица2[Филиал])*($B$3=Таблица2[ФЕР/ТЕР])*(F216=Таблица2[Наименование работ])*(G216=Таблица2[ТПиР/НСиР])*Таблица2[ПИР2010])</f>
        <v>0</v>
      </c>
      <c r="J216" s="56">
        <f>T216*SUMPRODUCT(($B$2=Таблица2[Филиал])*($B$3=Таблица2[ФЕР/ТЕР])*(F216=Таблица2[Наименование работ])*(G216=Таблица2[ТПиР/НСиР])*Таблица2[СМР2010])</f>
        <v>0</v>
      </c>
      <c r="K216" s="56">
        <f>U216*SUMPRODUCT(($B$2=Таблица2[Филиал])*($B$3=Таблица2[ФЕР/ТЕР])*(F216=Таблица2[Наименование работ])*(G216=Таблица2[ТПиР/НСиР])*Таблица2[ПНР2010])</f>
        <v>0</v>
      </c>
      <c r="L216" s="56">
        <f>V216*SUMPRODUCT(($B$2=Таблица2[Филиал])*($B$3=Таблица2[ФЕР/ТЕР])*(F216=Таблица2[Наименование работ])*(G216=Таблица2[ТПиР/НСиР])*Таблица2[Оборудование2010])</f>
        <v>0</v>
      </c>
      <c r="M216" s="56">
        <f>W216*SUMPRODUCT(($B$2=Таблица2[Филиал])*($B$3=Таблица2[ФЕР/ТЕР])*(F216=Таблица2[Наименование работ])*(G216=Таблица2[ТПиР/НСиР])*Таблица2[Прочие2010])</f>
        <v>0</v>
      </c>
      <c r="N216" s="56">
        <f>S216*SUMPRODUCT(($B$2=Таблица2[Филиал])*($B$3=Таблица2[ФЕР/ТЕР])*(F216=Таблица2[Наименование работ])*(G216=Таблица2[ТПиР/НСиР])*Таблица2[ПИР2013-10])</f>
        <v>0</v>
      </c>
      <c r="O216" s="56">
        <f>T216*SUMPRODUCT(($B$2=Таблица2[Филиал])*($B$3=Таблица2[ФЕР/ТЕР])*(F216=Таблица2[Наименование работ])*(G216=Таблица2[ТПиР/НСиР])*Таблица2[СМР2013-10])</f>
        <v>0</v>
      </c>
      <c r="P216" s="56">
        <f>U216*SUMPRODUCT(($B$2=Таблица2[Филиал])*($B$3=Таблица2[ФЕР/ТЕР])*(F216=Таблица2[Наименование работ])*(G216=Таблица2[ТПиР/НСиР])*Таблица2[ПНР2013-10])</f>
        <v>0</v>
      </c>
      <c r="Q216" s="56">
        <f>V216*SUMPRODUCT(($B$2=Таблица2[Филиал])*($B$3=Таблица2[ФЕР/ТЕР])*(F216=Таблица2[Наименование работ])*(G216=Таблица2[ТПиР/НСиР])*Таблица2[Оборудование2013-10])</f>
        <v>0</v>
      </c>
      <c r="R216" s="56">
        <f>W216*SUMPRODUCT(($B$2=Таблица2[Филиал])*($B$3=Таблица2[ФЕР/ТЕР])*(F216=Таблица2[Наименование работ])*(G216=Таблица2[ТПиР/НСиР])*Таблица2[Прочие2013-10])</f>
        <v>0</v>
      </c>
      <c r="S216" s="56">
        <f>IF($B$4="в базовых ценах",калькулятор!J221,X216*SUMPRODUCT(($B$2=Таблица2[Филиал])*($B$3=Таблица2[ФЕР/ТЕР])*(F216=Таблица2[Наименование работ])*(G216=Таблица2[ТПиР/НСиР])/Таблица2[ПИР2013]))</f>
        <v>0</v>
      </c>
      <c r="T216" s="56">
        <f>IF($B$4="в базовых ценах",калькулятор!K221,Y216*SUMPRODUCT(($B$2=Таблица2[Филиал])*($B$3=Таблица2[ФЕР/ТЕР])*(F216=Таблица2[Наименование работ])*(G216=Таблица2[ТПиР/НСиР])/Таблица2[СМР2013]))</f>
        <v>0</v>
      </c>
      <c r="U216" s="56">
        <f>IF($B$4="в базовых ценах",калькулятор!L221,Z216*SUMPRODUCT(($B$2=Таблица2[Филиал])*($B$3=Таблица2[ФЕР/ТЕР])*(F216=Таблица2[Наименование работ])*(G216=Таблица2[ТПиР/НСиР])/Таблица2[ПНР2013]))</f>
        <v>0</v>
      </c>
      <c r="V216" s="56">
        <f>IF($B$4="в базовых ценах",калькулятор!M221,AA216*SUMPRODUCT(($B$2=Таблица2[Филиал])*($B$3=Таблица2[ФЕР/ТЕР])*(F216=Таблица2[Наименование работ])*(G216=Таблица2[ТПиР/НСиР])/Таблица2[Оборудование2013]))</f>
        <v>0</v>
      </c>
      <c r="W216" s="56">
        <f>IF($B$4="в базовых ценах",калькулятор!N221,AB216*SUMPRODUCT(($B$2=Таблица2[Филиал])*($B$3=Таблица2[ФЕР/ТЕР])*(F216=Таблица2[Наименование работ])*(G216=Таблица2[ТПиР/НСиР])/Таблица2[Прочие3]))</f>
        <v>0</v>
      </c>
      <c r="X216" s="63">
        <f>IF($B$4="в текущих ценах",калькулятор!J221,S216*SUMPRODUCT(($B$2=Таблица2[Филиал])*($B$3=Таблица2[ФЕР/ТЕР])*(F216=Таблица2[Наименование работ])*(G216=Таблица2[ТПиР/НСиР])*Таблица2[ПИР2013]))</f>
        <v>0</v>
      </c>
      <c r="Y216" s="63">
        <f>IF($B$4="в текущих ценах",калькулятор!K221,T216*SUMPRODUCT(($B$2=Таблица2[Филиал])*($B$3=Таблица2[ФЕР/ТЕР])*(F216=Таблица2[Наименование работ])*(G216=Таблица2[ТПиР/НСиР])*Таблица2[СМР2013]))</f>
        <v>0</v>
      </c>
      <c r="Z216" s="63">
        <f>IF($B$4="в текущих ценах",калькулятор!L221,U216*SUMPRODUCT(($B$2=Таблица2[Филиал])*($B$3=Таблица2[ФЕР/ТЕР])*(F216=Таблица2[Наименование работ])*(G216=Таблица2[ТПиР/НСиР])*Таблица2[ПНР2013]))</f>
        <v>0</v>
      </c>
      <c r="AA216" s="63">
        <f>IF($B$4="в текущих ценах",калькулятор!M221,V216*SUMPRODUCT(($B$2=Таблица2[Филиал])*($B$3=Таблица2[ФЕР/ТЕР])*(F216=Таблица2[Наименование работ])*(G216=Таблица2[ТПиР/НСиР])*Таблица2[Оборудование2013]))</f>
        <v>0</v>
      </c>
      <c r="AB216" s="63">
        <f>IF($B$4="в текущих ценах",калькулятор!N221,W216*SUMPRODUCT(($B$2=Таблица2[Филиал])*($B$3=Таблица2[ФЕР/ТЕР])*(F216=Таблица2[Наименование работ])*(G216=Таблица2[ТПиР/НСиР])*Таблица2[Прочие3]))</f>
        <v>0</v>
      </c>
      <c r="AC216" s="56">
        <f>SUM(данные!$I216:$M216)</f>
        <v>0</v>
      </c>
      <c r="AD216" s="63">
        <f>IF(SUM(данные!$N216:$R216)&gt;данные!$AF216,данные!$AF216*0.9*1.058,SUM(данные!$N216:$R216))</f>
        <v>0</v>
      </c>
      <c r="AE216" s="56">
        <f>SUM(данные!$S216:$W216)</f>
        <v>0</v>
      </c>
      <c r="AF216" s="56">
        <f>SUM(данные!$X216:$AB216)</f>
        <v>0</v>
      </c>
      <c r="AG216" s="63">
        <f>IF($B$4="в текущих ценах",S216*SUMPRODUCT(($B$2=Таблица2[Филиал])*($B$3=Таблица2[ФЕР/ТЕР])*(F216=Таблица2[Наименование работ])*(G216=Таблица2[ТПиР/НСиР])*Таблица2[ПИР2012]),S216*SUMPRODUCT(($B$2=Таблица2[Филиал])*($B$3=Таблица2[ФЕР/ТЕР])*(F216=Таблица2[Наименование работ])*(G216=Таблица2[ТПиР/НСиР])*Таблица2[ПИР2012]))</f>
        <v>0</v>
      </c>
      <c r="AH216" s="63">
        <f>IF($B$4="в текущих ценах",T216*SUMPRODUCT(($B$2=Таблица2[Филиал])*($B$3=Таблица2[ФЕР/ТЕР])*(F216=Таблица2[Наименование работ])*(G216=Таблица2[ТПиР/НСиР])*Таблица2[СМР2012]),T216*SUMPRODUCT(($B$2=Таблица2[Филиал])*($B$3=Таблица2[ФЕР/ТЕР])*(F216=Таблица2[Наименование работ])*(G216=Таблица2[ТПиР/НСиР])*Таблица2[СМР2012]))</f>
        <v>0</v>
      </c>
      <c r="AI216" s="63">
        <f>IF($B$4="в текущих ценах",U216*SUMPRODUCT(($B$2=Таблица2[Филиал])*($B$3=Таблица2[ФЕР/ТЕР])*(F216=Таблица2[Наименование работ])*(G216=Таблица2[ТПиР/НСиР])*Таблица2[ПНР2012]),U216*SUMPRODUCT(($B$2=Таблица2[Филиал])*($B$3=Таблица2[ФЕР/ТЕР])*(F216=Таблица2[Наименование работ])*(G216=Таблица2[ТПиР/НСиР])*Таблица2[ПНР2012]))</f>
        <v>0</v>
      </c>
      <c r="AJ216" s="63">
        <f>IF($B$4="в текущих ценах",V216*SUMPRODUCT(($B$2=Таблица2[Филиал])*($B$3=Таблица2[ФЕР/ТЕР])*(F216=Таблица2[Наименование работ])*(G216=Таблица2[ТПиР/НСиР])*Таблица2[Оборудование2012]),V216*SUMPRODUCT(($B$2=Таблица2[Филиал])*($B$3=Таблица2[ФЕР/ТЕР])*(F216=Таблица2[Наименование работ])*(G216=Таблица2[ТПиР/НСиР])*Таблица2[Оборудование2012]))</f>
        <v>0</v>
      </c>
      <c r="AK216" s="63">
        <f>IF($B$4="в текущих ценах",W216*SUMPRODUCT(($B$2=Таблица2[Филиал])*($B$3=Таблица2[ФЕР/ТЕР])*(F216=Таблица2[Наименование работ])*(G216=Таблица2[ТПиР/НСиР])*Таблица2[Прочее2012]),W216*SUMPRODUCT(($B$2=Таблица2[Филиал])*($B$3=Таблица2[ФЕР/ТЕР])*(F216=Таблица2[Наименование работ])*(G216=Таблица2[ТПиР/НСиР])*Таблица2[Прочее2012]))</f>
        <v>0</v>
      </c>
      <c r="AL216" s="56">
        <f>данные!$X216+данные!$Y216+данные!$Z216+данные!$AA216+данные!$AB216</f>
        <v>0</v>
      </c>
      <c r="AM216" s="56">
        <v>1.03639035</v>
      </c>
      <c r="AN216" s="56">
        <v>1.0114049394</v>
      </c>
      <c r="AO216" s="56">
        <v>0.98210394336149998</v>
      </c>
      <c r="AP216" s="56">
        <v>0.93762413895893393</v>
      </c>
      <c r="AQ216" s="56"/>
      <c r="AR216" s="56"/>
      <c r="AS216" s="55"/>
      <c r="AU216" s="66">
        <f t="shared" si="18"/>
        <v>0</v>
      </c>
      <c r="AX216" s="66">
        <f t="shared" si="19"/>
        <v>0</v>
      </c>
      <c r="AY216" s="66">
        <f t="shared" si="20"/>
        <v>0</v>
      </c>
      <c r="AZ216" s="66">
        <f t="shared" si="21"/>
        <v>0</v>
      </c>
      <c r="BA216" s="66">
        <f t="shared" si="22"/>
        <v>0</v>
      </c>
      <c r="BB216" s="66">
        <f t="shared" si="23"/>
        <v>0</v>
      </c>
    </row>
  </sheetData>
  <mergeCells count="5">
    <mergeCell ref="I1:M1"/>
    <mergeCell ref="N1:R1"/>
    <mergeCell ref="S1:W1"/>
    <mergeCell ref="X1:AB1"/>
    <mergeCell ref="AG1:AK1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1"/>
  <sheetViews>
    <sheetView workbookViewId="0">
      <selection activeCell="J7" sqref="J7"/>
    </sheetView>
  </sheetViews>
  <sheetFormatPr defaultRowHeight="15" x14ac:dyDescent="0.25"/>
  <cols>
    <col min="2" max="2" width="14.85546875" customWidth="1"/>
    <col min="3" max="3" width="17.5703125" customWidth="1"/>
    <col min="4" max="4" width="26.28515625" customWidth="1"/>
    <col min="5" max="5" width="10" customWidth="1"/>
    <col min="6" max="6" width="13.28515625" customWidth="1"/>
    <col min="7" max="7" width="9.28515625" customWidth="1"/>
    <col min="8" max="8" width="11.5703125" style="6" customWidth="1"/>
    <col min="9" max="9" width="11.140625" style="6" bestFit="1" customWidth="1"/>
    <col min="10" max="10" width="14.28515625" style="6" customWidth="1"/>
    <col min="11" max="11" width="17.7109375" style="6" customWidth="1"/>
    <col min="12" max="12" width="10.85546875" style="6" customWidth="1"/>
    <col min="13" max="13" width="13.7109375" customWidth="1"/>
  </cols>
  <sheetData>
    <row r="1" spans="1:13" x14ac:dyDescent="0.25">
      <c r="A1" s="41" t="s">
        <v>34</v>
      </c>
      <c r="B1" s="42" t="s">
        <v>54</v>
      </c>
      <c r="C1" s="42" t="s">
        <v>55</v>
      </c>
      <c r="D1" s="43" t="s">
        <v>56</v>
      </c>
      <c r="E1" s="43" t="s">
        <v>57</v>
      </c>
      <c r="F1" s="43" t="s">
        <v>20</v>
      </c>
      <c r="G1" s="43" t="s">
        <v>1</v>
      </c>
      <c r="H1" s="44" t="s">
        <v>2</v>
      </c>
      <c r="I1" s="44" t="s">
        <v>3</v>
      </c>
      <c r="J1" s="44" t="s">
        <v>4</v>
      </c>
      <c r="K1" s="44" t="s">
        <v>5</v>
      </c>
      <c r="L1" s="44" t="s">
        <v>36</v>
      </c>
      <c r="M1" s="45" t="s">
        <v>42</v>
      </c>
    </row>
    <row r="2" spans="1:13" x14ac:dyDescent="0.25">
      <c r="A2" s="33">
        <f>калькулятор!C7</f>
        <v>1</v>
      </c>
      <c r="B2" s="34">
        <f>калькулятор!D7</f>
        <v>2882</v>
      </c>
      <c r="C2" s="34" t="str">
        <f>калькулятор!E7</f>
        <v>ООО Капитал</v>
      </c>
      <c r="D2" s="34" t="str">
        <f>калькулятор!F7</f>
        <v>Строительство ВЛ 10 кВ</v>
      </c>
      <c r="E2" s="34" t="str">
        <f>калькулятор!G7</f>
        <v>ВЛЭП</v>
      </c>
      <c r="F2" s="34" t="str">
        <f>калькулятор!H7</f>
        <v>НСиР</v>
      </c>
      <c r="G2" s="35">
        <f>калькулятор!I7</f>
        <v>2</v>
      </c>
      <c r="H2" s="35">
        <f>IF((данные!N3+данные!O3+данные!P3+данные!Q3+данные!R3)&gt;результат!G5,данные!X3*0.9,данные!N3)</f>
        <v>131.76072000000002</v>
      </c>
      <c r="I2" s="35">
        <f>IF((данные!N3+данные!O3+данные!P3+данные!Q3+данные!R3)&gt;результат!G5,данные!Y3*0.9,данные!O3)</f>
        <v>1888.59348</v>
      </c>
      <c r="J2" s="35">
        <f>IF((данные!N3+данные!O3+данные!P3+данные!Q3+данные!R3)&gt;результат!G5,данные!Z3*0.9,данные!P3)</f>
        <v>12.435120000000001</v>
      </c>
      <c r="K2" s="35">
        <f>IF((данные!N3+данные!O3+данные!P3+данные!Q3+данные!R3)&gt;результат!G5,данные!AA3*0.9,данные!Q3)</f>
        <v>0</v>
      </c>
      <c r="L2" s="35">
        <f>IF((данные!N3+данные!O3+данные!P3+данные!Q3+данные!R3)&gt;результат!G5,данные!AB3*0.9,данные!R3)</f>
        <v>81.850500000000011</v>
      </c>
      <c r="M2" s="46">
        <f>SUM(H2:L2)</f>
        <v>2114.6398200000003</v>
      </c>
    </row>
    <row r="3" spans="1:13" x14ac:dyDescent="0.25">
      <c r="A3" s="33">
        <f>калькулятор!C8</f>
        <v>0</v>
      </c>
      <c r="B3" s="34">
        <f>калькулятор!D8</f>
        <v>0</v>
      </c>
      <c r="C3" s="34">
        <f>калькулятор!E8</f>
        <v>0</v>
      </c>
      <c r="D3" s="34">
        <f>калькулятор!F8</f>
        <v>0</v>
      </c>
      <c r="E3" s="34">
        <f>калькулятор!G8</f>
        <v>0</v>
      </c>
      <c r="F3" s="34">
        <f>калькулятор!H8</f>
        <v>0</v>
      </c>
      <c r="G3" s="35">
        <f>калькулятор!I8</f>
        <v>0</v>
      </c>
      <c r="H3" s="35">
        <f>IF((данные!N4+данные!O4+данные!P4+данные!Q4+данные!R4)&gt;результат!G6,данные!X4*0.9,данные!N4)</f>
        <v>0</v>
      </c>
      <c r="I3" s="35">
        <f>IF((данные!N4+данные!O4+данные!P4+данные!Q4+данные!R4)&gt;результат!G6,данные!Y4*0.9,данные!O4)</f>
        <v>0</v>
      </c>
      <c r="J3" s="35">
        <f>IF((данные!N4+данные!O4+данные!P4+данные!Q4+данные!R4)&gt;результат!G6,данные!Z4*0.9,данные!P4)</f>
        <v>0</v>
      </c>
      <c r="K3" s="35">
        <f>IF((данные!N4+данные!O4+данные!P4+данные!Q4+данные!R4)&gt;результат!G6,данные!AA4*0.9,данные!Q4)</f>
        <v>0</v>
      </c>
      <c r="L3" s="35">
        <f>IF((данные!N4+данные!O4+данные!P4+данные!Q4+данные!R4)&gt;результат!G6,данные!AB4*0.9,данные!R4)</f>
        <v>0</v>
      </c>
      <c r="M3" s="46">
        <f t="shared" ref="M3:M66" si="0">SUM(H3:L3)</f>
        <v>0</v>
      </c>
    </row>
    <row r="4" spans="1:13" x14ac:dyDescent="0.25">
      <c r="A4" s="33">
        <f>калькулятор!C9</f>
        <v>0</v>
      </c>
      <c r="B4" s="34">
        <f>калькулятор!D9</f>
        <v>0</v>
      </c>
      <c r="C4" s="34">
        <f>калькулятор!E9</f>
        <v>0</v>
      </c>
      <c r="D4" s="34">
        <f>калькулятор!F9</f>
        <v>0</v>
      </c>
      <c r="E4" s="34">
        <f>калькулятор!G9</f>
        <v>0</v>
      </c>
      <c r="F4" s="34">
        <f>калькулятор!H9</f>
        <v>0</v>
      </c>
      <c r="G4" s="35">
        <f>калькулятор!I9</f>
        <v>0</v>
      </c>
      <c r="H4" s="35">
        <f>IF((данные!N5+данные!O5+данные!P5+данные!Q5+данные!R5)&gt;результат!G7,данные!X5*0.9,данные!N5)</f>
        <v>0</v>
      </c>
      <c r="I4" s="35">
        <f>IF((данные!N5+данные!O5+данные!P5+данные!Q5+данные!R5)&gt;результат!G7,данные!Y5*0.9,данные!O5)</f>
        <v>0</v>
      </c>
      <c r="J4" s="35">
        <f>IF((данные!N5+данные!O5+данные!P5+данные!Q5+данные!R5)&gt;результат!G7,данные!Z5*0.9,данные!P5)</f>
        <v>0</v>
      </c>
      <c r="K4" s="35">
        <f>IF((данные!N5+данные!O5+данные!P5+данные!Q5+данные!R5)&gt;результат!G7,данные!AA5*0.9,данные!Q5)</f>
        <v>0</v>
      </c>
      <c r="L4" s="35">
        <f>IF((данные!N5+данные!O5+данные!P5+данные!Q5+данные!R5)&gt;результат!G7,данные!AB5*0.9,данные!R5)</f>
        <v>0</v>
      </c>
      <c r="M4" s="46">
        <f t="shared" si="0"/>
        <v>0</v>
      </c>
    </row>
    <row r="5" spans="1:13" x14ac:dyDescent="0.25">
      <c r="A5" s="33">
        <f>калькулятор!C10</f>
        <v>0</v>
      </c>
      <c r="B5" s="34">
        <f>калькулятор!D10</f>
        <v>0</v>
      </c>
      <c r="C5" s="34">
        <f>калькулятор!E10</f>
        <v>0</v>
      </c>
      <c r="D5" s="34">
        <f>калькулятор!F10</f>
        <v>0</v>
      </c>
      <c r="E5" s="34">
        <f>калькулятор!G10</f>
        <v>0</v>
      </c>
      <c r="F5" s="34">
        <f>калькулятор!H10</f>
        <v>0</v>
      </c>
      <c r="G5" s="35">
        <f>калькулятор!I10</f>
        <v>0</v>
      </c>
      <c r="H5" s="35">
        <f>IF((данные!N6+данные!O6+данные!P6+данные!Q6+данные!R6)&gt;результат!G8,данные!X6*0.9,данные!N6)</f>
        <v>0</v>
      </c>
      <c r="I5" s="35">
        <f>IF((данные!N6+данные!O6+данные!P6+данные!Q6+данные!R6)&gt;результат!G8,данные!Y6*0.9,данные!O6)</f>
        <v>0</v>
      </c>
      <c r="J5" s="35">
        <f>IF((данные!N6+данные!O6+данные!P6+данные!Q6+данные!R6)&gt;результат!G8,данные!Z6*0.9,данные!P6)</f>
        <v>0</v>
      </c>
      <c r="K5" s="35">
        <f>IF((данные!N6+данные!O6+данные!P6+данные!Q6+данные!R6)&gt;результат!G8,данные!AA6*0.9,данные!Q6)</f>
        <v>0</v>
      </c>
      <c r="L5" s="35">
        <f>IF((данные!N6+данные!O6+данные!P6+данные!Q6+данные!R6)&gt;результат!G8,данные!AB6*0.9,данные!R6)</f>
        <v>0</v>
      </c>
      <c r="M5" s="46">
        <f t="shared" si="0"/>
        <v>0</v>
      </c>
    </row>
    <row r="6" spans="1:13" ht="45" x14ac:dyDescent="0.25">
      <c r="A6" s="33">
        <f>калькулятор!C11</f>
        <v>0</v>
      </c>
      <c r="B6" s="34">
        <f>калькулятор!D11</f>
        <v>0</v>
      </c>
      <c r="C6" s="34">
        <f>калькулятор!E11</f>
        <v>0</v>
      </c>
      <c r="D6" s="36">
        <f>калькулятор!F11</f>
        <v>0</v>
      </c>
      <c r="E6" s="34">
        <f>калькулятор!G11</f>
        <v>0</v>
      </c>
      <c r="F6" s="34">
        <f>калькулятор!H11</f>
        <v>0</v>
      </c>
      <c r="G6" s="35">
        <f>калькулятор!I11</f>
        <v>0</v>
      </c>
      <c r="H6" s="35">
        <f>IF((данные!N7+данные!O7+данные!P7+данные!Q7+данные!R7)&gt;результат!G9,данные!X7*0.9,данные!N7)</f>
        <v>0</v>
      </c>
      <c r="I6" s="35">
        <f>IF((данные!N7+данные!O7+данные!P7+данные!Q7+данные!R7)&gt;результат!G9,данные!Y7*0.9,данные!O7)</f>
        <v>0</v>
      </c>
      <c r="J6" s="35">
        <f>IF((данные!N7+данные!O7+данные!P7+данные!Q7+данные!R7)&gt;результат!G9,данные!Z7*0.9,данные!P7)</f>
        <v>0</v>
      </c>
      <c r="K6" s="35">
        <f>IF((данные!N7+данные!O7+данные!P7+данные!Q7+данные!R7)&gt;результат!G9,данные!AA7*0.9,данные!Q7)</f>
        <v>0</v>
      </c>
      <c r="L6" s="35">
        <f>IF((данные!N7+данные!O7+данные!P7+данные!Q7+данные!R7)&gt;результат!G9,данные!AB7*0.9,данные!R7)</f>
        <v>0</v>
      </c>
      <c r="M6" s="46">
        <f t="shared" si="0"/>
        <v>0</v>
      </c>
    </row>
    <row r="7" spans="1:13" ht="45" x14ac:dyDescent="0.25">
      <c r="A7" s="33">
        <f>калькулятор!C12</f>
        <v>0</v>
      </c>
      <c r="B7" s="34">
        <f>калькулятор!D12</f>
        <v>0</v>
      </c>
      <c r="C7" s="34">
        <f>калькулятор!E12</f>
        <v>0</v>
      </c>
      <c r="D7" s="36">
        <f>калькулятор!F12</f>
        <v>0</v>
      </c>
      <c r="E7" s="34">
        <f>калькулятор!G12</f>
        <v>0</v>
      </c>
      <c r="F7" s="34">
        <f>калькулятор!H12</f>
        <v>0</v>
      </c>
      <c r="G7" s="35">
        <f>калькулятор!I12</f>
        <v>0</v>
      </c>
      <c r="H7" s="35">
        <f>IF((данные!N8+данные!O8+данные!P8+данные!Q8+данные!R8)&gt;результат!G10,данные!X8*0.9,данные!N8)</f>
        <v>0</v>
      </c>
      <c r="I7" s="35">
        <f>IF((данные!N8+данные!O8+данные!P8+данные!Q8+данные!R8)&gt;результат!G10,данные!Y8*0.9,данные!O8)</f>
        <v>0</v>
      </c>
      <c r="J7" s="35">
        <f>IF((данные!N8+данные!O8+данные!P8+данные!Q8+данные!R8)&gt;результат!G10,данные!Z8*0.9,данные!P8)</f>
        <v>0</v>
      </c>
      <c r="K7" s="35">
        <f>IF((данные!N8+данные!O8+данные!P8+данные!Q8+данные!R8)&gt;результат!G10,данные!AA8*0.9,данные!Q8)</f>
        <v>0</v>
      </c>
      <c r="L7" s="35">
        <f>IF((данные!N8+данные!O8+данные!P8+данные!Q8+данные!R8)&gt;результат!G10,данные!AB8*0.9,данные!R8)</f>
        <v>0</v>
      </c>
      <c r="M7" s="46">
        <f t="shared" si="0"/>
        <v>0</v>
      </c>
    </row>
    <row r="8" spans="1:13" ht="45" x14ac:dyDescent="0.25">
      <c r="A8" s="33">
        <f>калькулятор!C13</f>
        <v>0</v>
      </c>
      <c r="B8" s="34">
        <f>калькулятор!D13</f>
        <v>0</v>
      </c>
      <c r="C8" s="34">
        <f>калькулятор!E13</f>
        <v>0</v>
      </c>
      <c r="D8" s="36">
        <f>калькулятор!F13</f>
        <v>0</v>
      </c>
      <c r="E8" s="34">
        <f>калькулятор!G13</f>
        <v>0</v>
      </c>
      <c r="F8" s="34">
        <f>калькулятор!H13</f>
        <v>0</v>
      </c>
      <c r="G8" s="35">
        <f>калькулятор!I13</f>
        <v>0</v>
      </c>
      <c r="H8" s="35">
        <f>IF((данные!N9+данные!O9+данные!P9+данные!Q9+данные!R9)&gt;результат!G11,данные!X9*0.9,данные!N9)</f>
        <v>0</v>
      </c>
      <c r="I8" s="35">
        <f>IF((данные!N9+данные!O9+данные!P9+данные!Q9+данные!R9)&gt;результат!G11,данные!Y9*0.9,данные!O9)</f>
        <v>0</v>
      </c>
      <c r="J8" s="35">
        <f>IF((данные!N9+данные!O9+данные!P9+данные!Q9+данные!R9)&gt;результат!G11,данные!Z9*0.9,данные!P9)</f>
        <v>0</v>
      </c>
      <c r="K8" s="35">
        <f>IF((данные!N9+данные!O9+данные!P9+данные!Q9+данные!R9)&gt;результат!G11,данные!AA9*0.9,данные!Q9)</f>
        <v>0</v>
      </c>
      <c r="L8" s="35">
        <f>IF((данные!N9+данные!O9+данные!P9+данные!Q9+данные!R9)&gt;результат!G11,данные!AB9*0.9,данные!R9)</f>
        <v>0</v>
      </c>
      <c r="M8" s="46">
        <f t="shared" si="0"/>
        <v>0</v>
      </c>
    </row>
    <row r="9" spans="1:13" ht="60" x14ac:dyDescent="0.25">
      <c r="A9" s="33">
        <f>калькулятор!C14</f>
        <v>0</v>
      </c>
      <c r="B9" s="34">
        <f>калькулятор!D14</f>
        <v>0</v>
      </c>
      <c r="C9" s="34">
        <f>калькулятор!E14</f>
        <v>0</v>
      </c>
      <c r="D9" s="36">
        <f>калькулятор!F14</f>
        <v>0</v>
      </c>
      <c r="E9" s="34">
        <f>калькулятор!G14</f>
        <v>0</v>
      </c>
      <c r="F9" s="34">
        <f>калькулятор!H14</f>
        <v>0</v>
      </c>
      <c r="G9" s="35">
        <f>калькулятор!I14</f>
        <v>0</v>
      </c>
      <c r="H9" s="35">
        <f>IF((данные!N10+данные!O10+данные!P10+данные!Q10+данные!R10)&gt;результат!G12,данные!X10*0.9,данные!N10)</f>
        <v>0</v>
      </c>
      <c r="I9" s="35">
        <f>IF((данные!N10+данные!O10+данные!P10+данные!Q10+данные!R10)&gt;результат!G12,данные!Y10*0.9,данные!O10)</f>
        <v>0</v>
      </c>
      <c r="J9" s="35">
        <f>IF((данные!N10+данные!O10+данные!P10+данные!Q10+данные!R10)&gt;результат!G12,данные!Z10*0.9,данные!P10)</f>
        <v>0</v>
      </c>
      <c r="K9" s="35">
        <f>IF((данные!N10+данные!O10+данные!P10+данные!Q10+данные!R10)&gt;результат!G12,данные!AA10*0.9,данные!Q10)</f>
        <v>0</v>
      </c>
      <c r="L9" s="35">
        <f>IF((данные!N10+данные!O10+данные!P10+данные!Q10+данные!R10)&gt;результат!G12,данные!AB10*0.9,данные!R10)</f>
        <v>0</v>
      </c>
      <c r="M9" s="46">
        <f t="shared" si="0"/>
        <v>0</v>
      </c>
    </row>
    <row r="10" spans="1:13" ht="60" x14ac:dyDescent="0.25">
      <c r="A10" s="33">
        <f>калькулятор!C15</f>
        <v>0</v>
      </c>
      <c r="B10" s="34">
        <f>калькулятор!D15</f>
        <v>0</v>
      </c>
      <c r="C10" s="34">
        <f>калькулятор!E15</f>
        <v>0</v>
      </c>
      <c r="D10" s="36">
        <f>калькулятор!F15</f>
        <v>0</v>
      </c>
      <c r="E10" s="34">
        <f>калькулятор!G15</f>
        <v>0</v>
      </c>
      <c r="F10" s="34">
        <f>калькулятор!H15</f>
        <v>0</v>
      </c>
      <c r="G10" s="35">
        <f>калькулятор!I15</f>
        <v>0</v>
      </c>
      <c r="H10" s="35">
        <f>IF((данные!N11+данные!O11+данные!P11+данные!Q11+данные!R11)&gt;результат!G13,данные!X11*0.9,данные!N11)</f>
        <v>0</v>
      </c>
      <c r="I10" s="35">
        <f>IF((данные!N11+данные!O11+данные!P11+данные!Q11+данные!R11)&gt;результат!G13,данные!Y11*0.9,данные!O11)</f>
        <v>0</v>
      </c>
      <c r="J10" s="35">
        <f>IF((данные!N11+данные!O11+данные!P11+данные!Q11+данные!R11)&gt;результат!G13,данные!Z11*0.9,данные!P11)</f>
        <v>0</v>
      </c>
      <c r="K10" s="35">
        <f>IF((данные!N11+данные!O11+данные!P11+данные!Q11+данные!R11)&gt;результат!G13,данные!AA11*0.9,данные!Q11)</f>
        <v>0</v>
      </c>
      <c r="L10" s="35">
        <f>IF((данные!N11+данные!O11+данные!P11+данные!Q11+данные!R11)&gt;результат!G13,данные!AB11*0.9,данные!R11)</f>
        <v>0</v>
      </c>
      <c r="M10" s="46">
        <f t="shared" si="0"/>
        <v>0</v>
      </c>
    </row>
    <row r="11" spans="1:13" x14ac:dyDescent="0.25">
      <c r="A11" s="33">
        <f>калькулятор!C16</f>
        <v>0</v>
      </c>
      <c r="B11" s="34">
        <f>калькулятор!D16</f>
        <v>0</v>
      </c>
      <c r="C11" s="34">
        <f>калькулятор!E16</f>
        <v>0</v>
      </c>
      <c r="D11" s="36">
        <f>калькулятор!F16</f>
        <v>0</v>
      </c>
      <c r="E11" s="34">
        <f>калькулятор!G16</f>
        <v>0</v>
      </c>
      <c r="F11" s="34">
        <f>калькулятор!H16</f>
        <v>0</v>
      </c>
      <c r="G11" s="35">
        <f>калькулятор!I16</f>
        <v>0</v>
      </c>
      <c r="H11" s="35">
        <f>IF((данные!N12+данные!O12+данные!P12+данные!Q12+данные!R12)&gt;результат!G14,данные!X12*0.9,данные!N12)</f>
        <v>0</v>
      </c>
      <c r="I11" s="35">
        <f>IF((данные!N12+данные!O12+данные!P12+данные!Q12+данные!R12)&gt;результат!G14,данные!Y12*0.9,данные!O12)</f>
        <v>0</v>
      </c>
      <c r="J11" s="35">
        <f>IF((данные!N12+данные!O12+данные!P12+данные!Q12+данные!R12)&gt;результат!G14,данные!Z12*0.9,данные!P12)</f>
        <v>0</v>
      </c>
      <c r="K11" s="35">
        <f>IF((данные!N12+данные!O12+данные!P12+данные!Q12+данные!R12)&gt;результат!G14,данные!AA12*0.9,данные!Q12)</f>
        <v>0</v>
      </c>
      <c r="L11" s="35">
        <f>IF((данные!N12+данные!O12+данные!P12+данные!Q12+данные!R12)&gt;результат!G14,данные!AB12*0.9,данные!R12)</f>
        <v>0</v>
      </c>
      <c r="M11" s="46">
        <f t="shared" si="0"/>
        <v>0</v>
      </c>
    </row>
    <row r="12" spans="1:13" ht="60" x14ac:dyDescent="0.25">
      <c r="A12" s="33">
        <f>калькулятор!C17</f>
        <v>0</v>
      </c>
      <c r="B12" s="34">
        <f>калькулятор!D17</f>
        <v>0</v>
      </c>
      <c r="C12" s="34">
        <f>калькулятор!E17</f>
        <v>0</v>
      </c>
      <c r="D12" s="36">
        <f>калькулятор!F17</f>
        <v>0</v>
      </c>
      <c r="E12" s="34">
        <f>калькулятор!G17</f>
        <v>0</v>
      </c>
      <c r="F12" s="34">
        <f>калькулятор!H17</f>
        <v>0</v>
      </c>
      <c r="G12" s="35">
        <f>калькулятор!I17</f>
        <v>0</v>
      </c>
      <c r="H12" s="35">
        <f>IF((данные!N13+данные!O13+данные!P13+данные!Q13+данные!R13)&gt;результат!G15,данные!X13*0.9,данные!N13)</f>
        <v>0</v>
      </c>
      <c r="I12" s="35">
        <f>IF((данные!N13+данные!O13+данные!P13+данные!Q13+данные!R13)&gt;результат!G15,данные!Y13*0.9,данные!O13)</f>
        <v>0</v>
      </c>
      <c r="J12" s="35">
        <f>IF((данные!N13+данные!O13+данные!P13+данные!Q13+данные!R13)&gt;результат!G15,данные!Z13*0.9,данные!P13)</f>
        <v>0</v>
      </c>
      <c r="K12" s="35">
        <f>IF((данные!N13+данные!O13+данные!P13+данные!Q13+данные!R13)&gt;результат!G15,данные!AA13*0.9,данные!Q13)</f>
        <v>0</v>
      </c>
      <c r="L12" s="35">
        <f>IF((данные!N13+данные!O13+данные!P13+данные!Q13+данные!R13)&gt;результат!G15,данные!AB13*0.9,данные!R13)</f>
        <v>0</v>
      </c>
      <c r="M12" s="46">
        <f t="shared" si="0"/>
        <v>0</v>
      </c>
    </row>
    <row r="13" spans="1:13" ht="30" x14ac:dyDescent="0.25">
      <c r="A13" s="33">
        <f>калькулятор!C18</f>
        <v>0</v>
      </c>
      <c r="B13" s="34">
        <f>калькулятор!D18</f>
        <v>0</v>
      </c>
      <c r="C13" s="34">
        <f>калькулятор!E18</f>
        <v>0</v>
      </c>
      <c r="D13" s="36">
        <f>калькулятор!F18</f>
        <v>0</v>
      </c>
      <c r="E13" s="34">
        <f>калькулятор!G18</f>
        <v>0</v>
      </c>
      <c r="F13" s="34">
        <f>калькулятор!H18</f>
        <v>0</v>
      </c>
      <c r="G13" s="35">
        <f>калькулятор!I18</f>
        <v>0</v>
      </c>
      <c r="H13" s="35">
        <f>IF((данные!N14+данные!O14+данные!P14+данные!Q14+данные!R14)&gt;результат!G16,данные!X14*0.9,данные!N14)</f>
        <v>0</v>
      </c>
      <c r="I13" s="35">
        <f>IF((данные!N14+данные!O14+данные!P14+данные!Q14+данные!R14)&gt;результат!G16,данные!Y14*0.9,данные!O14)</f>
        <v>0</v>
      </c>
      <c r="J13" s="35">
        <f>IF((данные!N14+данные!O14+данные!P14+данные!Q14+данные!R14)&gt;результат!G16,данные!Z14*0.9,данные!P14)</f>
        <v>0</v>
      </c>
      <c r="K13" s="35">
        <f>IF((данные!N14+данные!O14+данные!P14+данные!Q14+данные!R14)&gt;результат!G16,данные!AA14*0.9,данные!Q14)</f>
        <v>0</v>
      </c>
      <c r="L13" s="35">
        <f>IF((данные!N14+данные!O14+данные!P14+данные!Q14+данные!R14)&gt;результат!G16,данные!AB14*0.9,данные!R14)</f>
        <v>0</v>
      </c>
      <c r="M13" s="46">
        <f t="shared" si="0"/>
        <v>0</v>
      </c>
    </row>
    <row r="14" spans="1:13" ht="30" x14ac:dyDescent="0.25">
      <c r="A14" s="33">
        <f>калькулятор!C19</f>
        <v>0</v>
      </c>
      <c r="B14" s="34">
        <f>калькулятор!D19</f>
        <v>0</v>
      </c>
      <c r="C14" s="34">
        <f>калькулятор!E19</f>
        <v>0</v>
      </c>
      <c r="D14" s="36">
        <f>калькулятор!F19</f>
        <v>0</v>
      </c>
      <c r="E14" s="34">
        <f>калькулятор!G19</f>
        <v>0</v>
      </c>
      <c r="F14" s="34">
        <f>калькулятор!H19</f>
        <v>0</v>
      </c>
      <c r="G14" s="35">
        <f>калькулятор!I19</f>
        <v>0</v>
      </c>
      <c r="H14" s="35">
        <f>IF((данные!N15+данные!O15+данные!P15+данные!Q15+данные!R15)&gt;результат!G17,данные!X15*0.9,данные!N15)</f>
        <v>0</v>
      </c>
      <c r="I14" s="35">
        <f>IF((данные!N15+данные!O15+данные!P15+данные!Q15+данные!R15)&gt;результат!G17,данные!Y15*0.9,данные!O15)</f>
        <v>0</v>
      </c>
      <c r="J14" s="35">
        <f>IF((данные!N15+данные!O15+данные!P15+данные!Q15+данные!R15)&gt;результат!G17,данные!Z15*0.9,данные!P15)</f>
        <v>0</v>
      </c>
      <c r="K14" s="35">
        <f>IF((данные!N15+данные!O15+данные!P15+данные!Q15+данные!R15)&gt;результат!G17,данные!AA15*0.9,данные!Q15)</f>
        <v>0</v>
      </c>
      <c r="L14" s="35">
        <f>IF((данные!N15+данные!O15+данные!P15+данные!Q15+данные!R15)&gt;результат!G17,данные!AB15*0.9,данные!R15)</f>
        <v>0</v>
      </c>
      <c r="M14" s="46">
        <f t="shared" si="0"/>
        <v>0</v>
      </c>
    </row>
    <row r="15" spans="1:13" ht="45" x14ac:dyDescent="0.25">
      <c r="A15" s="33">
        <f>калькулятор!C20</f>
        <v>0</v>
      </c>
      <c r="B15" s="34">
        <f>калькулятор!D20</f>
        <v>0</v>
      </c>
      <c r="C15" s="34">
        <f>калькулятор!E20</f>
        <v>0</v>
      </c>
      <c r="D15" s="36">
        <f>калькулятор!F20</f>
        <v>0</v>
      </c>
      <c r="E15" s="34">
        <f>калькулятор!G20</f>
        <v>0</v>
      </c>
      <c r="F15" s="34">
        <f>калькулятор!H20</f>
        <v>0</v>
      </c>
      <c r="G15" s="35">
        <f>калькулятор!I20</f>
        <v>0</v>
      </c>
      <c r="H15" s="35">
        <f>IF((данные!N16+данные!O16+данные!P16+данные!Q16+данные!R16)&gt;результат!G18,данные!X16*0.9,данные!N16)</f>
        <v>0</v>
      </c>
      <c r="I15" s="35">
        <f>IF((данные!N16+данные!O16+данные!P16+данные!Q16+данные!R16)&gt;результат!G18,данные!Y16*0.9,данные!O16)</f>
        <v>0</v>
      </c>
      <c r="J15" s="35">
        <f>IF((данные!N16+данные!O16+данные!P16+данные!Q16+данные!R16)&gt;результат!G18,данные!Z16*0.9,данные!P16)</f>
        <v>0</v>
      </c>
      <c r="K15" s="35">
        <f>IF((данные!N16+данные!O16+данные!P16+данные!Q16+данные!R16)&gt;результат!G18,данные!AA16*0.9,данные!Q16)</f>
        <v>0</v>
      </c>
      <c r="L15" s="35">
        <f>IF((данные!N16+данные!O16+данные!P16+данные!Q16+данные!R16)&gt;результат!G18,данные!AB16*0.9,данные!R16)</f>
        <v>0</v>
      </c>
      <c r="M15" s="46">
        <f t="shared" si="0"/>
        <v>0</v>
      </c>
    </row>
    <row r="16" spans="1:13" ht="75" x14ac:dyDescent="0.25">
      <c r="A16" s="33">
        <f>калькулятор!C21</f>
        <v>0</v>
      </c>
      <c r="B16" s="34">
        <f>калькулятор!D21</f>
        <v>0</v>
      </c>
      <c r="C16" s="34">
        <f>калькулятор!E21</f>
        <v>0</v>
      </c>
      <c r="D16" s="36">
        <f>калькулятор!F21</f>
        <v>0</v>
      </c>
      <c r="E16" s="34">
        <f>калькулятор!G21</f>
        <v>0</v>
      </c>
      <c r="F16" s="34">
        <f>калькулятор!H21</f>
        <v>0</v>
      </c>
      <c r="G16" s="35">
        <f>калькулятор!I21</f>
        <v>0</v>
      </c>
      <c r="H16" s="35">
        <f>IF((данные!N17+данные!O17+данные!P17+данные!Q17+данные!R17)&gt;результат!G19,данные!X17*0.9,данные!N17)</f>
        <v>0</v>
      </c>
      <c r="I16" s="35">
        <f>IF((данные!N17+данные!O17+данные!P17+данные!Q17+данные!R17)&gt;результат!G19,данные!Y17*0.9,данные!O17)</f>
        <v>0</v>
      </c>
      <c r="J16" s="35">
        <f>IF((данные!N17+данные!O17+данные!P17+данные!Q17+данные!R17)&gt;результат!G19,данные!Z17*0.9,данные!P17)</f>
        <v>0</v>
      </c>
      <c r="K16" s="35">
        <f>IF((данные!N17+данные!O17+данные!P17+данные!Q17+данные!R17)&gt;результат!G19,данные!AA17*0.9,данные!Q17)</f>
        <v>0</v>
      </c>
      <c r="L16" s="35">
        <f>IF((данные!N17+данные!O17+данные!P17+данные!Q17+данные!R17)&gt;результат!G19,данные!AB17*0.9,данные!R17)</f>
        <v>0</v>
      </c>
      <c r="M16" s="46">
        <f t="shared" si="0"/>
        <v>0</v>
      </c>
    </row>
    <row r="17" spans="1:13" x14ac:dyDescent="0.25">
      <c r="A17" s="33">
        <f>калькулятор!C22</f>
        <v>0</v>
      </c>
      <c r="B17" s="34">
        <f>калькулятор!D22</f>
        <v>0</v>
      </c>
      <c r="C17" s="34">
        <f>калькулятор!E22</f>
        <v>0</v>
      </c>
      <c r="D17" s="36">
        <f>калькулятор!F22</f>
        <v>0</v>
      </c>
      <c r="E17" s="34">
        <f>калькулятор!G22</f>
        <v>0</v>
      </c>
      <c r="F17" s="34">
        <f>калькулятор!H22</f>
        <v>0</v>
      </c>
      <c r="G17" s="35">
        <f>калькулятор!I22</f>
        <v>0</v>
      </c>
      <c r="H17" s="35">
        <f>IF((данные!N18+данные!O18+данные!P18+данные!Q18+данные!R18)&gt;результат!G20,данные!X18*0.9,данные!N18)</f>
        <v>0</v>
      </c>
      <c r="I17" s="35">
        <f>IF((данные!N18+данные!O18+данные!P18+данные!Q18+данные!R18)&gt;результат!G20,данные!Y18*0.9,данные!O18)</f>
        <v>0</v>
      </c>
      <c r="J17" s="35">
        <f>IF((данные!N18+данные!O18+данные!P18+данные!Q18+данные!R18)&gt;результат!G20,данные!Z18*0.9,данные!P18)</f>
        <v>0</v>
      </c>
      <c r="K17" s="35">
        <f>IF((данные!N18+данные!O18+данные!P18+данные!Q18+данные!R18)&gt;результат!G20,данные!AA18*0.9,данные!Q18)</f>
        <v>0</v>
      </c>
      <c r="L17" s="35">
        <f>IF((данные!N18+данные!O18+данные!P18+данные!Q18+данные!R18)&gt;результат!G20,данные!AB18*0.9,данные!R18)</f>
        <v>0</v>
      </c>
      <c r="M17" s="46">
        <f t="shared" si="0"/>
        <v>0</v>
      </c>
    </row>
    <row r="18" spans="1:13" x14ac:dyDescent="0.25">
      <c r="A18" s="33">
        <f>калькулятор!C23</f>
        <v>0</v>
      </c>
      <c r="B18" s="34">
        <f>калькулятор!D23</f>
        <v>0</v>
      </c>
      <c r="C18" s="34">
        <f>калькулятор!E23</f>
        <v>0</v>
      </c>
      <c r="D18" s="36">
        <f>калькулятор!F23</f>
        <v>0</v>
      </c>
      <c r="E18" s="34">
        <f>калькулятор!G23</f>
        <v>0</v>
      </c>
      <c r="F18" s="34">
        <f>калькулятор!H23</f>
        <v>0</v>
      </c>
      <c r="G18" s="35">
        <f>калькулятор!I23</f>
        <v>0</v>
      </c>
      <c r="H18" s="35">
        <f>IF((данные!N19+данные!O19+данные!P19+данные!Q19+данные!R19)&gt;результат!G21,данные!X19*0.9,данные!N19)</f>
        <v>0</v>
      </c>
      <c r="I18" s="35">
        <f>IF((данные!N19+данные!O19+данные!P19+данные!Q19+данные!R19)&gt;результат!G21,данные!Y19*0.9,данные!O19)</f>
        <v>0</v>
      </c>
      <c r="J18" s="35">
        <f>IF((данные!N19+данные!O19+данные!P19+данные!Q19+данные!R19)&gt;результат!G21,данные!Z19*0.9,данные!P19)</f>
        <v>0</v>
      </c>
      <c r="K18" s="35">
        <f>IF((данные!N19+данные!O19+данные!P19+данные!Q19+данные!R19)&gt;результат!G21,данные!AA19*0.9,данные!Q19)</f>
        <v>0</v>
      </c>
      <c r="L18" s="35">
        <f>IF((данные!N19+данные!O19+данные!P19+данные!Q19+данные!R19)&gt;результат!G21,данные!AB19*0.9,данные!R19)</f>
        <v>0</v>
      </c>
      <c r="M18" s="46">
        <f t="shared" si="0"/>
        <v>0</v>
      </c>
    </row>
    <row r="19" spans="1:13" x14ac:dyDescent="0.25">
      <c r="A19" s="33">
        <f>калькулятор!C24</f>
        <v>0</v>
      </c>
      <c r="B19" s="34">
        <f>калькулятор!D24</f>
        <v>0</v>
      </c>
      <c r="C19" s="34">
        <f>калькулятор!E24</f>
        <v>0</v>
      </c>
      <c r="D19" s="36">
        <f>калькулятор!F24</f>
        <v>0</v>
      </c>
      <c r="E19" s="34">
        <f>калькулятор!G24</f>
        <v>0</v>
      </c>
      <c r="F19" s="34">
        <f>калькулятор!H24</f>
        <v>0</v>
      </c>
      <c r="G19" s="35">
        <f>калькулятор!I24</f>
        <v>0</v>
      </c>
      <c r="H19" s="35">
        <f>IF((данные!N20+данные!O20+данные!P20+данные!Q20+данные!R20)&gt;результат!G22,данные!X20*0.9,данные!N20)</f>
        <v>0</v>
      </c>
      <c r="I19" s="35">
        <f>IF((данные!N20+данные!O20+данные!P20+данные!Q20+данные!R20)&gt;результат!G22,данные!Y20*0.9,данные!O20)</f>
        <v>0</v>
      </c>
      <c r="J19" s="35">
        <f>IF((данные!N20+данные!O20+данные!P20+данные!Q20+данные!R20)&gt;результат!G22,данные!Z20*0.9,данные!P20)</f>
        <v>0</v>
      </c>
      <c r="K19" s="35">
        <f>IF((данные!N20+данные!O20+данные!P20+данные!Q20+данные!R20)&gt;результат!G22,данные!AA20*0.9,данные!Q20)</f>
        <v>0</v>
      </c>
      <c r="L19" s="35">
        <f>IF((данные!N20+данные!O20+данные!P20+данные!Q20+данные!R20)&gt;результат!G22,данные!AB20*0.9,данные!R20)</f>
        <v>0</v>
      </c>
      <c r="M19" s="46">
        <f t="shared" si="0"/>
        <v>0</v>
      </c>
    </row>
    <row r="20" spans="1:13" x14ac:dyDescent="0.25">
      <c r="A20" s="33">
        <f>калькулятор!C25</f>
        <v>0</v>
      </c>
      <c r="B20" s="34">
        <f>калькулятор!D25</f>
        <v>0</v>
      </c>
      <c r="C20" s="34">
        <f>калькулятор!E25</f>
        <v>0</v>
      </c>
      <c r="D20" s="36">
        <f>калькулятор!F25</f>
        <v>0</v>
      </c>
      <c r="E20" s="34">
        <f>калькулятор!G25</f>
        <v>0</v>
      </c>
      <c r="F20" s="34">
        <f>калькулятор!H25</f>
        <v>0</v>
      </c>
      <c r="G20" s="35">
        <f>калькулятор!I25</f>
        <v>0</v>
      </c>
      <c r="H20" s="35">
        <f>IF((данные!N21+данные!O21+данные!P21+данные!Q21+данные!R21)&gt;результат!G23,данные!X21*0.9,данные!N21)</f>
        <v>0</v>
      </c>
      <c r="I20" s="35">
        <f>IF((данные!N21+данные!O21+данные!P21+данные!Q21+данные!R21)&gt;результат!G23,данные!Y21*0.9,данные!O21)</f>
        <v>0</v>
      </c>
      <c r="J20" s="35">
        <f>IF((данные!N21+данные!O21+данные!P21+данные!Q21+данные!R21)&gt;результат!G23,данные!Z21*0.9,данные!P21)</f>
        <v>0</v>
      </c>
      <c r="K20" s="35">
        <f>IF((данные!N21+данные!O21+данные!P21+данные!Q21+данные!R21)&gt;результат!G23,данные!AA21*0.9,данные!Q21)</f>
        <v>0</v>
      </c>
      <c r="L20" s="35">
        <f>IF((данные!N21+данные!O21+данные!P21+данные!Q21+данные!R21)&gt;результат!G23,данные!AB21*0.9,данные!R21)</f>
        <v>0</v>
      </c>
      <c r="M20" s="46">
        <f t="shared" si="0"/>
        <v>0</v>
      </c>
    </row>
    <row r="21" spans="1:13" x14ac:dyDescent="0.25">
      <c r="A21" s="33">
        <f>калькулятор!C26</f>
        <v>0</v>
      </c>
      <c r="B21" s="34">
        <f>калькулятор!D26</f>
        <v>0</v>
      </c>
      <c r="C21" s="34">
        <f>калькулятор!E26</f>
        <v>0</v>
      </c>
      <c r="D21" s="34">
        <f>калькулятор!F26</f>
        <v>0</v>
      </c>
      <c r="E21" s="34">
        <f>калькулятор!G26</f>
        <v>0</v>
      </c>
      <c r="F21" s="34">
        <f>калькулятор!H26</f>
        <v>0</v>
      </c>
      <c r="G21" s="35">
        <f>калькулятор!I26</f>
        <v>0</v>
      </c>
      <c r="H21" s="35">
        <f>IF((данные!N22+данные!O22+данные!P22+данные!Q22+данные!R22)&gt;результат!G24,данные!X22*0.9,данные!N22)</f>
        <v>0</v>
      </c>
      <c r="I21" s="35">
        <f>IF((данные!N22+данные!O22+данные!P22+данные!Q22+данные!R22)&gt;результат!G24,данные!Y22*0.9,данные!O22)</f>
        <v>0</v>
      </c>
      <c r="J21" s="35">
        <f>IF((данные!N22+данные!O22+данные!P22+данные!Q22+данные!R22)&gt;результат!G24,данные!Z22*0.9,данные!P22)</f>
        <v>0</v>
      </c>
      <c r="K21" s="35">
        <f>IF((данные!N22+данные!O22+данные!P22+данные!Q22+данные!R22)&gt;результат!G24,данные!AA22*0.9,данные!Q22)</f>
        <v>0</v>
      </c>
      <c r="L21" s="35">
        <f>IF((данные!N22+данные!O22+данные!P22+данные!Q22+данные!R22)&gt;результат!G24,данные!AB22*0.9,данные!R22)</f>
        <v>0</v>
      </c>
      <c r="M21" s="46">
        <f t="shared" si="0"/>
        <v>0</v>
      </c>
    </row>
    <row r="22" spans="1:13" x14ac:dyDescent="0.25">
      <c r="A22" s="33">
        <f>калькулятор!C27</f>
        <v>0</v>
      </c>
      <c r="B22" s="34">
        <f>калькулятор!D27</f>
        <v>0</v>
      </c>
      <c r="C22" s="34">
        <f>калькулятор!E27</f>
        <v>0</v>
      </c>
      <c r="D22" s="36">
        <f>калькулятор!F27</f>
        <v>0</v>
      </c>
      <c r="E22" s="34">
        <f>калькулятор!G27</f>
        <v>0</v>
      </c>
      <c r="F22" s="34">
        <f>калькулятор!H27</f>
        <v>0</v>
      </c>
      <c r="G22" s="35">
        <f>калькулятор!I27</f>
        <v>0</v>
      </c>
      <c r="H22" s="35">
        <f>IF((данные!N23+данные!O23+данные!P23+данные!Q23+данные!R23)&gt;результат!G25,данные!X23*0.9,данные!N23)</f>
        <v>0</v>
      </c>
      <c r="I22" s="35">
        <f>IF((данные!N23+данные!O23+данные!P23+данные!Q23+данные!R23)&gt;результат!G25,данные!Y23*0.9,данные!O23)</f>
        <v>0</v>
      </c>
      <c r="J22" s="35">
        <f>IF((данные!N23+данные!O23+данные!P23+данные!Q23+данные!R23)&gt;результат!G25,данные!Z23*0.9,данные!P23)</f>
        <v>0</v>
      </c>
      <c r="K22" s="35">
        <f>IF((данные!N23+данные!O23+данные!P23+данные!Q23+данные!R23)&gt;результат!G25,данные!AA23*0.9,данные!Q23)</f>
        <v>0</v>
      </c>
      <c r="L22" s="35">
        <f>IF((данные!N23+данные!O23+данные!P23+данные!Q23+данные!R23)&gt;результат!G25,данные!AB23*0.9,данные!R23)</f>
        <v>0</v>
      </c>
      <c r="M22" s="46">
        <f t="shared" si="0"/>
        <v>0</v>
      </c>
    </row>
    <row r="23" spans="1:13" x14ac:dyDescent="0.25">
      <c r="A23" s="33">
        <f>калькулятор!C28</f>
        <v>0</v>
      </c>
      <c r="B23" s="34">
        <f>калькулятор!D28</f>
        <v>0</v>
      </c>
      <c r="C23" s="34">
        <f>калькулятор!E28</f>
        <v>0</v>
      </c>
      <c r="D23" s="36">
        <f>калькулятор!F28</f>
        <v>0</v>
      </c>
      <c r="E23" s="34">
        <f>калькулятор!G28</f>
        <v>0</v>
      </c>
      <c r="F23" s="34">
        <f>калькулятор!H28</f>
        <v>0</v>
      </c>
      <c r="G23" s="35">
        <f>калькулятор!I28</f>
        <v>0</v>
      </c>
      <c r="H23" s="35">
        <f>IF((данные!N24+данные!O24+данные!P24+данные!Q24+данные!R24)&gt;результат!G26,данные!X24*0.9,данные!N24)</f>
        <v>0</v>
      </c>
      <c r="I23" s="35">
        <f>IF((данные!N24+данные!O24+данные!P24+данные!Q24+данные!R24)&gt;результат!G26,данные!Y24*0.9,данные!O24)</f>
        <v>0</v>
      </c>
      <c r="J23" s="35">
        <f>IF((данные!N24+данные!O24+данные!P24+данные!Q24+данные!R24)&gt;результат!G26,данные!Z24*0.9,данные!P24)</f>
        <v>0</v>
      </c>
      <c r="K23" s="35">
        <f>IF((данные!N24+данные!O24+данные!P24+данные!Q24+данные!R24)&gt;результат!G26,данные!AA24*0.9,данные!Q24)</f>
        <v>0</v>
      </c>
      <c r="L23" s="35">
        <f>IF((данные!N24+данные!O24+данные!P24+данные!Q24+данные!R24)&gt;результат!G26,данные!AB24*0.9,данные!R24)</f>
        <v>0</v>
      </c>
      <c r="M23" s="46">
        <f t="shared" si="0"/>
        <v>0</v>
      </c>
    </row>
    <row r="24" spans="1:13" x14ac:dyDescent="0.25">
      <c r="A24" s="33">
        <f>калькулятор!C29</f>
        <v>0</v>
      </c>
      <c r="B24" s="34">
        <f>калькулятор!D29</f>
        <v>0</v>
      </c>
      <c r="C24" s="34">
        <f>калькулятор!E29</f>
        <v>0</v>
      </c>
      <c r="D24" s="34">
        <f>калькулятор!F29</f>
        <v>0</v>
      </c>
      <c r="E24" s="34">
        <f>калькулятор!G29</f>
        <v>0</v>
      </c>
      <c r="F24" s="34">
        <f>калькулятор!H29</f>
        <v>0</v>
      </c>
      <c r="G24" s="35">
        <f>калькулятор!I29</f>
        <v>0</v>
      </c>
      <c r="H24" s="35">
        <f>IF((данные!N25+данные!O25+данные!P25+данные!Q25+данные!R25)&gt;результат!G27,данные!X25*0.9,данные!N25)</f>
        <v>0</v>
      </c>
      <c r="I24" s="35">
        <f>IF((данные!N25+данные!O25+данные!P25+данные!Q25+данные!R25)&gt;результат!G27,данные!Y25*0.9,данные!O25)</f>
        <v>0</v>
      </c>
      <c r="J24" s="35">
        <f>IF((данные!N25+данные!O25+данные!P25+данные!Q25+данные!R25)&gt;результат!G27,данные!Z25*0.9,данные!P25)</f>
        <v>0</v>
      </c>
      <c r="K24" s="35">
        <f>IF((данные!N25+данные!O25+данные!P25+данные!Q25+данные!R25)&gt;результат!G27,данные!AA25*0.9,данные!Q25)</f>
        <v>0</v>
      </c>
      <c r="L24" s="35">
        <f>IF((данные!N25+данные!O25+данные!P25+данные!Q25+данные!R25)&gt;результат!G27,данные!AB25*0.9,данные!R25)</f>
        <v>0</v>
      </c>
      <c r="M24" s="46">
        <f t="shared" si="0"/>
        <v>0</v>
      </c>
    </row>
    <row r="25" spans="1:13" x14ac:dyDescent="0.25">
      <c r="A25" s="33">
        <f>калькулятор!C30</f>
        <v>0</v>
      </c>
      <c r="B25" s="34">
        <f>калькулятор!D30</f>
        <v>0</v>
      </c>
      <c r="C25" s="34">
        <f>калькулятор!E30</f>
        <v>0</v>
      </c>
      <c r="D25" s="36">
        <f>калькулятор!F30</f>
        <v>0</v>
      </c>
      <c r="E25" s="34">
        <f>калькулятор!G30</f>
        <v>0</v>
      </c>
      <c r="F25" s="34">
        <f>калькулятор!H30</f>
        <v>0</v>
      </c>
      <c r="G25" s="35">
        <f>калькулятор!I30</f>
        <v>0</v>
      </c>
      <c r="H25" s="35">
        <f>IF((данные!N26+данные!O26+данные!P26+данные!Q26+данные!R26)&gt;результат!G28,данные!X26*0.9,данные!N26)</f>
        <v>0</v>
      </c>
      <c r="I25" s="35">
        <f>IF((данные!N26+данные!O26+данные!P26+данные!Q26+данные!R26)&gt;результат!G28,данные!Y26*0.9,данные!O26)</f>
        <v>0</v>
      </c>
      <c r="J25" s="35">
        <f>IF((данные!N26+данные!O26+данные!P26+данные!Q26+данные!R26)&gt;результат!G28,данные!Z26*0.9,данные!P26)</f>
        <v>0</v>
      </c>
      <c r="K25" s="35">
        <f>IF((данные!N26+данные!O26+данные!P26+данные!Q26+данные!R26)&gt;результат!G28,данные!AA26*0.9,данные!Q26)</f>
        <v>0</v>
      </c>
      <c r="L25" s="35">
        <f>IF((данные!N26+данные!O26+данные!P26+данные!Q26+данные!R26)&gt;результат!G28,данные!AB26*0.9,данные!R26)</f>
        <v>0</v>
      </c>
      <c r="M25" s="46">
        <f t="shared" si="0"/>
        <v>0</v>
      </c>
    </row>
    <row r="26" spans="1:13" x14ac:dyDescent="0.25">
      <c r="A26" s="33">
        <f>калькулятор!C31</f>
        <v>0</v>
      </c>
      <c r="B26" s="34">
        <f>калькулятор!D31</f>
        <v>0</v>
      </c>
      <c r="C26" s="34">
        <f>калькулятор!E31</f>
        <v>0</v>
      </c>
      <c r="D26" s="36">
        <f>калькулятор!F31</f>
        <v>0</v>
      </c>
      <c r="E26" s="34">
        <f>калькулятор!G31</f>
        <v>0</v>
      </c>
      <c r="F26" s="34">
        <f>калькулятор!H31</f>
        <v>0</v>
      </c>
      <c r="G26" s="35">
        <f>калькулятор!I31</f>
        <v>0</v>
      </c>
      <c r="H26" s="35">
        <f>IF((данные!N27+данные!O27+данные!P27+данные!Q27+данные!R27)&gt;результат!G29,данные!X27*0.9,данные!N27)</f>
        <v>0</v>
      </c>
      <c r="I26" s="35">
        <f>IF((данные!N27+данные!O27+данные!P27+данные!Q27+данные!R27)&gt;результат!G29,данные!Y27*0.9,данные!O27)</f>
        <v>0</v>
      </c>
      <c r="J26" s="35">
        <f>IF((данные!N27+данные!O27+данные!P27+данные!Q27+данные!R27)&gt;результат!G29,данные!Z27*0.9,данные!P27)</f>
        <v>0</v>
      </c>
      <c r="K26" s="35">
        <f>IF((данные!N27+данные!O27+данные!P27+данные!Q27+данные!R27)&gt;результат!G29,данные!AA27*0.9,данные!Q27)</f>
        <v>0</v>
      </c>
      <c r="L26" s="35">
        <f>IF((данные!N27+данные!O27+данные!P27+данные!Q27+данные!R27)&gt;результат!G29,данные!AB27*0.9,данные!R27)</f>
        <v>0</v>
      </c>
      <c r="M26" s="46">
        <f t="shared" si="0"/>
        <v>0</v>
      </c>
    </row>
    <row r="27" spans="1:13" x14ac:dyDescent="0.25">
      <c r="A27" s="33">
        <f>калькулятор!C32</f>
        <v>0</v>
      </c>
      <c r="B27" s="34">
        <f>калькулятор!D32</f>
        <v>0</v>
      </c>
      <c r="C27" s="34">
        <f>калькулятор!E32</f>
        <v>0</v>
      </c>
      <c r="D27" s="34">
        <f>калькулятор!F32</f>
        <v>0</v>
      </c>
      <c r="E27" s="34">
        <f>калькулятор!G32</f>
        <v>0</v>
      </c>
      <c r="F27" s="34">
        <f>калькулятор!H32</f>
        <v>0</v>
      </c>
      <c r="G27" s="35">
        <f>калькулятор!I32</f>
        <v>0</v>
      </c>
      <c r="H27" s="35">
        <f>IF((данные!N28+данные!O28+данные!P28+данные!Q28+данные!R28)&gt;результат!G30,данные!X28*0.9,данные!N28)</f>
        <v>0</v>
      </c>
      <c r="I27" s="35">
        <f>IF((данные!N28+данные!O28+данные!P28+данные!Q28+данные!R28)&gt;результат!G30,данные!Y28*0.9,данные!O28)</f>
        <v>0</v>
      </c>
      <c r="J27" s="35">
        <f>IF((данные!N28+данные!O28+данные!P28+данные!Q28+данные!R28)&gt;результат!G30,данные!Z28*0.9,данные!P28)</f>
        <v>0</v>
      </c>
      <c r="K27" s="35">
        <f>IF((данные!N28+данные!O28+данные!P28+данные!Q28+данные!R28)&gt;результат!G30,данные!AA28*0.9,данные!Q28)</f>
        <v>0</v>
      </c>
      <c r="L27" s="35">
        <f>IF((данные!N28+данные!O28+данные!P28+данные!Q28+данные!R28)&gt;результат!G30,данные!AB28*0.9,данные!R28)</f>
        <v>0</v>
      </c>
      <c r="M27" s="46">
        <f t="shared" si="0"/>
        <v>0</v>
      </c>
    </row>
    <row r="28" spans="1:13" x14ac:dyDescent="0.25">
      <c r="A28" s="33">
        <f>калькулятор!C33</f>
        <v>0</v>
      </c>
      <c r="B28" s="34">
        <f>калькулятор!D33</f>
        <v>0</v>
      </c>
      <c r="C28" s="34">
        <f>калькулятор!E33</f>
        <v>0</v>
      </c>
      <c r="D28" s="36">
        <f>калькулятор!F33</f>
        <v>0</v>
      </c>
      <c r="E28" s="34">
        <f>калькулятор!G33</f>
        <v>0</v>
      </c>
      <c r="F28" s="34">
        <f>калькулятор!H33</f>
        <v>0</v>
      </c>
      <c r="G28" s="35">
        <f>калькулятор!I33</f>
        <v>0</v>
      </c>
      <c r="H28" s="35">
        <f>IF((данные!N29+данные!O29+данные!P29+данные!Q29+данные!R29)&gt;результат!G31,данные!X29*0.9,данные!N29)</f>
        <v>0</v>
      </c>
      <c r="I28" s="35">
        <f>IF((данные!N29+данные!O29+данные!P29+данные!Q29+данные!R29)&gt;результат!G31,данные!Y29*0.9,данные!O29)</f>
        <v>0</v>
      </c>
      <c r="J28" s="35">
        <f>IF((данные!N29+данные!O29+данные!P29+данные!Q29+данные!R29)&gt;результат!G31,данные!Z29*0.9,данные!P29)</f>
        <v>0</v>
      </c>
      <c r="K28" s="35">
        <f>IF((данные!N29+данные!O29+данные!P29+данные!Q29+данные!R29)&gt;результат!G31,данные!AA29*0.9,данные!Q29)</f>
        <v>0</v>
      </c>
      <c r="L28" s="35">
        <f>IF((данные!N29+данные!O29+данные!P29+данные!Q29+данные!R29)&gt;результат!G31,данные!AB29*0.9,данные!R29)</f>
        <v>0</v>
      </c>
      <c r="M28" s="46">
        <f t="shared" si="0"/>
        <v>0</v>
      </c>
    </row>
    <row r="29" spans="1:13" x14ac:dyDescent="0.25">
      <c r="A29" s="33">
        <f>калькулятор!C34</f>
        <v>0</v>
      </c>
      <c r="B29" s="34">
        <f>калькулятор!D34</f>
        <v>0</v>
      </c>
      <c r="C29" s="34">
        <f>калькулятор!E34</f>
        <v>0</v>
      </c>
      <c r="D29" s="36">
        <f>калькулятор!F34</f>
        <v>0</v>
      </c>
      <c r="E29" s="34">
        <f>калькулятор!G34</f>
        <v>0</v>
      </c>
      <c r="F29" s="34">
        <f>калькулятор!H34</f>
        <v>0</v>
      </c>
      <c r="G29" s="35">
        <f>калькулятор!I34</f>
        <v>0</v>
      </c>
      <c r="H29" s="35">
        <f>IF((данные!N30+данные!O30+данные!P30+данные!Q30+данные!R30)&gt;результат!G32,данные!X30*0.9,данные!N30)</f>
        <v>0</v>
      </c>
      <c r="I29" s="35">
        <f>IF((данные!N30+данные!O30+данные!P30+данные!Q30+данные!R30)&gt;результат!G32,данные!Y30*0.9,данные!O30)</f>
        <v>0</v>
      </c>
      <c r="J29" s="35">
        <f>IF((данные!N30+данные!O30+данные!P30+данные!Q30+данные!R30)&gt;результат!G32,данные!Z30*0.9,данные!P30)</f>
        <v>0</v>
      </c>
      <c r="K29" s="35">
        <f>IF((данные!N30+данные!O30+данные!P30+данные!Q30+данные!R30)&gt;результат!G32,данные!AA30*0.9,данные!Q30)</f>
        <v>0</v>
      </c>
      <c r="L29" s="35">
        <f>IF((данные!N30+данные!O30+данные!P30+данные!Q30+данные!R30)&gt;результат!G32,данные!AB30*0.9,данные!R30)</f>
        <v>0</v>
      </c>
      <c r="M29" s="46">
        <f t="shared" si="0"/>
        <v>0</v>
      </c>
    </row>
    <row r="30" spans="1:13" x14ac:dyDescent="0.25">
      <c r="A30" s="33">
        <f>калькулятор!C35</f>
        <v>0</v>
      </c>
      <c r="B30" s="34">
        <f>калькулятор!D35</f>
        <v>0</v>
      </c>
      <c r="C30" s="34">
        <f>калькулятор!E35</f>
        <v>0</v>
      </c>
      <c r="D30" s="37">
        <f>калькулятор!F35</f>
        <v>0</v>
      </c>
      <c r="E30" s="34">
        <f>калькулятор!G35</f>
        <v>0</v>
      </c>
      <c r="F30" s="34">
        <f>калькулятор!H35</f>
        <v>0</v>
      </c>
      <c r="G30" s="35">
        <f>калькулятор!I35</f>
        <v>0</v>
      </c>
      <c r="H30" s="35">
        <f>IF((данные!N31+данные!O31+данные!P31+данные!Q31+данные!R31)&gt;результат!G33,данные!X31*0.9,данные!N31)</f>
        <v>0</v>
      </c>
      <c r="I30" s="35">
        <f>IF((данные!N31+данные!O31+данные!P31+данные!Q31+данные!R31)&gt;результат!G33,данные!Y31*0.9,данные!O31)</f>
        <v>0</v>
      </c>
      <c r="J30" s="35">
        <f>IF((данные!N31+данные!O31+данные!P31+данные!Q31+данные!R31)&gt;результат!G33,данные!Z31*0.9,данные!P31)</f>
        <v>0</v>
      </c>
      <c r="K30" s="35">
        <f>IF((данные!N31+данные!O31+данные!P31+данные!Q31+данные!R31)&gt;результат!G33,данные!AA31*0.9,данные!Q31)</f>
        <v>0</v>
      </c>
      <c r="L30" s="35">
        <f>IF((данные!N31+данные!O31+данные!P31+данные!Q31+данные!R31)&gt;результат!G33,данные!AB31*0.9,данные!R31)</f>
        <v>0</v>
      </c>
      <c r="M30" s="46">
        <f t="shared" si="0"/>
        <v>0</v>
      </c>
    </row>
    <row r="31" spans="1:13" x14ac:dyDescent="0.25">
      <c r="A31" s="33">
        <f>калькулятор!C36</f>
        <v>0</v>
      </c>
      <c r="B31" s="34">
        <f>калькулятор!D36</f>
        <v>0</v>
      </c>
      <c r="C31" s="34">
        <f>калькулятор!E36</f>
        <v>0</v>
      </c>
      <c r="D31" s="36">
        <f>калькулятор!F36</f>
        <v>0</v>
      </c>
      <c r="E31" s="34">
        <f>калькулятор!G36</f>
        <v>0</v>
      </c>
      <c r="F31" s="34">
        <f>калькулятор!H36</f>
        <v>0</v>
      </c>
      <c r="G31" s="35">
        <f>калькулятор!I36</f>
        <v>0</v>
      </c>
      <c r="H31" s="35">
        <f>IF((данные!N32+данные!O32+данные!P32+данные!Q32+данные!R32)&gt;результат!G34,данные!X32*0.9,данные!N32)</f>
        <v>0</v>
      </c>
      <c r="I31" s="35">
        <f>IF((данные!N32+данные!O32+данные!P32+данные!Q32+данные!R32)&gt;результат!G34,данные!Y32*0.9,данные!O32)</f>
        <v>0</v>
      </c>
      <c r="J31" s="35">
        <f>IF((данные!N32+данные!O32+данные!P32+данные!Q32+данные!R32)&gt;результат!G34,данные!Z32*0.9,данные!P32)</f>
        <v>0</v>
      </c>
      <c r="K31" s="35">
        <f>IF((данные!N32+данные!O32+данные!P32+данные!Q32+данные!R32)&gt;результат!G34,данные!AA32*0.9,данные!Q32)</f>
        <v>0</v>
      </c>
      <c r="L31" s="35">
        <f>IF((данные!N32+данные!O32+данные!P32+данные!Q32+данные!R32)&gt;результат!G34,данные!AB32*0.9,данные!R32)</f>
        <v>0</v>
      </c>
      <c r="M31" s="46">
        <f t="shared" si="0"/>
        <v>0</v>
      </c>
    </row>
    <row r="32" spans="1:13" x14ac:dyDescent="0.25">
      <c r="A32" s="33">
        <f>калькулятор!C37</f>
        <v>0</v>
      </c>
      <c r="B32" s="34">
        <f>калькулятор!D37</f>
        <v>0</v>
      </c>
      <c r="C32" s="34">
        <f>калькулятор!E37</f>
        <v>0</v>
      </c>
      <c r="D32" s="36">
        <f>калькулятор!F37</f>
        <v>0</v>
      </c>
      <c r="E32" s="34">
        <f>калькулятор!G37</f>
        <v>0</v>
      </c>
      <c r="F32" s="34">
        <f>калькулятор!H37</f>
        <v>0</v>
      </c>
      <c r="G32" s="35">
        <f>калькулятор!I37</f>
        <v>0</v>
      </c>
      <c r="H32" s="35">
        <f>IF((данные!N33+данные!O33+данные!P33+данные!Q33+данные!R33)&gt;результат!G35,данные!X33*0.9,данные!N33)</f>
        <v>0</v>
      </c>
      <c r="I32" s="35">
        <f>IF((данные!N33+данные!O33+данные!P33+данные!Q33+данные!R33)&gt;результат!G35,данные!Y33*0.9,данные!O33)</f>
        <v>0</v>
      </c>
      <c r="J32" s="35">
        <f>IF((данные!N33+данные!O33+данные!P33+данные!Q33+данные!R33)&gt;результат!G35,данные!Z33*0.9,данные!P33)</f>
        <v>0</v>
      </c>
      <c r="K32" s="35">
        <f>IF((данные!N33+данные!O33+данные!P33+данные!Q33+данные!R33)&gt;результат!G35,данные!AA33*0.9,данные!Q33)</f>
        <v>0</v>
      </c>
      <c r="L32" s="35">
        <f>IF((данные!N33+данные!O33+данные!P33+данные!Q33+данные!R33)&gt;результат!G35,данные!AB33*0.9,данные!R33)</f>
        <v>0</v>
      </c>
      <c r="M32" s="46">
        <f t="shared" si="0"/>
        <v>0</v>
      </c>
    </row>
    <row r="33" spans="1:13" x14ac:dyDescent="0.25">
      <c r="A33" s="33">
        <f>калькулятор!C38</f>
        <v>0</v>
      </c>
      <c r="B33" s="34">
        <f>калькулятор!D38</f>
        <v>0</v>
      </c>
      <c r="C33" s="34">
        <f>калькулятор!E38</f>
        <v>0</v>
      </c>
      <c r="D33" s="36">
        <f>калькулятор!F38</f>
        <v>0</v>
      </c>
      <c r="E33" s="34">
        <f>калькулятор!G38</f>
        <v>0</v>
      </c>
      <c r="F33" s="34">
        <f>калькулятор!H38</f>
        <v>0</v>
      </c>
      <c r="G33" s="35">
        <f>калькулятор!I38</f>
        <v>0</v>
      </c>
      <c r="H33" s="35">
        <f>IF((данные!N34+данные!O34+данные!P34+данные!Q34+данные!R34)&gt;результат!G36,данные!X34*0.9,данные!N34)</f>
        <v>0</v>
      </c>
      <c r="I33" s="35">
        <f>IF((данные!N34+данные!O34+данные!P34+данные!Q34+данные!R34)&gt;результат!G36,данные!Y34*0.9,данные!O34)</f>
        <v>0</v>
      </c>
      <c r="J33" s="35">
        <f>IF((данные!N34+данные!O34+данные!P34+данные!Q34+данные!R34)&gt;результат!G36,данные!Z34*0.9,данные!P34)</f>
        <v>0</v>
      </c>
      <c r="K33" s="35">
        <f>IF((данные!N34+данные!O34+данные!P34+данные!Q34+данные!R34)&gt;результат!G36,данные!AA34*0.9,данные!Q34)</f>
        <v>0</v>
      </c>
      <c r="L33" s="35">
        <f>IF((данные!N34+данные!O34+данные!P34+данные!Q34+данные!R34)&gt;результат!G36,данные!AB34*0.9,данные!R34)</f>
        <v>0</v>
      </c>
      <c r="M33" s="46">
        <f t="shared" si="0"/>
        <v>0</v>
      </c>
    </row>
    <row r="34" spans="1:13" x14ac:dyDescent="0.25">
      <c r="A34" s="33">
        <f>калькулятор!C39</f>
        <v>0</v>
      </c>
      <c r="B34" s="34">
        <f>калькулятор!D39</f>
        <v>0</v>
      </c>
      <c r="C34" s="34">
        <f>калькулятор!E39</f>
        <v>0</v>
      </c>
      <c r="D34" s="36">
        <f>калькулятор!F39</f>
        <v>0</v>
      </c>
      <c r="E34" s="34">
        <f>калькулятор!G39</f>
        <v>0</v>
      </c>
      <c r="F34" s="34">
        <f>калькулятор!H39</f>
        <v>0</v>
      </c>
      <c r="G34" s="35">
        <f>калькулятор!I39</f>
        <v>0</v>
      </c>
      <c r="H34" s="35">
        <f>IF((данные!N35+данные!O35+данные!P35+данные!Q35+данные!R35)&gt;результат!G37,данные!X35*0.9,данные!N35)</f>
        <v>0</v>
      </c>
      <c r="I34" s="35">
        <f>IF((данные!N35+данные!O35+данные!P35+данные!Q35+данные!R35)&gt;результат!G37,данные!Y35*0.9,данные!O35)</f>
        <v>0</v>
      </c>
      <c r="J34" s="35">
        <f>IF((данные!N35+данные!O35+данные!P35+данные!Q35+данные!R35)&gt;результат!G37,данные!Z35*0.9,данные!P35)</f>
        <v>0</v>
      </c>
      <c r="K34" s="35">
        <f>IF((данные!N35+данные!O35+данные!P35+данные!Q35+данные!R35)&gt;результат!G37,данные!AA35*0.9,данные!Q35)</f>
        <v>0</v>
      </c>
      <c r="L34" s="35">
        <f>IF((данные!N35+данные!O35+данные!P35+данные!Q35+данные!R35)&gt;результат!G37,данные!AB35*0.9,данные!R35)</f>
        <v>0</v>
      </c>
      <c r="M34" s="46">
        <f t="shared" si="0"/>
        <v>0</v>
      </c>
    </row>
    <row r="35" spans="1:13" x14ac:dyDescent="0.25">
      <c r="A35" s="33">
        <f>калькулятор!C40</f>
        <v>0</v>
      </c>
      <c r="B35" s="34">
        <f>калькулятор!D40</f>
        <v>0</v>
      </c>
      <c r="C35" s="34">
        <f>калькулятор!E40</f>
        <v>0</v>
      </c>
      <c r="D35" s="36">
        <f>калькулятор!F40</f>
        <v>0</v>
      </c>
      <c r="E35" s="34">
        <f>калькулятор!G40</f>
        <v>0</v>
      </c>
      <c r="F35" s="34">
        <f>калькулятор!H40</f>
        <v>0</v>
      </c>
      <c r="G35" s="35">
        <f>калькулятор!I40</f>
        <v>0</v>
      </c>
      <c r="H35" s="35">
        <f>IF((данные!N36+данные!O36+данные!P36+данные!Q36+данные!R36)&gt;результат!G38,данные!X36*0.9,данные!N36)</f>
        <v>0</v>
      </c>
      <c r="I35" s="35">
        <f>IF((данные!N36+данные!O36+данные!P36+данные!Q36+данные!R36)&gt;результат!G38,данные!Y36*0.9,данные!O36)</f>
        <v>0</v>
      </c>
      <c r="J35" s="35">
        <f>IF((данные!N36+данные!O36+данные!P36+данные!Q36+данные!R36)&gt;результат!G38,данные!Z36*0.9,данные!P36)</f>
        <v>0</v>
      </c>
      <c r="K35" s="35">
        <f>IF((данные!N36+данные!O36+данные!P36+данные!Q36+данные!R36)&gt;результат!G38,данные!AA36*0.9,данные!Q36)</f>
        <v>0</v>
      </c>
      <c r="L35" s="35">
        <f>IF((данные!N36+данные!O36+данные!P36+данные!Q36+данные!R36)&gt;результат!G38,данные!AB36*0.9,данные!R36)</f>
        <v>0</v>
      </c>
      <c r="M35" s="46">
        <f t="shared" si="0"/>
        <v>0</v>
      </c>
    </row>
    <row r="36" spans="1:13" x14ac:dyDescent="0.25">
      <c r="A36" s="33">
        <f>калькулятор!C41</f>
        <v>0</v>
      </c>
      <c r="B36" s="34">
        <f>калькулятор!D41</f>
        <v>0</v>
      </c>
      <c r="C36" s="34">
        <f>калькулятор!E41</f>
        <v>0</v>
      </c>
      <c r="D36" s="36">
        <f>калькулятор!F41</f>
        <v>0</v>
      </c>
      <c r="E36" s="34">
        <f>калькулятор!G41</f>
        <v>0</v>
      </c>
      <c r="F36" s="34">
        <f>калькулятор!H41</f>
        <v>0</v>
      </c>
      <c r="G36" s="35">
        <f>калькулятор!I41</f>
        <v>0</v>
      </c>
      <c r="H36" s="35">
        <f>IF((данные!N37+данные!O37+данные!P37+данные!Q37+данные!R37)&gt;результат!G39,данные!X37*0.9,данные!N37)</f>
        <v>0</v>
      </c>
      <c r="I36" s="35">
        <f>IF((данные!N37+данные!O37+данные!P37+данные!Q37+данные!R37)&gt;результат!G39,данные!Y37*0.9,данные!O37)</f>
        <v>0</v>
      </c>
      <c r="J36" s="35">
        <f>IF((данные!N37+данные!O37+данные!P37+данные!Q37+данные!R37)&gt;результат!G39,данные!Z37*0.9,данные!P37)</f>
        <v>0</v>
      </c>
      <c r="K36" s="35">
        <f>IF((данные!N37+данные!O37+данные!P37+данные!Q37+данные!R37)&gt;результат!G39,данные!AA37*0.9,данные!Q37)</f>
        <v>0</v>
      </c>
      <c r="L36" s="35">
        <f>IF((данные!N37+данные!O37+данные!P37+данные!Q37+данные!R37)&gt;результат!G39,данные!AB37*0.9,данные!R37)</f>
        <v>0</v>
      </c>
      <c r="M36" s="46">
        <f t="shared" si="0"/>
        <v>0</v>
      </c>
    </row>
    <row r="37" spans="1:13" x14ac:dyDescent="0.25">
      <c r="A37" s="33">
        <f>калькулятор!C42</f>
        <v>0</v>
      </c>
      <c r="B37" s="34">
        <f>калькулятор!D42</f>
        <v>0</v>
      </c>
      <c r="C37" s="34">
        <f>калькулятор!E42</f>
        <v>0</v>
      </c>
      <c r="D37" s="36">
        <f>калькулятор!F42</f>
        <v>0</v>
      </c>
      <c r="E37" s="34">
        <f>калькулятор!G42</f>
        <v>0</v>
      </c>
      <c r="F37" s="34">
        <f>калькулятор!H42</f>
        <v>0</v>
      </c>
      <c r="G37" s="35">
        <f>калькулятор!I42</f>
        <v>0</v>
      </c>
      <c r="H37" s="35">
        <f>IF((данные!N38+данные!O38+данные!P38+данные!Q38+данные!R38)&gt;результат!G40,данные!X38*0.9,данные!N38)</f>
        <v>0</v>
      </c>
      <c r="I37" s="35">
        <f>IF((данные!N38+данные!O38+данные!P38+данные!Q38+данные!R38)&gt;результат!G40,данные!Y38*0.9,данные!O38)</f>
        <v>0</v>
      </c>
      <c r="J37" s="35">
        <f>IF((данные!N38+данные!O38+данные!P38+данные!Q38+данные!R38)&gt;результат!G40,данные!Z38*0.9,данные!P38)</f>
        <v>0</v>
      </c>
      <c r="K37" s="35">
        <f>IF((данные!N38+данные!O38+данные!P38+данные!Q38+данные!R38)&gt;результат!G40,данные!AA38*0.9,данные!Q38)</f>
        <v>0</v>
      </c>
      <c r="L37" s="35">
        <f>IF((данные!N38+данные!O38+данные!P38+данные!Q38+данные!R38)&gt;результат!G40,данные!AB38*0.9,данные!R38)</f>
        <v>0</v>
      </c>
      <c r="M37" s="46">
        <f t="shared" si="0"/>
        <v>0</v>
      </c>
    </row>
    <row r="38" spans="1:13" x14ac:dyDescent="0.25">
      <c r="A38" s="33">
        <f>калькулятор!C43</f>
        <v>0</v>
      </c>
      <c r="B38" s="34">
        <f>калькулятор!D43</f>
        <v>0</v>
      </c>
      <c r="C38" s="34">
        <f>калькулятор!E43</f>
        <v>0</v>
      </c>
      <c r="D38" s="36">
        <f>калькулятор!F43</f>
        <v>0</v>
      </c>
      <c r="E38" s="34">
        <f>калькулятор!G43</f>
        <v>0</v>
      </c>
      <c r="F38" s="34">
        <f>калькулятор!H43</f>
        <v>0</v>
      </c>
      <c r="G38" s="35">
        <f>калькулятор!I43</f>
        <v>0</v>
      </c>
      <c r="H38" s="35">
        <f>IF((данные!N39+данные!O39+данные!P39+данные!Q39+данные!R39)&gt;результат!G41,данные!X39*0.9,данные!N39)</f>
        <v>0</v>
      </c>
      <c r="I38" s="35">
        <f>IF((данные!N39+данные!O39+данные!P39+данные!Q39+данные!R39)&gt;результат!G41,данные!Y39*0.9,данные!O39)</f>
        <v>0</v>
      </c>
      <c r="J38" s="35">
        <f>IF((данные!N39+данные!O39+данные!P39+данные!Q39+данные!R39)&gt;результат!G41,данные!Z39*0.9,данные!P39)</f>
        <v>0</v>
      </c>
      <c r="K38" s="35">
        <f>IF((данные!N39+данные!O39+данные!P39+данные!Q39+данные!R39)&gt;результат!G41,данные!AA39*0.9,данные!Q39)</f>
        <v>0</v>
      </c>
      <c r="L38" s="35">
        <f>IF((данные!N39+данные!O39+данные!P39+данные!Q39+данные!R39)&gt;результат!G41,данные!AB39*0.9,данные!R39)</f>
        <v>0</v>
      </c>
      <c r="M38" s="46">
        <f t="shared" si="0"/>
        <v>0</v>
      </c>
    </row>
    <row r="39" spans="1:13" x14ac:dyDescent="0.25">
      <c r="A39" s="33">
        <f>калькулятор!C44</f>
        <v>0</v>
      </c>
      <c r="B39" s="34">
        <f>калькулятор!D44</f>
        <v>0</v>
      </c>
      <c r="C39" s="34">
        <f>калькулятор!E44</f>
        <v>0</v>
      </c>
      <c r="D39" s="36">
        <f>калькулятор!F44</f>
        <v>0</v>
      </c>
      <c r="E39" s="34">
        <f>калькулятор!G44</f>
        <v>0</v>
      </c>
      <c r="F39" s="34">
        <f>калькулятор!H44</f>
        <v>0</v>
      </c>
      <c r="G39" s="35">
        <f>калькулятор!I44</f>
        <v>0</v>
      </c>
      <c r="H39" s="35">
        <f>IF((данные!N40+данные!O40+данные!P40+данные!Q40+данные!R40)&gt;результат!G42,данные!X40*0.9,данные!N40)</f>
        <v>0</v>
      </c>
      <c r="I39" s="35">
        <f>IF((данные!N40+данные!O40+данные!P40+данные!Q40+данные!R40)&gt;результат!G42,данные!Y40*0.9,данные!O40)</f>
        <v>0</v>
      </c>
      <c r="J39" s="35">
        <f>IF((данные!N40+данные!O40+данные!P40+данные!Q40+данные!R40)&gt;результат!G42,данные!Z40*0.9,данные!P40)</f>
        <v>0</v>
      </c>
      <c r="K39" s="35">
        <f>IF((данные!N40+данные!O40+данные!P40+данные!Q40+данные!R40)&gt;результат!G42,данные!AA40*0.9,данные!Q40)</f>
        <v>0</v>
      </c>
      <c r="L39" s="35">
        <f>IF((данные!N40+данные!O40+данные!P40+данные!Q40+данные!R40)&gt;результат!G42,данные!AB40*0.9,данные!R40)</f>
        <v>0</v>
      </c>
      <c r="M39" s="46">
        <f t="shared" si="0"/>
        <v>0</v>
      </c>
    </row>
    <row r="40" spans="1:13" x14ac:dyDescent="0.25">
      <c r="A40" s="33">
        <f>калькулятор!C45</f>
        <v>0</v>
      </c>
      <c r="B40" s="34">
        <f>калькулятор!D45</f>
        <v>0</v>
      </c>
      <c r="C40" s="34">
        <f>калькулятор!E45</f>
        <v>0</v>
      </c>
      <c r="D40" s="36">
        <f>калькулятор!F45</f>
        <v>0</v>
      </c>
      <c r="E40" s="34">
        <f>калькулятор!G45</f>
        <v>0</v>
      </c>
      <c r="F40" s="34">
        <f>калькулятор!H45</f>
        <v>0</v>
      </c>
      <c r="G40" s="35">
        <f>калькулятор!I45</f>
        <v>0</v>
      </c>
      <c r="H40" s="35">
        <f>IF((данные!N41+данные!O41+данные!P41+данные!Q41+данные!R41)&gt;результат!G43,данные!X41*0.9,данные!N41)</f>
        <v>0</v>
      </c>
      <c r="I40" s="35">
        <f>IF((данные!N41+данные!O41+данные!P41+данные!Q41+данные!R41)&gt;результат!G43,данные!Y41*0.9,данные!O41)</f>
        <v>0</v>
      </c>
      <c r="J40" s="35">
        <f>IF((данные!N41+данные!O41+данные!P41+данные!Q41+данные!R41)&gt;результат!G43,данные!Z41*0.9,данные!P41)</f>
        <v>0</v>
      </c>
      <c r="K40" s="35">
        <f>IF((данные!N41+данные!O41+данные!P41+данные!Q41+данные!R41)&gt;результат!G43,данные!AA41*0.9,данные!Q41)</f>
        <v>0</v>
      </c>
      <c r="L40" s="35">
        <f>IF((данные!N41+данные!O41+данные!P41+данные!Q41+данные!R41)&gt;результат!G43,данные!AB41*0.9,данные!R41)</f>
        <v>0</v>
      </c>
      <c r="M40" s="46">
        <f t="shared" si="0"/>
        <v>0</v>
      </c>
    </row>
    <row r="41" spans="1:13" x14ac:dyDescent="0.25">
      <c r="A41" s="33">
        <f>калькулятор!C46</f>
        <v>0</v>
      </c>
      <c r="B41" s="34">
        <f>калькулятор!D46</f>
        <v>0</v>
      </c>
      <c r="C41" s="34">
        <f>калькулятор!E46</f>
        <v>0</v>
      </c>
      <c r="D41" s="36">
        <f>калькулятор!F46</f>
        <v>0</v>
      </c>
      <c r="E41" s="34">
        <f>калькулятор!G46</f>
        <v>0</v>
      </c>
      <c r="F41" s="34">
        <f>калькулятор!H46</f>
        <v>0</v>
      </c>
      <c r="G41" s="35">
        <f>калькулятор!I46</f>
        <v>0</v>
      </c>
      <c r="H41" s="35">
        <f>IF((данные!N42+данные!O42+данные!P42+данные!Q42+данные!R42)&gt;результат!G44,данные!X42*0.9,данные!N42)</f>
        <v>0</v>
      </c>
      <c r="I41" s="35">
        <f>IF((данные!N42+данные!O42+данные!P42+данные!Q42+данные!R42)&gt;результат!G44,данные!Y42*0.9,данные!O42)</f>
        <v>0</v>
      </c>
      <c r="J41" s="35">
        <f>IF((данные!N42+данные!O42+данные!P42+данные!Q42+данные!R42)&gt;результат!G44,данные!Z42*0.9,данные!P42)</f>
        <v>0</v>
      </c>
      <c r="K41" s="35">
        <f>IF((данные!N42+данные!O42+данные!P42+данные!Q42+данные!R42)&gt;результат!G44,данные!AA42*0.9,данные!Q42)</f>
        <v>0</v>
      </c>
      <c r="L41" s="35">
        <f>IF((данные!N42+данные!O42+данные!P42+данные!Q42+данные!R42)&gt;результат!G44,данные!AB42*0.9,данные!R42)</f>
        <v>0</v>
      </c>
      <c r="M41" s="46">
        <f t="shared" si="0"/>
        <v>0</v>
      </c>
    </row>
    <row r="42" spans="1:13" x14ac:dyDescent="0.25">
      <c r="A42" s="33">
        <f>калькулятор!C47</f>
        <v>0</v>
      </c>
      <c r="B42" s="34">
        <f>калькулятор!D47</f>
        <v>0</v>
      </c>
      <c r="C42" s="34">
        <f>калькулятор!E47</f>
        <v>0</v>
      </c>
      <c r="D42" s="36">
        <f>калькулятор!F47</f>
        <v>0</v>
      </c>
      <c r="E42" s="34">
        <f>калькулятор!G47</f>
        <v>0</v>
      </c>
      <c r="F42" s="34">
        <f>калькулятор!H47</f>
        <v>0</v>
      </c>
      <c r="G42" s="35">
        <f>калькулятор!I47</f>
        <v>0</v>
      </c>
      <c r="H42" s="35">
        <f>IF((данные!N43+данные!O43+данные!P43+данные!Q43+данные!R43)&gt;результат!G45,данные!X43*0.9,данные!N43)</f>
        <v>0</v>
      </c>
      <c r="I42" s="35">
        <f>IF((данные!N43+данные!O43+данные!P43+данные!Q43+данные!R43)&gt;результат!G45,данные!Y43*0.9,данные!O43)</f>
        <v>0</v>
      </c>
      <c r="J42" s="35">
        <f>IF((данные!N43+данные!O43+данные!P43+данные!Q43+данные!R43)&gt;результат!G45,данные!Z43*0.9,данные!P43)</f>
        <v>0</v>
      </c>
      <c r="K42" s="35">
        <f>IF((данные!N43+данные!O43+данные!P43+данные!Q43+данные!R43)&gt;результат!G45,данные!AA43*0.9,данные!Q43)</f>
        <v>0</v>
      </c>
      <c r="L42" s="35">
        <f>IF((данные!N43+данные!O43+данные!P43+данные!Q43+данные!R43)&gt;результат!G45,данные!AB43*0.9,данные!R43)</f>
        <v>0</v>
      </c>
      <c r="M42" s="46">
        <f t="shared" si="0"/>
        <v>0</v>
      </c>
    </row>
    <row r="43" spans="1:13" x14ac:dyDescent="0.25">
      <c r="A43" s="33">
        <f>калькулятор!C48</f>
        <v>0</v>
      </c>
      <c r="B43" s="34">
        <f>калькулятор!D48</f>
        <v>0</v>
      </c>
      <c r="C43" s="34">
        <f>калькулятор!E48</f>
        <v>0</v>
      </c>
      <c r="D43" s="36">
        <f>калькулятор!F48</f>
        <v>0</v>
      </c>
      <c r="E43" s="34">
        <f>калькулятор!G48</f>
        <v>0</v>
      </c>
      <c r="F43" s="34">
        <f>калькулятор!H48</f>
        <v>0</v>
      </c>
      <c r="G43" s="35">
        <f>калькулятор!I48</f>
        <v>0</v>
      </c>
      <c r="H43" s="35">
        <f>IF((данные!N44+данные!O44+данные!P44+данные!Q44+данные!R44)&gt;результат!G46,данные!X44*0.9,данные!N44)</f>
        <v>0</v>
      </c>
      <c r="I43" s="35">
        <f>IF((данные!N44+данные!O44+данные!P44+данные!Q44+данные!R44)&gt;результат!G46,данные!Y44*0.9,данные!O44)</f>
        <v>0</v>
      </c>
      <c r="J43" s="35">
        <f>IF((данные!N44+данные!O44+данные!P44+данные!Q44+данные!R44)&gt;результат!G46,данные!Z44*0.9,данные!P44)</f>
        <v>0</v>
      </c>
      <c r="K43" s="35">
        <f>IF((данные!N44+данные!O44+данные!P44+данные!Q44+данные!R44)&gt;результат!G46,данные!AA44*0.9,данные!Q44)</f>
        <v>0</v>
      </c>
      <c r="L43" s="35">
        <f>IF((данные!N44+данные!O44+данные!P44+данные!Q44+данные!R44)&gt;результат!G46,данные!AB44*0.9,данные!R44)</f>
        <v>0</v>
      </c>
      <c r="M43" s="46">
        <f t="shared" si="0"/>
        <v>0</v>
      </c>
    </row>
    <row r="44" spans="1:13" x14ac:dyDescent="0.25">
      <c r="A44" s="33">
        <f>калькулятор!C49</f>
        <v>0</v>
      </c>
      <c r="B44" s="34">
        <f>калькулятор!D49</f>
        <v>0</v>
      </c>
      <c r="C44" s="34">
        <f>калькулятор!E49</f>
        <v>0</v>
      </c>
      <c r="D44" s="36">
        <f>калькулятор!F49</f>
        <v>0</v>
      </c>
      <c r="E44" s="34">
        <f>калькулятор!G49</f>
        <v>0</v>
      </c>
      <c r="F44" s="34">
        <f>калькулятор!H49</f>
        <v>0</v>
      </c>
      <c r="G44" s="35">
        <f>калькулятор!I49</f>
        <v>0</v>
      </c>
      <c r="H44" s="35">
        <f>IF((данные!N45+данные!O45+данные!P45+данные!Q45+данные!R45)&gt;результат!G47,данные!X45*0.9,данные!N45)</f>
        <v>0</v>
      </c>
      <c r="I44" s="35">
        <f>IF((данные!N45+данные!O45+данные!P45+данные!Q45+данные!R45)&gt;результат!G47,данные!Y45*0.9,данные!O45)</f>
        <v>0</v>
      </c>
      <c r="J44" s="35">
        <f>IF((данные!N45+данные!O45+данные!P45+данные!Q45+данные!R45)&gt;результат!G47,данные!Z45*0.9,данные!P45)</f>
        <v>0</v>
      </c>
      <c r="K44" s="35">
        <f>IF((данные!N45+данные!O45+данные!P45+данные!Q45+данные!R45)&gt;результат!G47,данные!AA45*0.9,данные!Q45)</f>
        <v>0</v>
      </c>
      <c r="L44" s="35">
        <f>IF((данные!N45+данные!O45+данные!P45+данные!Q45+данные!R45)&gt;результат!G47,данные!AB45*0.9,данные!R45)</f>
        <v>0</v>
      </c>
      <c r="M44" s="46">
        <f t="shared" si="0"/>
        <v>0</v>
      </c>
    </row>
    <row r="45" spans="1:13" x14ac:dyDescent="0.25">
      <c r="A45" s="33">
        <f>калькулятор!C50</f>
        <v>0</v>
      </c>
      <c r="B45" s="34">
        <f>калькулятор!D50</f>
        <v>0</v>
      </c>
      <c r="C45" s="34">
        <f>калькулятор!E50</f>
        <v>0</v>
      </c>
      <c r="D45" s="36">
        <f>калькулятор!F50</f>
        <v>0</v>
      </c>
      <c r="E45" s="34">
        <f>калькулятор!G50</f>
        <v>0</v>
      </c>
      <c r="F45" s="34">
        <f>калькулятор!H50</f>
        <v>0</v>
      </c>
      <c r="G45" s="35">
        <f>калькулятор!I50</f>
        <v>0</v>
      </c>
      <c r="H45" s="35">
        <f>IF((данные!N46+данные!O46+данные!P46+данные!Q46+данные!R46)&gt;результат!G48,данные!X46*0.9,данные!N46)</f>
        <v>0</v>
      </c>
      <c r="I45" s="35">
        <f>IF((данные!N46+данные!O46+данные!P46+данные!Q46+данные!R46)&gt;результат!G48,данные!Y46*0.9,данные!O46)</f>
        <v>0</v>
      </c>
      <c r="J45" s="35">
        <f>IF((данные!N46+данные!O46+данные!P46+данные!Q46+данные!R46)&gt;результат!G48,данные!Z46*0.9,данные!P46)</f>
        <v>0</v>
      </c>
      <c r="K45" s="35">
        <f>IF((данные!N46+данные!O46+данные!P46+данные!Q46+данные!R46)&gt;результат!G48,данные!AA46*0.9,данные!Q46)</f>
        <v>0</v>
      </c>
      <c r="L45" s="35">
        <f>IF((данные!N46+данные!O46+данные!P46+данные!Q46+данные!R46)&gt;результат!G48,данные!AB46*0.9,данные!R46)</f>
        <v>0</v>
      </c>
      <c r="M45" s="46">
        <f t="shared" si="0"/>
        <v>0</v>
      </c>
    </row>
    <row r="46" spans="1:13" x14ac:dyDescent="0.25">
      <c r="A46" s="33">
        <f>калькулятор!C51</f>
        <v>0</v>
      </c>
      <c r="B46" s="34">
        <f>калькулятор!D51</f>
        <v>0</v>
      </c>
      <c r="C46" s="34">
        <f>калькулятор!E51</f>
        <v>0</v>
      </c>
      <c r="D46" s="36">
        <f>калькулятор!F51</f>
        <v>0</v>
      </c>
      <c r="E46" s="34">
        <f>калькулятор!G51</f>
        <v>0</v>
      </c>
      <c r="F46" s="34">
        <f>калькулятор!H51</f>
        <v>0</v>
      </c>
      <c r="G46" s="35">
        <f>калькулятор!I51</f>
        <v>0</v>
      </c>
      <c r="H46" s="35">
        <f>IF((данные!N47+данные!O47+данные!P47+данные!Q47+данные!R47)&gt;результат!G49,данные!X47*0.9,данные!N47)</f>
        <v>0</v>
      </c>
      <c r="I46" s="35">
        <f>IF((данные!N47+данные!O47+данные!P47+данные!Q47+данные!R47)&gt;результат!G49,данные!Y47*0.9,данные!O47)</f>
        <v>0</v>
      </c>
      <c r="J46" s="35">
        <f>IF((данные!N47+данные!O47+данные!P47+данные!Q47+данные!R47)&gt;результат!G49,данные!Z47*0.9,данные!P47)</f>
        <v>0</v>
      </c>
      <c r="K46" s="35">
        <f>IF((данные!N47+данные!O47+данные!P47+данные!Q47+данные!R47)&gt;результат!G49,данные!AA47*0.9,данные!Q47)</f>
        <v>0</v>
      </c>
      <c r="L46" s="35">
        <f>IF((данные!N47+данные!O47+данные!P47+данные!Q47+данные!R47)&gt;результат!G49,данные!AB47*0.9,данные!R47)</f>
        <v>0</v>
      </c>
      <c r="M46" s="46">
        <f t="shared" si="0"/>
        <v>0</v>
      </c>
    </row>
    <row r="47" spans="1:13" x14ac:dyDescent="0.25">
      <c r="A47" s="33">
        <f>калькулятор!C52</f>
        <v>0</v>
      </c>
      <c r="B47" s="34">
        <f>калькулятор!D52</f>
        <v>0</v>
      </c>
      <c r="C47" s="34">
        <f>калькулятор!E52</f>
        <v>0</v>
      </c>
      <c r="D47" s="36">
        <f>калькулятор!F52</f>
        <v>0</v>
      </c>
      <c r="E47" s="34">
        <f>калькулятор!G52</f>
        <v>0</v>
      </c>
      <c r="F47" s="34">
        <f>калькулятор!H52</f>
        <v>0</v>
      </c>
      <c r="G47" s="35">
        <f>калькулятор!I52</f>
        <v>0</v>
      </c>
      <c r="H47" s="35">
        <f>IF((данные!N48+данные!O48+данные!P48+данные!Q48+данные!R48)&gt;результат!G50,данные!X48*0.9,данные!N48)</f>
        <v>0</v>
      </c>
      <c r="I47" s="35">
        <f>IF((данные!N48+данные!O48+данные!P48+данные!Q48+данные!R48)&gt;результат!G50,данные!Y48*0.9,данные!O48)</f>
        <v>0</v>
      </c>
      <c r="J47" s="35">
        <f>IF((данные!N48+данные!O48+данные!P48+данные!Q48+данные!R48)&gt;результат!G50,данные!Z48*0.9,данные!P48)</f>
        <v>0</v>
      </c>
      <c r="K47" s="35">
        <f>IF((данные!N48+данные!O48+данные!P48+данные!Q48+данные!R48)&gt;результат!G50,данные!AA48*0.9,данные!Q48)</f>
        <v>0</v>
      </c>
      <c r="L47" s="35">
        <f>IF((данные!N48+данные!O48+данные!P48+данные!Q48+данные!R48)&gt;результат!G50,данные!AB48*0.9,данные!R48)</f>
        <v>0</v>
      </c>
      <c r="M47" s="46">
        <f t="shared" si="0"/>
        <v>0</v>
      </c>
    </row>
    <row r="48" spans="1:13" x14ac:dyDescent="0.25">
      <c r="A48" s="33">
        <f>калькулятор!C53</f>
        <v>0</v>
      </c>
      <c r="B48" s="34">
        <f>калькулятор!D53</f>
        <v>0</v>
      </c>
      <c r="C48" s="34">
        <f>калькулятор!E53</f>
        <v>0</v>
      </c>
      <c r="D48" s="36">
        <f>калькулятор!F53</f>
        <v>0</v>
      </c>
      <c r="E48" s="34">
        <f>калькулятор!G53</f>
        <v>0</v>
      </c>
      <c r="F48" s="34">
        <f>калькулятор!H53</f>
        <v>0</v>
      </c>
      <c r="G48" s="35">
        <f>калькулятор!I53</f>
        <v>0</v>
      </c>
      <c r="H48" s="35">
        <f>IF((данные!N49+данные!O49+данные!P49+данные!Q49+данные!R49)&gt;результат!G51,данные!X49*0.9,данные!N49)</f>
        <v>0</v>
      </c>
      <c r="I48" s="35">
        <f>IF((данные!N49+данные!O49+данные!P49+данные!Q49+данные!R49)&gt;результат!G51,данные!Y49*0.9,данные!O49)</f>
        <v>0</v>
      </c>
      <c r="J48" s="35">
        <f>IF((данные!N49+данные!O49+данные!P49+данные!Q49+данные!R49)&gt;результат!G51,данные!Z49*0.9,данные!P49)</f>
        <v>0</v>
      </c>
      <c r="K48" s="35">
        <f>IF((данные!N49+данные!O49+данные!P49+данные!Q49+данные!R49)&gt;результат!G51,данные!AA49*0.9,данные!Q49)</f>
        <v>0</v>
      </c>
      <c r="L48" s="35">
        <f>IF((данные!N49+данные!O49+данные!P49+данные!Q49+данные!R49)&gt;результат!G51,данные!AB49*0.9,данные!R49)</f>
        <v>0</v>
      </c>
      <c r="M48" s="46">
        <f t="shared" si="0"/>
        <v>0</v>
      </c>
    </row>
    <row r="49" spans="1:13" x14ac:dyDescent="0.25">
      <c r="A49" s="33">
        <f>калькулятор!C54</f>
        <v>0</v>
      </c>
      <c r="B49" s="34">
        <f>калькулятор!D54</f>
        <v>0</v>
      </c>
      <c r="C49" s="34">
        <f>калькулятор!E54</f>
        <v>0</v>
      </c>
      <c r="D49" s="36">
        <f>калькулятор!F54</f>
        <v>0</v>
      </c>
      <c r="E49" s="34">
        <f>калькулятор!G54</f>
        <v>0</v>
      </c>
      <c r="F49" s="34">
        <f>калькулятор!H54</f>
        <v>0</v>
      </c>
      <c r="G49" s="35">
        <f>калькулятор!I54</f>
        <v>0</v>
      </c>
      <c r="H49" s="35">
        <f>IF((данные!N50+данные!O50+данные!P50+данные!Q50+данные!R50)&gt;результат!G52,данные!X50*0.9,данные!N50)</f>
        <v>0</v>
      </c>
      <c r="I49" s="35">
        <f>IF((данные!N50+данные!O50+данные!P50+данные!Q50+данные!R50)&gt;результат!G52,данные!Y50*0.9,данные!O50)</f>
        <v>0</v>
      </c>
      <c r="J49" s="35">
        <f>IF((данные!N50+данные!O50+данные!P50+данные!Q50+данные!R50)&gt;результат!G52,данные!Z50*0.9,данные!P50)</f>
        <v>0</v>
      </c>
      <c r="K49" s="35">
        <f>IF((данные!N50+данные!O50+данные!P50+данные!Q50+данные!R50)&gt;результат!G52,данные!AA50*0.9,данные!Q50)</f>
        <v>0</v>
      </c>
      <c r="L49" s="35">
        <f>IF((данные!N50+данные!O50+данные!P50+данные!Q50+данные!R50)&gt;результат!G52,данные!AB50*0.9,данные!R50)</f>
        <v>0</v>
      </c>
      <c r="M49" s="46">
        <f t="shared" si="0"/>
        <v>0</v>
      </c>
    </row>
    <row r="50" spans="1:13" x14ac:dyDescent="0.25">
      <c r="A50" s="33">
        <f>калькулятор!C55</f>
        <v>0</v>
      </c>
      <c r="B50" s="34">
        <f>калькулятор!D55</f>
        <v>0</v>
      </c>
      <c r="C50" s="34">
        <f>калькулятор!E55</f>
        <v>0</v>
      </c>
      <c r="D50" s="36">
        <f>калькулятор!F55</f>
        <v>0</v>
      </c>
      <c r="E50" s="34">
        <f>калькулятор!G55</f>
        <v>0</v>
      </c>
      <c r="F50" s="34">
        <f>калькулятор!H55</f>
        <v>0</v>
      </c>
      <c r="G50" s="35">
        <f>калькулятор!I55</f>
        <v>0</v>
      </c>
      <c r="H50" s="35">
        <f>IF((данные!N51+данные!O51+данные!P51+данные!Q51+данные!R51)&gt;результат!G53,данные!X51*0.9,данные!N51)</f>
        <v>0</v>
      </c>
      <c r="I50" s="35">
        <f>IF((данные!N51+данные!O51+данные!P51+данные!Q51+данные!R51)&gt;результат!G53,данные!Y51*0.9,данные!O51)</f>
        <v>0</v>
      </c>
      <c r="J50" s="35">
        <f>IF((данные!N51+данные!O51+данные!P51+данные!Q51+данные!R51)&gt;результат!G53,данные!Z51*0.9,данные!P51)</f>
        <v>0</v>
      </c>
      <c r="K50" s="35">
        <f>IF((данные!N51+данные!O51+данные!P51+данные!Q51+данные!R51)&gt;результат!G53,данные!AA51*0.9,данные!Q51)</f>
        <v>0</v>
      </c>
      <c r="L50" s="35">
        <f>IF((данные!N51+данные!O51+данные!P51+данные!Q51+данные!R51)&gt;результат!G53,данные!AB51*0.9,данные!R51)</f>
        <v>0</v>
      </c>
      <c r="M50" s="46">
        <f t="shared" si="0"/>
        <v>0</v>
      </c>
    </row>
    <row r="51" spans="1:13" x14ac:dyDescent="0.25">
      <c r="A51" s="33">
        <f>калькулятор!C56</f>
        <v>0</v>
      </c>
      <c r="B51" s="34">
        <f>калькулятор!D56</f>
        <v>0</v>
      </c>
      <c r="C51" s="34">
        <f>калькулятор!E56</f>
        <v>0</v>
      </c>
      <c r="D51" s="36">
        <f>калькулятор!F56</f>
        <v>0</v>
      </c>
      <c r="E51" s="34">
        <f>калькулятор!G56</f>
        <v>0</v>
      </c>
      <c r="F51" s="34">
        <f>калькулятор!H56</f>
        <v>0</v>
      </c>
      <c r="G51" s="35">
        <f>калькулятор!I56</f>
        <v>0</v>
      </c>
      <c r="H51" s="35">
        <f>IF((данные!N52+данные!O52+данные!P52+данные!Q52+данные!R52)&gt;результат!G54,данные!X52*0.9,данные!N52)</f>
        <v>0</v>
      </c>
      <c r="I51" s="35">
        <f>IF((данные!N52+данные!O52+данные!P52+данные!Q52+данные!R52)&gt;результат!G54,данные!Y52*0.9,данные!O52)</f>
        <v>0</v>
      </c>
      <c r="J51" s="35">
        <f>IF((данные!N52+данные!O52+данные!P52+данные!Q52+данные!R52)&gt;результат!G54,данные!Z52*0.9,данные!P52)</f>
        <v>0</v>
      </c>
      <c r="K51" s="35">
        <f>IF((данные!N52+данные!O52+данные!P52+данные!Q52+данные!R52)&gt;результат!G54,данные!AA52*0.9,данные!Q52)</f>
        <v>0</v>
      </c>
      <c r="L51" s="35">
        <f>IF((данные!N52+данные!O52+данные!P52+данные!Q52+данные!R52)&gt;результат!G54,данные!AB52*0.9,данные!R52)</f>
        <v>0</v>
      </c>
      <c r="M51" s="46">
        <f t="shared" si="0"/>
        <v>0</v>
      </c>
    </row>
    <row r="52" spans="1:13" x14ac:dyDescent="0.25">
      <c r="A52" s="33">
        <f>калькулятор!C57</f>
        <v>0</v>
      </c>
      <c r="B52" s="34">
        <f>калькулятор!D57</f>
        <v>0</v>
      </c>
      <c r="C52" s="34">
        <f>калькулятор!E57</f>
        <v>0</v>
      </c>
      <c r="D52" s="36">
        <f>калькулятор!F57</f>
        <v>0</v>
      </c>
      <c r="E52" s="34">
        <f>калькулятор!G57</f>
        <v>0</v>
      </c>
      <c r="F52" s="34">
        <f>калькулятор!H57</f>
        <v>0</v>
      </c>
      <c r="G52" s="35">
        <f>калькулятор!I57</f>
        <v>0</v>
      </c>
      <c r="H52" s="35">
        <f>IF((данные!N53+данные!O53+данные!P53+данные!Q53+данные!R53)&gt;результат!G55,данные!X53*0.9,данные!N53)</f>
        <v>0</v>
      </c>
      <c r="I52" s="35">
        <f>IF((данные!N53+данные!O53+данные!P53+данные!Q53+данные!R53)&gt;результат!G55,данные!Y53*0.9,данные!O53)</f>
        <v>0</v>
      </c>
      <c r="J52" s="35">
        <f>IF((данные!N53+данные!O53+данные!P53+данные!Q53+данные!R53)&gt;результат!G55,данные!Z53*0.9,данные!P53)</f>
        <v>0</v>
      </c>
      <c r="K52" s="35">
        <f>IF((данные!N53+данные!O53+данные!P53+данные!Q53+данные!R53)&gt;результат!G55,данные!AA53*0.9,данные!Q53)</f>
        <v>0</v>
      </c>
      <c r="L52" s="35">
        <f>IF((данные!N53+данные!O53+данные!P53+данные!Q53+данные!R53)&gt;результат!G55,данные!AB53*0.9,данные!R53)</f>
        <v>0</v>
      </c>
      <c r="M52" s="46">
        <f t="shared" si="0"/>
        <v>0</v>
      </c>
    </row>
    <row r="53" spans="1:13" x14ac:dyDescent="0.25">
      <c r="A53" s="33">
        <f>калькулятор!C58</f>
        <v>0</v>
      </c>
      <c r="B53" s="34">
        <f>калькулятор!D58</f>
        <v>0</v>
      </c>
      <c r="C53" s="34">
        <f>калькулятор!E58</f>
        <v>0</v>
      </c>
      <c r="D53" s="36">
        <f>калькулятор!F58</f>
        <v>0</v>
      </c>
      <c r="E53" s="34">
        <f>калькулятор!G58</f>
        <v>0</v>
      </c>
      <c r="F53" s="34">
        <f>калькулятор!H58</f>
        <v>0</v>
      </c>
      <c r="G53" s="35">
        <f>калькулятор!I58</f>
        <v>0</v>
      </c>
      <c r="H53" s="35">
        <f>IF((данные!N54+данные!O54+данные!P54+данные!Q54+данные!R54)&gt;результат!G56,данные!X54*0.9,данные!N54)</f>
        <v>0</v>
      </c>
      <c r="I53" s="35">
        <f>IF((данные!N54+данные!O54+данные!P54+данные!Q54+данные!R54)&gt;результат!G56,данные!Y54*0.9,данные!O54)</f>
        <v>0</v>
      </c>
      <c r="J53" s="35">
        <f>IF((данные!N54+данные!O54+данные!P54+данные!Q54+данные!R54)&gt;результат!G56,данные!Z54*0.9,данные!P54)</f>
        <v>0</v>
      </c>
      <c r="K53" s="35">
        <f>IF((данные!N54+данные!O54+данные!P54+данные!Q54+данные!R54)&gt;результат!G56,данные!AA54*0.9,данные!Q54)</f>
        <v>0</v>
      </c>
      <c r="L53" s="35">
        <f>IF((данные!N54+данные!O54+данные!P54+данные!Q54+данные!R54)&gt;результат!G56,данные!AB54*0.9,данные!R54)</f>
        <v>0</v>
      </c>
      <c r="M53" s="46">
        <f t="shared" si="0"/>
        <v>0</v>
      </c>
    </row>
    <row r="54" spans="1:13" x14ac:dyDescent="0.25">
      <c r="A54" s="33">
        <f>калькулятор!C59</f>
        <v>0</v>
      </c>
      <c r="B54" s="34">
        <f>калькулятор!D59</f>
        <v>0</v>
      </c>
      <c r="C54" s="34">
        <f>калькулятор!E59</f>
        <v>0</v>
      </c>
      <c r="D54" s="36">
        <f>калькулятор!F59</f>
        <v>0</v>
      </c>
      <c r="E54" s="34">
        <f>калькулятор!G59</f>
        <v>0</v>
      </c>
      <c r="F54" s="34">
        <f>калькулятор!H59</f>
        <v>0</v>
      </c>
      <c r="G54" s="35">
        <f>калькулятор!I59</f>
        <v>0</v>
      </c>
      <c r="H54" s="35">
        <f>IF((данные!N55+данные!O55+данные!P55+данные!Q55+данные!R55)&gt;результат!G57,данные!X55*0.9,данные!N55)</f>
        <v>0</v>
      </c>
      <c r="I54" s="35">
        <f>IF((данные!N55+данные!O55+данные!P55+данные!Q55+данные!R55)&gt;результат!G57,данные!Y55*0.9,данные!O55)</f>
        <v>0</v>
      </c>
      <c r="J54" s="35">
        <f>IF((данные!N55+данные!O55+данные!P55+данные!Q55+данные!R55)&gt;результат!G57,данные!Z55*0.9,данные!P55)</f>
        <v>0</v>
      </c>
      <c r="K54" s="35">
        <f>IF((данные!N55+данные!O55+данные!P55+данные!Q55+данные!R55)&gt;результат!G57,данные!AA55*0.9,данные!Q55)</f>
        <v>0</v>
      </c>
      <c r="L54" s="35">
        <f>IF((данные!N55+данные!O55+данные!P55+данные!Q55+данные!R55)&gt;результат!G57,данные!AB55*0.9,данные!R55)</f>
        <v>0</v>
      </c>
      <c r="M54" s="46">
        <f t="shared" si="0"/>
        <v>0</v>
      </c>
    </row>
    <row r="55" spans="1:13" x14ac:dyDescent="0.25">
      <c r="A55" s="33">
        <f>калькулятор!C60</f>
        <v>0</v>
      </c>
      <c r="B55" s="34">
        <f>калькулятор!D60</f>
        <v>0</v>
      </c>
      <c r="C55" s="34">
        <f>калькулятор!E60</f>
        <v>0</v>
      </c>
      <c r="D55" s="36">
        <f>калькулятор!F60</f>
        <v>0</v>
      </c>
      <c r="E55" s="34">
        <f>калькулятор!G60</f>
        <v>0</v>
      </c>
      <c r="F55" s="34">
        <f>калькулятор!H60</f>
        <v>0</v>
      </c>
      <c r="G55" s="35">
        <f>калькулятор!I60</f>
        <v>0</v>
      </c>
      <c r="H55" s="35">
        <f>IF((данные!N56+данные!O56+данные!P56+данные!Q56+данные!R56)&gt;результат!G58,данные!X56*0.9,данные!N56)</f>
        <v>0</v>
      </c>
      <c r="I55" s="35">
        <f>IF((данные!N56+данные!O56+данные!P56+данные!Q56+данные!R56)&gt;результат!G58,данные!Y56*0.9,данные!O56)</f>
        <v>0</v>
      </c>
      <c r="J55" s="35">
        <f>IF((данные!N56+данные!O56+данные!P56+данные!Q56+данные!R56)&gt;результат!G58,данные!Z56*0.9,данные!P56)</f>
        <v>0</v>
      </c>
      <c r="K55" s="35">
        <f>IF((данные!N56+данные!O56+данные!P56+данные!Q56+данные!R56)&gt;результат!G58,данные!AA56*0.9,данные!Q56)</f>
        <v>0</v>
      </c>
      <c r="L55" s="35">
        <f>IF((данные!N56+данные!O56+данные!P56+данные!Q56+данные!R56)&gt;результат!G58,данные!AB56*0.9,данные!R56)</f>
        <v>0</v>
      </c>
      <c r="M55" s="46">
        <f t="shared" si="0"/>
        <v>0</v>
      </c>
    </row>
    <row r="56" spans="1:13" x14ac:dyDescent="0.25">
      <c r="A56" s="33">
        <f>калькулятор!C61</f>
        <v>0</v>
      </c>
      <c r="B56" s="34">
        <f>калькулятор!D61</f>
        <v>0</v>
      </c>
      <c r="C56" s="34">
        <f>калькулятор!E61</f>
        <v>0</v>
      </c>
      <c r="D56" s="36">
        <f>калькулятор!F61</f>
        <v>0</v>
      </c>
      <c r="E56" s="34">
        <f>калькулятор!G61</f>
        <v>0</v>
      </c>
      <c r="F56" s="34">
        <f>калькулятор!H61</f>
        <v>0</v>
      </c>
      <c r="G56" s="35">
        <f>калькулятор!I61</f>
        <v>0</v>
      </c>
      <c r="H56" s="35">
        <f>IF((данные!N57+данные!O57+данные!P57+данные!Q57+данные!R57)&gt;результат!G59,данные!X57*0.9,данные!N57)</f>
        <v>0</v>
      </c>
      <c r="I56" s="35">
        <f>IF((данные!N57+данные!O57+данные!P57+данные!Q57+данные!R57)&gt;результат!G59,данные!Y57*0.9,данные!O57)</f>
        <v>0</v>
      </c>
      <c r="J56" s="35">
        <f>IF((данные!N57+данные!O57+данные!P57+данные!Q57+данные!R57)&gt;результат!G59,данные!Z57*0.9,данные!P57)</f>
        <v>0</v>
      </c>
      <c r="K56" s="35">
        <f>IF((данные!N57+данные!O57+данные!P57+данные!Q57+данные!R57)&gt;результат!G59,данные!AA57*0.9,данные!Q57)</f>
        <v>0</v>
      </c>
      <c r="L56" s="35">
        <f>IF((данные!N57+данные!O57+данные!P57+данные!Q57+данные!R57)&gt;результат!G59,данные!AB57*0.9,данные!R57)</f>
        <v>0</v>
      </c>
      <c r="M56" s="46">
        <f t="shared" si="0"/>
        <v>0</v>
      </c>
    </row>
    <row r="57" spans="1:13" x14ac:dyDescent="0.25">
      <c r="A57" s="33">
        <f>калькулятор!C62</f>
        <v>0</v>
      </c>
      <c r="B57" s="34">
        <f>калькулятор!D62</f>
        <v>0</v>
      </c>
      <c r="C57" s="34">
        <f>калькулятор!E62</f>
        <v>0</v>
      </c>
      <c r="D57" s="36">
        <f>калькулятор!F62</f>
        <v>0</v>
      </c>
      <c r="E57" s="34">
        <f>калькулятор!G62</f>
        <v>0</v>
      </c>
      <c r="F57" s="34">
        <f>калькулятор!H62</f>
        <v>0</v>
      </c>
      <c r="G57" s="35">
        <f>калькулятор!I62</f>
        <v>0</v>
      </c>
      <c r="H57" s="35">
        <f>IF((данные!N58+данные!O58+данные!P58+данные!Q58+данные!R58)&gt;результат!G60,данные!X58*0.9,данные!N58)</f>
        <v>0</v>
      </c>
      <c r="I57" s="35">
        <f>IF((данные!N58+данные!O58+данные!P58+данные!Q58+данные!R58)&gt;результат!G60,данные!Y58*0.9,данные!O58)</f>
        <v>0</v>
      </c>
      <c r="J57" s="35">
        <f>IF((данные!N58+данные!O58+данные!P58+данные!Q58+данные!R58)&gt;результат!G60,данные!Z58*0.9,данные!P58)</f>
        <v>0</v>
      </c>
      <c r="K57" s="35">
        <f>IF((данные!N58+данные!O58+данные!P58+данные!Q58+данные!R58)&gt;результат!G60,данные!AA58*0.9,данные!Q58)</f>
        <v>0</v>
      </c>
      <c r="L57" s="35">
        <f>IF((данные!N58+данные!O58+данные!P58+данные!Q58+данные!R58)&gt;результат!G60,данные!AB58*0.9,данные!R58)</f>
        <v>0</v>
      </c>
      <c r="M57" s="46">
        <f t="shared" si="0"/>
        <v>0</v>
      </c>
    </row>
    <row r="58" spans="1:13" x14ac:dyDescent="0.25">
      <c r="A58" s="33">
        <f>калькулятор!C63</f>
        <v>0</v>
      </c>
      <c r="B58" s="34">
        <f>калькулятор!D63</f>
        <v>0</v>
      </c>
      <c r="C58" s="34">
        <f>калькулятор!E63</f>
        <v>0</v>
      </c>
      <c r="D58" s="36">
        <f>калькулятор!F63</f>
        <v>0</v>
      </c>
      <c r="E58" s="34">
        <f>калькулятор!G63</f>
        <v>0</v>
      </c>
      <c r="F58" s="34">
        <f>калькулятор!H63</f>
        <v>0</v>
      </c>
      <c r="G58" s="35">
        <f>калькулятор!I63</f>
        <v>0</v>
      </c>
      <c r="H58" s="35">
        <f>IF((данные!N59+данные!O59+данные!P59+данные!Q59+данные!R59)&gt;результат!G61,данные!X59*0.9,данные!N59)</f>
        <v>0</v>
      </c>
      <c r="I58" s="35">
        <f>IF((данные!N59+данные!O59+данные!P59+данные!Q59+данные!R59)&gt;результат!G61,данные!Y59*0.9,данные!O59)</f>
        <v>0</v>
      </c>
      <c r="J58" s="35">
        <f>IF((данные!N59+данные!O59+данные!P59+данные!Q59+данные!R59)&gt;результат!G61,данные!Z59*0.9,данные!P59)</f>
        <v>0</v>
      </c>
      <c r="K58" s="35">
        <f>IF((данные!N59+данные!O59+данные!P59+данные!Q59+данные!R59)&gt;результат!G61,данные!AA59*0.9,данные!Q59)</f>
        <v>0</v>
      </c>
      <c r="L58" s="35">
        <f>IF((данные!N59+данные!O59+данные!P59+данные!Q59+данные!R59)&gt;результат!G61,данные!AB59*0.9,данные!R59)</f>
        <v>0</v>
      </c>
      <c r="M58" s="46">
        <f t="shared" si="0"/>
        <v>0</v>
      </c>
    </row>
    <row r="59" spans="1:13" x14ac:dyDescent="0.25">
      <c r="A59" s="33">
        <f>калькулятор!C64</f>
        <v>0</v>
      </c>
      <c r="B59" s="34">
        <f>калькулятор!D64</f>
        <v>0</v>
      </c>
      <c r="C59" s="34">
        <f>калькулятор!E64</f>
        <v>0</v>
      </c>
      <c r="D59" s="36">
        <f>калькулятор!F64</f>
        <v>0</v>
      </c>
      <c r="E59" s="34">
        <f>калькулятор!G64</f>
        <v>0</v>
      </c>
      <c r="F59" s="34">
        <f>калькулятор!H64</f>
        <v>0</v>
      </c>
      <c r="G59" s="35">
        <f>калькулятор!I64</f>
        <v>0</v>
      </c>
      <c r="H59" s="35">
        <f>IF((данные!N60+данные!O60+данные!P60+данные!Q60+данные!R60)&gt;результат!G62,данные!X60*0.9,данные!N60)</f>
        <v>0</v>
      </c>
      <c r="I59" s="35">
        <f>IF((данные!N60+данные!O60+данные!P60+данные!Q60+данные!R60)&gt;результат!G62,данные!Y60*0.9,данные!O60)</f>
        <v>0</v>
      </c>
      <c r="J59" s="35">
        <f>IF((данные!N60+данные!O60+данные!P60+данные!Q60+данные!R60)&gt;результат!G62,данные!Z60*0.9,данные!P60)</f>
        <v>0</v>
      </c>
      <c r="K59" s="35">
        <f>IF((данные!N60+данные!O60+данные!P60+данные!Q60+данные!R60)&gt;результат!G62,данные!AA60*0.9,данные!Q60)</f>
        <v>0</v>
      </c>
      <c r="L59" s="35">
        <f>IF((данные!N60+данные!O60+данные!P60+данные!Q60+данные!R60)&gt;результат!G62,данные!AB60*0.9,данные!R60)</f>
        <v>0</v>
      </c>
      <c r="M59" s="46">
        <f t="shared" si="0"/>
        <v>0</v>
      </c>
    </row>
    <row r="60" spans="1:13" x14ac:dyDescent="0.25">
      <c r="A60" s="33">
        <f>калькулятор!C65</f>
        <v>0</v>
      </c>
      <c r="B60" s="34">
        <f>калькулятор!D65</f>
        <v>0</v>
      </c>
      <c r="C60" s="34">
        <f>калькулятор!E65</f>
        <v>0</v>
      </c>
      <c r="D60" s="36">
        <f>калькулятор!F65</f>
        <v>0</v>
      </c>
      <c r="E60" s="34">
        <f>калькулятор!G65</f>
        <v>0</v>
      </c>
      <c r="F60" s="34">
        <f>калькулятор!H65</f>
        <v>0</v>
      </c>
      <c r="G60" s="35">
        <f>калькулятор!I65</f>
        <v>0</v>
      </c>
      <c r="H60" s="35">
        <f>IF((данные!N61+данные!O61+данные!P61+данные!Q61+данные!R61)&gt;результат!G63,данные!X61*0.9,данные!N61)</f>
        <v>0</v>
      </c>
      <c r="I60" s="35">
        <f>IF((данные!N61+данные!O61+данные!P61+данные!Q61+данные!R61)&gt;результат!G63,данные!Y61*0.9,данные!O61)</f>
        <v>0</v>
      </c>
      <c r="J60" s="35">
        <f>IF((данные!N61+данные!O61+данные!P61+данные!Q61+данные!R61)&gt;результат!G63,данные!Z61*0.9,данные!P61)</f>
        <v>0</v>
      </c>
      <c r="K60" s="35">
        <f>IF((данные!N61+данные!O61+данные!P61+данные!Q61+данные!R61)&gt;результат!G63,данные!AA61*0.9,данные!Q61)</f>
        <v>0</v>
      </c>
      <c r="L60" s="35">
        <f>IF((данные!N61+данные!O61+данные!P61+данные!Q61+данные!R61)&gt;результат!G63,данные!AB61*0.9,данные!R61)</f>
        <v>0</v>
      </c>
      <c r="M60" s="46">
        <f t="shared" si="0"/>
        <v>0</v>
      </c>
    </row>
    <row r="61" spans="1:13" x14ac:dyDescent="0.25">
      <c r="A61" s="33">
        <f>калькулятор!C66</f>
        <v>0</v>
      </c>
      <c r="B61" s="34">
        <f>калькулятор!D66</f>
        <v>0</v>
      </c>
      <c r="C61" s="34">
        <f>калькулятор!E66</f>
        <v>0</v>
      </c>
      <c r="D61" s="36">
        <f>калькулятор!F66</f>
        <v>0</v>
      </c>
      <c r="E61" s="34">
        <f>калькулятор!G66</f>
        <v>0</v>
      </c>
      <c r="F61" s="34">
        <f>калькулятор!H66</f>
        <v>0</v>
      </c>
      <c r="G61" s="35">
        <f>калькулятор!I66</f>
        <v>0</v>
      </c>
      <c r="H61" s="35">
        <f>IF((данные!N62+данные!O62+данные!P62+данные!Q62+данные!R62)&gt;результат!G64,данные!X62*0.9,данные!N62)</f>
        <v>0</v>
      </c>
      <c r="I61" s="35">
        <f>IF((данные!N62+данные!O62+данные!P62+данные!Q62+данные!R62)&gt;результат!G64,данные!Y62*0.9,данные!O62)</f>
        <v>0</v>
      </c>
      <c r="J61" s="35">
        <f>IF((данные!N62+данные!O62+данные!P62+данные!Q62+данные!R62)&gt;результат!G64,данные!Z62*0.9,данные!P62)</f>
        <v>0</v>
      </c>
      <c r="K61" s="35">
        <f>IF((данные!N62+данные!O62+данные!P62+данные!Q62+данные!R62)&gt;результат!G64,данные!AA62*0.9,данные!Q62)</f>
        <v>0</v>
      </c>
      <c r="L61" s="35">
        <f>IF((данные!N62+данные!O62+данные!P62+данные!Q62+данные!R62)&gt;результат!G64,данные!AB62*0.9,данные!R62)</f>
        <v>0</v>
      </c>
      <c r="M61" s="46">
        <f t="shared" si="0"/>
        <v>0</v>
      </c>
    </row>
    <row r="62" spans="1:13" x14ac:dyDescent="0.25">
      <c r="A62" s="33">
        <f>калькулятор!C67</f>
        <v>0</v>
      </c>
      <c r="B62" s="34">
        <f>калькулятор!D67</f>
        <v>0</v>
      </c>
      <c r="C62" s="34">
        <f>калькулятор!E67</f>
        <v>0</v>
      </c>
      <c r="D62" s="36">
        <f>калькулятор!F67</f>
        <v>0</v>
      </c>
      <c r="E62" s="34">
        <f>калькулятор!G67</f>
        <v>0</v>
      </c>
      <c r="F62" s="34">
        <f>калькулятор!H67</f>
        <v>0</v>
      </c>
      <c r="G62" s="35">
        <f>калькулятор!I67</f>
        <v>0</v>
      </c>
      <c r="H62" s="35">
        <f>IF((данные!N63+данные!O63+данные!P63+данные!Q63+данные!R63)&gt;результат!G65,данные!X63*0.9,данные!N63)</f>
        <v>0</v>
      </c>
      <c r="I62" s="35">
        <f>IF((данные!N63+данные!O63+данные!P63+данные!Q63+данные!R63)&gt;результат!G65,данные!Y63*0.9,данные!O63)</f>
        <v>0</v>
      </c>
      <c r="J62" s="35">
        <f>IF((данные!N63+данные!O63+данные!P63+данные!Q63+данные!R63)&gt;результат!G65,данные!Z63*0.9,данные!P63)</f>
        <v>0</v>
      </c>
      <c r="K62" s="35">
        <f>IF((данные!N63+данные!O63+данные!P63+данные!Q63+данные!R63)&gt;результат!G65,данные!AA63*0.9,данные!Q63)</f>
        <v>0</v>
      </c>
      <c r="L62" s="35">
        <f>IF((данные!N63+данные!O63+данные!P63+данные!Q63+данные!R63)&gt;результат!G65,данные!AB63*0.9,данные!R63)</f>
        <v>0</v>
      </c>
      <c r="M62" s="46">
        <f t="shared" si="0"/>
        <v>0</v>
      </c>
    </row>
    <row r="63" spans="1:13" x14ac:dyDescent="0.25">
      <c r="A63" s="33">
        <f>калькулятор!C68</f>
        <v>0</v>
      </c>
      <c r="B63" s="34">
        <f>калькулятор!D68</f>
        <v>0</v>
      </c>
      <c r="C63" s="34">
        <f>калькулятор!E68</f>
        <v>0</v>
      </c>
      <c r="D63" s="36">
        <f>калькулятор!F68</f>
        <v>0</v>
      </c>
      <c r="E63" s="34">
        <f>калькулятор!G68</f>
        <v>0</v>
      </c>
      <c r="F63" s="34">
        <f>калькулятор!H68</f>
        <v>0</v>
      </c>
      <c r="G63" s="35">
        <f>калькулятор!I68</f>
        <v>0</v>
      </c>
      <c r="H63" s="35">
        <f>IF((данные!N64+данные!O64+данные!P64+данные!Q64+данные!R64)&gt;результат!G66,данные!X64*0.9,данные!N64)</f>
        <v>0</v>
      </c>
      <c r="I63" s="35">
        <f>IF((данные!N64+данные!O64+данные!P64+данные!Q64+данные!R64)&gt;результат!G66,данные!Y64*0.9,данные!O64)</f>
        <v>0</v>
      </c>
      <c r="J63" s="35">
        <f>IF((данные!N64+данные!O64+данные!P64+данные!Q64+данные!R64)&gt;результат!G66,данные!Z64*0.9,данные!P64)</f>
        <v>0</v>
      </c>
      <c r="K63" s="35">
        <f>IF((данные!N64+данные!O64+данные!P64+данные!Q64+данные!R64)&gt;результат!G66,данные!AA64*0.9,данные!Q64)</f>
        <v>0</v>
      </c>
      <c r="L63" s="35">
        <f>IF((данные!N64+данные!O64+данные!P64+данные!Q64+данные!R64)&gt;результат!G66,данные!AB64*0.9,данные!R64)</f>
        <v>0</v>
      </c>
      <c r="M63" s="46">
        <f t="shared" si="0"/>
        <v>0</v>
      </c>
    </row>
    <row r="64" spans="1:13" x14ac:dyDescent="0.25">
      <c r="A64" s="33">
        <f>калькулятор!C69</f>
        <v>0</v>
      </c>
      <c r="B64" s="34">
        <f>калькулятор!D69</f>
        <v>0</v>
      </c>
      <c r="C64" s="34">
        <f>калькулятор!E69</f>
        <v>0</v>
      </c>
      <c r="D64" s="36">
        <f>калькулятор!F69</f>
        <v>0</v>
      </c>
      <c r="E64" s="34">
        <f>калькулятор!G69</f>
        <v>0</v>
      </c>
      <c r="F64" s="34">
        <f>калькулятор!H69</f>
        <v>0</v>
      </c>
      <c r="G64" s="35">
        <f>калькулятор!I69</f>
        <v>0</v>
      </c>
      <c r="H64" s="35">
        <f>IF((данные!N65+данные!O65+данные!P65+данные!Q65+данные!R65)&gt;результат!G67,данные!X65*0.9,данные!N65)</f>
        <v>0</v>
      </c>
      <c r="I64" s="35">
        <f>IF((данные!N65+данные!O65+данные!P65+данные!Q65+данные!R65)&gt;результат!G67,данные!Y65*0.9,данные!O65)</f>
        <v>0</v>
      </c>
      <c r="J64" s="35">
        <f>IF((данные!N65+данные!O65+данные!P65+данные!Q65+данные!R65)&gt;результат!G67,данные!Z65*0.9,данные!P65)</f>
        <v>0</v>
      </c>
      <c r="K64" s="35">
        <f>IF((данные!N65+данные!O65+данные!P65+данные!Q65+данные!R65)&gt;результат!G67,данные!AA65*0.9,данные!Q65)</f>
        <v>0</v>
      </c>
      <c r="L64" s="35">
        <f>IF((данные!N65+данные!O65+данные!P65+данные!Q65+данные!R65)&gt;результат!G67,данные!AB65*0.9,данные!R65)</f>
        <v>0</v>
      </c>
      <c r="M64" s="46">
        <f t="shared" si="0"/>
        <v>0</v>
      </c>
    </row>
    <row r="65" spans="1:13" x14ac:dyDescent="0.25">
      <c r="A65" s="33">
        <f>калькулятор!C70</f>
        <v>0</v>
      </c>
      <c r="B65" s="34">
        <f>калькулятор!D70</f>
        <v>0</v>
      </c>
      <c r="C65" s="34">
        <f>калькулятор!E70</f>
        <v>0</v>
      </c>
      <c r="D65" s="36">
        <f>калькулятор!F70</f>
        <v>0</v>
      </c>
      <c r="E65" s="34">
        <f>калькулятор!G70</f>
        <v>0</v>
      </c>
      <c r="F65" s="34">
        <f>калькулятор!H70</f>
        <v>0</v>
      </c>
      <c r="G65" s="35">
        <f>калькулятор!I70</f>
        <v>0</v>
      </c>
      <c r="H65" s="35">
        <f>IF((данные!N66+данные!O66+данные!P66+данные!Q66+данные!R66)&gt;результат!G68,данные!X66*0.9,данные!N66)</f>
        <v>0</v>
      </c>
      <c r="I65" s="35">
        <f>IF((данные!N66+данные!O66+данные!P66+данные!Q66+данные!R66)&gt;результат!G68,данные!Y66*0.9,данные!O66)</f>
        <v>0</v>
      </c>
      <c r="J65" s="35">
        <f>IF((данные!N66+данные!O66+данные!P66+данные!Q66+данные!R66)&gt;результат!G68,данные!Z66*0.9,данные!P66)</f>
        <v>0</v>
      </c>
      <c r="K65" s="35">
        <f>IF((данные!N66+данные!O66+данные!P66+данные!Q66+данные!R66)&gt;результат!G68,данные!AA66*0.9,данные!Q66)</f>
        <v>0</v>
      </c>
      <c r="L65" s="35">
        <f>IF((данные!N66+данные!O66+данные!P66+данные!Q66+данные!R66)&gt;результат!G68,данные!AB66*0.9,данные!R66)</f>
        <v>0</v>
      </c>
      <c r="M65" s="46">
        <f t="shared" si="0"/>
        <v>0</v>
      </c>
    </row>
    <row r="66" spans="1:13" x14ac:dyDescent="0.25">
      <c r="A66" s="33">
        <f>калькулятор!C71</f>
        <v>0</v>
      </c>
      <c r="B66" s="34">
        <f>калькулятор!D71</f>
        <v>0</v>
      </c>
      <c r="C66" s="34">
        <f>калькулятор!E71</f>
        <v>0</v>
      </c>
      <c r="D66" s="36">
        <f>калькулятор!F71</f>
        <v>0</v>
      </c>
      <c r="E66" s="34">
        <f>калькулятор!G71</f>
        <v>0</v>
      </c>
      <c r="F66" s="34">
        <f>калькулятор!H71</f>
        <v>0</v>
      </c>
      <c r="G66" s="35">
        <f>калькулятор!I71</f>
        <v>0</v>
      </c>
      <c r="H66" s="35">
        <f>IF((данные!N67+данные!O67+данные!P67+данные!Q67+данные!R67)&gt;результат!G69,данные!X67*0.9,данные!N67)</f>
        <v>0</v>
      </c>
      <c r="I66" s="35">
        <f>IF((данные!N67+данные!O67+данные!P67+данные!Q67+данные!R67)&gt;результат!G69,данные!Y67*0.9,данные!O67)</f>
        <v>0</v>
      </c>
      <c r="J66" s="35">
        <f>IF((данные!N67+данные!O67+данные!P67+данные!Q67+данные!R67)&gt;результат!G69,данные!Z67*0.9,данные!P67)</f>
        <v>0</v>
      </c>
      <c r="K66" s="35">
        <f>IF((данные!N67+данные!O67+данные!P67+данные!Q67+данные!R67)&gt;результат!G69,данные!AA67*0.9,данные!Q67)</f>
        <v>0</v>
      </c>
      <c r="L66" s="35">
        <f>IF((данные!N67+данные!O67+данные!P67+данные!Q67+данные!R67)&gt;результат!G69,данные!AB67*0.9,данные!R67)</f>
        <v>0</v>
      </c>
      <c r="M66" s="46">
        <f t="shared" si="0"/>
        <v>0</v>
      </c>
    </row>
    <row r="67" spans="1:13" x14ac:dyDescent="0.25">
      <c r="A67" s="33">
        <f>калькулятор!C72</f>
        <v>0</v>
      </c>
      <c r="B67" s="34">
        <f>калькулятор!D72</f>
        <v>0</v>
      </c>
      <c r="C67" s="34">
        <f>калькулятор!E72</f>
        <v>0</v>
      </c>
      <c r="D67" s="36">
        <f>калькулятор!F72</f>
        <v>0</v>
      </c>
      <c r="E67" s="34">
        <f>калькулятор!G72</f>
        <v>0</v>
      </c>
      <c r="F67" s="34">
        <f>калькулятор!H72</f>
        <v>0</v>
      </c>
      <c r="G67" s="35">
        <f>калькулятор!I72</f>
        <v>0</v>
      </c>
      <c r="H67" s="35">
        <f>IF((данные!N68+данные!O68+данные!P68+данные!Q68+данные!R68)&gt;результат!G70,данные!X68*0.9,данные!N68)</f>
        <v>0</v>
      </c>
      <c r="I67" s="35">
        <f>IF((данные!N68+данные!O68+данные!P68+данные!Q68+данные!R68)&gt;результат!G70,данные!Y68*0.9,данные!O68)</f>
        <v>0</v>
      </c>
      <c r="J67" s="35">
        <f>IF((данные!N68+данные!O68+данные!P68+данные!Q68+данные!R68)&gt;результат!G70,данные!Z68*0.9,данные!P68)</f>
        <v>0</v>
      </c>
      <c r="K67" s="35">
        <f>IF((данные!N68+данные!O68+данные!P68+данные!Q68+данные!R68)&gt;результат!G70,данные!AA68*0.9,данные!Q68)</f>
        <v>0</v>
      </c>
      <c r="L67" s="35">
        <f>IF((данные!N68+данные!O68+данные!P68+данные!Q68+данные!R68)&gt;результат!G70,данные!AB68*0.9,данные!R68)</f>
        <v>0</v>
      </c>
      <c r="M67" s="46">
        <f t="shared" ref="M67:M101" si="1">SUM(H67:L67)</f>
        <v>0</v>
      </c>
    </row>
    <row r="68" spans="1:13" x14ac:dyDescent="0.25">
      <c r="A68" s="33">
        <f>калькулятор!C73</f>
        <v>0</v>
      </c>
      <c r="B68" s="34">
        <f>калькулятор!D73</f>
        <v>0</v>
      </c>
      <c r="C68" s="34">
        <f>калькулятор!E73</f>
        <v>0</v>
      </c>
      <c r="D68" s="36">
        <f>калькулятор!F73</f>
        <v>0</v>
      </c>
      <c r="E68" s="34">
        <f>калькулятор!G73</f>
        <v>0</v>
      </c>
      <c r="F68" s="34">
        <f>калькулятор!H73</f>
        <v>0</v>
      </c>
      <c r="G68" s="35">
        <f>калькулятор!I73</f>
        <v>0</v>
      </c>
      <c r="H68" s="35">
        <f>IF((данные!N69+данные!O69+данные!P69+данные!Q69+данные!R69)&gt;результат!G71,данные!X69*0.9,данные!N69)</f>
        <v>0</v>
      </c>
      <c r="I68" s="35">
        <f>IF((данные!N69+данные!O69+данные!P69+данные!Q69+данные!R69)&gt;результат!G71,данные!Y69*0.9,данные!O69)</f>
        <v>0</v>
      </c>
      <c r="J68" s="35">
        <f>IF((данные!N69+данные!O69+данные!P69+данные!Q69+данные!R69)&gt;результат!G71,данные!Z69*0.9,данные!P69)</f>
        <v>0</v>
      </c>
      <c r="K68" s="35">
        <f>IF((данные!N69+данные!O69+данные!P69+данные!Q69+данные!R69)&gt;результат!G71,данные!AA69*0.9,данные!Q69)</f>
        <v>0</v>
      </c>
      <c r="L68" s="35">
        <f>IF((данные!N69+данные!O69+данные!P69+данные!Q69+данные!R69)&gt;результат!G71,данные!AB69*0.9,данные!R69)</f>
        <v>0</v>
      </c>
      <c r="M68" s="46">
        <f t="shared" si="1"/>
        <v>0</v>
      </c>
    </row>
    <row r="69" spans="1:13" x14ac:dyDescent="0.25">
      <c r="A69" s="33">
        <f>калькулятор!C74</f>
        <v>0</v>
      </c>
      <c r="B69" s="34">
        <f>калькулятор!D74</f>
        <v>0</v>
      </c>
      <c r="C69" s="34">
        <f>калькулятор!E74</f>
        <v>0</v>
      </c>
      <c r="D69" s="36">
        <f>калькулятор!F74</f>
        <v>0</v>
      </c>
      <c r="E69" s="34">
        <f>калькулятор!G74</f>
        <v>0</v>
      </c>
      <c r="F69" s="34">
        <f>калькулятор!H74</f>
        <v>0</v>
      </c>
      <c r="G69" s="35">
        <f>калькулятор!I74</f>
        <v>0</v>
      </c>
      <c r="H69" s="35">
        <f>IF((данные!N70+данные!O70+данные!P70+данные!Q70+данные!R70)&gt;результат!G72,данные!X70*0.9,данные!N70)</f>
        <v>0</v>
      </c>
      <c r="I69" s="35">
        <f>IF((данные!N70+данные!O70+данные!P70+данные!Q70+данные!R70)&gt;результат!G72,данные!Y70*0.9,данные!O70)</f>
        <v>0</v>
      </c>
      <c r="J69" s="35">
        <f>IF((данные!N70+данные!O70+данные!P70+данные!Q70+данные!R70)&gt;результат!G72,данные!Z70*0.9,данные!P70)</f>
        <v>0</v>
      </c>
      <c r="K69" s="35">
        <f>IF((данные!N70+данные!O70+данные!P70+данные!Q70+данные!R70)&gt;результат!G72,данные!AA70*0.9,данные!Q70)</f>
        <v>0</v>
      </c>
      <c r="L69" s="35">
        <f>IF((данные!N70+данные!O70+данные!P70+данные!Q70+данные!R70)&gt;результат!G72,данные!AB70*0.9,данные!R70)</f>
        <v>0</v>
      </c>
      <c r="M69" s="46">
        <f t="shared" si="1"/>
        <v>0</v>
      </c>
    </row>
    <row r="70" spans="1:13" x14ac:dyDescent="0.25">
      <c r="A70" s="33">
        <f>калькулятор!C75</f>
        <v>0</v>
      </c>
      <c r="B70" s="34">
        <f>калькулятор!D75</f>
        <v>0</v>
      </c>
      <c r="C70" s="34">
        <f>калькулятор!E75</f>
        <v>0</v>
      </c>
      <c r="D70" s="36">
        <f>калькулятор!F75</f>
        <v>0</v>
      </c>
      <c r="E70" s="34">
        <f>калькулятор!G75</f>
        <v>0</v>
      </c>
      <c r="F70" s="34">
        <f>калькулятор!H75</f>
        <v>0</v>
      </c>
      <c r="G70" s="35">
        <f>калькулятор!I75</f>
        <v>0</v>
      </c>
      <c r="H70" s="35">
        <f>IF((данные!N71+данные!O71+данные!P71+данные!Q71+данные!R71)&gt;результат!G73,данные!X71*0.9,данные!N71)</f>
        <v>0</v>
      </c>
      <c r="I70" s="35">
        <f>IF((данные!N71+данные!O71+данные!P71+данные!Q71+данные!R71)&gt;результат!G73,данные!Y71*0.9,данные!O71)</f>
        <v>0</v>
      </c>
      <c r="J70" s="35">
        <f>IF((данные!N71+данные!O71+данные!P71+данные!Q71+данные!R71)&gt;результат!G73,данные!Z71*0.9,данные!P71)</f>
        <v>0</v>
      </c>
      <c r="K70" s="35">
        <f>IF((данные!N71+данные!O71+данные!P71+данные!Q71+данные!R71)&gt;результат!G73,данные!AA71*0.9,данные!Q71)</f>
        <v>0</v>
      </c>
      <c r="L70" s="35">
        <f>IF((данные!N71+данные!O71+данные!P71+данные!Q71+данные!R71)&gt;результат!G73,данные!AB71*0.9,данные!R71)</f>
        <v>0</v>
      </c>
      <c r="M70" s="46">
        <f t="shared" si="1"/>
        <v>0</v>
      </c>
    </row>
    <row r="71" spans="1:13" x14ac:dyDescent="0.25">
      <c r="A71" s="33">
        <f>калькулятор!C76</f>
        <v>0</v>
      </c>
      <c r="B71" s="34">
        <f>калькулятор!D76</f>
        <v>0</v>
      </c>
      <c r="C71" s="34">
        <f>калькулятор!E76</f>
        <v>0</v>
      </c>
      <c r="D71" s="36">
        <f>калькулятор!F76</f>
        <v>0</v>
      </c>
      <c r="E71" s="34">
        <f>калькулятор!G76</f>
        <v>0</v>
      </c>
      <c r="F71" s="34">
        <f>калькулятор!H76</f>
        <v>0</v>
      </c>
      <c r="G71" s="35">
        <f>калькулятор!I76</f>
        <v>0</v>
      </c>
      <c r="H71" s="35">
        <f>IF((данные!N72+данные!O72+данные!P72+данные!Q72+данные!R72)&gt;результат!G74,данные!X72*0.9,данные!N72)</f>
        <v>0</v>
      </c>
      <c r="I71" s="35">
        <f>IF((данные!N72+данные!O72+данные!P72+данные!Q72+данные!R72)&gt;результат!G74,данные!Y72*0.9,данные!O72)</f>
        <v>0</v>
      </c>
      <c r="J71" s="35">
        <f>IF((данные!N72+данные!O72+данные!P72+данные!Q72+данные!R72)&gt;результат!G74,данные!Z72*0.9,данные!P72)</f>
        <v>0</v>
      </c>
      <c r="K71" s="35">
        <f>IF((данные!N72+данные!O72+данные!P72+данные!Q72+данные!R72)&gt;результат!G74,данные!AA72*0.9,данные!Q72)</f>
        <v>0</v>
      </c>
      <c r="L71" s="35">
        <f>IF((данные!N72+данные!O72+данные!P72+данные!Q72+данные!R72)&gt;результат!G74,данные!AB72*0.9,данные!R72)</f>
        <v>0</v>
      </c>
      <c r="M71" s="46">
        <f t="shared" si="1"/>
        <v>0</v>
      </c>
    </row>
    <row r="72" spans="1:13" x14ac:dyDescent="0.25">
      <c r="A72" s="33">
        <f>калькулятор!C77</f>
        <v>0</v>
      </c>
      <c r="B72" s="34">
        <f>калькулятор!D77</f>
        <v>0</v>
      </c>
      <c r="C72" s="34">
        <f>калькулятор!E77</f>
        <v>0</v>
      </c>
      <c r="D72" s="36">
        <f>калькулятор!F77</f>
        <v>0</v>
      </c>
      <c r="E72" s="34">
        <f>калькулятор!G77</f>
        <v>0</v>
      </c>
      <c r="F72" s="34">
        <f>калькулятор!H77</f>
        <v>0</v>
      </c>
      <c r="G72" s="35">
        <f>калькулятор!I77</f>
        <v>0</v>
      </c>
      <c r="H72" s="35">
        <f>IF((данные!N73+данные!O73+данные!P73+данные!Q73+данные!R73)&gt;результат!G75,данные!X73*0.9,данные!N73)</f>
        <v>0</v>
      </c>
      <c r="I72" s="35">
        <f>IF((данные!N73+данные!O73+данные!P73+данные!Q73+данные!R73)&gt;результат!G75,данные!Y73*0.9,данные!O73)</f>
        <v>0</v>
      </c>
      <c r="J72" s="35">
        <f>IF((данные!N73+данные!O73+данные!P73+данные!Q73+данные!R73)&gt;результат!G75,данные!Z73*0.9,данные!P73)</f>
        <v>0</v>
      </c>
      <c r="K72" s="35">
        <f>IF((данные!N73+данные!O73+данные!P73+данные!Q73+данные!R73)&gt;результат!G75,данные!AA73*0.9,данные!Q73)</f>
        <v>0</v>
      </c>
      <c r="L72" s="35">
        <f>IF((данные!N73+данные!O73+данные!P73+данные!Q73+данные!R73)&gt;результат!G75,данные!AB73*0.9,данные!R73)</f>
        <v>0</v>
      </c>
      <c r="M72" s="46">
        <f t="shared" si="1"/>
        <v>0</v>
      </c>
    </row>
    <row r="73" spans="1:13" x14ac:dyDescent="0.25">
      <c r="A73" s="33">
        <f>калькулятор!C78</f>
        <v>0</v>
      </c>
      <c r="B73" s="34">
        <f>калькулятор!D78</f>
        <v>0</v>
      </c>
      <c r="C73" s="34">
        <f>калькулятор!E78</f>
        <v>0</v>
      </c>
      <c r="D73" s="36">
        <f>калькулятор!F78</f>
        <v>0</v>
      </c>
      <c r="E73" s="34">
        <f>калькулятор!G78</f>
        <v>0</v>
      </c>
      <c r="F73" s="34">
        <f>калькулятор!H78</f>
        <v>0</v>
      </c>
      <c r="G73" s="35">
        <f>калькулятор!I78</f>
        <v>0</v>
      </c>
      <c r="H73" s="35">
        <f>IF((данные!N74+данные!O74+данные!P74+данные!Q74+данные!R74)&gt;результат!G76,данные!X74*0.9,данные!N74)</f>
        <v>0</v>
      </c>
      <c r="I73" s="35">
        <f>IF((данные!N74+данные!O74+данные!P74+данные!Q74+данные!R74)&gt;результат!G76,данные!Y74*0.9,данные!O74)</f>
        <v>0</v>
      </c>
      <c r="J73" s="35">
        <f>IF((данные!N74+данные!O74+данные!P74+данные!Q74+данные!R74)&gt;результат!G76,данные!Z74*0.9,данные!P74)</f>
        <v>0</v>
      </c>
      <c r="K73" s="35">
        <f>IF((данные!N74+данные!O74+данные!P74+данные!Q74+данные!R74)&gt;результат!G76,данные!AA74*0.9,данные!Q74)</f>
        <v>0</v>
      </c>
      <c r="L73" s="35">
        <f>IF((данные!N74+данные!O74+данные!P74+данные!Q74+данные!R74)&gt;результат!G76,данные!AB74*0.9,данные!R74)</f>
        <v>0</v>
      </c>
      <c r="M73" s="46">
        <f t="shared" si="1"/>
        <v>0</v>
      </c>
    </row>
    <row r="74" spans="1:13" x14ac:dyDescent="0.25">
      <c r="A74" s="33">
        <f>калькулятор!C79</f>
        <v>0</v>
      </c>
      <c r="B74" s="34">
        <f>калькулятор!D79</f>
        <v>0</v>
      </c>
      <c r="C74" s="34">
        <f>калькулятор!E79</f>
        <v>0</v>
      </c>
      <c r="D74" s="36">
        <f>калькулятор!F79</f>
        <v>0</v>
      </c>
      <c r="E74" s="34">
        <f>калькулятор!G79</f>
        <v>0</v>
      </c>
      <c r="F74" s="34">
        <f>калькулятор!H79</f>
        <v>0</v>
      </c>
      <c r="G74" s="35">
        <f>калькулятор!I79</f>
        <v>0</v>
      </c>
      <c r="H74" s="35">
        <f>IF((данные!N75+данные!O75+данные!P75+данные!Q75+данные!R75)&gt;результат!G77,данные!X75*0.9,данные!N75)</f>
        <v>0</v>
      </c>
      <c r="I74" s="35">
        <f>IF((данные!N75+данные!O75+данные!P75+данные!Q75+данные!R75)&gt;результат!G77,данные!Y75*0.9,данные!O75)</f>
        <v>0</v>
      </c>
      <c r="J74" s="35">
        <f>IF((данные!N75+данные!O75+данные!P75+данные!Q75+данные!R75)&gt;результат!G77,данные!Z75*0.9,данные!P75)</f>
        <v>0</v>
      </c>
      <c r="K74" s="35">
        <f>IF((данные!N75+данные!O75+данные!P75+данные!Q75+данные!R75)&gt;результат!G77,данные!AA75*0.9,данные!Q75)</f>
        <v>0</v>
      </c>
      <c r="L74" s="35">
        <f>IF((данные!N75+данные!O75+данные!P75+данные!Q75+данные!R75)&gt;результат!G77,данные!AB75*0.9,данные!R75)</f>
        <v>0</v>
      </c>
      <c r="M74" s="46">
        <f t="shared" si="1"/>
        <v>0</v>
      </c>
    </row>
    <row r="75" spans="1:13" x14ac:dyDescent="0.25">
      <c r="A75" s="33">
        <f>калькулятор!C80</f>
        <v>0</v>
      </c>
      <c r="B75" s="34">
        <f>калькулятор!D80</f>
        <v>0</v>
      </c>
      <c r="C75" s="34">
        <f>калькулятор!E80</f>
        <v>0</v>
      </c>
      <c r="D75" s="36">
        <f>калькулятор!F80</f>
        <v>0</v>
      </c>
      <c r="E75" s="34">
        <f>калькулятор!G80</f>
        <v>0</v>
      </c>
      <c r="F75" s="34">
        <f>калькулятор!H80</f>
        <v>0</v>
      </c>
      <c r="G75" s="35">
        <f>калькулятор!I80</f>
        <v>0</v>
      </c>
      <c r="H75" s="35">
        <f>IF((данные!N76+данные!O76+данные!P76+данные!Q76+данные!R76)&gt;результат!G78,данные!X76*0.9,данные!N76)</f>
        <v>0</v>
      </c>
      <c r="I75" s="35">
        <f>IF((данные!N76+данные!O76+данные!P76+данные!Q76+данные!R76)&gt;результат!G78,данные!Y76*0.9,данные!O76)</f>
        <v>0</v>
      </c>
      <c r="J75" s="35">
        <f>IF((данные!N76+данные!O76+данные!P76+данные!Q76+данные!R76)&gt;результат!G78,данные!Z76*0.9,данные!P76)</f>
        <v>0</v>
      </c>
      <c r="K75" s="35">
        <f>IF((данные!N76+данные!O76+данные!P76+данные!Q76+данные!R76)&gt;результат!G78,данные!AA76*0.9,данные!Q76)</f>
        <v>0</v>
      </c>
      <c r="L75" s="35">
        <f>IF((данные!N76+данные!O76+данные!P76+данные!Q76+данные!R76)&gt;результат!G78,данные!AB76*0.9,данные!R76)</f>
        <v>0</v>
      </c>
      <c r="M75" s="46">
        <f t="shared" si="1"/>
        <v>0</v>
      </c>
    </row>
    <row r="76" spans="1:13" x14ac:dyDescent="0.25">
      <c r="A76" s="33">
        <f>калькулятор!C81</f>
        <v>0</v>
      </c>
      <c r="B76" s="34">
        <f>калькулятор!D81</f>
        <v>0</v>
      </c>
      <c r="C76" s="34">
        <f>калькулятор!E81</f>
        <v>0</v>
      </c>
      <c r="D76" s="36">
        <f>калькулятор!F81</f>
        <v>0</v>
      </c>
      <c r="E76" s="34">
        <f>калькулятор!G81</f>
        <v>0</v>
      </c>
      <c r="F76" s="34">
        <f>калькулятор!H81</f>
        <v>0</v>
      </c>
      <c r="G76" s="35">
        <f>калькулятор!I81</f>
        <v>0</v>
      </c>
      <c r="H76" s="35">
        <f>IF((данные!N77+данные!O77+данные!P77+данные!Q77+данные!R77)&gt;результат!G79,данные!X77*0.9,данные!N77)</f>
        <v>0</v>
      </c>
      <c r="I76" s="35">
        <f>IF((данные!N77+данные!O77+данные!P77+данные!Q77+данные!R77)&gt;результат!G79,данные!Y77*0.9,данные!O77)</f>
        <v>0</v>
      </c>
      <c r="J76" s="35">
        <f>IF((данные!N77+данные!O77+данные!P77+данные!Q77+данные!R77)&gt;результат!G79,данные!Z77*0.9,данные!P77)</f>
        <v>0</v>
      </c>
      <c r="K76" s="35">
        <f>IF((данные!N77+данные!O77+данные!P77+данные!Q77+данные!R77)&gt;результат!G79,данные!AA77*0.9,данные!Q77)</f>
        <v>0</v>
      </c>
      <c r="L76" s="35">
        <f>IF((данные!N77+данные!O77+данные!P77+данные!Q77+данные!R77)&gt;результат!G79,данные!AB77*0.9,данные!R77)</f>
        <v>0</v>
      </c>
      <c r="M76" s="46">
        <f t="shared" si="1"/>
        <v>0</v>
      </c>
    </row>
    <row r="77" spans="1:13" x14ac:dyDescent="0.25">
      <c r="A77" s="33">
        <f>калькулятор!C82</f>
        <v>0</v>
      </c>
      <c r="B77" s="34">
        <f>калькулятор!D82</f>
        <v>0</v>
      </c>
      <c r="C77" s="34">
        <f>калькулятор!E82</f>
        <v>0</v>
      </c>
      <c r="D77" s="36">
        <f>калькулятор!F82</f>
        <v>0</v>
      </c>
      <c r="E77" s="34">
        <f>калькулятор!G82</f>
        <v>0</v>
      </c>
      <c r="F77" s="34">
        <f>калькулятор!H82</f>
        <v>0</v>
      </c>
      <c r="G77" s="35">
        <f>калькулятор!I82</f>
        <v>0</v>
      </c>
      <c r="H77" s="35">
        <f>IF((данные!N78+данные!O78+данные!P78+данные!Q78+данные!R78)&gt;результат!G80,данные!X78*0.9,данные!N78)</f>
        <v>0</v>
      </c>
      <c r="I77" s="35">
        <f>IF((данные!N78+данные!O78+данные!P78+данные!Q78+данные!R78)&gt;результат!G80,данные!Y78*0.9,данные!O78)</f>
        <v>0</v>
      </c>
      <c r="J77" s="35">
        <f>IF((данные!N78+данные!O78+данные!P78+данные!Q78+данные!R78)&gt;результат!G80,данные!Z78*0.9,данные!P78)</f>
        <v>0</v>
      </c>
      <c r="K77" s="35">
        <f>IF((данные!N78+данные!O78+данные!P78+данные!Q78+данные!R78)&gt;результат!G80,данные!AA78*0.9,данные!Q78)</f>
        <v>0</v>
      </c>
      <c r="L77" s="35">
        <f>IF((данные!N78+данные!O78+данные!P78+данные!Q78+данные!R78)&gt;результат!G80,данные!AB78*0.9,данные!R78)</f>
        <v>0</v>
      </c>
      <c r="M77" s="46">
        <f t="shared" si="1"/>
        <v>0</v>
      </c>
    </row>
    <row r="78" spans="1:13" x14ac:dyDescent="0.25">
      <c r="A78" s="33">
        <f>калькулятор!C83</f>
        <v>0</v>
      </c>
      <c r="B78" s="34">
        <f>калькулятор!D83</f>
        <v>0</v>
      </c>
      <c r="C78" s="34">
        <f>калькулятор!E83</f>
        <v>0</v>
      </c>
      <c r="D78" s="36">
        <f>калькулятор!F83</f>
        <v>0</v>
      </c>
      <c r="E78" s="34">
        <f>калькулятор!G83</f>
        <v>0</v>
      </c>
      <c r="F78" s="34">
        <f>калькулятор!H83</f>
        <v>0</v>
      </c>
      <c r="G78" s="35">
        <f>калькулятор!I83</f>
        <v>0</v>
      </c>
      <c r="H78" s="35">
        <f>IF((данные!N79+данные!O79+данные!P79+данные!Q79+данные!R79)&gt;результат!G81,данные!X79*0.9,данные!N79)</f>
        <v>0</v>
      </c>
      <c r="I78" s="35">
        <f>IF((данные!N79+данные!O79+данные!P79+данные!Q79+данные!R79)&gt;результат!G81,данные!Y79*0.9,данные!O79)</f>
        <v>0</v>
      </c>
      <c r="J78" s="35">
        <f>IF((данные!N79+данные!O79+данные!P79+данные!Q79+данные!R79)&gt;результат!G81,данные!Z79*0.9,данные!P79)</f>
        <v>0</v>
      </c>
      <c r="K78" s="35">
        <f>IF((данные!N79+данные!O79+данные!P79+данные!Q79+данные!R79)&gt;результат!G81,данные!AA79*0.9,данные!Q79)</f>
        <v>0</v>
      </c>
      <c r="L78" s="35">
        <f>IF((данные!N79+данные!O79+данные!P79+данные!Q79+данные!R79)&gt;результат!G81,данные!AB79*0.9,данные!R79)</f>
        <v>0</v>
      </c>
      <c r="M78" s="46">
        <f t="shared" si="1"/>
        <v>0</v>
      </c>
    </row>
    <row r="79" spans="1:13" x14ac:dyDescent="0.25">
      <c r="A79" s="33">
        <f>калькулятор!C84</f>
        <v>0</v>
      </c>
      <c r="B79" s="34">
        <f>калькулятор!D84</f>
        <v>0</v>
      </c>
      <c r="C79" s="34">
        <f>калькулятор!E84</f>
        <v>0</v>
      </c>
      <c r="D79" s="36">
        <f>калькулятор!F84</f>
        <v>0</v>
      </c>
      <c r="E79" s="34">
        <f>калькулятор!G84</f>
        <v>0</v>
      </c>
      <c r="F79" s="34">
        <f>калькулятор!H84</f>
        <v>0</v>
      </c>
      <c r="G79" s="35">
        <f>калькулятор!I84</f>
        <v>0</v>
      </c>
      <c r="H79" s="35">
        <f>IF((данные!N80+данные!O80+данные!P80+данные!Q80+данные!R80)&gt;результат!G82,данные!X80*0.9,данные!N80)</f>
        <v>0</v>
      </c>
      <c r="I79" s="35">
        <f>IF((данные!N80+данные!O80+данные!P80+данные!Q80+данные!R80)&gt;результат!G82,данные!Y80*0.9,данные!O80)</f>
        <v>0</v>
      </c>
      <c r="J79" s="35">
        <f>IF((данные!N80+данные!O80+данные!P80+данные!Q80+данные!R80)&gt;результат!G82,данные!Z80*0.9,данные!P80)</f>
        <v>0</v>
      </c>
      <c r="K79" s="35">
        <f>IF((данные!N80+данные!O80+данные!P80+данные!Q80+данные!R80)&gt;результат!G82,данные!AA80*0.9,данные!Q80)</f>
        <v>0</v>
      </c>
      <c r="L79" s="35">
        <f>IF((данные!N80+данные!O80+данные!P80+данные!Q80+данные!R80)&gt;результат!G82,данные!AB80*0.9,данные!R80)</f>
        <v>0</v>
      </c>
      <c r="M79" s="46">
        <f t="shared" si="1"/>
        <v>0</v>
      </c>
    </row>
    <row r="80" spans="1:13" x14ac:dyDescent="0.25">
      <c r="A80" s="33">
        <f>калькулятор!C85</f>
        <v>0</v>
      </c>
      <c r="B80" s="34">
        <f>калькулятор!D85</f>
        <v>0</v>
      </c>
      <c r="C80" s="34">
        <f>калькулятор!E85</f>
        <v>0</v>
      </c>
      <c r="D80" s="36">
        <f>калькулятор!F85</f>
        <v>0</v>
      </c>
      <c r="E80" s="34">
        <f>калькулятор!G85</f>
        <v>0</v>
      </c>
      <c r="F80" s="34">
        <f>калькулятор!H85</f>
        <v>0</v>
      </c>
      <c r="G80" s="35">
        <f>калькулятор!I85</f>
        <v>0</v>
      </c>
      <c r="H80" s="35">
        <f>IF((данные!N81+данные!O81+данные!P81+данные!Q81+данные!R81)&gt;результат!G83,данные!X81*0.9,данные!N81)</f>
        <v>0</v>
      </c>
      <c r="I80" s="35">
        <f>IF((данные!N81+данные!O81+данные!P81+данные!Q81+данные!R81)&gt;результат!G83,данные!Y81*0.9,данные!O81)</f>
        <v>0</v>
      </c>
      <c r="J80" s="35">
        <f>IF((данные!N81+данные!O81+данные!P81+данные!Q81+данные!R81)&gt;результат!G83,данные!Z81*0.9,данные!P81)</f>
        <v>0</v>
      </c>
      <c r="K80" s="35">
        <f>IF((данные!N81+данные!O81+данные!P81+данные!Q81+данные!R81)&gt;результат!G83,данные!AA81*0.9,данные!Q81)</f>
        <v>0</v>
      </c>
      <c r="L80" s="35">
        <f>IF((данные!N81+данные!O81+данные!P81+данные!Q81+данные!R81)&gt;результат!G83,данные!AB81*0.9,данные!R81)</f>
        <v>0</v>
      </c>
      <c r="M80" s="46">
        <f t="shared" si="1"/>
        <v>0</v>
      </c>
    </row>
    <row r="81" spans="1:13" x14ac:dyDescent="0.25">
      <c r="A81" s="33">
        <f>калькулятор!C86</f>
        <v>0</v>
      </c>
      <c r="B81" s="34">
        <f>калькулятор!D86</f>
        <v>0</v>
      </c>
      <c r="C81" s="34">
        <f>калькулятор!E86</f>
        <v>0</v>
      </c>
      <c r="D81" s="36">
        <f>калькулятор!F86</f>
        <v>0</v>
      </c>
      <c r="E81" s="34">
        <f>калькулятор!G86</f>
        <v>0</v>
      </c>
      <c r="F81" s="34">
        <f>калькулятор!H86</f>
        <v>0</v>
      </c>
      <c r="G81" s="35">
        <f>калькулятор!I86</f>
        <v>0</v>
      </c>
      <c r="H81" s="35">
        <f>IF((данные!N82+данные!O82+данные!P82+данные!Q82+данные!R82)&gt;результат!G84,данные!X82*0.9,данные!N82)</f>
        <v>0</v>
      </c>
      <c r="I81" s="35">
        <f>IF((данные!N82+данные!O82+данные!P82+данные!Q82+данные!R82)&gt;результат!G84,данные!Y82*0.9,данные!O82)</f>
        <v>0</v>
      </c>
      <c r="J81" s="35">
        <f>IF((данные!N82+данные!O82+данные!P82+данные!Q82+данные!R82)&gt;результат!G84,данные!Z82*0.9,данные!P82)</f>
        <v>0</v>
      </c>
      <c r="K81" s="35">
        <f>IF((данные!N82+данные!O82+данные!P82+данные!Q82+данные!R82)&gt;результат!G84,данные!AA82*0.9,данные!Q82)</f>
        <v>0</v>
      </c>
      <c r="L81" s="35">
        <f>IF((данные!N82+данные!O82+данные!P82+данные!Q82+данные!R82)&gt;результат!G84,данные!AB82*0.9,данные!R82)</f>
        <v>0</v>
      </c>
      <c r="M81" s="46">
        <f t="shared" si="1"/>
        <v>0</v>
      </c>
    </row>
    <row r="82" spans="1:13" x14ac:dyDescent="0.25">
      <c r="A82" s="33">
        <f>калькулятор!C87</f>
        <v>0</v>
      </c>
      <c r="B82" s="34">
        <f>калькулятор!D87</f>
        <v>0</v>
      </c>
      <c r="C82" s="34">
        <f>калькулятор!E87</f>
        <v>0</v>
      </c>
      <c r="D82" s="36">
        <f>калькулятор!F87</f>
        <v>0</v>
      </c>
      <c r="E82" s="34">
        <f>калькулятор!G87</f>
        <v>0</v>
      </c>
      <c r="F82" s="34">
        <f>калькулятор!H87</f>
        <v>0</v>
      </c>
      <c r="G82" s="35">
        <f>калькулятор!I87</f>
        <v>0</v>
      </c>
      <c r="H82" s="35">
        <f>IF((данные!N83+данные!O83+данные!P83+данные!Q83+данные!R83)&gt;результат!G85,данные!X83*0.9,данные!N83)</f>
        <v>0</v>
      </c>
      <c r="I82" s="35">
        <f>IF((данные!N83+данные!O83+данные!P83+данные!Q83+данные!R83)&gt;результат!G85,данные!Y83*0.9,данные!O83)</f>
        <v>0</v>
      </c>
      <c r="J82" s="35">
        <f>IF((данные!N83+данные!O83+данные!P83+данные!Q83+данные!R83)&gt;результат!G85,данные!Z83*0.9,данные!P83)</f>
        <v>0</v>
      </c>
      <c r="K82" s="35">
        <f>IF((данные!N83+данные!O83+данные!P83+данные!Q83+данные!R83)&gt;результат!G85,данные!AA83*0.9,данные!Q83)</f>
        <v>0</v>
      </c>
      <c r="L82" s="35">
        <f>IF((данные!N83+данные!O83+данные!P83+данные!Q83+данные!R83)&gt;результат!G85,данные!AB83*0.9,данные!R83)</f>
        <v>0</v>
      </c>
      <c r="M82" s="46">
        <f t="shared" si="1"/>
        <v>0</v>
      </c>
    </row>
    <row r="83" spans="1:13" x14ac:dyDescent="0.25">
      <c r="A83" s="33">
        <f>калькулятор!C88</f>
        <v>0</v>
      </c>
      <c r="B83" s="34">
        <f>калькулятор!D88</f>
        <v>0</v>
      </c>
      <c r="C83" s="34">
        <f>калькулятор!E88</f>
        <v>0</v>
      </c>
      <c r="D83" s="36">
        <f>калькулятор!F88</f>
        <v>0</v>
      </c>
      <c r="E83" s="34">
        <f>калькулятор!G88</f>
        <v>0</v>
      </c>
      <c r="F83" s="34">
        <f>калькулятор!H88</f>
        <v>0</v>
      </c>
      <c r="G83" s="35">
        <f>калькулятор!I88</f>
        <v>0</v>
      </c>
      <c r="H83" s="35">
        <f>IF((данные!N84+данные!O84+данные!P84+данные!Q84+данные!R84)&gt;результат!G86,данные!X84*0.9,данные!N84)</f>
        <v>0</v>
      </c>
      <c r="I83" s="35">
        <f>IF((данные!N84+данные!O84+данные!P84+данные!Q84+данные!R84)&gt;результат!G86,данные!Y84*0.9,данные!O84)</f>
        <v>0</v>
      </c>
      <c r="J83" s="35">
        <f>IF((данные!N84+данные!O84+данные!P84+данные!Q84+данные!R84)&gt;результат!G86,данные!Z84*0.9,данные!P84)</f>
        <v>0</v>
      </c>
      <c r="K83" s="35">
        <f>IF((данные!N84+данные!O84+данные!P84+данные!Q84+данные!R84)&gt;результат!G86,данные!AA84*0.9,данные!Q84)</f>
        <v>0</v>
      </c>
      <c r="L83" s="35">
        <f>IF((данные!N84+данные!O84+данные!P84+данные!Q84+данные!R84)&gt;результат!G86,данные!AB84*0.9,данные!R84)</f>
        <v>0</v>
      </c>
      <c r="M83" s="46">
        <f t="shared" si="1"/>
        <v>0</v>
      </c>
    </row>
    <row r="84" spans="1:13" x14ac:dyDescent="0.25">
      <c r="A84" s="33">
        <f>калькулятор!C89</f>
        <v>0</v>
      </c>
      <c r="B84" s="34">
        <f>калькулятор!D89</f>
        <v>0</v>
      </c>
      <c r="C84" s="34">
        <f>калькулятор!E89</f>
        <v>0</v>
      </c>
      <c r="D84" s="36">
        <f>калькулятор!F89</f>
        <v>0</v>
      </c>
      <c r="E84" s="34">
        <f>калькулятор!G89</f>
        <v>0</v>
      </c>
      <c r="F84" s="34">
        <f>калькулятор!H89</f>
        <v>0</v>
      </c>
      <c r="G84" s="35">
        <f>калькулятор!I89</f>
        <v>0</v>
      </c>
      <c r="H84" s="35">
        <f>IF((данные!N85+данные!O85+данные!P85+данные!Q85+данные!R85)&gt;результат!G87,данные!X85*0.9,данные!N85)</f>
        <v>0</v>
      </c>
      <c r="I84" s="35">
        <f>IF((данные!N85+данные!O85+данные!P85+данные!Q85+данные!R85)&gt;результат!G87,данные!Y85*0.9,данные!O85)</f>
        <v>0</v>
      </c>
      <c r="J84" s="35">
        <f>IF((данные!N85+данные!O85+данные!P85+данные!Q85+данные!R85)&gt;результат!G87,данные!Z85*0.9,данные!P85)</f>
        <v>0</v>
      </c>
      <c r="K84" s="35">
        <f>IF((данные!N85+данные!O85+данные!P85+данные!Q85+данные!R85)&gt;результат!G87,данные!AA85*0.9,данные!Q85)</f>
        <v>0</v>
      </c>
      <c r="L84" s="35">
        <f>IF((данные!N85+данные!O85+данные!P85+данные!Q85+данные!R85)&gt;результат!G87,данные!AB85*0.9,данные!R85)</f>
        <v>0</v>
      </c>
      <c r="M84" s="46">
        <f t="shared" si="1"/>
        <v>0</v>
      </c>
    </row>
    <row r="85" spans="1:13" x14ac:dyDescent="0.25">
      <c r="A85" s="33">
        <f>калькулятор!C90</f>
        <v>0</v>
      </c>
      <c r="B85" s="34">
        <f>калькулятор!D90</f>
        <v>0</v>
      </c>
      <c r="C85" s="34">
        <f>калькулятор!E90</f>
        <v>0</v>
      </c>
      <c r="D85" s="36">
        <f>калькулятор!F90</f>
        <v>0</v>
      </c>
      <c r="E85" s="34">
        <f>калькулятор!G90</f>
        <v>0</v>
      </c>
      <c r="F85" s="34">
        <f>калькулятор!H90</f>
        <v>0</v>
      </c>
      <c r="G85" s="35">
        <f>калькулятор!I90</f>
        <v>0</v>
      </c>
      <c r="H85" s="35">
        <f>IF((данные!N86+данные!O86+данные!P86+данные!Q86+данные!R86)&gt;результат!G88,данные!X86*0.9,данные!N86)</f>
        <v>0</v>
      </c>
      <c r="I85" s="35">
        <f>IF((данные!N86+данные!O86+данные!P86+данные!Q86+данные!R86)&gt;результат!G88,данные!Y86*0.9,данные!O86)</f>
        <v>0</v>
      </c>
      <c r="J85" s="35">
        <f>IF((данные!N86+данные!O86+данные!P86+данные!Q86+данные!R86)&gt;результат!G88,данные!Z86*0.9,данные!P86)</f>
        <v>0</v>
      </c>
      <c r="K85" s="35">
        <f>IF((данные!N86+данные!O86+данные!P86+данные!Q86+данные!R86)&gt;результат!G88,данные!AA86*0.9,данные!Q86)</f>
        <v>0</v>
      </c>
      <c r="L85" s="35">
        <f>IF((данные!N86+данные!O86+данные!P86+данные!Q86+данные!R86)&gt;результат!G88,данные!AB86*0.9,данные!R86)</f>
        <v>0</v>
      </c>
      <c r="M85" s="46">
        <f t="shared" si="1"/>
        <v>0</v>
      </c>
    </row>
    <row r="86" spans="1:13" x14ac:dyDescent="0.25">
      <c r="A86" s="33">
        <f>калькулятор!C91</f>
        <v>0</v>
      </c>
      <c r="B86" s="34">
        <f>калькулятор!D91</f>
        <v>0</v>
      </c>
      <c r="C86" s="34">
        <f>калькулятор!E91</f>
        <v>0</v>
      </c>
      <c r="D86" s="36">
        <f>калькулятор!F91</f>
        <v>0</v>
      </c>
      <c r="E86" s="34">
        <f>калькулятор!G91</f>
        <v>0</v>
      </c>
      <c r="F86" s="34">
        <f>калькулятор!H91</f>
        <v>0</v>
      </c>
      <c r="G86" s="35">
        <f>калькулятор!I91</f>
        <v>0</v>
      </c>
      <c r="H86" s="35">
        <f>IF((данные!N87+данные!O87+данные!P87+данные!Q87+данные!R87)&gt;результат!G89,данные!X87*0.9,данные!N87)</f>
        <v>0</v>
      </c>
      <c r="I86" s="35">
        <f>IF((данные!N87+данные!O87+данные!P87+данные!Q87+данные!R87)&gt;результат!G89,данные!Y87*0.9,данные!O87)</f>
        <v>0</v>
      </c>
      <c r="J86" s="35">
        <f>IF((данные!N87+данные!O87+данные!P87+данные!Q87+данные!R87)&gt;результат!G89,данные!Z87*0.9,данные!P87)</f>
        <v>0</v>
      </c>
      <c r="K86" s="35">
        <f>IF((данные!N87+данные!O87+данные!P87+данные!Q87+данные!R87)&gt;результат!G89,данные!AA87*0.9,данные!Q87)</f>
        <v>0</v>
      </c>
      <c r="L86" s="35">
        <f>IF((данные!N87+данные!O87+данные!P87+данные!Q87+данные!R87)&gt;результат!G89,данные!AB87*0.9,данные!R87)</f>
        <v>0</v>
      </c>
      <c r="M86" s="46">
        <f t="shared" si="1"/>
        <v>0</v>
      </c>
    </row>
    <row r="87" spans="1:13" x14ac:dyDescent="0.25">
      <c r="A87" s="33">
        <f>калькулятор!C92</f>
        <v>0</v>
      </c>
      <c r="B87" s="34">
        <f>калькулятор!D92</f>
        <v>0</v>
      </c>
      <c r="C87" s="34">
        <f>калькулятор!E92</f>
        <v>0</v>
      </c>
      <c r="D87" s="36">
        <f>калькулятор!F92</f>
        <v>0</v>
      </c>
      <c r="E87" s="34">
        <f>калькулятор!G92</f>
        <v>0</v>
      </c>
      <c r="F87" s="34">
        <f>калькулятор!H92</f>
        <v>0</v>
      </c>
      <c r="G87" s="35">
        <f>калькулятор!I92</f>
        <v>0</v>
      </c>
      <c r="H87" s="35">
        <f>IF((данные!N88+данные!O88+данные!P88+данные!Q88+данные!R88)&gt;результат!G90,данные!X88*0.9,данные!N88)</f>
        <v>0</v>
      </c>
      <c r="I87" s="35">
        <f>IF((данные!N88+данные!O88+данные!P88+данные!Q88+данные!R88)&gt;результат!G90,данные!Y88*0.9,данные!O88)</f>
        <v>0</v>
      </c>
      <c r="J87" s="35">
        <f>IF((данные!N88+данные!O88+данные!P88+данные!Q88+данные!R88)&gt;результат!G90,данные!Z88*0.9,данные!P88)</f>
        <v>0</v>
      </c>
      <c r="K87" s="35">
        <f>IF((данные!N88+данные!O88+данные!P88+данные!Q88+данные!R88)&gt;результат!G90,данные!AA88*0.9,данные!Q88)</f>
        <v>0</v>
      </c>
      <c r="L87" s="35">
        <f>IF((данные!N88+данные!O88+данные!P88+данные!Q88+данные!R88)&gt;результат!G90,данные!AB88*0.9,данные!R88)</f>
        <v>0</v>
      </c>
      <c r="M87" s="46">
        <f t="shared" si="1"/>
        <v>0</v>
      </c>
    </row>
    <row r="88" spans="1:13" x14ac:dyDescent="0.25">
      <c r="A88" s="33">
        <f>калькулятор!C93</f>
        <v>0</v>
      </c>
      <c r="B88" s="34">
        <f>калькулятор!D93</f>
        <v>0</v>
      </c>
      <c r="C88" s="34">
        <f>калькулятор!E93</f>
        <v>0</v>
      </c>
      <c r="D88" s="36">
        <f>калькулятор!F93</f>
        <v>0</v>
      </c>
      <c r="E88" s="34">
        <f>калькулятор!G93</f>
        <v>0</v>
      </c>
      <c r="F88" s="34">
        <f>калькулятор!H93</f>
        <v>0</v>
      </c>
      <c r="G88" s="35">
        <f>калькулятор!I93</f>
        <v>0</v>
      </c>
      <c r="H88" s="35">
        <f>IF((данные!N89+данные!O89+данные!P89+данные!Q89+данные!R89)&gt;результат!G91,данные!X89*0.9,данные!N89)</f>
        <v>0</v>
      </c>
      <c r="I88" s="35">
        <f>IF((данные!N89+данные!O89+данные!P89+данные!Q89+данные!R89)&gt;результат!G91,данные!Y89*0.9,данные!O89)</f>
        <v>0</v>
      </c>
      <c r="J88" s="35">
        <f>IF((данные!N89+данные!O89+данные!P89+данные!Q89+данные!R89)&gt;результат!G91,данные!Z89*0.9,данные!P89)</f>
        <v>0</v>
      </c>
      <c r="K88" s="35">
        <f>IF((данные!N89+данные!O89+данные!P89+данные!Q89+данные!R89)&gt;результат!G91,данные!AA89*0.9,данные!Q89)</f>
        <v>0</v>
      </c>
      <c r="L88" s="35">
        <f>IF((данные!N89+данные!O89+данные!P89+данные!Q89+данные!R89)&gt;результат!G91,данные!AB89*0.9,данные!R89)</f>
        <v>0</v>
      </c>
      <c r="M88" s="46">
        <f t="shared" si="1"/>
        <v>0</v>
      </c>
    </row>
    <row r="89" spans="1:13" x14ac:dyDescent="0.25">
      <c r="A89" s="33">
        <f>калькулятор!C94</f>
        <v>0</v>
      </c>
      <c r="B89" s="34">
        <f>калькулятор!D94</f>
        <v>0</v>
      </c>
      <c r="C89" s="34">
        <f>калькулятор!E94</f>
        <v>0</v>
      </c>
      <c r="D89" s="36">
        <f>калькулятор!F94</f>
        <v>0</v>
      </c>
      <c r="E89" s="34">
        <f>калькулятор!G94</f>
        <v>0</v>
      </c>
      <c r="F89" s="34">
        <f>калькулятор!H94</f>
        <v>0</v>
      </c>
      <c r="G89" s="35">
        <f>калькулятор!I94</f>
        <v>0</v>
      </c>
      <c r="H89" s="35">
        <f>IF((данные!N90+данные!O90+данные!P90+данные!Q90+данные!R90)&gt;результат!G92,данные!X90*0.9,данные!N90)</f>
        <v>0</v>
      </c>
      <c r="I89" s="35">
        <f>IF((данные!N90+данные!O90+данные!P90+данные!Q90+данные!R90)&gt;результат!G92,данные!Y90*0.9,данные!O90)</f>
        <v>0</v>
      </c>
      <c r="J89" s="35">
        <f>IF((данные!N90+данные!O90+данные!P90+данные!Q90+данные!R90)&gt;результат!G92,данные!Z90*0.9,данные!P90)</f>
        <v>0</v>
      </c>
      <c r="K89" s="35">
        <f>IF((данные!N90+данные!O90+данные!P90+данные!Q90+данные!R90)&gt;результат!G92,данные!AA90*0.9,данные!Q90)</f>
        <v>0</v>
      </c>
      <c r="L89" s="35">
        <f>IF((данные!N90+данные!O90+данные!P90+данные!Q90+данные!R90)&gt;результат!G92,данные!AB90*0.9,данные!R90)</f>
        <v>0</v>
      </c>
      <c r="M89" s="46">
        <f t="shared" si="1"/>
        <v>0</v>
      </c>
    </row>
    <row r="90" spans="1:13" x14ac:dyDescent="0.25">
      <c r="A90" s="33">
        <f>калькулятор!C95</f>
        <v>0</v>
      </c>
      <c r="B90" s="34">
        <f>калькулятор!D95</f>
        <v>0</v>
      </c>
      <c r="C90" s="34">
        <f>калькулятор!E95</f>
        <v>0</v>
      </c>
      <c r="D90" s="36">
        <f>калькулятор!F95</f>
        <v>0</v>
      </c>
      <c r="E90" s="34">
        <f>калькулятор!G95</f>
        <v>0</v>
      </c>
      <c r="F90" s="34">
        <f>калькулятор!H95</f>
        <v>0</v>
      </c>
      <c r="G90" s="35">
        <f>калькулятор!I95</f>
        <v>0</v>
      </c>
      <c r="H90" s="35">
        <f>IF((данные!N91+данные!O91+данные!P91+данные!Q91+данные!R91)&gt;результат!G93,данные!X91*0.9,данные!N91)</f>
        <v>0</v>
      </c>
      <c r="I90" s="35">
        <f>IF((данные!N91+данные!O91+данные!P91+данные!Q91+данные!R91)&gt;результат!G93,данные!Y91*0.9,данные!O91)</f>
        <v>0</v>
      </c>
      <c r="J90" s="35">
        <f>IF((данные!N91+данные!O91+данные!P91+данные!Q91+данные!R91)&gt;результат!G93,данные!Z91*0.9,данные!P91)</f>
        <v>0</v>
      </c>
      <c r="K90" s="35">
        <f>IF((данные!N91+данные!O91+данные!P91+данные!Q91+данные!R91)&gt;результат!G93,данные!AA91*0.9,данные!Q91)</f>
        <v>0</v>
      </c>
      <c r="L90" s="35">
        <f>IF((данные!N91+данные!O91+данные!P91+данные!Q91+данные!R91)&gt;результат!G93,данные!AB91*0.9,данные!R91)</f>
        <v>0</v>
      </c>
      <c r="M90" s="46">
        <f t="shared" si="1"/>
        <v>0</v>
      </c>
    </row>
    <row r="91" spans="1:13" x14ac:dyDescent="0.25">
      <c r="A91" s="33">
        <f>калькулятор!C96</f>
        <v>0</v>
      </c>
      <c r="B91" s="34">
        <f>калькулятор!D96</f>
        <v>0</v>
      </c>
      <c r="C91" s="34">
        <f>калькулятор!E96</f>
        <v>0</v>
      </c>
      <c r="D91" s="36">
        <f>калькулятор!F96</f>
        <v>0</v>
      </c>
      <c r="E91" s="34">
        <f>калькулятор!G96</f>
        <v>0</v>
      </c>
      <c r="F91" s="34">
        <f>калькулятор!H96</f>
        <v>0</v>
      </c>
      <c r="G91" s="35">
        <f>калькулятор!I96</f>
        <v>0</v>
      </c>
      <c r="H91" s="35">
        <f>IF((данные!N92+данные!O92+данные!P92+данные!Q92+данные!R92)&gt;результат!G94,данные!X92*0.9,данные!N92)</f>
        <v>0</v>
      </c>
      <c r="I91" s="35">
        <f>IF((данные!N92+данные!O92+данные!P92+данные!Q92+данные!R92)&gt;результат!G94,данные!Y92*0.9,данные!O92)</f>
        <v>0</v>
      </c>
      <c r="J91" s="35">
        <f>IF((данные!N92+данные!O92+данные!P92+данные!Q92+данные!R92)&gt;результат!G94,данные!Z92*0.9,данные!P92)</f>
        <v>0</v>
      </c>
      <c r="K91" s="35">
        <f>IF((данные!N92+данные!O92+данные!P92+данные!Q92+данные!R92)&gt;результат!G94,данные!AA92*0.9,данные!Q92)</f>
        <v>0</v>
      </c>
      <c r="L91" s="35">
        <f>IF((данные!N92+данные!O92+данные!P92+данные!Q92+данные!R92)&gt;результат!G94,данные!AB92*0.9,данные!R92)</f>
        <v>0</v>
      </c>
      <c r="M91" s="46">
        <f t="shared" si="1"/>
        <v>0</v>
      </c>
    </row>
    <row r="92" spans="1:13" x14ac:dyDescent="0.25">
      <c r="A92" s="33">
        <f>калькулятор!C97</f>
        <v>0</v>
      </c>
      <c r="B92" s="34">
        <f>калькулятор!D97</f>
        <v>0</v>
      </c>
      <c r="C92" s="34">
        <f>калькулятор!E97</f>
        <v>0</v>
      </c>
      <c r="D92" s="36">
        <f>калькулятор!F97</f>
        <v>0</v>
      </c>
      <c r="E92" s="34">
        <f>калькулятор!G97</f>
        <v>0</v>
      </c>
      <c r="F92" s="34">
        <f>калькулятор!H97</f>
        <v>0</v>
      </c>
      <c r="G92" s="35">
        <f>калькулятор!I97</f>
        <v>0</v>
      </c>
      <c r="H92" s="35">
        <f>IF((данные!N93+данные!O93+данные!P93+данные!Q93+данные!R93)&gt;результат!G95,данные!X93*0.9,данные!N93)</f>
        <v>0</v>
      </c>
      <c r="I92" s="35">
        <f>IF((данные!N93+данные!O93+данные!P93+данные!Q93+данные!R93)&gt;результат!G95,данные!Y93*0.9,данные!O93)</f>
        <v>0</v>
      </c>
      <c r="J92" s="35">
        <f>IF((данные!N93+данные!O93+данные!P93+данные!Q93+данные!R93)&gt;результат!G95,данные!Z93*0.9,данные!P93)</f>
        <v>0</v>
      </c>
      <c r="K92" s="35">
        <f>IF((данные!N93+данные!O93+данные!P93+данные!Q93+данные!R93)&gt;результат!G95,данные!AA93*0.9,данные!Q93)</f>
        <v>0</v>
      </c>
      <c r="L92" s="35">
        <f>IF((данные!N93+данные!O93+данные!P93+данные!Q93+данные!R93)&gt;результат!G95,данные!AB93*0.9,данные!R93)</f>
        <v>0</v>
      </c>
      <c r="M92" s="46">
        <f t="shared" si="1"/>
        <v>0</v>
      </c>
    </row>
    <row r="93" spans="1:13" x14ac:dyDescent="0.25">
      <c r="A93" s="33">
        <f>калькулятор!C98</f>
        <v>0</v>
      </c>
      <c r="B93" s="34">
        <f>калькулятор!D98</f>
        <v>0</v>
      </c>
      <c r="C93" s="34">
        <f>калькулятор!E98</f>
        <v>0</v>
      </c>
      <c r="D93" s="36">
        <f>калькулятор!F98</f>
        <v>0</v>
      </c>
      <c r="E93" s="34">
        <f>калькулятор!G98</f>
        <v>0</v>
      </c>
      <c r="F93" s="34">
        <f>калькулятор!H98</f>
        <v>0</v>
      </c>
      <c r="G93" s="35">
        <f>калькулятор!I98</f>
        <v>0</v>
      </c>
      <c r="H93" s="35">
        <f>IF((данные!N94+данные!O94+данные!P94+данные!Q94+данные!R94)&gt;результат!G96,данные!X94*0.9,данные!N94)</f>
        <v>0</v>
      </c>
      <c r="I93" s="35">
        <f>IF((данные!N94+данные!O94+данные!P94+данные!Q94+данные!R94)&gt;результат!G96,данные!Y94*0.9,данные!O94)</f>
        <v>0</v>
      </c>
      <c r="J93" s="35">
        <f>IF((данные!N94+данные!O94+данные!P94+данные!Q94+данные!R94)&gt;результат!G96,данные!Z94*0.9,данные!P94)</f>
        <v>0</v>
      </c>
      <c r="K93" s="35">
        <f>IF((данные!N94+данные!O94+данные!P94+данные!Q94+данные!R94)&gt;результат!G96,данные!AA94*0.9,данные!Q94)</f>
        <v>0</v>
      </c>
      <c r="L93" s="35">
        <f>IF((данные!N94+данные!O94+данные!P94+данные!Q94+данные!R94)&gt;результат!G96,данные!AB94*0.9,данные!R94)</f>
        <v>0</v>
      </c>
      <c r="M93" s="46">
        <f t="shared" si="1"/>
        <v>0</v>
      </c>
    </row>
    <row r="94" spans="1:13" x14ac:dyDescent="0.25">
      <c r="A94" s="33">
        <f>калькулятор!C99</f>
        <v>0</v>
      </c>
      <c r="B94" s="34">
        <f>калькулятор!D99</f>
        <v>0</v>
      </c>
      <c r="C94" s="34">
        <f>калькулятор!E99</f>
        <v>0</v>
      </c>
      <c r="D94" s="36">
        <f>калькулятор!F99</f>
        <v>0</v>
      </c>
      <c r="E94" s="34">
        <f>калькулятор!G99</f>
        <v>0</v>
      </c>
      <c r="F94" s="34">
        <f>калькулятор!H99</f>
        <v>0</v>
      </c>
      <c r="G94" s="35">
        <f>калькулятор!I99</f>
        <v>0</v>
      </c>
      <c r="H94" s="35">
        <f>IF((данные!N95+данные!O95+данные!P95+данные!Q95+данные!R95)&gt;результат!G97,данные!X95*0.9,данные!N95)</f>
        <v>0</v>
      </c>
      <c r="I94" s="35">
        <f>IF((данные!N95+данные!O95+данные!P95+данные!Q95+данные!R95)&gt;результат!G97,данные!Y95*0.9,данные!O95)</f>
        <v>0</v>
      </c>
      <c r="J94" s="35">
        <f>IF((данные!N95+данные!O95+данные!P95+данные!Q95+данные!R95)&gt;результат!G97,данные!Z95*0.9,данные!P95)</f>
        <v>0</v>
      </c>
      <c r="K94" s="35">
        <f>IF((данные!N95+данные!O95+данные!P95+данные!Q95+данные!R95)&gt;результат!G97,данные!AA95*0.9,данные!Q95)</f>
        <v>0</v>
      </c>
      <c r="L94" s="35">
        <f>IF((данные!N95+данные!O95+данные!P95+данные!Q95+данные!R95)&gt;результат!G97,данные!AB95*0.9,данные!R95)</f>
        <v>0</v>
      </c>
      <c r="M94" s="46">
        <f t="shared" si="1"/>
        <v>0</v>
      </c>
    </row>
    <row r="95" spans="1:13" x14ac:dyDescent="0.25">
      <c r="A95" s="33">
        <f>калькулятор!C100</f>
        <v>0</v>
      </c>
      <c r="B95" s="34">
        <f>калькулятор!D100</f>
        <v>0</v>
      </c>
      <c r="C95" s="34">
        <f>калькулятор!E100</f>
        <v>0</v>
      </c>
      <c r="D95" s="36">
        <f>калькулятор!F100</f>
        <v>0</v>
      </c>
      <c r="E95" s="34">
        <f>калькулятор!G100</f>
        <v>0</v>
      </c>
      <c r="F95" s="34">
        <f>калькулятор!H100</f>
        <v>0</v>
      </c>
      <c r="G95" s="35">
        <f>калькулятор!I100</f>
        <v>0</v>
      </c>
      <c r="H95" s="35">
        <f>IF((данные!N96+данные!O96+данные!P96+данные!Q96+данные!R96)&gt;результат!G98,данные!X96*0.9,данные!N96)</f>
        <v>0</v>
      </c>
      <c r="I95" s="35">
        <f>IF((данные!N96+данные!O96+данные!P96+данные!Q96+данные!R96)&gt;результат!G98,данные!Y96*0.9,данные!O96)</f>
        <v>0</v>
      </c>
      <c r="J95" s="35">
        <f>IF((данные!N96+данные!O96+данные!P96+данные!Q96+данные!R96)&gt;результат!G98,данные!Z96*0.9,данные!P96)</f>
        <v>0</v>
      </c>
      <c r="K95" s="35">
        <f>IF((данные!N96+данные!O96+данные!P96+данные!Q96+данные!R96)&gt;результат!G98,данные!AA96*0.9,данные!Q96)</f>
        <v>0</v>
      </c>
      <c r="L95" s="35">
        <f>IF((данные!N96+данные!O96+данные!P96+данные!Q96+данные!R96)&gt;результат!G98,данные!AB96*0.9,данные!R96)</f>
        <v>0</v>
      </c>
      <c r="M95" s="46">
        <f t="shared" si="1"/>
        <v>0</v>
      </c>
    </row>
    <row r="96" spans="1:13" x14ac:dyDescent="0.25">
      <c r="A96" s="33">
        <f>калькулятор!C101</f>
        <v>0</v>
      </c>
      <c r="B96" s="34">
        <f>калькулятор!D101</f>
        <v>0</v>
      </c>
      <c r="C96" s="34">
        <f>калькулятор!E101</f>
        <v>0</v>
      </c>
      <c r="D96" s="36">
        <f>калькулятор!F101</f>
        <v>0</v>
      </c>
      <c r="E96" s="34">
        <f>калькулятор!G101</f>
        <v>0</v>
      </c>
      <c r="F96" s="34">
        <f>калькулятор!H101</f>
        <v>0</v>
      </c>
      <c r="G96" s="35">
        <f>калькулятор!I101</f>
        <v>0</v>
      </c>
      <c r="H96" s="35">
        <f>IF((данные!N97+данные!O97+данные!P97+данные!Q97+данные!R97)&gt;результат!G99,данные!X97*0.9,данные!N97)</f>
        <v>0</v>
      </c>
      <c r="I96" s="35">
        <f>IF((данные!N97+данные!O97+данные!P97+данные!Q97+данные!R97)&gt;результат!G99,данные!Y97*0.9,данные!O97)</f>
        <v>0</v>
      </c>
      <c r="J96" s="35">
        <f>IF((данные!N97+данные!O97+данные!P97+данные!Q97+данные!R97)&gt;результат!G99,данные!Z97*0.9,данные!P97)</f>
        <v>0</v>
      </c>
      <c r="K96" s="35">
        <f>IF((данные!N97+данные!O97+данные!P97+данные!Q97+данные!R97)&gt;результат!G99,данные!AA97*0.9,данные!Q97)</f>
        <v>0</v>
      </c>
      <c r="L96" s="35">
        <f>IF((данные!N97+данные!O97+данные!P97+данные!Q97+данные!R97)&gt;результат!G99,данные!AB97*0.9,данные!R97)</f>
        <v>0</v>
      </c>
      <c r="M96" s="46">
        <f t="shared" si="1"/>
        <v>0</v>
      </c>
    </row>
    <row r="97" spans="1:13" x14ac:dyDescent="0.25">
      <c r="A97" s="33">
        <f>калькулятор!C102</f>
        <v>0</v>
      </c>
      <c r="B97" s="34">
        <f>калькулятор!D102</f>
        <v>0</v>
      </c>
      <c r="C97" s="34">
        <f>калькулятор!E102</f>
        <v>0</v>
      </c>
      <c r="D97" s="36">
        <f>калькулятор!F102</f>
        <v>0</v>
      </c>
      <c r="E97" s="34">
        <f>калькулятор!G102</f>
        <v>0</v>
      </c>
      <c r="F97" s="34">
        <f>калькулятор!H102</f>
        <v>0</v>
      </c>
      <c r="G97" s="35">
        <f>калькулятор!I102</f>
        <v>0</v>
      </c>
      <c r="H97" s="35">
        <f>IF((данные!N98+данные!O98+данные!P98+данные!Q98+данные!R98)&gt;результат!G100,данные!X98*0.9,данные!N98)</f>
        <v>0</v>
      </c>
      <c r="I97" s="35">
        <f>IF((данные!N98+данные!O98+данные!P98+данные!Q98+данные!R98)&gt;результат!G100,данные!Y98*0.9,данные!O98)</f>
        <v>0</v>
      </c>
      <c r="J97" s="35">
        <f>IF((данные!N98+данные!O98+данные!P98+данные!Q98+данные!R98)&gt;результат!G100,данные!Z98*0.9,данные!P98)</f>
        <v>0</v>
      </c>
      <c r="K97" s="35">
        <f>IF((данные!N98+данные!O98+данные!P98+данные!Q98+данные!R98)&gt;результат!G100,данные!AA98*0.9,данные!Q98)</f>
        <v>0</v>
      </c>
      <c r="L97" s="35">
        <f>IF((данные!N98+данные!O98+данные!P98+данные!Q98+данные!R98)&gt;результат!G100,данные!AB98*0.9,данные!R98)</f>
        <v>0</v>
      </c>
      <c r="M97" s="46">
        <f t="shared" si="1"/>
        <v>0</v>
      </c>
    </row>
    <row r="98" spans="1:13" x14ac:dyDescent="0.25">
      <c r="A98" s="33">
        <f>калькулятор!C103</f>
        <v>0</v>
      </c>
      <c r="B98" s="34">
        <f>калькулятор!D103</f>
        <v>0</v>
      </c>
      <c r="C98" s="34">
        <f>калькулятор!E103</f>
        <v>0</v>
      </c>
      <c r="D98" s="36">
        <f>калькулятор!F103</f>
        <v>0</v>
      </c>
      <c r="E98" s="34">
        <f>калькулятор!G103</f>
        <v>0</v>
      </c>
      <c r="F98" s="34">
        <f>калькулятор!H103</f>
        <v>0</v>
      </c>
      <c r="G98" s="35">
        <f>калькулятор!I103</f>
        <v>0</v>
      </c>
      <c r="H98" s="35">
        <f>IF((данные!N99+данные!O99+данные!P99+данные!Q99+данные!R99)&gt;результат!G101,данные!X99*0.9,данные!N99)</f>
        <v>0</v>
      </c>
      <c r="I98" s="35">
        <f>IF((данные!N99+данные!O99+данные!P99+данные!Q99+данные!R99)&gt;результат!G101,данные!Y99*0.9,данные!O99)</f>
        <v>0</v>
      </c>
      <c r="J98" s="35">
        <f>IF((данные!N99+данные!O99+данные!P99+данные!Q99+данные!R99)&gt;результат!G101,данные!Z99*0.9,данные!P99)</f>
        <v>0</v>
      </c>
      <c r="K98" s="35">
        <f>IF((данные!N99+данные!O99+данные!P99+данные!Q99+данные!R99)&gt;результат!G101,данные!AA99*0.9,данные!Q99)</f>
        <v>0</v>
      </c>
      <c r="L98" s="35">
        <f>IF((данные!N99+данные!O99+данные!P99+данные!Q99+данные!R99)&gt;результат!G101,данные!AB99*0.9,данные!R99)</f>
        <v>0</v>
      </c>
      <c r="M98" s="46">
        <f t="shared" si="1"/>
        <v>0</v>
      </c>
    </row>
    <row r="99" spans="1:13" x14ac:dyDescent="0.25">
      <c r="A99" s="33">
        <f>калькулятор!C104</f>
        <v>0</v>
      </c>
      <c r="B99" s="34">
        <f>калькулятор!D104</f>
        <v>0</v>
      </c>
      <c r="C99" s="34">
        <f>калькулятор!E104</f>
        <v>0</v>
      </c>
      <c r="D99" s="36">
        <f>калькулятор!F104</f>
        <v>0</v>
      </c>
      <c r="E99" s="34">
        <f>калькулятор!G104</f>
        <v>0</v>
      </c>
      <c r="F99" s="34">
        <f>калькулятор!H104</f>
        <v>0</v>
      </c>
      <c r="G99" s="35">
        <f>калькулятор!I104</f>
        <v>0</v>
      </c>
      <c r="H99" s="35">
        <f>IF((данные!N100+данные!O100+данные!P100+данные!Q100+данные!R100)&gt;результат!G102,данные!X100*0.9,данные!N100)</f>
        <v>0</v>
      </c>
      <c r="I99" s="35">
        <f>IF((данные!N100+данные!O100+данные!P100+данные!Q100+данные!R100)&gt;результат!G102,данные!Y100*0.9,данные!O100)</f>
        <v>0</v>
      </c>
      <c r="J99" s="35">
        <f>IF((данные!N100+данные!O100+данные!P100+данные!Q100+данные!R100)&gt;результат!G102,данные!Z100*0.9,данные!P100)</f>
        <v>0</v>
      </c>
      <c r="K99" s="35">
        <f>IF((данные!N100+данные!O100+данные!P100+данные!Q100+данные!R100)&gt;результат!G102,данные!AA100*0.9,данные!Q100)</f>
        <v>0</v>
      </c>
      <c r="L99" s="35">
        <f>IF((данные!N100+данные!O100+данные!P100+данные!Q100+данные!R100)&gt;результат!G102,данные!AB100*0.9,данные!R100)</f>
        <v>0</v>
      </c>
      <c r="M99" s="46">
        <f t="shared" si="1"/>
        <v>0</v>
      </c>
    </row>
    <row r="100" spans="1:13" x14ac:dyDescent="0.25">
      <c r="A100" s="33">
        <f>калькулятор!C105</f>
        <v>0</v>
      </c>
      <c r="B100" s="34">
        <f>калькулятор!D105</f>
        <v>0</v>
      </c>
      <c r="C100" s="34">
        <f>калькулятор!E105</f>
        <v>0</v>
      </c>
      <c r="D100" s="36">
        <f>калькулятор!F105</f>
        <v>0</v>
      </c>
      <c r="E100" s="34">
        <f>калькулятор!G105</f>
        <v>0</v>
      </c>
      <c r="F100" s="34">
        <f>калькулятор!H105</f>
        <v>0</v>
      </c>
      <c r="G100" s="35">
        <f>калькулятор!I105</f>
        <v>0</v>
      </c>
      <c r="H100" s="35">
        <f>IF((данные!N101+данные!O101+данные!P101+данные!Q101+данные!R101)&gt;результат!G103,данные!X101*0.9,данные!N101)</f>
        <v>0</v>
      </c>
      <c r="I100" s="35">
        <f>IF((данные!N101+данные!O101+данные!P101+данные!Q101+данные!R101)&gt;результат!G103,данные!Y101*0.9,данные!O101)</f>
        <v>0</v>
      </c>
      <c r="J100" s="35">
        <f>IF((данные!N101+данные!O101+данные!P101+данные!Q101+данные!R101)&gt;результат!G103,данные!Z101*0.9,данные!P101)</f>
        <v>0</v>
      </c>
      <c r="K100" s="35">
        <f>IF((данные!N101+данные!O101+данные!P101+данные!Q101+данные!R101)&gt;результат!G103,данные!AA101*0.9,данные!Q101)</f>
        <v>0</v>
      </c>
      <c r="L100" s="35">
        <f>IF((данные!N101+данные!O101+данные!P101+данные!Q101+данные!R101)&gt;результат!G103,данные!AB101*0.9,данные!R101)</f>
        <v>0</v>
      </c>
      <c r="M100" s="46">
        <f t="shared" si="1"/>
        <v>0</v>
      </c>
    </row>
    <row r="101" spans="1:13" x14ac:dyDescent="0.25">
      <c r="A101" s="38">
        <f>калькулятор!C106</f>
        <v>0</v>
      </c>
      <c r="B101" s="39">
        <f>калькулятор!D106</f>
        <v>0</v>
      </c>
      <c r="C101" s="39">
        <f>калькулятор!E106</f>
        <v>0</v>
      </c>
      <c r="D101" s="40">
        <f>калькулятор!F106</f>
        <v>0</v>
      </c>
      <c r="E101" s="39">
        <f>калькулятор!G106</f>
        <v>0</v>
      </c>
      <c r="F101" s="39">
        <f>калькулятор!H106</f>
        <v>0</v>
      </c>
      <c r="G101" s="35">
        <f>калькулятор!I106</f>
        <v>0</v>
      </c>
      <c r="H101" s="35">
        <f>IF((данные!N102+данные!O102+данные!P102+данные!Q102+данные!R102)&gt;результат!G104,данные!X102*0.9,данные!N102)</f>
        <v>0</v>
      </c>
      <c r="I101" s="35">
        <f>IF((данные!N102+данные!O102+данные!P102+данные!Q102+данные!R102)&gt;результат!G104,данные!Y102*0.9,данные!O102)</f>
        <v>0</v>
      </c>
      <c r="J101" s="35">
        <f>IF((данные!N102+данные!O102+данные!P102+данные!Q102+данные!R102)&gt;результат!G104,данные!Z102*0.9,данные!P102)</f>
        <v>0</v>
      </c>
      <c r="K101" s="35">
        <f>IF((данные!N102+данные!O102+данные!P102+данные!Q102+данные!R102)&gt;результат!G104,данные!AA102*0.9,данные!Q102)</f>
        <v>0</v>
      </c>
      <c r="L101" s="35">
        <f>IF((данные!N102+данные!O102+данные!P102+данные!Q102+данные!R102)&gt;результат!G104,данные!AB102*0.9,данные!R102)</f>
        <v>0</v>
      </c>
      <c r="M101" s="47">
        <f t="shared" si="1"/>
        <v>0</v>
      </c>
    </row>
  </sheetData>
  <dataValidations count="4">
    <dataValidation operator="greaterThan" allowBlank="1" showInputMessage="1" showErrorMessage="1" sqref="D6:D20 D22:D23 D25:D26 D28:D29 D31:D101 H1:L1048576"/>
    <dataValidation type="list" operator="greaterThan" allowBlank="1" showInputMessage="1" showErrorMessage="1" sqref="F2:F101">
      <formula1>E</formula1>
    </dataValidation>
    <dataValidation type="decimal" operator="greaterThan" allowBlank="1" showInputMessage="1" showErrorMessage="1" sqref="G2:G101">
      <formula1>0</formula1>
    </dataValidation>
    <dataValidation type="list" allowBlank="1" showInputMessage="1" showErrorMessage="1" sqref="E2:E101">
      <formula1>А</formula1>
    </dataValidation>
  </dataValidations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7</vt:i4>
      </vt:variant>
    </vt:vector>
  </HeadingPairs>
  <TitlesOfParts>
    <vt:vector size="14" baseType="lpstr">
      <vt:lpstr>калькулятор</vt:lpstr>
      <vt:lpstr>результат</vt:lpstr>
      <vt:lpstr>Прогноз ИПР</vt:lpstr>
      <vt:lpstr>Список</vt:lpstr>
      <vt:lpstr>индексы</vt:lpstr>
      <vt:lpstr>данные</vt:lpstr>
      <vt:lpstr>Цены -10%</vt:lpstr>
      <vt:lpstr>D</vt:lpstr>
      <vt:lpstr>E</vt:lpstr>
      <vt:lpstr>F</vt:lpstr>
      <vt:lpstr>А</vt:lpstr>
      <vt:lpstr>В</vt:lpstr>
      <vt:lpstr>год</vt:lpstr>
      <vt:lpstr>ИПР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Пыткин Алексей Дмитриевич</dc:creator>
  <cp:lastModifiedBy>plotnikova_as</cp:lastModifiedBy>
  <cp:lastPrinted>2013-02-26T10:37:12Z</cp:lastPrinted>
  <dcterms:created xsi:type="dcterms:W3CDTF">2013-02-20T12:09:55Z</dcterms:created>
  <dcterms:modified xsi:type="dcterms:W3CDTF">2013-10-30T06:48:40Z</dcterms:modified>
</cp:coreProperties>
</file>