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795" yWindow="-120" windowWidth="10320" windowHeight="10170"/>
  </bookViews>
  <sheets>
    <sheet name="4 кв 2010" sheetId="1" r:id="rId1"/>
    <sheet name="4 кв 2011" sheetId="2" r:id="rId2"/>
  </sheets>
  <externalReferences>
    <externalReference r:id="rId3"/>
  </externalReferences>
  <definedNames>
    <definedName name="_xlnm._FilterDatabase" localSheetId="0" hidden="1">'4 кв 2010'!$A$19:$M$124</definedName>
    <definedName name="_xlnm._FilterDatabase" localSheetId="1" hidden="1">'4 кв 2011'!$A$19:$M$124</definedName>
    <definedName name="Constr" localSheetId="0">'4 кв 2010'!#REF!</definedName>
    <definedName name="Constr" localSheetId="1">'4 кв 2011'!#REF!</definedName>
    <definedName name="FOT" localSheetId="0">'4 кв 2010'!#REF!</definedName>
    <definedName name="FOT" localSheetId="1">'4 кв 2011'!#REF!</definedName>
    <definedName name="Ind" localSheetId="0">'4 кв 2010'!#REF!</definedName>
    <definedName name="Ind" localSheetId="1">'4 кв 2011'!#REF!</definedName>
    <definedName name="Obj" localSheetId="0">'4 кв 2010'!#REF!</definedName>
    <definedName name="Obj" localSheetId="1">'4 кв 2011'!#REF!</definedName>
    <definedName name="Obosn" localSheetId="0">'4 кв 2010'!#REF!</definedName>
    <definedName name="Obosn" localSheetId="1">'4 кв 2011'!#REF!</definedName>
    <definedName name="SmPr" localSheetId="0">'4 кв 2010'!#REF!</definedName>
    <definedName name="SmPr" localSheetId="1">'4 кв 2011'!#REF!</definedName>
    <definedName name="_xlnm.Print_Area" localSheetId="0">'4 кв 2010'!$A$1:$G$141</definedName>
    <definedName name="_xlnm.Print_Area" localSheetId="1">'4 кв 2011'!$A$1:$G$141</definedName>
  </definedNames>
  <calcPr calcId="125725"/>
</workbook>
</file>

<file path=xl/calcChain.xml><?xml version="1.0" encoding="utf-8"?>
<calcChain xmlns="http://schemas.openxmlformats.org/spreadsheetml/2006/main">
  <c r="F28" i="2"/>
  <c r="F27"/>
  <c r="A130"/>
  <c r="A131" s="1"/>
  <c r="A132" s="1"/>
  <c r="A136" s="1"/>
  <c r="F124"/>
  <c r="G124" s="1"/>
  <c r="H123"/>
  <c r="J123" s="1"/>
  <c r="F123"/>
  <c r="G123" s="1"/>
  <c r="H122"/>
  <c r="J122" s="1"/>
  <c r="F122"/>
  <c r="G122" s="1"/>
  <c r="H121"/>
  <c r="J121" s="1"/>
  <c r="F121"/>
  <c r="G121" s="1"/>
  <c r="H120"/>
  <c r="J120" s="1"/>
  <c r="F120"/>
  <c r="G120" s="1"/>
  <c r="H119"/>
  <c r="J119" s="1"/>
  <c r="F119"/>
  <c r="G119" s="1"/>
  <c r="H118"/>
  <c r="F118"/>
  <c r="G118" s="1"/>
  <c r="H117"/>
  <c r="F117"/>
  <c r="G117" s="1"/>
  <c r="F116"/>
  <c r="G116" s="1"/>
  <c r="H115"/>
  <c r="J115" s="1"/>
  <c r="F115"/>
  <c r="G115" s="1"/>
  <c r="H114"/>
  <c r="J114" s="1"/>
  <c r="F114"/>
  <c r="G114" s="1"/>
  <c r="H113"/>
  <c r="F113"/>
  <c r="G113" s="1"/>
  <c r="J112"/>
  <c r="H112"/>
  <c r="G112"/>
  <c r="F112"/>
  <c r="H111"/>
  <c r="F111"/>
  <c r="G111" s="1"/>
  <c r="H110"/>
  <c r="G110"/>
  <c r="F110"/>
  <c r="G109"/>
  <c r="F109"/>
  <c r="J108"/>
  <c r="H108"/>
  <c r="G108"/>
  <c r="F108"/>
  <c r="J107"/>
  <c r="H107"/>
  <c r="G107"/>
  <c r="F107"/>
  <c r="J106"/>
  <c r="H106"/>
  <c r="G106"/>
  <c r="F106"/>
  <c r="J105"/>
  <c r="H105"/>
  <c r="G105"/>
  <c r="F105"/>
  <c r="J104"/>
  <c r="H104"/>
  <c r="G104"/>
  <c r="F104"/>
  <c r="J103"/>
  <c r="H103"/>
  <c r="G103"/>
  <c r="F103"/>
  <c r="J102"/>
  <c r="H102"/>
  <c r="G102"/>
  <c r="F102"/>
  <c r="J101"/>
  <c r="H101"/>
  <c r="G101"/>
  <c r="F101"/>
  <c r="G100"/>
  <c r="F100"/>
  <c r="J99"/>
  <c r="H99"/>
  <c r="G99"/>
  <c r="F99"/>
  <c r="G98"/>
  <c r="F98"/>
  <c r="G97"/>
  <c r="F97"/>
  <c r="J96"/>
  <c r="F96"/>
  <c r="G96" s="1"/>
  <c r="H95"/>
  <c r="J95" s="1"/>
  <c r="F95"/>
  <c r="G95" s="1"/>
  <c r="H94"/>
  <c r="J94" s="1"/>
  <c r="F94"/>
  <c r="G94" s="1"/>
  <c r="F93"/>
  <c r="G93" s="1"/>
  <c r="J92"/>
  <c r="F92"/>
  <c r="G92" s="1"/>
  <c r="J91"/>
  <c r="G91"/>
  <c r="F91"/>
  <c r="J90"/>
  <c r="H90"/>
  <c r="G90"/>
  <c r="F90"/>
  <c r="J89"/>
  <c r="H89"/>
  <c r="G89"/>
  <c r="F89"/>
  <c r="J88"/>
  <c r="H88"/>
  <c r="G88"/>
  <c r="F88"/>
  <c r="J87"/>
  <c r="H87"/>
  <c r="G87"/>
  <c r="F87"/>
  <c r="J86"/>
  <c r="H86"/>
  <c r="G86"/>
  <c r="F86"/>
  <c r="J85"/>
  <c r="H85"/>
  <c r="G85"/>
  <c r="F85"/>
  <c r="J84"/>
  <c r="H84"/>
  <c r="G84"/>
  <c r="F84"/>
  <c r="J83"/>
  <c r="H83"/>
  <c r="G83"/>
  <c r="F83"/>
  <c r="J82"/>
  <c r="H82"/>
  <c r="G82"/>
  <c r="F82"/>
  <c r="L81"/>
  <c r="H81"/>
  <c r="J81" s="1"/>
  <c r="F81"/>
  <c r="G81" s="1"/>
  <c r="H80"/>
  <c r="J80" s="1"/>
  <c r="F80"/>
  <c r="G80" s="1"/>
  <c r="H79"/>
  <c r="J79" s="1"/>
  <c r="F79"/>
  <c r="G79" s="1"/>
  <c r="H78"/>
  <c r="J78" s="1"/>
  <c r="F78"/>
  <c r="G78" s="1"/>
  <c r="H77"/>
  <c r="J77" s="1"/>
  <c r="F77"/>
  <c r="G77" s="1"/>
  <c r="L76"/>
  <c r="J76"/>
  <c r="H76"/>
  <c r="G76"/>
  <c r="F76"/>
  <c r="M75"/>
  <c r="L75"/>
  <c r="J75"/>
  <c r="H75"/>
  <c r="G75"/>
  <c r="F75"/>
  <c r="J74"/>
  <c r="H74"/>
  <c r="G74"/>
  <c r="F74"/>
  <c r="L73"/>
  <c r="H73"/>
  <c r="J73" s="1"/>
  <c r="F73"/>
  <c r="G73" s="1"/>
  <c r="H72"/>
  <c r="J72" s="1"/>
  <c r="F72"/>
  <c r="G72" s="1"/>
  <c r="H71"/>
  <c r="J71" s="1"/>
  <c r="F71"/>
  <c r="G71" s="1"/>
  <c r="H70"/>
  <c r="J70" s="1"/>
  <c r="F70"/>
  <c r="G70" s="1"/>
  <c r="H69"/>
  <c r="J69" s="1"/>
  <c r="F69"/>
  <c r="G69" s="1"/>
  <c r="H68"/>
  <c r="J68" s="1"/>
  <c r="F68"/>
  <c r="G68" s="1"/>
  <c r="H67"/>
  <c r="J67" s="1"/>
  <c r="F67"/>
  <c r="G67" s="1"/>
  <c r="H66"/>
  <c r="J66" s="1"/>
  <c r="F66"/>
  <c r="G66" s="1"/>
  <c r="H65"/>
  <c r="J65" s="1"/>
  <c r="F65"/>
  <c r="G65" s="1"/>
  <c r="H64"/>
  <c r="J64" s="1"/>
  <c r="F64"/>
  <c r="G64" s="1"/>
  <c r="H63"/>
  <c r="J63" s="1"/>
  <c r="F63"/>
  <c r="G63" s="1"/>
  <c r="L62"/>
  <c r="J62"/>
  <c r="H62"/>
  <c r="G62"/>
  <c r="F62"/>
  <c r="J61"/>
  <c r="H61"/>
  <c r="G61"/>
  <c r="F61"/>
  <c r="J60"/>
  <c r="H60"/>
  <c r="G60"/>
  <c r="F60"/>
  <c r="L59"/>
  <c r="H59"/>
  <c r="J59" s="1"/>
  <c r="F59"/>
  <c r="G59" s="1"/>
  <c r="H58"/>
  <c r="J58" s="1"/>
  <c r="F58"/>
  <c r="G58" s="1"/>
  <c r="L57"/>
  <c r="J57"/>
  <c r="J128" s="1"/>
  <c r="G130" s="1"/>
  <c r="H57"/>
  <c r="G57"/>
  <c r="F57"/>
  <c r="L56"/>
  <c r="H56"/>
  <c r="J56" s="1"/>
  <c r="F56"/>
  <c r="G56" s="1"/>
  <c r="H55"/>
  <c r="J55" s="1"/>
  <c r="F55"/>
  <c r="G55" s="1"/>
  <c r="H54"/>
  <c r="J54" s="1"/>
  <c r="F54"/>
  <c r="G54" s="1"/>
  <c r="L53"/>
  <c r="J53"/>
  <c r="H53"/>
  <c r="G53"/>
  <c r="F53"/>
  <c r="G52"/>
  <c r="F52"/>
  <c r="G51"/>
  <c r="F51"/>
  <c r="G50"/>
  <c r="F50"/>
  <c r="G49"/>
  <c r="F49"/>
  <c r="G48"/>
  <c r="F48"/>
  <c r="G47"/>
  <c r="F47"/>
  <c r="H46"/>
  <c r="F46"/>
  <c r="G46" s="1"/>
  <c r="H45"/>
  <c r="J45" s="1"/>
  <c r="F45"/>
  <c r="G45" s="1"/>
  <c r="H44"/>
  <c r="J44" s="1"/>
  <c r="F44"/>
  <c r="G44" s="1"/>
  <c r="H43"/>
  <c r="J43" s="1"/>
  <c r="F43"/>
  <c r="G43" s="1"/>
  <c r="H42"/>
  <c r="J42" s="1"/>
  <c r="F42"/>
  <c r="G42" s="1"/>
  <c r="H41"/>
  <c r="J41" s="1"/>
  <c r="F41"/>
  <c r="G41" s="1"/>
  <c r="H40"/>
  <c r="J40" s="1"/>
  <c r="F40"/>
  <c r="G40" s="1"/>
  <c r="H39"/>
  <c r="J39" s="1"/>
  <c r="F39"/>
  <c r="G39" s="1"/>
  <c r="H38"/>
  <c r="J38" s="1"/>
  <c r="F38"/>
  <c r="G38" s="1"/>
  <c r="H37"/>
  <c r="J37" s="1"/>
  <c r="F37"/>
  <c r="G37" s="1"/>
  <c r="H36"/>
  <c r="J36" s="1"/>
  <c r="F36"/>
  <c r="G36" s="1"/>
  <c r="H35"/>
  <c r="J35" s="1"/>
  <c r="F35"/>
  <c r="G35" s="1"/>
  <c r="H34"/>
  <c r="G34"/>
  <c r="F34"/>
  <c r="F33"/>
  <c r="H32"/>
  <c r="J32" s="1"/>
  <c r="F32"/>
  <c r="G32" s="1"/>
  <c r="H31"/>
  <c r="J31" s="1"/>
  <c r="F31"/>
  <c r="G31" s="1"/>
  <c r="F30"/>
  <c r="G30" s="1"/>
  <c r="F29"/>
  <c r="G29" s="1"/>
  <c r="H28"/>
  <c r="G28"/>
  <c r="G27"/>
  <c r="G126" s="1"/>
  <c r="G26"/>
  <c r="F26"/>
  <c r="H26" s="1"/>
  <c r="J25"/>
  <c r="H25"/>
  <c r="G25"/>
  <c r="F25"/>
  <c r="J24"/>
  <c r="H24"/>
  <c r="G24"/>
  <c r="F24"/>
  <c r="H23"/>
  <c r="F23"/>
  <c r="G23" s="1"/>
  <c r="H22"/>
  <c r="J22" s="1"/>
  <c r="F22"/>
  <c r="G22" s="1"/>
  <c r="H21"/>
  <c r="F21" s="1"/>
  <c r="G21" s="1"/>
  <c r="H20"/>
  <c r="J20" s="1"/>
  <c r="F20"/>
  <c r="G20" s="1"/>
  <c r="J4" i="1"/>
  <c r="N4" s="1"/>
  <c r="A130"/>
  <c r="H57"/>
  <c r="H90"/>
  <c r="H89"/>
  <c r="F89" s="1"/>
  <c r="F88"/>
  <c r="F87"/>
  <c r="F86"/>
  <c r="F85"/>
  <c r="H83"/>
  <c r="H82"/>
  <c r="H81"/>
  <c r="F82"/>
  <c r="H80"/>
  <c r="H56"/>
  <c r="H55"/>
  <c r="H79"/>
  <c r="H78"/>
  <c r="H77"/>
  <c r="H76"/>
  <c r="H75"/>
  <c r="H74"/>
  <c r="H73"/>
  <c r="H72"/>
  <c r="H71"/>
  <c r="H68"/>
  <c r="H67"/>
  <c r="H66"/>
  <c r="H65"/>
  <c r="H64"/>
  <c r="H63"/>
  <c r="H62"/>
  <c r="H61"/>
  <c r="H60"/>
  <c r="H59"/>
  <c r="H101"/>
  <c r="F124"/>
  <c r="H123"/>
  <c r="F123" s="1"/>
  <c r="F116"/>
  <c r="F109"/>
  <c r="H105"/>
  <c r="F103"/>
  <c r="H103"/>
  <c r="F102"/>
  <c r="H102"/>
  <c r="F101"/>
  <c r="F100"/>
  <c r="F98"/>
  <c r="F97"/>
  <c r="F96"/>
  <c r="F93"/>
  <c r="F92"/>
  <c r="F91"/>
  <c r="H88"/>
  <c r="H87"/>
  <c r="H86"/>
  <c r="H85"/>
  <c r="H84"/>
  <c r="H70"/>
  <c r="H69"/>
  <c r="H58"/>
  <c r="H54"/>
  <c r="H53"/>
  <c r="F52"/>
  <c r="F51"/>
  <c r="F50"/>
  <c r="F49"/>
  <c r="F48"/>
  <c r="F47"/>
  <c r="H42"/>
  <c r="H41"/>
  <c r="H40"/>
  <c r="H39"/>
  <c r="H38"/>
  <c r="H37"/>
  <c r="H36"/>
  <c r="F33"/>
  <c r="F30"/>
  <c r="F29"/>
  <c r="F26"/>
  <c r="H25"/>
  <c r="H24"/>
  <c r="H23"/>
  <c r="F23" s="1"/>
  <c r="H22"/>
  <c r="F22" s="1"/>
  <c r="F25"/>
  <c r="F24"/>
  <c r="H21"/>
  <c r="J21" s="1"/>
  <c r="H20"/>
  <c r="F20" s="1"/>
  <c r="G20" s="1"/>
  <c r="M128" i="2" l="1"/>
  <c r="G128"/>
  <c r="J21"/>
  <c r="J20" i="1"/>
  <c r="F21"/>
  <c r="G21" s="1"/>
  <c r="G132" i="2" l="1"/>
  <c r="G131"/>
  <c r="L73" i="1"/>
  <c r="L59"/>
  <c r="L57"/>
  <c r="L62"/>
  <c r="L81"/>
  <c r="L56"/>
  <c r="L53"/>
  <c r="J60"/>
  <c r="J102"/>
  <c r="G102"/>
  <c r="G133" i="2" l="1"/>
  <c r="G135" s="1"/>
  <c r="G136" s="1"/>
  <c r="G138" s="1"/>
  <c r="J4" s="1"/>
  <c r="N4" s="1"/>
  <c r="F60" i="1"/>
  <c r="G60" s="1"/>
  <c r="J86"/>
  <c r="G86"/>
  <c r="L75" l="1"/>
  <c r="L76"/>
  <c r="J63"/>
  <c r="F63" l="1"/>
  <c r="G63" s="1"/>
  <c r="J22"/>
  <c r="G22"/>
  <c r="A131" l="1"/>
  <c r="A132" s="1"/>
  <c r="A136" s="1"/>
  <c r="G124"/>
  <c r="J123"/>
  <c r="G123"/>
  <c r="H122"/>
  <c r="H121"/>
  <c r="H120"/>
  <c r="H119"/>
  <c r="H118"/>
  <c r="H117"/>
  <c r="F117"/>
  <c r="G117" s="1"/>
  <c r="G116"/>
  <c r="H115"/>
  <c r="H28"/>
  <c r="H113"/>
  <c r="H112"/>
  <c r="H110"/>
  <c r="H111"/>
  <c r="G109"/>
  <c r="H108"/>
  <c r="H107"/>
  <c r="J107" s="1"/>
  <c r="H106"/>
  <c r="J105"/>
  <c r="H104"/>
  <c r="J103"/>
  <c r="G103"/>
  <c r="J101"/>
  <c r="G100"/>
  <c r="H99"/>
  <c r="G98"/>
  <c r="G97"/>
  <c r="J96"/>
  <c r="G96"/>
  <c r="H95"/>
  <c r="H94"/>
  <c r="J92"/>
  <c r="G92"/>
  <c r="G93"/>
  <c r="J91"/>
  <c r="G91"/>
  <c r="J90"/>
  <c r="F90"/>
  <c r="G90" s="1"/>
  <c r="J89"/>
  <c r="G89"/>
  <c r="J88"/>
  <c r="G88"/>
  <c r="J87"/>
  <c r="G87"/>
  <c r="J85"/>
  <c r="G85"/>
  <c r="J84"/>
  <c r="F84"/>
  <c r="G84" s="1"/>
  <c r="J83"/>
  <c r="F83"/>
  <c r="G83" s="1"/>
  <c r="J82"/>
  <c r="G82"/>
  <c r="J81"/>
  <c r="J80"/>
  <c r="F80"/>
  <c r="G80" s="1"/>
  <c r="J79"/>
  <c r="J78"/>
  <c r="F78"/>
  <c r="G78" s="1"/>
  <c r="J77"/>
  <c r="J76"/>
  <c r="F76"/>
  <c r="G76" s="1"/>
  <c r="J75"/>
  <c r="J74"/>
  <c r="F74"/>
  <c r="G74" s="1"/>
  <c r="J73"/>
  <c r="J72"/>
  <c r="F72"/>
  <c r="G72" s="1"/>
  <c r="J71"/>
  <c r="J70"/>
  <c r="F70"/>
  <c r="G70" s="1"/>
  <c r="J69"/>
  <c r="J68"/>
  <c r="F68"/>
  <c r="G68" s="1"/>
  <c r="J67"/>
  <c r="J66"/>
  <c r="F66"/>
  <c r="G66" s="1"/>
  <c r="J65"/>
  <c r="J64"/>
  <c r="F64"/>
  <c r="G64" s="1"/>
  <c r="J62"/>
  <c r="J61"/>
  <c r="F61"/>
  <c r="G61" s="1"/>
  <c r="J59"/>
  <c r="J58"/>
  <c r="F58"/>
  <c r="G58" s="1"/>
  <c r="J57"/>
  <c r="J128" s="1"/>
  <c r="J56"/>
  <c r="F56"/>
  <c r="G56" s="1"/>
  <c r="J55"/>
  <c r="J54"/>
  <c r="F54"/>
  <c r="G54" s="1"/>
  <c r="J53"/>
  <c r="G52"/>
  <c r="G51"/>
  <c r="G50"/>
  <c r="G48"/>
  <c r="G47"/>
  <c r="H46"/>
  <c r="F46" s="1"/>
  <c r="G46" s="1"/>
  <c r="H45"/>
  <c r="H44"/>
  <c r="F44" s="1"/>
  <c r="G44" s="1"/>
  <c r="H43"/>
  <c r="J42"/>
  <c r="F42"/>
  <c r="G42" s="1"/>
  <c r="J41"/>
  <c r="J40"/>
  <c r="F40"/>
  <c r="G40" s="1"/>
  <c r="J39"/>
  <c r="J38"/>
  <c r="F38"/>
  <c r="G38" s="1"/>
  <c r="J37"/>
  <c r="J36"/>
  <c r="F36"/>
  <c r="G36" s="1"/>
  <c r="H35"/>
  <c r="J35" s="1"/>
  <c r="H34"/>
  <c r="H32"/>
  <c r="H31"/>
  <c r="G30"/>
  <c r="G29"/>
  <c r="H114"/>
  <c r="G27"/>
  <c r="G126" s="1"/>
  <c r="H26"/>
  <c r="J25"/>
  <c r="G25"/>
  <c r="J24"/>
  <c r="G24"/>
  <c r="G23"/>
  <c r="J94" l="1"/>
  <c r="F94"/>
  <c r="J99"/>
  <c r="F99"/>
  <c r="F110"/>
  <c r="G110" s="1"/>
  <c r="F113"/>
  <c r="G113" s="1"/>
  <c r="J115"/>
  <c r="F115"/>
  <c r="F118"/>
  <c r="G118" s="1"/>
  <c r="J120"/>
  <c r="F120"/>
  <c r="J122"/>
  <c r="F122"/>
  <c r="J44"/>
  <c r="J95"/>
  <c r="F95"/>
  <c r="J104"/>
  <c r="F104"/>
  <c r="J106"/>
  <c r="F106"/>
  <c r="J108"/>
  <c r="F108"/>
  <c r="F111"/>
  <c r="G111" s="1"/>
  <c r="J112"/>
  <c r="F112"/>
  <c r="F28"/>
  <c r="G28" s="1"/>
  <c r="J119"/>
  <c r="F119"/>
  <c r="J121"/>
  <c r="F121"/>
  <c r="J43"/>
  <c r="F43"/>
  <c r="J45"/>
  <c r="F45"/>
  <c r="J31"/>
  <c r="F31"/>
  <c r="F34"/>
  <c r="G34" s="1"/>
  <c r="J32"/>
  <c r="F32"/>
  <c r="G32" s="1"/>
  <c r="J114"/>
  <c r="F114"/>
  <c r="G104"/>
  <c r="F105"/>
  <c r="G105" s="1"/>
  <c r="G106"/>
  <c r="F107"/>
  <c r="G107" s="1"/>
  <c r="G108"/>
  <c r="G119"/>
  <c r="G120"/>
  <c r="G121"/>
  <c r="G122"/>
  <c r="G114"/>
  <c r="G101"/>
  <c r="G31"/>
  <c r="F35"/>
  <c r="G35" s="1"/>
  <c r="F37"/>
  <c r="G37" s="1"/>
  <c r="F39"/>
  <c r="G39" s="1"/>
  <c r="F41"/>
  <c r="G41" s="1"/>
  <c r="G43"/>
  <c r="G45"/>
  <c r="F53"/>
  <c r="G53" s="1"/>
  <c r="F55"/>
  <c r="G55" s="1"/>
  <c r="F57"/>
  <c r="G57" s="1"/>
  <c r="F59"/>
  <c r="G59" s="1"/>
  <c r="F62"/>
  <c r="G62" s="1"/>
  <c r="F65"/>
  <c r="G65" s="1"/>
  <c r="F67"/>
  <c r="G67" s="1"/>
  <c r="F69"/>
  <c r="G69" s="1"/>
  <c r="F71"/>
  <c r="G71" s="1"/>
  <c r="F73"/>
  <c r="G73" s="1"/>
  <c r="F75"/>
  <c r="F77"/>
  <c r="G77" s="1"/>
  <c r="F79"/>
  <c r="G79" s="1"/>
  <c r="F81"/>
  <c r="G81" s="1"/>
  <c r="G94"/>
  <c r="G95"/>
  <c r="G99"/>
  <c r="G112"/>
  <c r="G115"/>
  <c r="G49"/>
  <c r="G130"/>
  <c r="G26"/>
  <c r="G75" l="1"/>
  <c r="G128" s="1"/>
  <c r="G132" s="1"/>
  <c r="M75"/>
  <c r="M128"/>
  <c r="G131" l="1"/>
  <c r="G133" s="1"/>
  <c r="G135" s="1"/>
  <c r="G136" l="1"/>
  <c r="G138" s="1"/>
</calcChain>
</file>

<file path=xl/sharedStrings.xml><?xml version="1.0" encoding="utf-8"?>
<sst xmlns="http://schemas.openxmlformats.org/spreadsheetml/2006/main" count="736" uniqueCount="183">
  <si>
    <t>"Утвержден" «    »________________2011г.</t>
  </si>
  <si>
    <t>"Утверждаю"</t>
  </si>
  <si>
    <t>Заместитель директора</t>
  </si>
  <si>
    <t xml:space="preserve"> по капитальному строительству</t>
  </si>
  <si>
    <t>филиала ОАО "МРСК Центра" - "Белгородэнерго"</t>
  </si>
  <si>
    <t xml:space="preserve">                            _____________________Леваков Г.Г.</t>
  </si>
  <si>
    <t>УКРУПНЕННЫЙ РАСЧЕТ ПРЕДЕЛЬНОЙ СТОИМОСТИ СТРОИТЕЛЬСТВА</t>
  </si>
  <si>
    <t xml:space="preserve">              (наименование стройки)</t>
  </si>
  <si>
    <t>Составлен в текущих  ценах по состоянию на 4-й кв. 2010г.</t>
  </si>
  <si>
    <t>№ пп</t>
  </si>
  <si>
    <t>Номера расчетов, документов</t>
  </si>
  <si>
    <t>Наименование объектов, работ и затрат</t>
  </si>
  <si>
    <t>Сметная стоимость за ед., тыс.руб. 
с НДС</t>
  </si>
  <si>
    <t>Общая сметная стоимость, тыс.руб.
с НДС</t>
  </si>
  <si>
    <t>Объекты энергетического хозяйства. Электроснабжение</t>
  </si>
  <si>
    <t>ООО "Симтэк"</t>
  </si>
  <si>
    <t>шт</t>
  </si>
  <si>
    <t>аналог TP40153531</t>
  </si>
  <si>
    <t>БКТП  2х400 кВА</t>
  </si>
  <si>
    <t>аналог TP40099214</t>
  </si>
  <si>
    <t>БКТП  2х630 кВА</t>
  </si>
  <si>
    <t>СС 2010г.</t>
  </si>
  <si>
    <t xml:space="preserve">КЛ-0,4 кВ </t>
  </si>
  <si>
    <t>L,км</t>
  </si>
  <si>
    <t>КЛ-0,4 кВ Наружное освещение. (15 шт. на км)</t>
  </si>
  <si>
    <t>БКТП  П 2х1000 кВА</t>
  </si>
  <si>
    <t xml:space="preserve">ВЛ 10 кВ </t>
  </si>
  <si>
    <t>ООО "СтандартЭнерго"</t>
  </si>
  <si>
    <t>Демонтаж  ВЛ-10 кВ</t>
  </si>
  <si>
    <t>Демонтаж КТП (киоск)</t>
  </si>
  <si>
    <t>ООО "ГКФ Электрощит"</t>
  </si>
  <si>
    <t>Замена АВР</t>
  </si>
  <si>
    <t>Замена выключатеей нагрузки на вакуумный выключатель</t>
  </si>
  <si>
    <t>ООО "ЭТС"</t>
  </si>
  <si>
    <t>Замена РЛНД  на  РЛК</t>
  </si>
  <si>
    <t>Замена рубильника на выключатель</t>
  </si>
  <si>
    <t>Замена ТМГ 160 кВА на ТМГ 250 кВА</t>
  </si>
  <si>
    <t>Замена ТМГ 250 кВА на ТМГ 400 кВА</t>
  </si>
  <si>
    <t>Замена ТМГ 250 кВА на ТМГ 630 кВА</t>
  </si>
  <si>
    <t>Замена ТМГ 40 кВА на ТМГ 63 кВА</t>
  </si>
  <si>
    <t>Замена ТМГ 400 кВА на ТМГ 630 кВА</t>
  </si>
  <si>
    <t>Замена ТМГ 63 кВА на ТМГ 100 кВА</t>
  </si>
  <si>
    <t>Замена ТМГ 630 кВА на ТМГ 1000 кВА</t>
  </si>
  <si>
    <t>ООО "ЛИК-ТЕХНО"</t>
  </si>
  <si>
    <t>Замена ЩО-70 ( секц. с ошиновк)</t>
  </si>
  <si>
    <t>ЩО 70-1-74</t>
  </si>
  <si>
    <t>Замена ЩО-70 (вводн.,  с ошиновк)</t>
  </si>
  <si>
    <t>Замена ЩО-70 (лин., отх. линий)</t>
  </si>
  <si>
    <t>ЩО 70-1-09</t>
  </si>
  <si>
    <t xml:space="preserve">ООО "К-С" </t>
  </si>
  <si>
    <t>Индикатор короткого замыкания</t>
  </si>
  <si>
    <t>шт.</t>
  </si>
  <si>
    <t xml:space="preserve">КЛ-0,4 кВ Наружное освещение. </t>
  </si>
  <si>
    <t>КЛ-0,4 кВ НО</t>
  </si>
  <si>
    <t>КЛ-10 кВ</t>
  </si>
  <si>
    <t>КЛ-6-10 кВ (СПЭ)</t>
  </si>
  <si>
    <t>КТП  100 кВА с тр. 63 кВА</t>
  </si>
  <si>
    <t>КТП  1000 кВА (т)</t>
  </si>
  <si>
    <t>КТП  160 кВА</t>
  </si>
  <si>
    <t>КТП  25 кВА</t>
  </si>
  <si>
    <t>КТП  250 кВА (п)</t>
  </si>
  <si>
    <t>КТП  250 кВА (т)</t>
  </si>
  <si>
    <t>КТП  250 кВА с тр. 160 кВА</t>
  </si>
  <si>
    <t>КТП  2х160 кВА (п)</t>
  </si>
  <si>
    <t>КТП  2х160 кВА (т)</t>
  </si>
  <si>
    <t>КТП  2х250 кВА</t>
  </si>
  <si>
    <t>КТП  2х250 кВА (П)</t>
  </si>
  <si>
    <t>КТП  2х40 кВА</t>
  </si>
  <si>
    <t>КТП  2х63 кВА</t>
  </si>
  <si>
    <t>КТП  2х630 кВА (П)</t>
  </si>
  <si>
    <t>КТП  40 кВА</t>
  </si>
  <si>
    <t>КТП  40 кВА с ТМГ 25 кВА</t>
  </si>
  <si>
    <t>КТП  400 кВА (П)</t>
  </si>
  <si>
    <t>КТП  400 кВА (Т)</t>
  </si>
  <si>
    <t>КТП  63 кВА</t>
  </si>
  <si>
    <t>КТП  630 кВА (П)</t>
  </si>
  <si>
    <t>КТП  630 кВА (Т)</t>
  </si>
  <si>
    <t>КТП 2х1000 кВА (т)</t>
  </si>
  <si>
    <t>КТП 2х400кВА</t>
  </si>
  <si>
    <t>аналог ТР40237594</t>
  </si>
  <si>
    <t>КТП 2х400кВА с тр. 250 кВА</t>
  </si>
  <si>
    <t>КТП 400кВА с тр. 250 кВА (проходная)</t>
  </si>
  <si>
    <t>КТПНУ 2х1000кВА "Сэндвич"</t>
  </si>
  <si>
    <t>аналог TP40055167</t>
  </si>
  <si>
    <t>КТПНУ 2х1250кВА "Сэндвич"</t>
  </si>
  <si>
    <t>КТПНУ 2х400кВА "Сэндвич"</t>
  </si>
  <si>
    <t>аналог TP40118119</t>
  </si>
  <si>
    <t>КТПНУ 2х630кВА "Сэндвич"</t>
  </si>
  <si>
    <t>Монтаж БКТП 2х250кВА</t>
  </si>
  <si>
    <t>Монтаж БКТП 2х400кВА на новое место</t>
  </si>
  <si>
    <t xml:space="preserve">Монтаж реклоузеров
</t>
  </si>
  <si>
    <t>Наружное освещение. Установка светильников.</t>
  </si>
  <si>
    <t>Делала расчет на монтаж светильников 1,5 м - 63 шт, 2,5 м - 132 шт. двухрожковые</t>
  </si>
  <si>
    <t xml:space="preserve">ОПН 0,4 кВ 
</t>
  </si>
  <si>
    <t xml:space="preserve">ОПН 10 кВ 
</t>
  </si>
  <si>
    <t>Замена опоры на СВ-110</t>
  </si>
  <si>
    <t xml:space="preserve">Ошиновка
</t>
  </si>
  <si>
    <t>СС 2010г., к-т 1,25</t>
  </si>
  <si>
    <t>Рек. ВЛ-0,4 кВ</t>
  </si>
  <si>
    <t xml:space="preserve">Реконструкция ВЛ 10 </t>
  </si>
  <si>
    <t>УСРСС ЗАО "ЗНОиМ"</t>
  </si>
  <si>
    <t>Реконструкция ПС ( установка 2х ячеек)</t>
  </si>
  <si>
    <t xml:space="preserve">Совместной подвеской провода ВЛИ-0,4 кВ  </t>
  </si>
  <si>
    <t>СТП  25 кВА</t>
  </si>
  <si>
    <t>аналог  KS00003391</t>
  </si>
  <si>
    <t>СТП  40 кВА</t>
  </si>
  <si>
    <t>ТМГ 400 кВА</t>
  </si>
  <si>
    <t>ТМГ 630 кВА</t>
  </si>
  <si>
    <t>Устан. ЩО-70 ( секц. с ошиновк)</t>
  </si>
  <si>
    <t>Устан. ЩО-70 (вводн., с ошиновк)</t>
  </si>
  <si>
    <t>Установка АВР</t>
  </si>
  <si>
    <t>ИВТ</t>
  </si>
  <si>
    <t>Установка Гелиос</t>
  </si>
  <si>
    <t>Установка РЛК</t>
  </si>
  <si>
    <t>Установка РДИП</t>
  </si>
  <si>
    <t>Установка РЛК с ОПН 10 кВ</t>
  </si>
  <si>
    <t>Установка шкафа учета "Нейрон" (однофазный)</t>
  </si>
  <si>
    <t>Установка шкафа учета "Нейрон" (трехфазный)</t>
  </si>
  <si>
    <t>Установка ЩО-70 (лин., отх. линий)</t>
  </si>
  <si>
    <t>ЩУР-0,4</t>
  </si>
  <si>
    <t>Ячейка К - 59 (с ВВ и микропроц. Сириус)</t>
  </si>
  <si>
    <t>"Энергопортал"</t>
  </si>
  <si>
    <t xml:space="preserve">Ячейка КРН-10 </t>
  </si>
  <si>
    <t>ООО Энергия""</t>
  </si>
  <si>
    <t>Ячейка КСО (вводн.), замена</t>
  </si>
  <si>
    <t>393-09, ВН</t>
  </si>
  <si>
    <t>Ячейка КСО (секц., отх.), замена</t>
  </si>
  <si>
    <t>393-04 , с разрядником, разъед, ввода</t>
  </si>
  <si>
    <t>Ячейка КСО 298 с ВН</t>
  </si>
  <si>
    <t>ООО "Энергия"</t>
  </si>
  <si>
    <t>Ячейка КСО с BB/TEL</t>
  </si>
  <si>
    <t>аналог ТР40299933</t>
  </si>
  <si>
    <t>Ячейка отходящих линий с ВВ</t>
  </si>
  <si>
    <t> Демонтаж ВЛ 0,4</t>
  </si>
  <si>
    <t>расчет, УСПЭС</t>
  </si>
  <si>
    <t>Благоустройство</t>
  </si>
  <si>
    <t>1 % от ЛЭП</t>
  </si>
  <si>
    <t>Итого СМР (в т.ч. оборудование)</t>
  </si>
  <si>
    <t>№</t>
  </si>
  <si>
    <t>Прочие</t>
  </si>
  <si>
    <t>Письмо ФСК 
МА 22/118 от 10.04.06</t>
  </si>
  <si>
    <t>ПНР</t>
  </si>
  <si>
    <t>7 % от оборудования</t>
  </si>
  <si>
    <t xml:space="preserve">ПСД </t>
  </si>
  <si>
    <t>7 % от СМР (в т.ч. оборудование)</t>
  </si>
  <si>
    <t>МДС 81-35.2004</t>
  </si>
  <si>
    <t>Средства на покрытие затрат строительных организаций по страхованию, в том числе строительных рисков, 1%</t>
  </si>
  <si>
    <t>1 % от СМР (в т.ч. оборудование)</t>
  </si>
  <si>
    <t>Итого Прочие</t>
  </si>
  <si>
    <t>Итого по  расчету в текущих ценах, с НДС</t>
  </si>
  <si>
    <t>Непредвиденные затраты 3%</t>
  </si>
  <si>
    <t>Всего по  расчету в текущих ценах, с НДС</t>
  </si>
  <si>
    <t>Составил</t>
  </si>
  <si>
    <t>Бахмутова Н.А.</t>
  </si>
  <si>
    <t>БКТП  2х250 кВА</t>
  </si>
  <si>
    <t>КТП  2х100 кВА (п)</t>
  </si>
  <si>
    <t>КТП  2х100 кВА (т)</t>
  </si>
  <si>
    <t>аналог TP40149077</t>
  </si>
  <si>
    <t>КТПНУ 2х250кВА "Сэндвич"</t>
  </si>
  <si>
    <t>СТП  63 кВА</t>
  </si>
  <si>
    <t>аналог  KS00003393</t>
  </si>
  <si>
    <t>КТП 2х100 кВА с тр. 63 кВА</t>
  </si>
  <si>
    <t>2 КТП  40 кВА т</t>
  </si>
  <si>
    <t>ООО Торговый дом «УЗТТ» СХЕМА №7 каталога</t>
  </si>
  <si>
    <t>ООО Торговый дом «УЗТТ» СХЕМА №19 каталога</t>
  </si>
  <si>
    <t>2 КТП  40 кВА п</t>
  </si>
  <si>
    <t>аналог TP40153531.01</t>
  </si>
  <si>
    <t xml:space="preserve">ООО Торговый дом «УЗТТ» </t>
  </si>
  <si>
    <t>КТП  100 кВА т</t>
  </si>
  <si>
    <t>КТП  1000 кВА (п)</t>
  </si>
  <si>
    <t>КТП  2х630 кВА (т)</t>
  </si>
  <si>
    <t>ООО ПК "Энергоресурс"</t>
  </si>
  <si>
    <t xml:space="preserve">Выключатель в РУ-0,4 кВ в КТП-10/0,4   № 713    ПС "Варваровка"  </t>
  </si>
  <si>
    <t>Сстроительство ВЛ-0,4кВ КТП №5-21 ПС 110/10 Шеино</t>
  </si>
  <si>
    <t>Внешнее электроснабжение токоприемников  садового дома. 
Белгородская обл.,   Корочанский р-н, с.Шеино, с/о «Ключики». Заявитель: Бондаренко Мария Федоровна.</t>
  </si>
  <si>
    <t>Наименование объекта</t>
  </si>
  <si>
    <t>Сметная стоимость, тыс. руб. с НДС</t>
  </si>
  <si>
    <t>Итого 
тыс. руб.
с НДС:</t>
  </si>
  <si>
    <t xml:space="preserve"> ВЛ 6-10 кВ</t>
  </si>
  <si>
    <t>ВЛ 0,4 кВ</t>
  </si>
  <si>
    <t xml:space="preserve"> КЛ 6-10 кВ </t>
  </si>
  <si>
    <t>КЛ 0,4 кВ</t>
  </si>
  <si>
    <t>ТП 10/0,4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</si>
</sst>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0.000"/>
    <numFmt numFmtId="166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0"/>
      <color theme="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7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4" fillId="0" borderId="0"/>
    <xf numFmtId="0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4" fontId="5" fillId="0" borderId="0" xfId="0" applyNumberFormat="1" applyFont="1" applyAlignment="1">
      <alignment horizontal="right" vertical="top" indent="1"/>
    </xf>
    <xf numFmtId="0" fontId="4" fillId="0" borderId="0" xfId="0" applyFont="1" applyAlignment="1"/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top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4" fontId="5" fillId="0" borderId="13" xfId="0" applyNumberFormat="1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164" fontId="5" fillId="0" borderId="1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0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left" vertical="top" wrapText="1"/>
    </xf>
    <xf numFmtId="4" fontId="5" fillId="2" borderId="13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64" fontId="5" fillId="2" borderId="14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" fontId="5" fillId="0" borderId="1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top" wrapText="1"/>
    </xf>
    <xf numFmtId="2" fontId="0" fillId="0" borderId="0" xfId="0" applyNumberFormat="1" applyFont="1" applyFill="1"/>
    <xf numFmtId="4" fontId="5" fillId="0" borderId="0" xfId="0" applyNumberFormat="1" applyFont="1" applyFill="1" applyAlignment="1">
      <alignment horizontal="right" vertical="top" wrapText="1"/>
    </xf>
    <xf numFmtId="2" fontId="0" fillId="0" borderId="1" xfId="0" applyNumberFormat="1" applyFont="1" applyFill="1" applyBorder="1"/>
    <xf numFmtId="0" fontId="0" fillId="0" borderId="0" xfId="0" applyFill="1"/>
    <xf numFmtId="0" fontId="0" fillId="0" borderId="1" xfId="0" applyFont="1" applyFill="1" applyBorder="1"/>
    <xf numFmtId="0" fontId="0" fillId="3" borderId="1" xfId="0" applyFont="1" applyFill="1" applyBorder="1"/>
    <xf numFmtId="0" fontId="0" fillId="0" borderId="1" xfId="0" applyFill="1" applyBorder="1"/>
    <xf numFmtId="2" fontId="9" fillId="0" borderId="1" xfId="0" applyNumberFormat="1" applyFont="1" applyFill="1" applyBorder="1"/>
    <xf numFmtId="2" fontId="9" fillId="0" borderId="0" xfId="0" applyNumberFormat="1" applyFont="1" applyFill="1"/>
    <xf numFmtId="164" fontId="5" fillId="0" borderId="16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164" fontId="4" fillId="0" borderId="15" xfId="0" applyNumberFormat="1" applyFont="1" applyBorder="1" applyAlignment="1">
      <alignment horizontal="left" vertical="top"/>
    </xf>
    <xf numFmtId="164" fontId="4" fillId="0" borderId="14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0" fillId="0" borderId="0" xfId="0" applyFill="1" applyAlignment="1">
      <alignment horizontal="left" vertical="top" wrapText="1"/>
    </xf>
    <xf numFmtId="0" fontId="0" fillId="0" borderId="13" xfId="0" applyFill="1" applyBorder="1"/>
    <xf numFmtId="0" fontId="8" fillId="0" borderId="0" xfId="0" applyFont="1" applyAlignment="1">
      <alignment horizontal="right" vertical="top"/>
    </xf>
    <xf numFmtId="4" fontId="0" fillId="0" borderId="0" xfId="0" applyNumberFormat="1" applyFont="1" applyFill="1"/>
    <xf numFmtId="4" fontId="0" fillId="0" borderId="0" xfId="0" applyNumberFormat="1"/>
    <xf numFmtId="0" fontId="5" fillId="4" borderId="1" xfId="0" applyFont="1" applyFill="1" applyBorder="1" applyAlignment="1">
      <alignment horizontal="center" vertical="top" wrapText="1"/>
    </xf>
    <xf numFmtId="4" fontId="5" fillId="4" borderId="13" xfId="0" applyNumberFormat="1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164" fontId="5" fillId="4" borderId="14" xfId="0" applyNumberFormat="1" applyFont="1" applyFill="1" applyBorder="1" applyAlignment="1">
      <alignment horizontal="right" vertical="top" wrapText="1"/>
    </xf>
    <xf numFmtId="4" fontId="5" fillId="4" borderId="0" xfId="0" applyNumberFormat="1" applyFont="1" applyFill="1" applyAlignment="1">
      <alignment horizontal="right" vertical="top" wrapText="1"/>
    </xf>
    <xf numFmtId="0" fontId="0" fillId="4" borderId="0" xfId="0" applyFont="1" applyFill="1"/>
    <xf numFmtId="0" fontId="5" fillId="5" borderId="1" xfId="0" applyFont="1" applyFill="1" applyBorder="1" applyAlignment="1">
      <alignment horizontal="center" vertical="top" wrapText="1"/>
    </xf>
    <xf numFmtId="4" fontId="5" fillId="5" borderId="13" xfId="0" applyNumberFormat="1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164" fontId="5" fillId="5" borderId="14" xfId="0" applyNumberFormat="1" applyFont="1" applyFill="1" applyBorder="1" applyAlignment="1">
      <alignment horizontal="right" vertical="top" wrapText="1"/>
    </xf>
    <xf numFmtId="0" fontId="0" fillId="5" borderId="0" xfId="0" applyFont="1" applyFill="1"/>
    <xf numFmtId="0" fontId="0" fillId="5" borderId="0" xfId="0" applyFill="1"/>
    <xf numFmtId="4" fontId="5" fillId="5" borderId="0" xfId="0" applyNumberFormat="1" applyFont="1" applyFill="1" applyAlignment="1">
      <alignment horizontal="right" vertical="top" wrapText="1"/>
    </xf>
    <xf numFmtId="4" fontId="0" fillId="5" borderId="0" xfId="0" applyNumberFormat="1" applyFont="1" applyFill="1"/>
    <xf numFmtId="0" fontId="7" fillId="5" borderId="13" xfId="0" applyFont="1" applyFill="1" applyBorder="1" applyAlignment="1">
      <alignment horizontal="left" vertical="top" wrapText="1"/>
    </xf>
    <xf numFmtId="0" fontId="16" fillId="0" borderId="13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3" xfId="0" applyNumberFormat="1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left" vertical="top" wrapText="1"/>
    </xf>
    <xf numFmtId="4" fontId="5" fillId="6" borderId="1" xfId="0" applyNumberFormat="1" applyFont="1" applyFill="1" applyBorder="1" applyAlignment="1">
      <alignment horizontal="right" vertical="top" wrapText="1"/>
    </xf>
    <xf numFmtId="164" fontId="5" fillId="6" borderId="14" xfId="0" applyNumberFormat="1" applyFont="1" applyFill="1" applyBorder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0" fontId="0" fillId="7" borderId="0" xfId="0" applyFont="1" applyFill="1"/>
    <xf numFmtId="0" fontId="17" fillId="0" borderId="0" xfId="0" applyFont="1" applyAlignment="1">
      <alignment horizontal="left" vertical="top"/>
    </xf>
    <xf numFmtId="166" fontId="17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indent="1"/>
    </xf>
    <xf numFmtId="0" fontId="4" fillId="0" borderId="15" xfId="0" applyFont="1" applyBorder="1" applyAlignment="1">
      <alignment horizontal="left" vertical="top" inden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 indent="4"/>
    </xf>
    <xf numFmtId="0" fontId="4" fillId="0" borderId="15" xfId="0" applyFont="1" applyBorder="1" applyAlignment="1">
      <alignment horizontal="left" vertical="top" wrapText="1" indent="4"/>
    </xf>
    <xf numFmtId="4" fontId="5" fillId="0" borderId="13" xfId="0" applyNumberFormat="1" applyFont="1" applyFill="1" applyBorder="1" applyAlignment="1">
      <alignment horizontal="center" vertical="top" wrapText="1"/>
    </xf>
    <xf numFmtId="4" fontId="5" fillId="0" borderId="15" xfId="0" applyNumberFormat="1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left" vertical="center" wrapText="1"/>
    </xf>
    <xf numFmtId="165" fontId="21" fillId="0" borderId="22" xfId="0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Стиль 1" xfId="7"/>
    <cellStyle name="Стиль 1 2" xfId="8"/>
    <cellStyle name="Финансовый 2 2" xfId="9"/>
    <cellStyle name="Финансовый 2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6%20&#1055;&#1086;&#1076;&#1089;&#1082;&#1072;&#1079;&#1082;&#1080;/&#1044;&#1074;&#1086;&#1088;&#1103;&#1096;&#1080;&#1085;&#1072;/&#1042;&#1099;&#1087;&#1086;&#1083;&#1085;&#1077;&#1085;&#1080;&#1077;%20&#1076;&#1077;&#1082;&#1072;&#1073;&#1088;&#1103;%20%202010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СКУЭ июнь"/>
      <sheetName val="Лист1"/>
      <sheetName val="пообъектная расш"/>
      <sheetName val="Лист3"/>
      <sheetName val="непроведенные акты вып.работ"/>
      <sheetName val="Лист4"/>
      <sheetName val="реестры"/>
      <sheetName val="акты ввода"/>
      <sheetName val="АСКУЭ"/>
      <sheetName val="Отчет о совместимости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>
        <row r="12026">
          <cell r="H12026">
            <v>4634316.2823999999</v>
          </cell>
        </row>
        <row r="14925">
          <cell r="U14925">
            <v>767640.2267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autoPageBreaks="0"/>
  </sheetPr>
  <dimension ref="A1:N144"/>
  <sheetViews>
    <sheetView showGridLines="0" tabSelected="1" view="pageBreakPreview" topLeftCell="A16" zoomScaleSheetLayoutView="100" workbookViewId="0">
      <selection activeCell="L7" sqref="L7"/>
    </sheetView>
  </sheetViews>
  <sheetFormatPr defaultRowHeight="12.75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14.5703125" customWidth="1"/>
    <col min="9" max="9" width="14.28515625" customWidth="1"/>
    <col min="10" max="10" width="14" customWidth="1"/>
    <col min="11" max="11" width="14.42578125" customWidth="1"/>
    <col min="12" max="13" width="13.7109375" customWidth="1"/>
    <col min="14" max="14" width="14" customWidth="1"/>
  </cols>
  <sheetData>
    <row r="1" spans="1:14" s="4" customFormat="1" ht="28.5" customHeight="1" thickBot="1">
      <c r="A1" s="1"/>
      <c r="B1" s="2" t="s">
        <v>0</v>
      </c>
      <c r="C1" s="3"/>
      <c r="D1" s="144" t="s">
        <v>1</v>
      </c>
      <c r="E1" s="144"/>
      <c r="F1" s="144"/>
      <c r="G1" s="144"/>
      <c r="H1" s="146" t="s">
        <v>175</v>
      </c>
      <c r="I1" s="147" t="s">
        <v>176</v>
      </c>
      <c r="J1" s="148"/>
      <c r="K1" s="148"/>
      <c r="L1" s="148"/>
      <c r="M1" s="149"/>
      <c r="N1" s="146" t="s">
        <v>177</v>
      </c>
    </row>
    <row r="2" spans="1:14" s="4" customFormat="1" ht="15" thickBot="1">
      <c r="A2" s="5"/>
      <c r="B2" s="6"/>
      <c r="C2" s="7"/>
      <c r="D2" s="144" t="s">
        <v>2</v>
      </c>
      <c r="E2" s="144"/>
      <c r="F2" s="144"/>
      <c r="G2" s="144"/>
      <c r="H2" s="150"/>
      <c r="I2" s="151" t="s">
        <v>178</v>
      </c>
      <c r="J2" s="151" t="s">
        <v>179</v>
      </c>
      <c r="K2" s="151" t="s">
        <v>180</v>
      </c>
      <c r="L2" s="151" t="s">
        <v>181</v>
      </c>
      <c r="M2" s="151" t="s">
        <v>182</v>
      </c>
      <c r="N2" s="150"/>
    </row>
    <row r="3" spans="1:14" s="4" customFormat="1" ht="13.5" thickBot="1">
      <c r="A3" s="5"/>
      <c r="B3" s="8"/>
      <c r="C3" s="9"/>
      <c r="D3" s="144" t="s">
        <v>3</v>
      </c>
      <c r="E3" s="144"/>
      <c r="F3" s="144"/>
      <c r="G3" s="144"/>
      <c r="H3" s="152">
        <v>1</v>
      </c>
      <c r="I3" s="152">
        <v>2</v>
      </c>
      <c r="J3" s="152">
        <v>3</v>
      </c>
      <c r="K3" s="152">
        <v>4</v>
      </c>
      <c r="L3" s="152">
        <v>5</v>
      </c>
      <c r="M3" s="152">
        <v>6</v>
      </c>
      <c r="N3" s="152">
        <v>7</v>
      </c>
    </row>
    <row r="4" spans="1:14" s="4" customFormat="1" ht="15.75" thickBot="1">
      <c r="A4" s="5"/>
      <c r="B4" s="10"/>
      <c r="D4" s="11"/>
      <c r="E4" s="11"/>
      <c r="F4" s="11"/>
      <c r="G4" s="12" t="s">
        <v>4</v>
      </c>
      <c r="H4" s="153"/>
      <c r="I4" s="154">
        <v>0</v>
      </c>
      <c r="J4" s="154">
        <f>G138</f>
        <v>920.54900000000009</v>
      </c>
      <c r="K4" s="154">
        <v>0</v>
      </c>
      <c r="L4" s="154">
        <v>0</v>
      </c>
      <c r="M4" s="154">
        <v>0</v>
      </c>
      <c r="N4" s="154">
        <f>SUM(I4:M4)</f>
        <v>920.54900000000009</v>
      </c>
    </row>
    <row r="5" spans="1:14" s="4" customFormat="1">
      <c r="A5" s="5"/>
      <c r="B5" s="6"/>
      <c r="C5" s="7"/>
      <c r="D5" s="13"/>
      <c r="E5" s="14"/>
      <c r="F5" s="14"/>
      <c r="G5" s="15"/>
    </row>
    <row r="6" spans="1:14" s="4" customFormat="1">
      <c r="A6" s="5"/>
      <c r="B6" s="6"/>
      <c r="C6" s="7"/>
      <c r="D6" s="16"/>
      <c r="E6" s="144" t="s">
        <v>5</v>
      </c>
      <c r="F6" s="144"/>
      <c r="G6" s="144"/>
    </row>
    <row r="7" spans="1:14" ht="102.75" customHeight="1">
      <c r="D7" s="13"/>
      <c r="E7" s="13"/>
      <c r="G7" s="16"/>
    </row>
    <row r="8" spans="1:14">
      <c r="A8" s="145" t="s">
        <v>6</v>
      </c>
      <c r="B8" s="145"/>
      <c r="C8" s="145"/>
      <c r="D8" s="145"/>
      <c r="E8" s="145"/>
      <c r="F8" s="145"/>
      <c r="G8" s="145"/>
    </row>
    <row r="9" spans="1:14" ht="26.25" customHeight="1">
      <c r="A9" s="143" t="s">
        <v>174</v>
      </c>
      <c r="B9" s="143"/>
      <c r="C9" s="143"/>
      <c r="D9" s="143"/>
      <c r="E9" s="143"/>
      <c r="F9" s="143"/>
      <c r="G9" s="143"/>
      <c r="H9" s="82"/>
      <c r="I9" s="62"/>
    </row>
    <row r="10" spans="1:14">
      <c r="A10" s="131" t="s">
        <v>7</v>
      </c>
      <c r="B10" s="131"/>
      <c r="C10" s="131"/>
      <c r="D10" s="131"/>
      <c r="E10" s="131"/>
      <c r="F10" s="131"/>
      <c r="G10" s="131"/>
    </row>
    <row r="11" spans="1:14">
      <c r="B11" s="7"/>
      <c r="C11" s="17"/>
      <c r="D11" s="17"/>
      <c r="E11" s="17"/>
      <c r="F11" s="17"/>
      <c r="G11" s="18"/>
    </row>
    <row r="12" spans="1:14">
      <c r="B12" s="6" t="s">
        <v>8</v>
      </c>
      <c r="F12" s="19"/>
      <c r="G12" s="16"/>
      <c r="H12" s="6"/>
    </row>
    <row r="13" spans="1:14" ht="12.75" customHeight="1">
      <c r="A13" s="132" t="s">
        <v>9</v>
      </c>
      <c r="B13" s="133" t="s">
        <v>10</v>
      </c>
      <c r="C13" s="134" t="s">
        <v>11</v>
      </c>
      <c r="D13" s="135"/>
      <c r="E13" s="136"/>
      <c r="F13" s="140" t="s">
        <v>12</v>
      </c>
      <c r="G13" s="140" t="s">
        <v>13</v>
      </c>
      <c r="H13" s="6"/>
    </row>
    <row r="14" spans="1:14">
      <c r="A14" s="132"/>
      <c r="B14" s="133"/>
      <c r="C14" s="137"/>
      <c r="D14" s="138"/>
      <c r="E14" s="139"/>
      <c r="F14" s="141"/>
      <c r="G14" s="141"/>
    </row>
    <row r="15" spans="1:14">
      <c r="A15" s="132"/>
      <c r="B15" s="133"/>
      <c r="C15" s="137"/>
      <c r="D15" s="138"/>
      <c r="E15" s="139"/>
      <c r="F15" s="141"/>
      <c r="G15" s="141"/>
    </row>
    <row r="16" spans="1:14">
      <c r="A16" s="132"/>
      <c r="B16" s="133"/>
      <c r="C16" s="20"/>
      <c r="D16" s="21"/>
      <c r="E16" s="22"/>
      <c r="F16" s="142"/>
      <c r="G16" s="142"/>
    </row>
    <row r="17" spans="1:10">
      <c r="A17" s="23">
        <v>1</v>
      </c>
      <c r="B17" s="24">
        <v>2</v>
      </c>
      <c r="C17" s="119">
        <v>3</v>
      </c>
      <c r="D17" s="120"/>
      <c r="E17" s="24">
        <v>4</v>
      </c>
      <c r="F17" s="23">
        <v>5</v>
      </c>
      <c r="G17" s="23">
        <v>7</v>
      </c>
    </row>
    <row r="18" spans="1:10" ht="12.75" customHeight="1">
      <c r="A18" s="121" t="s">
        <v>14</v>
      </c>
      <c r="B18" s="122"/>
      <c r="C18" s="122"/>
      <c r="D18" s="122"/>
      <c r="E18" s="25"/>
      <c r="F18" s="26"/>
      <c r="G18" s="27"/>
    </row>
    <row r="19" spans="1:10" ht="12" customHeight="1">
      <c r="A19" s="28"/>
      <c r="B19" s="29"/>
      <c r="C19" s="29"/>
      <c r="D19" s="29"/>
      <c r="E19" s="25"/>
      <c r="F19" s="26"/>
      <c r="G19" s="27"/>
    </row>
    <row r="20" spans="1:10" s="37" customFormat="1" ht="18" hidden="1" customHeight="1">
      <c r="A20" s="30"/>
      <c r="B20" s="102" t="s">
        <v>163</v>
      </c>
      <c r="C20" s="32" t="s">
        <v>162</v>
      </c>
      <c r="D20" s="33" t="s">
        <v>16</v>
      </c>
      <c r="E20" s="30"/>
      <c r="F20" s="34">
        <f>ROUND(H20*1.1,2)</f>
        <v>434.42</v>
      </c>
      <c r="G20" s="35">
        <f t="shared" ref="G20" si="0">ROUND(F20*E20,3)</f>
        <v>0</v>
      </c>
      <c r="H20" s="36">
        <f>(398.828)/3.55*3.27*1.075</f>
        <v>394.92397943661967</v>
      </c>
      <c r="J20" s="37">
        <f>H20*E20</f>
        <v>0</v>
      </c>
    </row>
    <row r="21" spans="1:10" s="37" customFormat="1" ht="18" hidden="1" customHeight="1">
      <c r="A21" s="30"/>
      <c r="B21" s="102" t="s">
        <v>164</v>
      </c>
      <c r="C21" s="32" t="s">
        <v>165</v>
      </c>
      <c r="D21" s="33" t="s">
        <v>16</v>
      </c>
      <c r="E21" s="30"/>
      <c r="F21" s="34">
        <f>ROUND(H21*1.1,2)</f>
        <v>466.54</v>
      </c>
      <c r="G21" s="35">
        <f t="shared" ref="G21" si="1">ROUND(F21*E21,3)</f>
        <v>0</v>
      </c>
      <c r="H21" s="36">
        <f>(428.32125)/3.55*3.27*1.075</f>
        <v>424.12852790492957</v>
      </c>
      <c r="J21" s="37">
        <f>H21*E21</f>
        <v>0</v>
      </c>
    </row>
    <row r="22" spans="1:10" s="37" customFormat="1" ht="12.75" hidden="1" customHeight="1">
      <c r="A22" s="30"/>
      <c r="B22" s="46" t="s">
        <v>166</v>
      </c>
      <c r="C22" s="32" t="s">
        <v>154</v>
      </c>
      <c r="D22" s="33" t="s">
        <v>16</v>
      </c>
      <c r="E22" s="30"/>
      <c r="F22" s="45">
        <f>H22*1.1</f>
        <v>4170.3440683098597</v>
      </c>
      <c r="G22" s="35">
        <f t="shared" ref="G22:G26" si="2">ROUND(F22*E22,3)</f>
        <v>0</v>
      </c>
      <c r="H22" s="48">
        <f>(3520+154.35*2)/3.55*3.27*1.075</f>
        <v>3791.2218802816901</v>
      </c>
      <c r="J22" s="83">
        <f>H22</f>
        <v>3791.2218802816901</v>
      </c>
    </row>
    <row r="23" spans="1:10" s="37" customFormat="1" ht="12.75" hidden="1" customHeight="1">
      <c r="A23" s="30"/>
      <c r="B23" s="46" t="s">
        <v>17</v>
      </c>
      <c r="C23" s="32" t="s">
        <v>18</v>
      </c>
      <c r="D23" s="33" t="s">
        <v>16</v>
      </c>
      <c r="E23" s="30"/>
      <c r="F23" s="45">
        <f>(6183287.792/1000-H23)/4.77*4.52+H23</f>
        <v>6106.4419651390435</v>
      </c>
      <c r="G23" s="35">
        <f t="shared" si="2"/>
        <v>0</v>
      </c>
      <c r="H23" s="48">
        <f>(4371+196.35*2)/3.55*3.27*1.075</f>
        <v>4717.0694154929579</v>
      </c>
    </row>
    <row r="24" spans="1:10" s="37" customFormat="1" ht="12.75" hidden="1" customHeight="1">
      <c r="A24" s="30"/>
      <c r="B24" s="46" t="s">
        <v>19</v>
      </c>
      <c r="C24" s="32" t="s">
        <v>20</v>
      </c>
      <c r="D24" s="33" t="s">
        <v>16</v>
      </c>
      <c r="E24" s="30"/>
      <c r="F24" s="45">
        <f>(7027.04-H24)/4.77*4.52+H24</f>
        <v>6919.7720016535268</v>
      </c>
      <c r="G24" s="35">
        <f t="shared" si="2"/>
        <v>0</v>
      </c>
      <c r="H24" s="48">
        <f>(4450+289.8*2)/3.55*3.27*1.075</f>
        <v>4980.3665915492957</v>
      </c>
      <c r="J24" s="37">
        <f>H24*E24</f>
        <v>0</v>
      </c>
    </row>
    <row r="25" spans="1:10" s="37" customFormat="1" ht="12.75" hidden="1" customHeight="1">
      <c r="A25" s="30"/>
      <c r="B25" s="102" t="s">
        <v>167</v>
      </c>
      <c r="C25" s="32" t="s">
        <v>25</v>
      </c>
      <c r="D25" s="33" t="s">
        <v>16</v>
      </c>
      <c r="E25" s="30"/>
      <c r="F25" s="34">
        <f>ROUND(H25,2)*1.1</f>
        <v>8308.1790000000019</v>
      </c>
      <c r="G25" s="35">
        <f t="shared" si="2"/>
        <v>0</v>
      </c>
      <c r="H25" s="36">
        <f>(6650+488.775*2)/3.55*3.27*1.075</f>
        <v>7552.8859542253522</v>
      </c>
      <c r="J25" s="37">
        <f>H25*E25</f>
        <v>0</v>
      </c>
    </row>
    <row r="26" spans="1:10" s="37" customFormat="1" hidden="1">
      <c r="A26" s="30"/>
      <c r="B26" s="31" t="s">
        <v>21</v>
      </c>
      <c r="C26" s="32" t="s">
        <v>26</v>
      </c>
      <c r="D26" s="33" t="s">
        <v>23</v>
      </c>
      <c r="E26" s="30"/>
      <c r="F26" s="45">
        <f>762.061*1.18/4.77*4.52</f>
        <v>852.10242129979042</v>
      </c>
      <c r="G26" s="35">
        <f t="shared" si="2"/>
        <v>0</v>
      </c>
      <c r="H26" s="37">
        <f>F26/1.18</f>
        <v>722.1206960167716</v>
      </c>
    </row>
    <row r="27" spans="1:10" s="37" customFormat="1" ht="39" customHeight="1">
      <c r="A27" s="30">
        <v>1</v>
      </c>
      <c r="B27" s="31" t="s">
        <v>21</v>
      </c>
      <c r="C27" s="32" t="s">
        <v>173</v>
      </c>
      <c r="D27" s="33" t="s">
        <v>23</v>
      </c>
      <c r="E27" s="30">
        <v>0.63</v>
      </c>
      <c r="F27" s="34">
        <v>1284.02</v>
      </c>
      <c r="G27" s="35">
        <f>ROUND(F27*E27,3)</f>
        <v>808.93299999999999</v>
      </c>
    </row>
    <row r="28" spans="1:10" s="37" customFormat="1" ht="12.75" customHeight="1">
      <c r="A28" s="30">
        <v>2</v>
      </c>
      <c r="B28" s="46" t="s">
        <v>21</v>
      </c>
      <c r="C28" s="32" t="s">
        <v>117</v>
      </c>
      <c r="D28" s="33" t="s">
        <v>16</v>
      </c>
      <c r="E28" s="30">
        <v>1</v>
      </c>
      <c r="F28" s="45">
        <f>(0.15894*4.52*1.18)+H28/3.55*3.27</f>
        <v>10.510010496676056</v>
      </c>
      <c r="G28" s="35">
        <f>ROUND(F28*E28,3)</f>
        <v>10.51</v>
      </c>
      <c r="H28" s="47">
        <f>(10489.64)/1000</f>
        <v>10.48964</v>
      </c>
    </row>
    <row r="29" spans="1:10" s="37" customFormat="1" ht="12.75" hidden="1" customHeight="1">
      <c r="A29" s="30"/>
      <c r="B29" s="31" t="s">
        <v>21</v>
      </c>
      <c r="C29" s="32" t="s">
        <v>28</v>
      </c>
      <c r="D29" s="33" t="s">
        <v>23</v>
      </c>
      <c r="E29" s="30"/>
      <c r="F29" s="45">
        <f>834.78/4/4.77*4.52</f>
        <v>197.757106918239</v>
      </c>
      <c r="G29" s="35">
        <f>ROUND(F29*E29,3)</f>
        <v>0</v>
      </c>
    </row>
    <row r="30" spans="1:10" s="37" customFormat="1" ht="12.75" hidden="1" customHeight="1">
      <c r="A30" s="30"/>
      <c r="B30" s="31" t="s">
        <v>21</v>
      </c>
      <c r="C30" s="32" t="s">
        <v>29</v>
      </c>
      <c r="D30" s="33" t="s">
        <v>16</v>
      </c>
      <c r="E30" s="30"/>
      <c r="F30" s="34">
        <f>1227.23*5.52*1.18/1000/4.77*4.52</f>
        <v>7.5747290739119491</v>
      </c>
      <c r="G30" s="35">
        <f>E30*F30</f>
        <v>0</v>
      </c>
    </row>
    <row r="31" spans="1:10" s="37" customFormat="1" ht="12.75" hidden="1" customHeight="1">
      <c r="A31" s="30"/>
      <c r="B31" s="46" t="s">
        <v>30</v>
      </c>
      <c r="C31" s="32" t="s">
        <v>31</v>
      </c>
      <c r="D31" s="33" t="s">
        <v>16</v>
      </c>
      <c r="E31" s="30"/>
      <c r="F31" s="34">
        <f>(2.8)/4.77*4.52*1.18+H31/3.55*3.27</f>
        <v>31.711104156199248</v>
      </c>
      <c r="G31" s="35">
        <f>ROUND(F31*E31,3)</f>
        <v>0</v>
      </c>
      <c r="H31" s="47">
        <f>24.46*1.075*1.18</f>
        <v>31.027509999999996</v>
      </c>
      <c r="J31" s="37">
        <f>H31*E31</f>
        <v>0</v>
      </c>
    </row>
    <row r="32" spans="1:10" s="37" customFormat="1" ht="25.5" hidden="1" customHeight="1">
      <c r="A32" s="30"/>
      <c r="B32" s="46" t="s">
        <v>27</v>
      </c>
      <c r="C32" s="32" t="s">
        <v>32</v>
      </c>
      <c r="D32" s="33" t="s">
        <v>16</v>
      </c>
      <c r="E32" s="30"/>
      <c r="F32" s="34">
        <f>(4.361)*1.18/4.77*4.52+H32/3.55*3.27</f>
        <v>30.122387845040898</v>
      </c>
      <c r="G32" s="35">
        <f>ROUND(F32*E32,3)</f>
        <v>0</v>
      </c>
      <c r="H32" s="47">
        <f>(23.227*1.18)</f>
        <v>27.407859999999999</v>
      </c>
      <c r="J32" s="37">
        <f>H32*E32</f>
        <v>0</v>
      </c>
    </row>
    <row r="33" spans="1:13" s="37" customFormat="1" ht="12.75" hidden="1" customHeight="1">
      <c r="A33" s="30"/>
      <c r="B33" s="31" t="s">
        <v>21</v>
      </c>
      <c r="C33" s="32" t="s">
        <v>95</v>
      </c>
      <c r="D33" s="33" t="s">
        <v>16</v>
      </c>
      <c r="E33" s="30"/>
      <c r="F33" s="45">
        <f>12.70303512/4.77*4.52</f>
        <v>12.037257597987422</v>
      </c>
      <c r="G33" s="35"/>
      <c r="H33" s="50"/>
    </row>
    <row r="34" spans="1:13" s="44" customFormat="1" ht="12.75" hidden="1" customHeight="1">
      <c r="A34" s="30"/>
      <c r="B34" s="31" t="s">
        <v>33</v>
      </c>
      <c r="C34" s="32" t="s">
        <v>34</v>
      </c>
      <c r="D34" s="33" t="s">
        <v>16</v>
      </c>
      <c r="E34" s="30"/>
      <c r="F34" s="34">
        <f>H34/3.55*3.27+4.701*1.25*1.18/4.77*4.52</f>
        <v>42.643955598370098</v>
      </c>
      <c r="G34" s="35">
        <f t="shared" ref="G34:G65" si="3">ROUND(F34*E34,3)</f>
        <v>0</v>
      </c>
      <c r="H34" s="36">
        <f>36.43*1.075</f>
        <v>39.16225</v>
      </c>
      <c r="I34" s="37"/>
      <c r="J34" s="37"/>
      <c r="K34" s="37"/>
      <c r="L34" s="37"/>
      <c r="M34" s="37"/>
    </row>
    <row r="35" spans="1:13" s="44" customFormat="1" ht="25.5" hidden="1" customHeight="1">
      <c r="A35" s="30"/>
      <c r="B35" s="46" t="s">
        <v>27</v>
      </c>
      <c r="C35" s="32" t="s">
        <v>35</v>
      </c>
      <c r="D35" s="33" t="s">
        <v>16</v>
      </c>
      <c r="E35" s="30"/>
      <c r="F35" s="34">
        <f>(3.102)*1.18+H35</f>
        <v>31.06822</v>
      </c>
      <c r="G35" s="35">
        <f t="shared" si="3"/>
        <v>0</v>
      </c>
      <c r="H35" s="47">
        <f>(23.227*1.18)</f>
        <v>27.407859999999999</v>
      </c>
      <c r="I35" s="37"/>
      <c r="J35" s="37">
        <f t="shared" ref="J35:J45" si="4">H35*E35</f>
        <v>0</v>
      </c>
      <c r="K35" s="37"/>
      <c r="L35" s="37"/>
      <c r="M35" s="37"/>
    </row>
    <row r="36" spans="1:13" s="91" customFormat="1" ht="25.5" hidden="1" customHeight="1">
      <c r="A36" s="85"/>
      <c r="B36" s="102" t="s">
        <v>167</v>
      </c>
      <c r="C36" s="86" t="s">
        <v>36</v>
      </c>
      <c r="D36" s="87" t="s">
        <v>16</v>
      </c>
      <c r="E36" s="85"/>
      <c r="F36" s="88">
        <f>((33.49+4871.16)*5.53*1.18/1000)+H36</f>
        <v>184.8439122649296</v>
      </c>
      <c r="G36" s="89">
        <f t="shared" si="3"/>
        <v>0</v>
      </c>
      <c r="H36" s="90">
        <f>(154.35)*1.075/3.55*3.27</f>
        <v>152.83910915492959</v>
      </c>
      <c r="J36" s="91">
        <f t="shared" si="4"/>
        <v>0</v>
      </c>
    </row>
    <row r="37" spans="1:13" s="91" customFormat="1" ht="25.5" hidden="1" customHeight="1">
      <c r="A37" s="38"/>
      <c r="B37" s="102" t="s">
        <v>167</v>
      </c>
      <c r="C37" s="40" t="s">
        <v>37</v>
      </c>
      <c r="D37" s="41" t="s">
        <v>16</v>
      </c>
      <c r="E37" s="38"/>
      <c r="F37" s="42">
        <f>((45.56+5133.81)*5.53*1.18/1000)+H37</f>
        <v>228.22544339236617</v>
      </c>
      <c r="G37" s="43">
        <f t="shared" si="3"/>
        <v>0</v>
      </c>
      <c r="H37" s="90">
        <f>(196.35)*1.075/3.55*3.27</f>
        <v>194.42798239436618</v>
      </c>
      <c r="J37" s="91">
        <f t="shared" si="4"/>
        <v>0</v>
      </c>
    </row>
    <row r="38" spans="1:13" s="91" customFormat="1" ht="25.5" hidden="1" customHeight="1">
      <c r="A38" s="85"/>
      <c r="B38" s="102" t="s">
        <v>167</v>
      </c>
      <c r="C38" s="86" t="s">
        <v>38</v>
      </c>
      <c r="D38" s="87" t="s">
        <v>16</v>
      </c>
      <c r="E38" s="85"/>
      <c r="F38" s="88">
        <f>((45.56+5133.81)*5.53*1.18/1000)+H38</f>
        <v>320.76068635011273</v>
      </c>
      <c r="G38" s="89">
        <f t="shared" si="3"/>
        <v>0</v>
      </c>
      <c r="H38" s="90">
        <f>(289.8)*1.075/3.55*3.27</f>
        <v>286.96322535211272</v>
      </c>
      <c r="J38" s="91">
        <f t="shared" si="4"/>
        <v>0</v>
      </c>
    </row>
    <row r="39" spans="1:13" s="91" customFormat="1" ht="25.5" hidden="1" customHeight="1">
      <c r="A39" s="85"/>
      <c r="B39" s="102" t="s">
        <v>167</v>
      </c>
      <c r="C39" s="86" t="s">
        <v>39</v>
      </c>
      <c r="D39" s="87" t="s">
        <v>16</v>
      </c>
      <c r="E39" s="85"/>
      <c r="F39" s="88">
        <f>((33.49+4871.16)*5.53*1.18/1000)+H39</f>
        <v>113.10310592690141</v>
      </c>
      <c r="G39" s="89">
        <f t="shared" si="3"/>
        <v>0</v>
      </c>
      <c r="H39" s="90">
        <f>(81.9)*1.075/3.55*3.27</f>
        <v>81.098302816901409</v>
      </c>
      <c r="J39" s="91">
        <f t="shared" si="4"/>
        <v>0</v>
      </c>
    </row>
    <row r="40" spans="1:13" s="91" customFormat="1" ht="25.5" hidden="1" customHeight="1">
      <c r="A40" s="85"/>
      <c r="B40" s="102" t="s">
        <v>167</v>
      </c>
      <c r="C40" s="86" t="s">
        <v>40</v>
      </c>
      <c r="D40" s="87" t="s">
        <v>16</v>
      </c>
      <c r="E40" s="85"/>
      <c r="F40" s="88">
        <f>((45.56+5133.81)*5.53*1.18/1000)+H40</f>
        <v>320.76068635011273</v>
      </c>
      <c r="G40" s="89">
        <f t="shared" si="3"/>
        <v>0</v>
      </c>
      <c r="H40" s="90">
        <f>(289.8)*1.075/3.55*3.27</f>
        <v>286.96322535211272</v>
      </c>
      <c r="J40" s="91">
        <f t="shared" si="4"/>
        <v>0</v>
      </c>
    </row>
    <row r="41" spans="1:13" s="91" customFormat="1" ht="25.5" hidden="1" customHeight="1">
      <c r="A41" s="85"/>
      <c r="B41" s="102" t="s">
        <v>167</v>
      </c>
      <c r="C41" s="86" t="s">
        <v>41</v>
      </c>
      <c r="D41" s="87" t="s">
        <v>16</v>
      </c>
      <c r="E41" s="85"/>
      <c r="F41" s="88">
        <f>((33.49+4871.16)*5.53*1.18/1000)+H41</f>
        <v>121.42088057478873</v>
      </c>
      <c r="G41" s="89">
        <f t="shared" si="3"/>
        <v>0</v>
      </c>
      <c r="H41" s="90">
        <f>(90.3)*1.075/3.55*3.27</f>
        <v>89.416077464788728</v>
      </c>
      <c r="J41" s="91">
        <f t="shared" si="4"/>
        <v>0</v>
      </c>
    </row>
    <row r="42" spans="1:13" s="91" customFormat="1" ht="25.5" hidden="1" customHeight="1">
      <c r="A42" s="85"/>
      <c r="B42" s="102" t="s">
        <v>167</v>
      </c>
      <c r="C42" s="86" t="s">
        <v>42</v>
      </c>
      <c r="D42" s="87" t="s">
        <v>16</v>
      </c>
      <c r="E42" s="85"/>
      <c r="F42" s="88">
        <f>(6169.57*5.53*1.18/1000)*1.18+H42</f>
        <v>531.49602857598359</v>
      </c>
      <c r="G42" s="89">
        <f t="shared" si="3"/>
        <v>0</v>
      </c>
      <c r="H42" s="90">
        <f>(488.775)*1.075/3.55*3.27</f>
        <v>483.99051232394362</v>
      </c>
      <c r="J42" s="91">
        <f t="shared" si="4"/>
        <v>0</v>
      </c>
    </row>
    <row r="43" spans="1:13" s="37" customFormat="1" ht="12.75" hidden="1" customHeight="1">
      <c r="A43" s="30"/>
      <c r="B43" s="46" t="s">
        <v>43</v>
      </c>
      <c r="C43" s="32" t="s">
        <v>44</v>
      </c>
      <c r="D43" s="33" t="s">
        <v>16</v>
      </c>
      <c r="E43" s="30"/>
      <c r="F43" s="34">
        <f>(1.36+2.8)/4.77*4.52*1.18+H43/3.55*3.27</f>
        <v>140.26058218518617</v>
      </c>
      <c r="G43" s="35">
        <f t="shared" si="3"/>
        <v>0</v>
      </c>
      <c r="H43" s="49">
        <f>(97.409+18.65)*1.075*1.18</f>
        <v>147.22084149999998</v>
      </c>
      <c r="J43" s="37">
        <f t="shared" si="4"/>
        <v>0</v>
      </c>
      <c r="L43" s="50" t="s">
        <v>45</v>
      </c>
    </row>
    <row r="44" spans="1:13" s="37" customFormat="1" ht="25.5" hidden="1" customHeight="1">
      <c r="A44" s="30"/>
      <c r="B44" s="46" t="s">
        <v>30</v>
      </c>
      <c r="C44" s="32" t="s">
        <v>46</v>
      </c>
      <c r="D44" s="33" t="s">
        <v>16</v>
      </c>
      <c r="E44" s="30"/>
      <c r="F44" s="34">
        <f>(1.36+2.8)/4.77*4.52*1.18+H44/3.55*3.27</f>
        <v>143.87225895842562</v>
      </c>
      <c r="G44" s="35">
        <f t="shared" si="3"/>
        <v>0</v>
      </c>
      <c r="H44" s="49">
        <f>(100.5+18.65)*1.075*1.18</f>
        <v>151.141775</v>
      </c>
      <c r="J44" s="37">
        <f t="shared" si="4"/>
        <v>0</v>
      </c>
      <c r="L44" s="50" t="s">
        <v>45</v>
      </c>
    </row>
    <row r="45" spans="1:13" s="37" customFormat="1" ht="12.75" hidden="1" customHeight="1">
      <c r="A45" s="30"/>
      <c r="B45" s="46" t="s">
        <v>30</v>
      </c>
      <c r="C45" s="32" t="s">
        <v>47</v>
      </c>
      <c r="D45" s="33" t="s">
        <v>16</v>
      </c>
      <c r="E45" s="30"/>
      <c r="F45" s="34">
        <f>(1.36+2.8)/4.77*4.52*1.18+H45/3.55*3.27</f>
        <v>53.901663183777714</v>
      </c>
      <c r="G45" s="35">
        <f t="shared" si="3"/>
        <v>0</v>
      </c>
      <c r="H45" s="49">
        <f>(42.15)*1.075*1.18</f>
        <v>53.467274999999994</v>
      </c>
      <c r="J45" s="37">
        <f t="shared" si="4"/>
        <v>0</v>
      </c>
      <c r="L45" s="50" t="s">
        <v>48</v>
      </c>
    </row>
    <row r="46" spans="1:13" s="37" customFormat="1" ht="12.75" hidden="1" customHeight="1">
      <c r="A46" s="30"/>
      <c r="B46" s="31" t="s">
        <v>49</v>
      </c>
      <c r="C46" s="32" t="s">
        <v>50</v>
      </c>
      <c r="D46" s="33" t="s">
        <v>51</v>
      </c>
      <c r="E46" s="30"/>
      <c r="F46" s="45">
        <f>(2.544)/4.77*4.52*1.18+H46/3.55*3.27</f>
        <v>23.444076018779345</v>
      </c>
      <c r="G46" s="35">
        <f t="shared" si="3"/>
        <v>0</v>
      </c>
      <c r="H46" s="51">
        <f>18.952*1.18</f>
        <v>22.36336</v>
      </c>
    </row>
    <row r="47" spans="1:13" s="37" customFormat="1" hidden="1">
      <c r="A47" s="30"/>
      <c r="B47" s="31" t="s">
        <v>21</v>
      </c>
      <c r="C47" s="32" t="s">
        <v>22</v>
      </c>
      <c r="D47" s="33" t="s">
        <v>23</v>
      </c>
      <c r="E47" s="30"/>
      <c r="F47" s="45">
        <f>1812.84/4.77*4.52</f>
        <v>1717.8274213836476</v>
      </c>
      <c r="G47" s="35">
        <f t="shared" si="3"/>
        <v>0</v>
      </c>
      <c r="H47" s="51"/>
    </row>
    <row r="48" spans="1:13" s="37" customFormat="1" ht="12.75" hidden="1" customHeight="1">
      <c r="A48" s="30"/>
      <c r="B48" s="31" t="s">
        <v>21</v>
      </c>
      <c r="C48" s="32" t="s">
        <v>52</v>
      </c>
      <c r="D48" s="33" t="s">
        <v>23</v>
      </c>
      <c r="E48" s="30"/>
      <c r="F48" s="45">
        <f>1185.4976*1.18/4.77*4.52</f>
        <v>1325.5702304737945</v>
      </c>
      <c r="G48" s="35">
        <f t="shared" si="3"/>
        <v>0</v>
      </c>
      <c r="H48" s="52"/>
      <c r="I48" s="44"/>
      <c r="J48" s="44"/>
      <c r="K48" s="44"/>
      <c r="L48" s="44"/>
      <c r="M48" s="44"/>
    </row>
    <row r="49" spans="1:13" s="37" customFormat="1" ht="25.5" hidden="1" customHeight="1">
      <c r="A49" s="30"/>
      <c r="B49" s="31" t="s">
        <v>21</v>
      </c>
      <c r="C49" s="32" t="s">
        <v>24</v>
      </c>
      <c r="D49" s="33" t="s">
        <v>23</v>
      </c>
      <c r="E49" s="30"/>
      <c r="F49" s="45">
        <f>(1812.84+(42.61*1.18*15))/4.77*4.52</f>
        <v>2432.4962767295597</v>
      </c>
      <c r="G49" s="35">
        <f t="shared" si="3"/>
        <v>0</v>
      </c>
    </row>
    <row r="50" spans="1:13" s="37" customFormat="1" ht="12.75" hidden="1" customHeight="1">
      <c r="A50" s="30"/>
      <c r="B50" s="31" t="s">
        <v>21</v>
      </c>
      <c r="C50" s="32" t="s">
        <v>53</v>
      </c>
      <c r="D50" s="33" t="s">
        <v>23</v>
      </c>
      <c r="E50" s="30"/>
      <c r="F50" s="45">
        <f>1812.84/4.77*4.52</f>
        <v>1717.8274213836476</v>
      </c>
      <c r="G50" s="35">
        <f t="shared" si="3"/>
        <v>0</v>
      </c>
    </row>
    <row r="51" spans="1:13" s="44" customFormat="1" ht="12.75" hidden="1" customHeight="1">
      <c r="A51" s="30"/>
      <c r="B51" s="31" t="s">
        <v>21</v>
      </c>
      <c r="C51" s="32" t="s">
        <v>54</v>
      </c>
      <c r="D51" s="33" t="s">
        <v>23</v>
      </c>
      <c r="E51" s="30"/>
      <c r="F51" s="45">
        <f>2031.19/4.77*4.52</f>
        <v>1924.7335010482179</v>
      </c>
      <c r="G51" s="35">
        <f t="shared" si="3"/>
        <v>0</v>
      </c>
      <c r="H51" s="37"/>
      <c r="I51" s="37"/>
      <c r="J51" s="37"/>
      <c r="K51" s="37"/>
      <c r="L51" s="37"/>
      <c r="M51" s="37"/>
    </row>
    <row r="52" spans="1:13" s="44" customFormat="1" ht="12.75" hidden="1" customHeight="1">
      <c r="A52" s="30"/>
      <c r="B52" s="31" t="s">
        <v>21</v>
      </c>
      <c r="C52" s="32" t="s">
        <v>55</v>
      </c>
      <c r="D52" s="33" t="s">
        <v>23</v>
      </c>
      <c r="E52" s="30"/>
      <c r="F52" s="34">
        <f>2257.231/4.77*4.52</f>
        <v>2138.9274884696019</v>
      </c>
      <c r="G52" s="35">
        <f t="shared" si="3"/>
        <v>0</v>
      </c>
      <c r="H52" s="37"/>
      <c r="I52" s="37"/>
      <c r="J52" s="37"/>
      <c r="K52" s="37"/>
      <c r="L52" s="37"/>
      <c r="M52" s="37"/>
    </row>
    <row r="53" spans="1:13" s="97" customFormat="1" ht="12.75" hidden="1" customHeight="1">
      <c r="A53" s="103"/>
      <c r="B53" s="102" t="s">
        <v>167</v>
      </c>
      <c r="C53" s="104" t="s">
        <v>168</v>
      </c>
      <c r="D53" s="105" t="s">
        <v>16</v>
      </c>
      <c r="E53" s="103"/>
      <c r="F53" s="106">
        <f t="shared" ref="F53:F81" si="5">ROUND(H53*1.1,2)</f>
        <v>249.25</v>
      </c>
      <c r="G53" s="107">
        <f t="shared" si="3"/>
        <v>0</v>
      </c>
      <c r="H53" s="95">
        <f>(138.53133+90.3)*1.075/3.55*3.27</f>
        <v>226.59136134718307</v>
      </c>
      <c r="J53" s="97">
        <f t="shared" ref="J53:J92" si="6">H53*E53</f>
        <v>0</v>
      </c>
      <c r="L53" s="97">
        <f>458631.446453333/1000</f>
        <v>458.63144645333301</v>
      </c>
    </row>
    <row r="54" spans="1:13" s="97" customFormat="1" ht="12.75" hidden="1" customHeight="1">
      <c r="A54" s="103"/>
      <c r="B54" s="102" t="s">
        <v>167</v>
      </c>
      <c r="C54" s="104" t="s">
        <v>56</v>
      </c>
      <c r="D54" s="105" t="s">
        <v>16</v>
      </c>
      <c r="E54" s="103"/>
      <c r="F54" s="106">
        <f t="shared" si="5"/>
        <v>240.1</v>
      </c>
      <c r="G54" s="107">
        <f t="shared" si="3"/>
        <v>0</v>
      </c>
      <c r="H54" s="95">
        <f>(138.53133+81.9)*1.075/3.55*3.27</f>
        <v>218.27358669929581</v>
      </c>
      <c r="J54" s="97">
        <f t="shared" si="6"/>
        <v>0</v>
      </c>
    </row>
    <row r="55" spans="1:13" s="97" customFormat="1" ht="12.75" hidden="1" customHeight="1">
      <c r="A55" s="103"/>
      <c r="B55" s="102" t="s">
        <v>167</v>
      </c>
      <c r="C55" s="104" t="s">
        <v>57</v>
      </c>
      <c r="D55" s="105" t="s">
        <v>16</v>
      </c>
      <c r="E55" s="103"/>
      <c r="F55" s="106">
        <f t="shared" si="5"/>
        <v>895.36</v>
      </c>
      <c r="G55" s="107">
        <f t="shared" si="3"/>
        <v>0</v>
      </c>
      <c r="H55" s="95">
        <f>(333.2339325+488.775)*1.075/3.55*3.27</f>
        <v>813.9625070339788</v>
      </c>
      <c r="J55" s="97">
        <f t="shared" si="6"/>
        <v>0</v>
      </c>
    </row>
    <row r="56" spans="1:13" s="97" customFormat="1" ht="12.75" hidden="1" customHeight="1">
      <c r="A56" s="103"/>
      <c r="B56" s="102" t="s">
        <v>167</v>
      </c>
      <c r="C56" s="104" t="s">
        <v>169</v>
      </c>
      <c r="D56" s="105" t="s">
        <v>16</v>
      </c>
      <c r="E56" s="103"/>
      <c r="F56" s="106">
        <f t="shared" si="5"/>
        <v>953.08</v>
      </c>
      <c r="G56" s="107">
        <f t="shared" si="3"/>
        <v>0</v>
      </c>
      <c r="H56" s="95">
        <f>(386.22339+488.775)*1.075/3.55*3.27</f>
        <v>866.43326491478877</v>
      </c>
      <c r="J56" s="97">
        <f t="shared" si="6"/>
        <v>0</v>
      </c>
      <c r="L56" s="97">
        <f>2053404.7418/1000</f>
        <v>2053.4047418</v>
      </c>
    </row>
    <row r="57" spans="1:13" s="110" customFormat="1" ht="12.75" hidden="1" customHeight="1">
      <c r="A57" s="30"/>
      <c r="B57" s="46" t="s">
        <v>171</v>
      </c>
      <c r="C57" s="32" t="s">
        <v>58</v>
      </c>
      <c r="D57" s="33" t="s">
        <v>16</v>
      </c>
      <c r="E57" s="30"/>
      <c r="F57" s="45">
        <f t="shared" si="5"/>
        <v>325.68</v>
      </c>
      <c r="G57" s="35">
        <f t="shared" si="3"/>
        <v>0</v>
      </c>
      <c r="H57" s="109">
        <f>(180+119)*1.075/3.55*3.27</f>
        <v>296.07316901408456</v>
      </c>
      <c r="J57" s="110">
        <f t="shared" si="6"/>
        <v>0</v>
      </c>
      <c r="L57" s="110">
        <f>538966.759211428/1000</f>
        <v>538.96675921142798</v>
      </c>
    </row>
    <row r="58" spans="1:13" s="97" customFormat="1" ht="12.75" hidden="1" customHeight="1">
      <c r="A58" s="92"/>
      <c r="B58" s="102" t="s">
        <v>167</v>
      </c>
      <c r="C58" s="104" t="s">
        <v>59</v>
      </c>
      <c r="D58" s="105" t="s">
        <v>16</v>
      </c>
      <c r="E58" s="103"/>
      <c r="F58" s="106">
        <f t="shared" si="5"/>
        <v>175.42</v>
      </c>
      <c r="G58" s="107">
        <f t="shared" si="3"/>
        <v>0</v>
      </c>
      <c r="H58" s="95">
        <f>(83.052+78)*1.075/3.55*3.27</f>
        <v>159.47550507042257</v>
      </c>
      <c r="J58" s="97">
        <f t="shared" si="6"/>
        <v>0</v>
      </c>
    </row>
    <row r="59" spans="1:13" s="97" customFormat="1" ht="12.75" hidden="1" customHeight="1">
      <c r="A59" s="92"/>
      <c r="B59" s="102" t="s">
        <v>167</v>
      </c>
      <c r="C59" s="104" t="s">
        <v>60</v>
      </c>
      <c r="D59" s="105" t="s">
        <v>16</v>
      </c>
      <c r="E59" s="103"/>
      <c r="F59" s="106">
        <f t="shared" si="5"/>
        <v>386.2</v>
      </c>
      <c r="G59" s="107">
        <f t="shared" si="3"/>
        <v>0</v>
      </c>
      <c r="H59" s="95">
        <f>(200.20959+154.35)*1.075/3.55*3.27</f>
        <v>351.08890105563376</v>
      </c>
      <c r="J59" s="97">
        <f t="shared" si="6"/>
        <v>0</v>
      </c>
      <c r="L59" s="98">
        <f>605726.714568421/1000</f>
        <v>605.72671456842102</v>
      </c>
    </row>
    <row r="60" spans="1:13" s="97" customFormat="1" hidden="1">
      <c r="A60" s="92"/>
      <c r="B60" s="102" t="s">
        <v>167</v>
      </c>
      <c r="C60" s="104" t="s">
        <v>161</v>
      </c>
      <c r="D60" s="105" t="s">
        <v>16</v>
      </c>
      <c r="E60" s="103"/>
      <c r="F60" s="106">
        <f t="shared" si="5"/>
        <v>644.96</v>
      </c>
      <c r="G60" s="107">
        <f t="shared" si="3"/>
        <v>0</v>
      </c>
      <c r="H60" s="95">
        <f>(428.32125+81.9*2)*1.075/3.55*3.27</f>
        <v>586.32513353873242</v>
      </c>
      <c r="J60" s="97">
        <f t="shared" si="6"/>
        <v>0</v>
      </c>
    </row>
    <row r="61" spans="1:13" s="97" customFormat="1" ht="12.75" hidden="1" customHeight="1">
      <c r="A61" s="92"/>
      <c r="B61" s="102" t="s">
        <v>167</v>
      </c>
      <c r="C61" s="104" t="s">
        <v>61</v>
      </c>
      <c r="D61" s="105" t="s">
        <v>16</v>
      </c>
      <c r="E61" s="103"/>
      <c r="F61" s="106">
        <f t="shared" si="5"/>
        <v>389.91</v>
      </c>
      <c r="G61" s="107">
        <f t="shared" si="3"/>
        <v>0</v>
      </c>
      <c r="H61" s="95">
        <f>(140.367+217.6)/3.55*3.27*1.075</f>
        <v>354.46295683098589</v>
      </c>
      <c r="J61" s="97">
        <f t="shared" si="6"/>
        <v>0</v>
      </c>
    </row>
    <row r="62" spans="1:13" s="97" customFormat="1" ht="12.75" hidden="1" customHeight="1">
      <c r="A62" s="92"/>
      <c r="B62" s="102" t="s">
        <v>167</v>
      </c>
      <c r="C62" s="104" t="s">
        <v>62</v>
      </c>
      <c r="D62" s="105" t="s">
        <v>16</v>
      </c>
      <c r="E62" s="103"/>
      <c r="F62" s="106">
        <f t="shared" si="5"/>
        <v>398.22</v>
      </c>
      <c r="G62" s="107">
        <f t="shared" si="3"/>
        <v>0</v>
      </c>
      <c r="H62" s="95">
        <f>(248.52+117.08)*1.075/3.55*3.27</f>
        <v>362.02123943661974</v>
      </c>
      <c r="J62" s="97">
        <f t="shared" si="6"/>
        <v>0</v>
      </c>
      <c r="L62" s="97">
        <f>605726.714568421/1000</f>
        <v>605.72671456842102</v>
      </c>
    </row>
    <row r="63" spans="1:13" s="97" customFormat="1" ht="12.75" hidden="1" customHeight="1">
      <c r="A63" s="92"/>
      <c r="B63" s="102" t="s">
        <v>167</v>
      </c>
      <c r="C63" s="104" t="s">
        <v>155</v>
      </c>
      <c r="D63" s="105" t="s">
        <v>16</v>
      </c>
      <c r="E63" s="103"/>
      <c r="F63" s="106">
        <f t="shared" si="5"/>
        <v>663.26</v>
      </c>
      <c r="G63" s="107">
        <f t="shared" si="3"/>
        <v>0</v>
      </c>
      <c r="H63" s="95">
        <f>(428.32125+90.3*2)*1.075/3.55*3.27</f>
        <v>602.96068283450711</v>
      </c>
      <c r="J63" s="97">
        <f t="shared" si="6"/>
        <v>0</v>
      </c>
    </row>
    <row r="64" spans="1:13" s="97" customFormat="1" ht="12.75" hidden="1" customHeight="1">
      <c r="A64" s="92"/>
      <c r="B64" s="102" t="s">
        <v>167</v>
      </c>
      <c r="C64" s="104" t="s">
        <v>156</v>
      </c>
      <c r="D64" s="105" t="s">
        <v>16</v>
      </c>
      <c r="E64" s="103"/>
      <c r="F64" s="106">
        <f t="shared" si="5"/>
        <v>631.13</v>
      </c>
      <c r="G64" s="107">
        <f t="shared" si="3"/>
        <v>0</v>
      </c>
      <c r="H64" s="95">
        <f>(398.83+90.3*2)*1.075/3.55*3.27</f>
        <v>573.75811478873231</v>
      </c>
      <c r="J64" s="97">
        <f t="shared" si="6"/>
        <v>0</v>
      </c>
    </row>
    <row r="65" spans="1:13" s="97" customFormat="1" ht="27" hidden="1" customHeight="1">
      <c r="A65" s="92"/>
      <c r="B65" s="102" t="s">
        <v>167</v>
      </c>
      <c r="C65" s="104" t="s">
        <v>63</v>
      </c>
      <c r="D65" s="105" t="s">
        <v>16</v>
      </c>
      <c r="E65" s="103"/>
      <c r="F65" s="106">
        <f t="shared" si="5"/>
        <v>732.43</v>
      </c>
      <c r="G65" s="107">
        <f t="shared" si="3"/>
        <v>0</v>
      </c>
      <c r="H65" s="95">
        <f>(438.27+117.08*2)*1.075/3.55*3.27</f>
        <v>665.84776267605628</v>
      </c>
      <c r="J65" s="97">
        <f t="shared" si="6"/>
        <v>0</v>
      </c>
    </row>
    <row r="66" spans="1:13" s="97" customFormat="1" ht="12.75" hidden="1" customHeight="1">
      <c r="A66" s="92"/>
      <c r="B66" s="102" t="s">
        <v>167</v>
      </c>
      <c r="C66" s="104" t="s">
        <v>64</v>
      </c>
      <c r="D66" s="105" t="s">
        <v>16</v>
      </c>
      <c r="E66" s="103"/>
      <c r="F66" s="106">
        <f t="shared" si="5"/>
        <v>689.47</v>
      </c>
      <c r="G66" s="107">
        <f t="shared" ref="G66:G90" si="7">ROUND(F66*E66,3)</f>
        <v>0</v>
      </c>
      <c r="H66" s="95">
        <f>(398.83+117.08*2)*1.075/3.55*3.27</f>
        <v>626.79383028169013</v>
      </c>
      <c r="J66" s="97">
        <f t="shared" si="6"/>
        <v>0</v>
      </c>
    </row>
    <row r="67" spans="1:13" s="97" customFormat="1" ht="12.75" hidden="1" customHeight="1">
      <c r="A67" s="92"/>
      <c r="B67" s="102" t="s">
        <v>167</v>
      </c>
      <c r="C67" s="104" t="s">
        <v>65</v>
      </c>
      <c r="D67" s="105" t="s">
        <v>16</v>
      </c>
      <c r="E67" s="103"/>
      <c r="F67" s="106">
        <f t="shared" si="5"/>
        <v>772.53</v>
      </c>
      <c r="G67" s="107">
        <f t="shared" si="7"/>
        <v>0</v>
      </c>
      <c r="H67" s="108">
        <f>(400.54+154.35*2)*1.075/3.55*3.27</f>
        <v>702.2974394366197</v>
      </c>
      <c r="J67" s="97">
        <f t="shared" si="6"/>
        <v>0</v>
      </c>
    </row>
    <row r="68" spans="1:13" s="97" customFormat="1" ht="12.75" hidden="1" customHeight="1">
      <c r="A68" s="92"/>
      <c r="B68" s="102" t="s">
        <v>167</v>
      </c>
      <c r="C68" s="104" t="s">
        <v>66</v>
      </c>
      <c r="D68" s="105" t="s">
        <v>16</v>
      </c>
      <c r="E68" s="103"/>
      <c r="F68" s="106">
        <f t="shared" si="5"/>
        <v>804.39</v>
      </c>
      <c r="G68" s="107">
        <f t="shared" si="7"/>
        <v>0</v>
      </c>
      <c r="H68" s="106">
        <f>(429.79+154.35*2)*1.075/3.55*3.27</f>
        <v>731.26111901408456</v>
      </c>
      <c r="I68" s="95"/>
      <c r="J68" s="97">
        <f t="shared" si="6"/>
        <v>0</v>
      </c>
    </row>
    <row r="69" spans="1:13" s="97" customFormat="1" ht="12" hidden="1" customHeight="1">
      <c r="A69" s="92"/>
      <c r="B69" s="31" t="s">
        <v>21</v>
      </c>
      <c r="C69" s="104" t="s">
        <v>67</v>
      </c>
      <c r="D69" s="105" t="s">
        <v>16</v>
      </c>
      <c r="E69" s="103"/>
      <c r="F69" s="106">
        <f t="shared" si="5"/>
        <v>296.38</v>
      </c>
      <c r="G69" s="107">
        <f t="shared" si="7"/>
        <v>0</v>
      </c>
      <c r="H69" s="99">
        <f>(84.1+94*2)*1.075/3.55*3.27</f>
        <v>269.43648591549299</v>
      </c>
      <c r="J69" s="97">
        <f t="shared" si="6"/>
        <v>0</v>
      </c>
    </row>
    <row r="70" spans="1:13" s="97" customFormat="1" ht="12.75" hidden="1" customHeight="1">
      <c r="A70" s="92"/>
      <c r="B70" s="31" t="s">
        <v>21</v>
      </c>
      <c r="C70" s="104" t="s">
        <v>68</v>
      </c>
      <c r="D70" s="105" t="s">
        <v>16</v>
      </c>
      <c r="E70" s="103"/>
      <c r="F70" s="106">
        <f t="shared" si="5"/>
        <v>345.53</v>
      </c>
      <c r="G70" s="107">
        <f t="shared" si="7"/>
        <v>0</v>
      </c>
      <c r="H70" s="95">
        <f>(96.42+110.4*2)*1.075/3.55*3.27</f>
        <v>314.11481830985917</v>
      </c>
      <c r="J70" s="97">
        <f t="shared" si="6"/>
        <v>0</v>
      </c>
    </row>
    <row r="71" spans="1:13" s="97" customFormat="1" ht="12.75" hidden="1" customHeight="1">
      <c r="A71" s="92"/>
      <c r="B71" s="102" t="s">
        <v>167</v>
      </c>
      <c r="C71" s="104" t="s">
        <v>69</v>
      </c>
      <c r="D71" s="105" t="s">
        <v>16</v>
      </c>
      <c r="E71" s="103"/>
      <c r="F71" s="106">
        <f t="shared" si="5"/>
        <v>1358.49</v>
      </c>
      <c r="G71" s="107">
        <f t="shared" si="7"/>
        <v>0</v>
      </c>
      <c r="H71" s="95">
        <f>(667.6+289.8*2)*1.075/3.55*3.27</f>
        <v>1234.9914929577465</v>
      </c>
      <c r="J71" s="97">
        <f t="shared" si="6"/>
        <v>0</v>
      </c>
    </row>
    <row r="72" spans="1:13" s="97" customFormat="1" ht="12.75" hidden="1" customHeight="1">
      <c r="A72" s="92"/>
      <c r="B72" s="102" t="s">
        <v>167</v>
      </c>
      <c r="C72" s="104" t="s">
        <v>170</v>
      </c>
      <c r="D72" s="105" t="s">
        <v>16</v>
      </c>
      <c r="E72" s="103"/>
      <c r="F72" s="106">
        <f t="shared" si="5"/>
        <v>1178.72</v>
      </c>
      <c r="G72" s="107">
        <f t="shared" si="7"/>
        <v>0</v>
      </c>
      <c r="H72" s="95">
        <f>(502.56+289.8*2)*1.075/3.55*3.27</f>
        <v>1071.5670253521128</v>
      </c>
      <c r="J72" s="97">
        <f t="shared" si="6"/>
        <v>0</v>
      </c>
    </row>
    <row r="73" spans="1:13" s="97" customFormat="1" ht="12.75" hidden="1" customHeight="1">
      <c r="A73" s="92"/>
      <c r="B73" s="102" t="s">
        <v>167</v>
      </c>
      <c r="C73" s="104" t="s">
        <v>70</v>
      </c>
      <c r="D73" s="105" t="s">
        <v>16</v>
      </c>
      <c r="E73" s="103"/>
      <c r="F73" s="106">
        <f t="shared" si="5"/>
        <v>173.95</v>
      </c>
      <c r="G73" s="107">
        <f t="shared" si="7"/>
        <v>0</v>
      </c>
      <c r="H73" s="95">
        <f>(84.1+75.6)*1.075/3.55*3.27</f>
        <v>158.13673943661971</v>
      </c>
      <c r="J73" s="97">
        <f t="shared" si="6"/>
        <v>0</v>
      </c>
      <c r="L73" s="97">
        <f>368175.1038/1000</f>
        <v>368.17510379999999</v>
      </c>
    </row>
    <row r="74" spans="1:13" s="97" customFormat="1" ht="12.75" hidden="1" customHeight="1">
      <c r="A74" s="92"/>
      <c r="B74" s="102" t="s">
        <v>167</v>
      </c>
      <c r="C74" s="104" t="s">
        <v>71</v>
      </c>
      <c r="D74" s="105" t="s">
        <v>16</v>
      </c>
      <c r="E74" s="103"/>
      <c r="F74" s="106">
        <f t="shared" si="5"/>
        <v>170.29</v>
      </c>
      <c r="G74" s="107">
        <f t="shared" si="7"/>
        <v>0</v>
      </c>
      <c r="H74" s="95">
        <f>(84.1+72.24)*1.075/3.55*3.27</f>
        <v>154.80962957746476</v>
      </c>
      <c r="J74" s="97">
        <f t="shared" si="6"/>
        <v>0</v>
      </c>
    </row>
    <row r="75" spans="1:13" s="97" customFormat="1" ht="12.75" hidden="1" customHeight="1">
      <c r="A75" s="92"/>
      <c r="B75" s="102" t="s">
        <v>167</v>
      </c>
      <c r="C75" s="104" t="s">
        <v>72</v>
      </c>
      <c r="D75" s="105" t="s">
        <v>16</v>
      </c>
      <c r="E75" s="103"/>
      <c r="F75" s="106">
        <f t="shared" si="5"/>
        <v>414.53</v>
      </c>
      <c r="G75" s="107">
        <f t="shared" si="7"/>
        <v>0</v>
      </c>
      <c r="H75" s="95">
        <f>(154.2+196.35)*1.075</f>
        <v>376.84124999999995</v>
      </c>
      <c r="J75" s="97">
        <f t="shared" si="6"/>
        <v>0</v>
      </c>
      <c r="L75" s="100">
        <f>[1]реестры!$U$14925</f>
        <v>767640.2267</v>
      </c>
      <c r="M75" s="97">
        <f>AVERAGE(F75:F76)/1.075</f>
        <v>400.49302325581397</v>
      </c>
    </row>
    <row r="76" spans="1:13" s="97" customFormat="1" ht="12.75" hidden="1" customHeight="1">
      <c r="A76" s="92"/>
      <c r="B76" s="102" t="s">
        <v>167</v>
      </c>
      <c r="C76" s="104" t="s">
        <v>73</v>
      </c>
      <c r="D76" s="105" t="s">
        <v>16</v>
      </c>
      <c r="E76" s="103"/>
      <c r="F76" s="106">
        <f t="shared" si="5"/>
        <v>446.53</v>
      </c>
      <c r="G76" s="107">
        <f t="shared" si="7"/>
        <v>0</v>
      </c>
      <c r="H76" s="95">
        <f>(213.6+196.35)*1.075/3.55*3.27</f>
        <v>405.9371091549296</v>
      </c>
      <c r="J76" s="97">
        <f t="shared" si="6"/>
        <v>0</v>
      </c>
      <c r="L76" s="100">
        <f>[1]реестры!$U$14925</f>
        <v>767640.2267</v>
      </c>
    </row>
    <row r="77" spans="1:13" s="97" customFormat="1" ht="12.75" hidden="1" customHeight="1">
      <c r="A77" s="92"/>
      <c r="B77" s="102" t="s">
        <v>167</v>
      </c>
      <c r="C77" s="104" t="s">
        <v>74</v>
      </c>
      <c r="D77" s="105" t="s">
        <v>16</v>
      </c>
      <c r="E77" s="103"/>
      <c r="F77" s="106">
        <f t="shared" si="5"/>
        <v>194.23</v>
      </c>
      <c r="G77" s="107">
        <f t="shared" si="7"/>
        <v>0</v>
      </c>
      <c r="H77" s="95">
        <f>(96.42+81.9)*1.075/3.55*3.27</f>
        <v>176.57447323943663</v>
      </c>
      <c r="J77" s="97">
        <f t="shared" si="6"/>
        <v>0</v>
      </c>
    </row>
    <row r="78" spans="1:13" s="97" customFormat="1" ht="12.75" hidden="1" customHeight="1">
      <c r="A78" s="92"/>
      <c r="B78" s="102" t="s">
        <v>167</v>
      </c>
      <c r="C78" s="104" t="s">
        <v>75</v>
      </c>
      <c r="D78" s="105" t="s">
        <v>16</v>
      </c>
      <c r="E78" s="103"/>
      <c r="F78" s="106">
        <f t="shared" si="5"/>
        <v>1058.08</v>
      </c>
      <c r="G78" s="107">
        <f t="shared" si="7"/>
        <v>0</v>
      </c>
      <c r="H78" s="95">
        <f>(681.6+289.8)*1.075/3.55*3.27</f>
        <v>961.89122535211277</v>
      </c>
      <c r="J78" s="97">
        <f t="shared" si="6"/>
        <v>0</v>
      </c>
    </row>
    <row r="79" spans="1:13" s="97" customFormat="1" ht="12.75" hidden="1" customHeight="1">
      <c r="A79" s="92"/>
      <c r="B79" s="102" t="s">
        <v>167</v>
      </c>
      <c r="C79" s="104" t="s">
        <v>76</v>
      </c>
      <c r="D79" s="105" t="s">
        <v>16</v>
      </c>
      <c r="E79" s="103"/>
      <c r="F79" s="106">
        <f t="shared" si="5"/>
        <v>859.08</v>
      </c>
      <c r="G79" s="107">
        <f t="shared" si="7"/>
        <v>0</v>
      </c>
      <c r="H79" s="95">
        <f>(355.2+433.5)*1.075/3.55*3.27</f>
        <v>780.97962676056341</v>
      </c>
      <c r="J79" s="97">
        <f t="shared" si="6"/>
        <v>0</v>
      </c>
    </row>
    <row r="80" spans="1:13" s="97" customFormat="1" ht="12.75" hidden="1" customHeight="1">
      <c r="A80" s="92"/>
      <c r="B80" s="102" t="s">
        <v>167</v>
      </c>
      <c r="C80" s="104" t="s">
        <v>77</v>
      </c>
      <c r="D80" s="105" t="s">
        <v>16</v>
      </c>
      <c r="E80" s="103"/>
      <c r="F80" s="106">
        <f t="shared" si="5"/>
        <v>1589.84</v>
      </c>
      <c r="G80" s="107">
        <f t="shared" si="7"/>
        <v>0</v>
      </c>
      <c r="H80" s="95">
        <f>(482+488.8*2)*1.075/3.55*3.27</f>
        <v>1445.3123661971831</v>
      </c>
      <c r="J80" s="97">
        <f t="shared" si="6"/>
        <v>0</v>
      </c>
    </row>
    <row r="81" spans="1:13" s="97" customFormat="1" ht="12.75" hidden="1" customHeight="1">
      <c r="A81" s="92"/>
      <c r="B81" s="102" t="s">
        <v>167</v>
      </c>
      <c r="C81" s="93" t="s">
        <v>78</v>
      </c>
      <c r="D81" s="94" t="s">
        <v>16</v>
      </c>
      <c r="E81" s="92"/>
      <c r="F81" s="95">
        <f t="shared" si="5"/>
        <v>1140.43</v>
      </c>
      <c r="G81" s="96">
        <f t="shared" si="7"/>
        <v>0</v>
      </c>
      <c r="H81" s="95">
        <f>(482.6+282.2*2)*1.075/3.55*3.27</f>
        <v>1036.7511971830986</v>
      </c>
      <c r="J81" s="97">
        <f t="shared" si="6"/>
        <v>0</v>
      </c>
      <c r="L81" s="100">
        <f>[1]реестры!$H$12026</f>
        <v>4634316.2823999999</v>
      </c>
    </row>
    <row r="82" spans="1:13" s="97" customFormat="1" ht="12.75" hidden="1" customHeight="1">
      <c r="A82" s="92"/>
      <c r="B82" s="101" t="s">
        <v>79</v>
      </c>
      <c r="C82" s="93" t="s">
        <v>80</v>
      </c>
      <c r="D82" s="94" t="s">
        <v>16</v>
      </c>
      <c r="E82" s="92"/>
      <c r="F82" s="95">
        <f>H82*1.1</f>
        <v>801.77636619718305</v>
      </c>
      <c r="G82" s="96">
        <f t="shared" si="7"/>
        <v>0</v>
      </c>
      <c r="H82" s="95">
        <f>(482.6+154.35*2)/3.55*3.27</f>
        <v>728.88760563380276</v>
      </c>
      <c r="J82" s="97">
        <f t="shared" si="6"/>
        <v>0</v>
      </c>
    </row>
    <row r="83" spans="1:13" s="97" customFormat="1" ht="25.5" hidden="1" customHeight="1">
      <c r="A83" s="92"/>
      <c r="B83" s="102" t="s">
        <v>167</v>
      </c>
      <c r="C83" s="93" t="s">
        <v>81</v>
      </c>
      <c r="D83" s="94" t="s">
        <v>16</v>
      </c>
      <c r="E83" s="92"/>
      <c r="F83" s="95">
        <f>ROUND(H83*1.1,2)</f>
        <v>568.91</v>
      </c>
      <c r="G83" s="96">
        <f t="shared" si="7"/>
        <v>0</v>
      </c>
      <c r="H83" s="95">
        <f>(213.6+154.35*2)*1.075/3.55*3.27</f>
        <v>517.18734507042257</v>
      </c>
      <c r="J83" s="97">
        <f t="shared" si="6"/>
        <v>0</v>
      </c>
    </row>
    <row r="84" spans="1:13" s="37" customFormat="1" hidden="1">
      <c r="A84" s="30"/>
      <c r="B84" s="31" t="s">
        <v>15</v>
      </c>
      <c r="C84" s="32" t="s">
        <v>82</v>
      </c>
      <c r="D84" s="33" t="s">
        <v>16</v>
      </c>
      <c r="E84" s="30"/>
      <c r="F84" s="34">
        <f>ROUND(H84*1.1,2)</f>
        <v>6267.44</v>
      </c>
      <c r="G84" s="35">
        <f t="shared" si="7"/>
        <v>0</v>
      </c>
      <c r="H84" s="34">
        <f>(4472+641*2)*1.075/3.55*3.27</f>
        <v>5697.6756338028172</v>
      </c>
      <c r="J84" s="37">
        <f t="shared" si="6"/>
        <v>0</v>
      </c>
    </row>
    <row r="85" spans="1:13" s="37" customFormat="1" ht="12.75" hidden="1" customHeight="1">
      <c r="A85" s="30"/>
      <c r="B85" s="31" t="s">
        <v>83</v>
      </c>
      <c r="C85" s="32" t="s">
        <v>84</v>
      </c>
      <c r="D85" s="33" t="s">
        <v>16</v>
      </c>
      <c r="E85" s="30"/>
      <c r="F85" s="34">
        <f>(6058533.767/1000-H85)/4.77*4.52+H85</f>
        <v>6039.6208669372545</v>
      </c>
      <c r="G85" s="35">
        <f t="shared" si="7"/>
        <v>0</v>
      </c>
      <c r="H85" s="34">
        <f>(4472+641*2)*1.075/3.55*3.27</f>
        <v>5697.6756338028172</v>
      </c>
      <c r="J85" s="37">
        <f t="shared" si="6"/>
        <v>0</v>
      </c>
    </row>
    <row r="86" spans="1:13" s="37" customFormat="1" ht="12.75" hidden="1" customHeight="1">
      <c r="A86" s="30"/>
      <c r="B86" s="31" t="s">
        <v>157</v>
      </c>
      <c r="C86" s="32" t="s">
        <v>158</v>
      </c>
      <c r="D86" s="33" t="s">
        <v>16</v>
      </c>
      <c r="E86" s="30"/>
      <c r="F86" s="34">
        <f>(3156597.94/1000-H86)/4.77*4.52+H86</f>
        <v>3139.0667121528331</v>
      </c>
      <c r="G86" s="35">
        <f t="shared" si="7"/>
        <v>0</v>
      </c>
      <c r="H86" s="34">
        <f>(2850)*1.075/3.55*3.27</f>
        <v>2822.1021126760565</v>
      </c>
      <c r="J86" s="37">
        <f t="shared" si="6"/>
        <v>0</v>
      </c>
    </row>
    <row r="87" spans="1:13" s="37" customFormat="1" ht="12.75" hidden="1" customHeight="1">
      <c r="A87" s="30"/>
      <c r="B87" s="80" t="s">
        <v>15</v>
      </c>
      <c r="C87" s="32" t="s">
        <v>85</v>
      </c>
      <c r="D87" s="33" t="s">
        <v>16</v>
      </c>
      <c r="E87" s="30"/>
      <c r="F87" s="34">
        <f>(ROUND(H87*1.1,2-H87)/4.77*4.52+H87)</f>
        <v>3697.8449577464789</v>
      </c>
      <c r="G87" s="35">
        <f t="shared" si="7"/>
        <v>0</v>
      </c>
      <c r="H87" s="34">
        <f>(3170+282.2*2)*1.075/3.55*3.27</f>
        <v>3697.8449577464789</v>
      </c>
      <c r="J87" s="37">
        <f t="shared" si="6"/>
        <v>0</v>
      </c>
    </row>
    <row r="88" spans="1:13" s="37" customFormat="1" ht="12.75" hidden="1" customHeight="1">
      <c r="A88" s="30"/>
      <c r="B88" s="81" t="s">
        <v>86</v>
      </c>
      <c r="C88" s="32" t="s">
        <v>87</v>
      </c>
      <c r="D88" s="33" t="s">
        <v>16</v>
      </c>
      <c r="E88" s="30"/>
      <c r="F88" s="34">
        <f>(5493665.82/1000-H88)/4.77*4.52+H88</f>
        <v>5399.5452297351403</v>
      </c>
      <c r="G88" s="35">
        <f t="shared" si="7"/>
        <v>0</v>
      </c>
      <c r="H88" s="34">
        <f>(3170+282.2*2)*1.075/3.55*3.27</f>
        <v>3697.8449577464789</v>
      </c>
      <c r="J88" s="37">
        <f t="shared" si="6"/>
        <v>0</v>
      </c>
    </row>
    <row r="89" spans="1:13" s="37" customFormat="1" ht="12.75" hidden="1" customHeight="1">
      <c r="A89" s="30"/>
      <c r="B89" s="31" t="s">
        <v>15</v>
      </c>
      <c r="C89" s="32" t="s">
        <v>88</v>
      </c>
      <c r="D89" s="33" t="s">
        <v>16</v>
      </c>
      <c r="E89" s="30"/>
      <c r="F89" s="34">
        <f>ROUND(H89*1.1,2)</f>
        <v>4170.34</v>
      </c>
      <c r="G89" s="35">
        <f t="shared" si="7"/>
        <v>0</v>
      </c>
      <c r="H89" s="34">
        <f>(3520+154.35*2)*1.075/3.55*3.27</f>
        <v>3791.2218802816906</v>
      </c>
      <c r="J89" s="37">
        <f t="shared" si="6"/>
        <v>0</v>
      </c>
    </row>
    <row r="90" spans="1:13" s="37" customFormat="1" ht="25.5" hidden="1" customHeight="1">
      <c r="A90" s="30"/>
      <c r="B90" s="31" t="s">
        <v>15</v>
      </c>
      <c r="C90" s="32" t="s">
        <v>89</v>
      </c>
      <c r="D90" s="33" t="s">
        <v>16</v>
      </c>
      <c r="E90" s="30"/>
      <c r="F90" s="34">
        <f>ROUND(H90*1.1,2)</f>
        <v>5188.78</v>
      </c>
      <c r="G90" s="35">
        <f t="shared" si="7"/>
        <v>0</v>
      </c>
      <c r="H90" s="34">
        <f>(4371+196.35*2)*1.075/3.55*3.27</f>
        <v>4717.0694154929579</v>
      </c>
      <c r="J90" s="37">
        <f t="shared" si="6"/>
        <v>0</v>
      </c>
    </row>
    <row r="91" spans="1:13" s="37" customFormat="1" ht="25.5" hidden="1" customHeight="1">
      <c r="A91" s="30"/>
      <c r="B91" s="31" t="s">
        <v>21</v>
      </c>
      <c r="C91" s="32" t="s">
        <v>90</v>
      </c>
      <c r="D91" s="33" t="s">
        <v>16</v>
      </c>
      <c r="E91" s="30"/>
      <c r="F91" s="45">
        <f>774.165196/3.55*3.27</f>
        <v>713.10427913239448</v>
      </c>
      <c r="G91" s="35">
        <f>E91*F91</f>
        <v>0</v>
      </c>
      <c r="H91" s="53"/>
      <c r="J91" s="37">
        <f t="shared" si="6"/>
        <v>0</v>
      </c>
    </row>
    <row r="92" spans="1:13" s="37" customFormat="1" ht="25.5" hidden="1" customHeight="1">
      <c r="A92" s="30"/>
      <c r="B92" s="31" t="s">
        <v>21</v>
      </c>
      <c r="C92" s="32" t="s">
        <v>91</v>
      </c>
      <c r="D92" s="33" t="s">
        <v>16</v>
      </c>
      <c r="E92" s="30"/>
      <c r="F92" s="34">
        <f>14.8007309907692/4.77*4.52</f>
        <v>14.025011337164942</v>
      </c>
      <c r="G92" s="35">
        <f>ROUND(F92*E92,3)</f>
        <v>0</v>
      </c>
      <c r="H92" s="54" t="s">
        <v>92</v>
      </c>
      <c r="J92" s="37" t="e">
        <f t="shared" si="6"/>
        <v>#VALUE!</v>
      </c>
    </row>
    <row r="93" spans="1:13" s="37" customFormat="1" ht="25.5" hidden="1" customHeight="1">
      <c r="A93" s="38"/>
      <c r="B93" s="39" t="s">
        <v>21</v>
      </c>
      <c r="C93" s="40" t="s">
        <v>91</v>
      </c>
      <c r="D93" s="41" t="s">
        <v>51</v>
      </c>
      <c r="E93" s="38"/>
      <c r="F93" s="42">
        <f>42.6113889202797*1.18/4.77*4.52</f>
        <v>47.64614338473875</v>
      </c>
      <c r="G93" s="43">
        <f>ROUND(F93*E93,3)</f>
        <v>0</v>
      </c>
      <c r="H93" s="52"/>
      <c r="I93" s="44"/>
      <c r="J93" s="44"/>
      <c r="K93" s="44"/>
      <c r="L93" s="44"/>
      <c r="M93" s="44"/>
    </row>
    <row r="94" spans="1:13" s="37" customFormat="1" ht="25.5" hidden="1" customHeight="1">
      <c r="A94" s="30"/>
      <c r="B94" s="31" t="s">
        <v>21</v>
      </c>
      <c r="C94" s="32" t="s">
        <v>93</v>
      </c>
      <c r="D94" s="33" t="s">
        <v>16</v>
      </c>
      <c r="E94" s="30"/>
      <c r="F94" s="45">
        <f>0.93313/4.77*4.52+H94/3.55*3.27</f>
        <v>1.2710970549502465</v>
      </c>
      <c r="G94" s="35">
        <f>E94*F94</f>
        <v>0</v>
      </c>
      <c r="H94" s="53">
        <f>0.42</f>
        <v>0.42</v>
      </c>
      <c r="J94" s="37">
        <f>H94*E94</f>
        <v>0</v>
      </c>
    </row>
    <row r="95" spans="1:13" s="37" customFormat="1" ht="25.5" hidden="1" customHeight="1">
      <c r="A95" s="30"/>
      <c r="B95" s="31" t="s">
        <v>21</v>
      </c>
      <c r="C95" s="32" t="s">
        <v>94</v>
      </c>
      <c r="D95" s="33" t="s">
        <v>16</v>
      </c>
      <c r="E95" s="30"/>
      <c r="F95" s="45">
        <f>0.93313/4.77*4.52+H95/3.55*3.27</f>
        <v>2.5054069141051762</v>
      </c>
      <c r="G95" s="35">
        <f>E95*F95</f>
        <v>0</v>
      </c>
      <c r="H95" s="50">
        <f>1.76</f>
        <v>1.76</v>
      </c>
      <c r="J95" s="37">
        <f>H95*E95</f>
        <v>0</v>
      </c>
    </row>
    <row r="96" spans="1:13" s="37" customFormat="1" ht="25.5" hidden="1" customHeight="1">
      <c r="A96" s="30"/>
      <c r="B96" s="31" t="s">
        <v>21</v>
      </c>
      <c r="C96" s="32" t="s">
        <v>96</v>
      </c>
      <c r="D96" s="33" t="s">
        <v>16</v>
      </c>
      <c r="E96" s="30"/>
      <c r="F96" s="45">
        <f>12682.6/100/4.77*4.52</f>
        <v>120.17893501048219</v>
      </c>
      <c r="G96" s="35">
        <f>E96*F96</f>
        <v>0</v>
      </c>
      <c r="H96" s="50"/>
      <c r="J96" s="37">
        <f>H96*E96</f>
        <v>0</v>
      </c>
    </row>
    <row r="97" spans="1:10" s="37" customFormat="1" ht="12.75" hidden="1" customHeight="1">
      <c r="A97" s="30"/>
      <c r="B97" s="31" t="s">
        <v>97</v>
      </c>
      <c r="C97" s="32" t="s">
        <v>98</v>
      </c>
      <c r="D97" s="33" t="s">
        <v>23</v>
      </c>
      <c r="E97" s="30"/>
      <c r="F97" s="34">
        <f>1.25*1284.02/4.77*4.52</f>
        <v>1520.9041928721176</v>
      </c>
      <c r="G97" s="35">
        <f t="shared" ref="G97:G111" si="8">ROUND(F97*E97,3)</f>
        <v>0</v>
      </c>
    </row>
    <row r="98" spans="1:10" s="37" customFormat="1" ht="12.75" hidden="1" customHeight="1">
      <c r="A98" s="30"/>
      <c r="B98" s="31" t="s">
        <v>97</v>
      </c>
      <c r="C98" s="32" t="s">
        <v>99</v>
      </c>
      <c r="D98" s="33" t="s">
        <v>23</v>
      </c>
      <c r="E98" s="30"/>
      <c r="F98" s="34">
        <f>1.25*834.78/4.77*4.52</f>
        <v>988.78553459119496</v>
      </c>
      <c r="G98" s="35">
        <f t="shared" si="8"/>
        <v>0</v>
      </c>
    </row>
    <row r="99" spans="1:10" s="37" customFormat="1" ht="25.5" hidden="1" customHeight="1">
      <c r="A99" s="30"/>
      <c r="B99" s="46" t="s">
        <v>100</v>
      </c>
      <c r="C99" s="32" t="s">
        <v>101</v>
      </c>
      <c r="D99" s="33" t="s">
        <v>16</v>
      </c>
      <c r="E99" s="30"/>
      <c r="F99" s="34">
        <f>(3.321*5.53*1.18)/4.77*4.52+H99/3.55*3.27</f>
        <v>731.55656911379219</v>
      </c>
      <c r="G99" s="35">
        <f t="shared" si="8"/>
        <v>0</v>
      </c>
      <c r="H99" s="55">
        <f>654.156*1.18</f>
        <v>771.90407999999991</v>
      </c>
      <c r="J99" s="37">
        <f>H99*E99</f>
        <v>0</v>
      </c>
    </row>
    <row r="100" spans="1:10" s="37" customFormat="1" ht="27.75" hidden="1" customHeight="1">
      <c r="A100" s="30"/>
      <c r="B100" s="31" t="s">
        <v>21</v>
      </c>
      <c r="C100" s="32" t="s">
        <v>102</v>
      </c>
      <c r="D100" s="33" t="s">
        <v>23</v>
      </c>
      <c r="E100" s="30"/>
      <c r="F100" s="45">
        <f>1284.02/2/4.77*4.52</f>
        <v>608.36167714884687</v>
      </c>
      <c r="G100" s="56">
        <f t="shared" si="8"/>
        <v>0</v>
      </c>
    </row>
    <row r="101" spans="1:10" s="37" customFormat="1" ht="28.5" hidden="1" customHeight="1">
      <c r="A101" s="30"/>
      <c r="B101" s="31" t="s">
        <v>15</v>
      </c>
      <c r="C101" s="32" t="s">
        <v>103</v>
      </c>
      <c r="D101" s="33" t="s">
        <v>16</v>
      </c>
      <c r="E101" s="30"/>
      <c r="F101" s="34">
        <f>(4.684+0.328)*4.52*1.18+H101/3.55*3.27</f>
        <v>160.41052432676059</v>
      </c>
      <c r="G101" s="56">
        <f t="shared" si="8"/>
        <v>0</v>
      </c>
      <c r="H101" s="36">
        <f>(135)*1.075</f>
        <v>145.125</v>
      </c>
      <c r="J101" s="37">
        <f t="shared" ref="J101:J108" si="9">H101*E101</f>
        <v>0</v>
      </c>
    </row>
    <row r="102" spans="1:10" s="37" customFormat="1" ht="12.75" hidden="1" customHeight="1">
      <c r="A102" s="30"/>
      <c r="B102" s="31" t="s">
        <v>104</v>
      </c>
      <c r="C102" s="32" t="s">
        <v>105</v>
      </c>
      <c r="D102" s="33" t="s">
        <v>16</v>
      </c>
      <c r="E102" s="30"/>
      <c r="F102" s="34">
        <f>(260585.3/1000-H102)/4.77*4.52+H102/3.55*3.27</f>
        <v>242.26098085738866</v>
      </c>
      <c r="G102" s="35">
        <f t="shared" si="8"/>
        <v>0</v>
      </c>
      <c r="H102" s="36">
        <f>(84.1+94)*1.075/3.55*3.27</f>
        <v>176.35662676056339</v>
      </c>
      <c r="J102" s="37">
        <f t="shared" si="9"/>
        <v>0</v>
      </c>
    </row>
    <row r="103" spans="1:10" s="37" customFormat="1" ht="12.75" hidden="1" customHeight="1">
      <c r="A103" s="30"/>
      <c r="B103" s="31" t="s">
        <v>160</v>
      </c>
      <c r="C103" s="32" t="s">
        <v>159</v>
      </c>
      <c r="D103" s="33" t="s">
        <v>16</v>
      </c>
      <c r="E103" s="30"/>
      <c r="F103" s="34">
        <f>(280205.16/1000-H103)/4.77*4.52+H103</f>
        <v>276.2528714447692</v>
      </c>
      <c r="G103" s="35">
        <f t="shared" si="8"/>
        <v>0</v>
      </c>
      <c r="H103" s="36">
        <f>(96.42+110.4)*1.075/3.55*3.27</f>
        <v>204.79549436619718</v>
      </c>
      <c r="J103" s="37">
        <f t="shared" si="9"/>
        <v>0</v>
      </c>
    </row>
    <row r="104" spans="1:10" s="37" customFormat="1" ht="12.75" hidden="1" customHeight="1">
      <c r="A104" s="30"/>
      <c r="B104" s="31" t="s">
        <v>15</v>
      </c>
      <c r="C104" s="32" t="s">
        <v>106</v>
      </c>
      <c r="D104" s="33" t="s">
        <v>16</v>
      </c>
      <c r="E104" s="30"/>
      <c r="F104" s="45">
        <f>(25.145)*1.18/4.77*4.52+H104</f>
        <v>331.48101090146747</v>
      </c>
      <c r="G104" s="35">
        <f t="shared" si="8"/>
        <v>0</v>
      </c>
      <c r="H104" s="48">
        <f>(282.2)*1.075</f>
        <v>303.36499999999995</v>
      </c>
      <c r="J104" s="37">
        <f t="shared" si="9"/>
        <v>0</v>
      </c>
    </row>
    <row r="105" spans="1:10" s="37" customFormat="1" ht="12.75" hidden="1" customHeight="1">
      <c r="A105" s="30"/>
      <c r="B105" s="31" t="s">
        <v>15</v>
      </c>
      <c r="C105" s="32" t="s">
        <v>107</v>
      </c>
      <c r="D105" s="33" t="s">
        <v>16</v>
      </c>
      <c r="E105" s="30"/>
      <c r="F105" s="45">
        <f>(25.145)*1.18+H105</f>
        <v>458.92768450704233</v>
      </c>
      <c r="G105" s="35">
        <f t="shared" si="8"/>
        <v>0</v>
      </c>
      <c r="H105" s="48">
        <f>(433.5)*1.075/3.55*3.27</f>
        <v>429.25658450704231</v>
      </c>
      <c r="J105" s="37">
        <f t="shared" si="9"/>
        <v>0</v>
      </c>
    </row>
    <row r="106" spans="1:10" s="37" customFormat="1" ht="12.75" hidden="1" customHeight="1">
      <c r="A106" s="30"/>
      <c r="B106" s="46" t="s">
        <v>43</v>
      </c>
      <c r="C106" s="32" t="s">
        <v>108</v>
      </c>
      <c r="D106" s="33" t="s">
        <v>16</v>
      </c>
      <c r="E106" s="30"/>
      <c r="F106" s="34">
        <f>(2.8)/4.77*4.52*1.18+H106/3.55*3.27</f>
        <v>138.7398911998612</v>
      </c>
      <c r="G106" s="35">
        <f t="shared" si="8"/>
        <v>0</v>
      </c>
      <c r="H106" s="47">
        <f>(97.409+18.65)*1.075*1.18</f>
        <v>147.22084149999998</v>
      </c>
      <c r="J106" s="37">
        <f t="shared" si="9"/>
        <v>0</v>
      </c>
    </row>
    <row r="107" spans="1:10" s="37" customFormat="1" ht="25.5" hidden="1" customHeight="1">
      <c r="A107" s="30"/>
      <c r="B107" s="46" t="s">
        <v>30</v>
      </c>
      <c r="C107" s="32" t="s">
        <v>109</v>
      </c>
      <c r="D107" s="33" t="s">
        <v>16</v>
      </c>
      <c r="E107" s="30"/>
      <c r="F107" s="34">
        <f>(2.8)*1.18+H107</f>
        <v>154.445775</v>
      </c>
      <c r="G107" s="35">
        <f t="shared" si="8"/>
        <v>0</v>
      </c>
      <c r="H107" s="47">
        <f>(100.5+18.65)*1.075*1.18</f>
        <v>151.141775</v>
      </c>
      <c r="J107" s="37">
        <f t="shared" si="9"/>
        <v>0</v>
      </c>
    </row>
    <row r="108" spans="1:10" s="37" customFormat="1" ht="12.75" hidden="1" customHeight="1">
      <c r="A108" s="30"/>
      <c r="B108" s="46" t="s">
        <v>30</v>
      </c>
      <c r="C108" s="32" t="s">
        <v>110</v>
      </c>
      <c r="D108" s="33" t="s">
        <v>16</v>
      </c>
      <c r="E108" s="30"/>
      <c r="F108" s="34">
        <f>(1.36+2.8)/4.77*4.52*1.18+H108/3.55*3.27</f>
        <v>33.231795141524195</v>
      </c>
      <c r="G108" s="35">
        <f t="shared" si="8"/>
        <v>0</v>
      </c>
      <c r="H108" s="47">
        <f>24.46*1.075*1.18</f>
        <v>31.027509999999996</v>
      </c>
      <c r="J108" s="37">
        <f t="shared" si="9"/>
        <v>0</v>
      </c>
    </row>
    <row r="109" spans="1:10" s="37" customFormat="1" ht="12.75" hidden="1" customHeight="1">
      <c r="A109" s="30"/>
      <c r="B109" s="46" t="s">
        <v>111</v>
      </c>
      <c r="C109" s="32" t="s">
        <v>112</v>
      </c>
      <c r="D109" s="33" t="s">
        <v>16</v>
      </c>
      <c r="E109" s="30"/>
      <c r="F109" s="34">
        <f>5.226*1.18/4.77*4.52+H109/3.55*3.27</f>
        <v>115.74863930551865</v>
      </c>
      <c r="G109" s="35">
        <f t="shared" si="8"/>
        <v>0</v>
      </c>
      <c r="H109" s="37">
        <v>119.316</v>
      </c>
    </row>
    <row r="110" spans="1:10" s="37" customFormat="1" ht="12.75" hidden="1" customHeight="1">
      <c r="A110" s="30"/>
      <c r="B110" s="31" t="s">
        <v>33</v>
      </c>
      <c r="C110" s="32" t="s">
        <v>114</v>
      </c>
      <c r="D110" s="33" t="s">
        <v>16</v>
      </c>
      <c r="E110" s="30"/>
      <c r="F110" s="34">
        <f>H110/3.55*3.27+(143.41*4.52/1000)*1.18</f>
        <v>4.2563765055774647</v>
      </c>
      <c r="G110" s="35">
        <f t="shared" si="8"/>
        <v>0</v>
      </c>
      <c r="H110" s="36">
        <f>3.526*1.075</f>
        <v>3.7904499999999994</v>
      </c>
    </row>
    <row r="111" spans="1:10" s="37" customFormat="1" ht="12.75" hidden="1" customHeight="1">
      <c r="A111" s="30"/>
      <c r="B111" s="31" t="s">
        <v>33</v>
      </c>
      <c r="C111" s="32" t="s">
        <v>113</v>
      </c>
      <c r="D111" s="33" t="s">
        <v>16</v>
      </c>
      <c r="E111" s="30"/>
      <c r="F111" s="34">
        <f>H111/3.55*3.27+4.701*1.18/4.77*4.52</f>
        <v>41.329843774470724</v>
      </c>
      <c r="G111" s="35">
        <f t="shared" si="8"/>
        <v>0</v>
      </c>
      <c r="H111" s="36">
        <f>36.43*1.075</f>
        <v>39.16225</v>
      </c>
    </row>
    <row r="112" spans="1:10" s="37" customFormat="1" ht="12.75" hidden="1" customHeight="1">
      <c r="A112" s="30"/>
      <c r="B112" s="31" t="s">
        <v>21</v>
      </c>
      <c r="C112" s="32" t="s">
        <v>115</v>
      </c>
      <c r="D112" s="33" t="s">
        <v>16</v>
      </c>
      <c r="E112" s="30"/>
      <c r="F112" s="45">
        <f>4.19524/4.77*4.52+H112/3.55*3.27</f>
        <v>38.409320337614794</v>
      </c>
      <c r="G112" s="35">
        <f>E112*F112</f>
        <v>0</v>
      </c>
      <c r="H112" s="50">
        <f>35.62243+1.76</f>
        <v>37.382429999999999</v>
      </c>
      <c r="J112" s="37">
        <f>H112*E112</f>
        <v>0</v>
      </c>
    </row>
    <row r="113" spans="1:13" s="37" customFormat="1" ht="25.5" hidden="1" customHeight="1">
      <c r="A113" s="30"/>
      <c r="B113" s="46" t="s">
        <v>21</v>
      </c>
      <c r="C113" s="32" t="s">
        <v>116</v>
      </c>
      <c r="D113" s="33" t="s">
        <v>16</v>
      </c>
      <c r="E113" s="30"/>
      <c r="F113" s="45">
        <f>(0.15894*4.52*1.18)+H113/3.55*3.27</f>
        <v>7.8054257361126744</v>
      </c>
      <c r="G113" s="35">
        <f>ROUND(F113*E113,3)</f>
        <v>0</v>
      </c>
      <c r="H113" s="47">
        <f>(592.11+6961.36)/1000</f>
        <v>7.553469999999999</v>
      </c>
    </row>
    <row r="114" spans="1:13" s="37" customFormat="1" ht="25.5" hidden="1" customHeight="1">
      <c r="A114" s="30"/>
      <c r="B114" s="46" t="s">
        <v>27</v>
      </c>
      <c r="C114" s="32" t="s">
        <v>172</v>
      </c>
      <c r="D114" s="33" t="s">
        <v>16</v>
      </c>
      <c r="E114" s="30"/>
      <c r="F114" s="34">
        <f>(2.544)/4.77*4.52*1.18+H114/3.55*3.27</f>
        <v>28.090699962441317</v>
      </c>
      <c r="G114" s="35">
        <f>ROUND(F114*E114,3)</f>
        <v>0</v>
      </c>
      <c r="H114" s="47">
        <f>(23.227*1.18)</f>
        <v>27.407859999999999</v>
      </c>
      <c r="J114" s="37">
        <f>H114*E114</f>
        <v>0</v>
      </c>
    </row>
    <row r="115" spans="1:13" s="37" customFormat="1" ht="25.5" hidden="1" customHeight="1">
      <c r="A115" s="30"/>
      <c r="B115" s="46" t="s">
        <v>30</v>
      </c>
      <c r="C115" s="32" t="s">
        <v>118</v>
      </c>
      <c r="D115" s="33" t="s">
        <v>16</v>
      </c>
      <c r="E115" s="30"/>
      <c r="F115" s="34">
        <f>(2.88)*1.18/4.77*4.52+H115/3.55*3.27</f>
        <v>52.470424609354239</v>
      </c>
      <c r="G115" s="35">
        <f>ROUND(F115*E115,3)</f>
        <v>0</v>
      </c>
      <c r="H115" s="47">
        <f>(42.15)*1.075*1.18</f>
        <v>53.467274999999994</v>
      </c>
      <c r="J115" s="37">
        <f>H115*E115</f>
        <v>0</v>
      </c>
    </row>
    <row r="116" spans="1:13" s="37" customFormat="1" ht="12.75" hidden="1" customHeight="1">
      <c r="A116" s="30"/>
      <c r="B116" s="46" t="s">
        <v>21</v>
      </c>
      <c r="C116" s="32" t="s">
        <v>119</v>
      </c>
      <c r="D116" s="33" t="s">
        <v>16</v>
      </c>
      <c r="E116" s="30"/>
      <c r="F116" s="34">
        <f>(755.13*4.52/1000)*1.18+H116/3.55*3.27</f>
        <v>45.017702213070422</v>
      </c>
      <c r="G116" s="35">
        <f>ROUND(F116*E116,3)</f>
        <v>0</v>
      </c>
      <c r="H116" s="37">
        <v>44.5</v>
      </c>
    </row>
    <row r="117" spans="1:13" s="37" customFormat="1" ht="25.5" hidden="1" customHeight="1">
      <c r="A117" s="30"/>
      <c r="B117" s="31" t="s">
        <v>21</v>
      </c>
      <c r="C117" s="32" t="s">
        <v>120</v>
      </c>
      <c r="D117" s="33" t="s">
        <v>16</v>
      </c>
      <c r="E117" s="30"/>
      <c r="F117" s="34">
        <f>432.118</f>
        <v>432.11799999999999</v>
      </c>
      <c r="G117" s="35">
        <f>E117*F117</f>
        <v>0</v>
      </c>
      <c r="H117" s="37">
        <f>336.738</f>
        <v>336.738</v>
      </c>
    </row>
    <row r="118" spans="1:13" s="37" customFormat="1" ht="12.75" hidden="1" customHeight="1">
      <c r="A118" s="30"/>
      <c r="B118" s="31" t="s">
        <v>121</v>
      </c>
      <c r="C118" s="32" t="s">
        <v>122</v>
      </c>
      <c r="D118" s="33" t="s">
        <v>16</v>
      </c>
      <c r="E118" s="30"/>
      <c r="F118" s="34">
        <f>(345.02*1.18*4.52/1000)+H118/3.55*3.27</f>
        <v>142.3510604528546</v>
      </c>
      <c r="G118" s="35">
        <f>E118*F118</f>
        <v>0</v>
      </c>
      <c r="H118" s="37">
        <f>180000/1000/1.18</f>
        <v>152.54237288135593</v>
      </c>
    </row>
    <row r="119" spans="1:13" s="37" customFormat="1" ht="12.75" hidden="1" customHeight="1">
      <c r="A119" s="30"/>
      <c r="B119" s="46" t="s">
        <v>123</v>
      </c>
      <c r="C119" s="32" t="s">
        <v>124</v>
      </c>
      <c r="D119" s="33" t="s">
        <v>16</v>
      </c>
      <c r="E119" s="30"/>
      <c r="F119" s="34">
        <f>(2.594+7.604)*1.18/4.77*4.52+H119/3.55*3.27</f>
        <v>69.350109459946253</v>
      </c>
      <c r="G119" s="35">
        <f t="shared" ref="G119:G124" si="10">ROUND(F119*E119,3)</f>
        <v>0</v>
      </c>
      <c r="H119" s="47">
        <f>58.52*1.075</f>
        <v>62.908999999999999</v>
      </c>
      <c r="J119" s="37">
        <f>H119*E119</f>
        <v>0</v>
      </c>
      <c r="L119" s="50" t="s">
        <v>125</v>
      </c>
    </row>
    <row r="120" spans="1:13" s="37" customFormat="1" ht="12.75" hidden="1" customHeight="1">
      <c r="A120" s="30"/>
      <c r="B120" s="46" t="s">
        <v>123</v>
      </c>
      <c r="C120" s="32" t="s">
        <v>126</v>
      </c>
      <c r="D120" s="33" t="s">
        <v>16</v>
      </c>
      <c r="E120" s="30"/>
      <c r="F120" s="34">
        <f>(2.627+7.642)*1.18/4.77*4.52+H120/3.55*3.27</f>
        <v>51.217532840818492</v>
      </c>
      <c r="G120" s="35">
        <f t="shared" si="10"/>
        <v>0</v>
      </c>
      <c r="H120" s="47">
        <f>40.128*1.075</f>
        <v>43.137599999999999</v>
      </c>
      <c r="J120" s="37">
        <f>H120*E120</f>
        <v>0</v>
      </c>
      <c r="L120" s="50" t="s">
        <v>127</v>
      </c>
    </row>
    <row r="121" spans="1:13" s="37" customFormat="1" ht="12.75" hidden="1" customHeight="1">
      <c r="A121" s="30"/>
      <c r="B121" s="46" t="s">
        <v>123</v>
      </c>
      <c r="C121" s="32" t="s">
        <v>128</v>
      </c>
      <c r="D121" s="33" t="s">
        <v>16</v>
      </c>
      <c r="E121" s="30"/>
      <c r="F121" s="34">
        <f>(2.594+7.604)*1.18/4.77*4.52+H121/3.55*3.27</f>
        <v>71.419651009242031</v>
      </c>
      <c r="G121" s="35">
        <f t="shared" si="10"/>
        <v>0</v>
      </c>
      <c r="H121" s="47">
        <f>60.61*1.075</f>
        <v>65.155749999999998</v>
      </c>
      <c r="J121" s="37">
        <f>H121*E121</f>
        <v>0</v>
      </c>
    </row>
    <row r="122" spans="1:13" s="37" customFormat="1" ht="12.75" hidden="1" customHeight="1">
      <c r="A122" s="30"/>
      <c r="B122" s="46" t="s">
        <v>129</v>
      </c>
      <c r="C122" s="32" t="s">
        <v>130</v>
      </c>
      <c r="D122" s="33" t="s">
        <v>16</v>
      </c>
      <c r="E122" s="30"/>
      <c r="F122" s="34">
        <f>(2.594+7.604)*1.18/4.77*4.52+H122/3.55*3.27</f>
        <v>270.09563974163638</v>
      </c>
      <c r="G122" s="35">
        <f t="shared" si="10"/>
        <v>0</v>
      </c>
      <c r="H122" s="47">
        <f>261250/1000*1.075</f>
        <v>280.84375</v>
      </c>
      <c r="J122" s="37">
        <f>H122*E122</f>
        <v>0</v>
      </c>
    </row>
    <row r="123" spans="1:13" s="37" customFormat="1" ht="12.75" hidden="1" customHeight="1">
      <c r="A123" s="30"/>
      <c r="B123" s="46" t="s">
        <v>131</v>
      </c>
      <c r="C123" s="32" t="s">
        <v>132</v>
      </c>
      <c r="D123" s="33" t="s">
        <v>16</v>
      </c>
      <c r="E123" s="30"/>
      <c r="F123" s="34">
        <f>(321.37-H123)/4.77*4.52+H123</f>
        <v>319.62978876192165</v>
      </c>
      <c r="G123" s="35">
        <f t="shared" si="10"/>
        <v>0</v>
      </c>
      <c r="H123" s="55">
        <f>265.12*1.18/3.55*3.27</f>
        <v>288.16676957746478</v>
      </c>
      <c r="J123" s="37">
        <f>H123*E123</f>
        <v>0</v>
      </c>
    </row>
    <row r="124" spans="1:13" s="37" customFormat="1" ht="12.75" hidden="1" customHeight="1">
      <c r="A124" s="30"/>
      <c r="B124" s="31" t="s">
        <v>21</v>
      </c>
      <c r="C124" s="32" t="s">
        <v>133</v>
      </c>
      <c r="D124" s="33" t="s">
        <v>23</v>
      </c>
      <c r="E124" s="30"/>
      <c r="F124" s="34">
        <f>1284.02*0.25/4.77*4.52</f>
        <v>304.18083857442343</v>
      </c>
      <c r="G124" s="35">
        <f t="shared" si="10"/>
        <v>0</v>
      </c>
    </row>
    <row r="125" spans="1:13" s="37" customFormat="1">
      <c r="A125" s="30"/>
      <c r="B125" s="31"/>
      <c r="C125" s="32"/>
      <c r="D125" s="33"/>
      <c r="E125" s="30"/>
      <c r="F125" s="34"/>
      <c r="G125" s="35"/>
    </row>
    <row r="126" spans="1:13" s="37" customFormat="1">
      <c r="A126" s="30"/>
      <c r="B126" s="57" t="s">
        <v>134</v>
      </c>
      <c r="C126" s="32" t="s">
        <v>135</v>
      </c>
      <c r="D126" s="33" t="s">
        <v>16</v>
      </c>
      <c r="E126" s="30">
        <v>1</v>
      </c>
      <c r="F126" s="34"/>
      <c r="G126" s="35">
        <f>ROUND(SUM(G27)*0.01,3)</f>
        <v>8.0890000000000004</v>
      </c>
      <c r="H126" s="50" t="s">
        <v>136</v>
      </c>
    </row>
    <row r="127" spans="1:13" s="37" customFormat="1">
      <c r="A127" s="30"/>
      <c r="B127" s="31"/>
      <c r="C127" s="32"/>
      <c r="D127" s="33"/>
      <c r="E127" s="30"/>
      <c r="F127" s="58"/>
      <c r="G127" s="35"/>
    </row>
    <row r="128" spans="1:13">
      <c r="A128" s="59"/>
      <c r="B128" s="60"/>
      <c r="C128" s="123" t="s">
        <v>137</v>
      </c>
      <c r="D128" s="124"/>
      <c r="E128" s="125"/>
      <c r="F128" s="61"/>
      <c r="G128" s="61">
        <f>SUM(G20:G123)+IF(E126=0,0,G126)</f>
        <v>827.53200000000004</v>
      </c>
      <c r="H128" s="62" t="s">
        <v>138</v>
      </c>
      <c r="J128" s="84">
        <f>J57</f>
        <v>0</v>
      </c>
      <c r="M128">
        <f>IF(E126=0,SUM(G20:G123),SUM(G20:G126))</f>
        <v>827.53200000000004</v>
      </c>
    </row>
    <row r="129" spans="1:8" ht="12.75" customHeight="1">
      <c r="A129" s="126" t="s">
        <v>139</v>
      </c>
      <c r="B129" s="127"/>
      <c r="C129" s="127"/>
      <c r="D129" s="127"/>
      <c r="E129" s="63"/>
      <c r="F129" s="61"/>
      <c r="G129" s="61"/>
    </row>
    <row r="130" spans="1:8" ht="25.5">
      <c r="A130" s="64">
        <f>A28+1</f>
        <v>3</v>
      </c>
      <c r="B130" s="65" t="s">
        <v>140</v>
      </c>
      <c r="C130" s="66" t="s">
        <v>141</v>
      </c>
      <c r="D130" s="67"/>
      <c r="E130" s="68"/>
      <c r="F130" s="61"/>
      <c r="G130" s="69">
        <f>ROUND(J128*0.07,2)</f>
        <v>0</v>
      </c>
      <c r="H130" s="62" t="s">
        <v>142</v>
      </c>
    </row>
    <row r="131" spans="1:8">
      <c r="A131" s="64">
        <f>A130+1</f>
        <v>4</v>
      </c>
      <c r="B131" s="57" t="s">
        <v>134</v>
      </c>
      <c r="C131" s="123" t="s">
        <v>143</v>
      </c>
      <c r="D131" s="124"/>
      <c r="E131" s="124"/>
      <c r="F131" s="58"/>
      <c r="G131" s="58">
        <f>ROUND(G128*0.07,2)</f>
        <v>57.93</v>
      </c>
      <c r="H131" t="s">
        <v>144</v>
      </c>
    </row>
    <row r="132" spans="1:8" ht="26.25" customHeight="1">
      <c r="A132" s="64">
        <f>A131+1</f>
        <v>5</v>
      </c>
      <c r="B132" s="57" t="s">
        <v>145</v>
      </c>
      <c r="C132" s="123" t="s">
        <v>146</v>
      </c>
      <c r="D132" s="124"/>
      <c r="E132" s="124"/>
      <c r="F132" s="70"/>
      <c r="G132" s="58">
        <f>ROUND(G128*0.01,3)</f>
        <v>8.2750000000000004</v>
      </c>
      <c r="H132" t="s">
        <v>147</v>
      </c>
    </row>
    <row r="133" spans="1:8">
      <c r="A133" s="71"/>
      <c r="B133" s="72"/>
      <c r="C133" s="123" t="s">
        <v>148</v>
      </c>
      <c r="D133" s="124"/>
      <c r="E133" s="125"/>
      <c r="F133" s="58"/>
      <c r="G133" s="58">
        <f>SUM(G130:G132)</f>
        <v>66.204999999999998</v>
      </c>
    </row>
    <row r="134" spans="1:8" s="37" customFormat="1">
      <c r="A134" s="30"/>
      <c r="B134" s="31"/>
      <c r="C134" s="128"/>
      <c r="D134" s="129"/>
      <c r="E134" s="130"/>
      <c r="F134" s="58"/>
      <c r="G134" s="35"/>
    </row>
    <row r="135" spans="1:8">
      <c r="A135" s="117" t="s">
        <v>149</v>
      </c>
      <c r="B135" s="118"/>
      <c r="C135" s="118"/>
      <c r="D135" s="118"/>
      <c r="E135" s="118"/>
      <c r="F135" s="73"/>
      <c r="G135" s="74">
        <f>G133+G128</f>
        <v>893.73700000000008</v>
      </c>
    </row>
    <row r="136" spans="1:8">
      <c r="A136" s="71">
        <f>A132+1</f>
        <v>6</v>
      </c>
      <c r="B136" s="57" t="s">
        <v>145</v>
      </c>
      <c r="C136" s="123" t="s">
        <v>150</v>
      </c>
      <c r="D136" s="124"/>
      <c r="E136" s="124"/>
      <c r="F136" s="70"/>
      <c r="G136" s="58">
        <f>ROUND(G135*0.03,3)</f>
        <v>26.812000000000001</v>
      </c>
    </row>
    <row r="137" spans="1:8">
      <c r="A137" s="71"/>
      <c r="B137" s="72"/>
      <c r="C137" s="123"/>
      <c r="D137" s="124"/>
      <c r="E137" s="125"/>
      <c r="F137" s="58"/>
      <c r="G137" s="58"/>
    </row>
    <row r="138" spans="1:8">
      <c r="A138" s="117" t="s">
        <v>151</v>
      </c>
      <c r="B138" s="118"/>
      <c r="C138" s="118"/>
      <c r="D138" s="118"/>
      <c r="E138" s="118"/>
      <c r="F138" s="73"/>
      <c r="G138" s="74">
        <f>G135+G136</f>
        <v>920.54900000000009</v>
      </c>
      <c r="H138" s="74"/>
    </row>
    <row r="139" spans="1:8" ht="52.5" customHeight="1">
      <c r="A139" s="75"/>
      <c r="B139" s="76"/>
      <c r="C139" s="111"/>
      <c r="D139" s="111"/>
      <c r="E139" s="111"/>
      <c r="F139" s="112"/>
      <c r="G139" s="77"/>
    </row>
    <row r="140" spans="1:8" ht="15.75">
      <c r="A140" s="75"/>
      <c r="B140" s="76"/>
      <c r="C140" s="113" t="s">
        <v>152</v>
      </c>
      <c r="D140" s="113"/>
      <c r="E140" s="113"/>
      <c r="F140" s="113" t="s">
        <v>153</v>
      </c>
      <c r="G140" s="79"/>
    </row>
    <row r="141" spans="1:8" ht="15.75">
      <c r="A141" s="75"/>
      <c r="B141" s="76"/>
      <c r="C141" s="78"/>
      <c r="D141" s="78"/>
      <c r="E141" s="78"/>
      <c r="F141" s="78"/>
      <c r="G141" s="12"/>
    </row>
    <row r="144" spans="1:8">
      <c r="A144"/>
      <c r="B144"/>
      <c r="C144"/>
      <c r="D144"/>
      <c r="E144"/>
      <c r="F144"/>
      <c r="G144" s="34"/>
    </row>
  </sheetData>
  <autoFilter ref="A19:M124">
    <filterColumn colId="0">
      <customFilters>
        <customFilter operator="notEqual" val=" "/>
      </customFilters>
    </filterColumn>
    <sortState ref="A27:M114">
      <sortCondition ref="A19:A124"/>
    </sortState>
  </autoFilter>
  <mergeCells count="27">
    <mergeCell ref="H1:H2"/>
    <mergeCell ref="I1:M1"/>
    <mergeCell ref="N1:N2"/>
    <mergeCell ref="A9:G9"/>
    <mergeCell ref="D1:G1"/>
    <mergeCell ref="D2:G2"/>
    <mergeCell ref="D3:G3"/>
    <mergeCell ref="E6:G6"/>
    <mergeCell ref="A8:G8"/>
    <mergeCell ref="A10:G10"/>
    <mergeCell ref="A13:A16"/>
    <mergeCell ref="B13:B16"/>
    <mergeCell ref="C13:E15"/>
    <mergeCell ref="F13:F16"/>
    <mergeCell ref="G13:G16"/>
    <mergeCell ref="A138:E138"/>
    <mergeCell ref="C17:D17"/>
    <mergeCell ref="A18:D18"/>
    <mergeCell ref="C128:E128"/>
    <mergeCell ref="A129:D129"/>
    <mergeCell ref="C131:E131"/>
    <mergeCell ref="C132:E132"/>
    <mergeCell ref="C133:E133"/>
    <mergeCell ref="C134:E134"/>
    <mergeCell ref="A135:E135"/>
    <mergeCell ref="C136:E136"/>
    <mergeCell ref="C137:E137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autoPageBreaks="0"/>
  </sheetPr>
  <dimension ref="A1:N144"/>
  <sheetViews>
    <sheetView showGridLines="0" view="pageBreakPreview" zoomScaleSheetLayoutView="100" workbookViewId="0">
      <selection activeCell="I13" sqref="I13"/>
    </sheetView>
  </sheetViews>
  <sheetFormatPr defaultRowHeight="12.75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14.5703125" customWidth="1"/>
    <col min="9" max="9" width="14.28515625" customWidth="1"/>
    <col min="10" max="10" width="14" customWidth="1"/>
    <col min="11" max="11" width="14.42578125" customWidth="1"/>
    <col min="12" max="13" width="13.7109375" customWidth="1"/>
    <col min="14" max="14" width="14" customWidth="1"/>
  </cols>
  <sheetData>
    <row r="1" spans="1:14" s="4" customFormat="1" ht="28.5" customHeight="1" thickBot="1">
      <c r="A1" s="1"/>
      <c r="B1" s="2" t="s">
        <v>0</v>
      </c>
      <c r="C1" s="3"/>
      <c r="D1" s="144" t="s">
        <v>1</v>
      </c>
      <c r="E1" s="144"/>
      <c r="F1" s="144"/>
      <c r="G1" s="144"/>
      <c r="H1" s="146" t="s">
        <v>175</v>
      </c>
      <c r="I1" s="147" t="s">
        <v>176</v>
      </c>
      <c r="J1" s="148"/>
      <c r="K1" s="148"/>
      <c r="L1" s="148"/>
      <c r="M1" s="149"/>
      <c r="N1" s="146" t="s">
        <v>177</v>
      </c>
    </row>
    <row r="2" spans="1:14" s="4" customFormat="1" ht="15" thickBot="1">
      <c r="A2" s="5"/>
      <c r="B2" s="6"/>
      <c r="C2" s="7"/>
      <c r="D2" s="144" t="s">
        <v>2</v>
      </c>
      <c r="E2" s="144"/>
      <c r="F2" s="144"/>
      <c r="G2" s="144"/>
      <c r="H2" s="150"/>
      <c r="I2" s="151" t="s">
        <v>178</v>
      </c>
      <c r="J2" s="151" t="s">
        <v>179</v>
      </c>
      <c r="K2" s="151" t="s">
        <v>180</v>
      </c>
      <c r="L2" s="151" t="s">
        <v>181</v>
      </c>
      <c r="M2" s="151" t="s">
        <v>182</v>
      </c>
      <c r="N2" s="150"/>
    </row>
    <row r="3" spans="1:14" s="4" customFormat="1" ht="13.5" thickBot="1">
      <c r="A3" s="5"/>
      <c r="B3" s="8"/>
      <c r="C3" s="9"/>
      <c r="D3" s="144" t="s">
        <v>3</v>
      </c>
      <c r="E3" s="144"/>
      <c r="F3" s="144"/>
      <c r="G3" s="144"/>
      <c r="H3" s="152">
        <v>1</v>
      </c>
      <c r="I3" s="152">
        <v>2</v>
      </c>
      <c r="J3" s="152">
        <v>3</v>
      </c>
      <c r="K3" s="152">
        <v>4</v>
      </c>
      <c r="L3" s="152">
        <v>5</v>
      </c>
      <c r="M3" s="152">
        <v>6</v>
      </c>
      <c r="N3" s="152">
        <v>7</v>
      </c>
    </row>
    <row r="4" spans="1:14" s="4" customFormat="1" ht="15.75" thickBot="1">
      <c r="A4" s="5"/>
      <c r="B4" s="10"/>
      <c r="D4" s="11"/>
      <c r="E4" s="11"/>
      <c r="F4" s="11"/>
      <c r="G4" s="12" t="s">
        <v>4</v>
      </c>
      <c r="H4" s="153"/>
      <c r="I4" s="154">
        <v>0</v>
      </c>
      <c r="J4" s="154">
        <f>G138</f>
        <v>971.96799999999996</v>
      </c>
      <c r="K4" s="154">
        <v>0</v>
      </c>
      <c r="L4" s="154">
        <v>0</v>
      </c>
      <c r="M4" s="154">
        <v>0</v>
      </c>
      <c r="N4" s="154">
        <f>SUM(I4:M4)</f>
        <v>971.96799999999996</v>
      </c>
    </row>
    <row r="5" spans="1:14" s="4" customFormat="1">
      <c r="A5" s="5"/>
      <c r="B5" s="6"/>
      <c r="C5" s="7"/>
      <c r="D5" s="13"/>
      <c r="E5" s="14"/>
      <c r="F5" s="14"/>
      <c r="G5" s="15"/>
    </row>
    <row r="6" spans="1:14" s="4" customFormat="1">
      <c r="A6" s="5"/>
      <c r="B6" s="6"/>
      <c r="C6" s="7"/>
      <c r="D6" s="16"/>
      <c r="E6" s="144" t="s">
        <v>5</v>
      </c>
      <c r="F6" s="144"/>
      <c r="G6" s="144"/>
    </row>
    <row r="7" spans="1:14" ht="102.75" customHeight="1">
      <c r="D7" s="13"/>
      <c r="E7" s="13"/>
      <c r="G7" s="16"/>
    </row>
    <row r="8" spans="1:14">
      <c r="A8" s="145" t="s">
        <v>6</v>
      </c>
      <c r="B8" s="145"/>
      <c r="C8" s="145"/>
      <c r="D8" s="145"/>
      <c r="E8" s="145"/>
      <c r="F8" s="145"/>
      <c r="G8" s="145"/>
    </row>
    <row r="9" spans="1:14" ht="26.25" customHeight="1">
      <c r="A9" s="143" t="s">
        <v>174</v>
      </c>
      <c r="B9" s="143"/>
      <c r="C9" s="143"/>
      <c r="D9" s="143"/>
      <c r="E9" s="143"/>
      <c r="F9" s="143"/>
      <c r="G9" s="143"/>
      <c r="H9" s="82"/>
      <c r="I9" s="62"/>
    </row>
    <row r="10" spans="1:14">
      <c r="A10" s="131" t="s">
        <v>7</v>
      </c>
      <c r="B10" s="131"/>
      <c r="C10" s="131"/>
      <c r="D10" s="131"/>
      <c r="E10" s="131"/>
      <c r="F10" s="131"/>
      <c r="G10" s="131"/>
    </row>
    <row r="11" spans="1:14">
      <c r="B11" s="7"/>
      <c r="C11" s="17"/>
      <c r="D11" s="17"/>
      <c r="E11" s="17"/>
      <c r="F11" s="17"/>
      <c r="G11" s="18"/>
    </row>
    <row r="12" spans="1:14">
      <c r="B12" s="6" t="s">
        <v>8</v>
      </c>
      <c r="F12" s="19"/>
      <c r="G12" s="16"/>
      <c r="H12" s="6"/>
    </row>
    <row r="13" spans="1:14" ht="12.75" customHeight="1">
      <c r="A13" s="132" t="s">
        <v>9</v>
      </c>
      <c r="B13" s="133" t="s">
        <v>10</v>
      </c>
      <c r="C13" s="134" t="s">
        <v>11</v>
      </c>
      <c r="D13" s="135"/>
      <c r="E13" s="136"/>
      <c r="F13" s="140" t="s">
        <v>12</v>
      </c>
      <c r="G13" s="140" t="s">
        <v>13</v>
      </c>
      <c r="H13" s="6"/>
    </row>
    <row r="14" spans="1:14">
      <c r="A14" s="132"/>
      <c r="B14" s="133"/>
      <c r="C14" s="137"/>
      <c r="D14" s="138"/>
      <c r="E14" s="139"/>
      <c r="F14" s="141"/>
      <c r="G14" s="141"/>
    </row>
    <row r="15" spans="1:14">
      <c r="A15" s="132"/>
      <c r="B15" s="133"/>
      <c r="C15" s="137"/>
      <c r="D15" s="138"/>
      <c r="E15" s="139"/>
      <c r="F15" s="141"/>
      <c r="G15" s="141"/>
    </row>
    <row r="16" spans="1:14">
      <c r="A16" s="132"/>
      <c r="B16" s="133"/>
      <c r="C16" s="20"/>
      <c r="D16" s="21"/>
      <c r="E16" s="22"/>
      <c r="F16" s="142"/>
      <c r="G16" s="142"/>
    </row>
    <row r="17" spans="1:10">
      <c r="A17" s="23">
        <v>1</v>
      </c>
      <c r="B17" s="24">
        <v>2</v>
      </c>
      <c r="C17" s="119">
        <v>3</v>
      </c>
      <c r="D17" s="120"/>
      <c r="E17" s="24">
        <v>4</v>
      </c>
      <c r="F17" s="23">
        <v>5</v>
      </c>
      <c r="G17" s="23">
        <v>7</v>
      </c>
    </row>
    <row r="18" spans="1:10" ht="12.75" customHeight="1">
      <c r="A18" s="121" t="s">
        <v>14</v>
      </c>
      <c r="B18" s="122"/>
      <c r="C18" s="122"/>
      <c r="D18" s="122"/>
      <c r="E18" s="25"/>
      <c r="F18" s="26"/>
      <c r="G18" s="27"/>
    </row>
    <row r="19" spans="1:10" ht="12" customHeight="1">
      <c r="A19" s="114"/>
      <c r="B19" s="115"/>
      <c r="C19" s="115"/>
      <c r="D19" s="115"/>
      <c r="E19" s="25"/>
      <c r="F19" s="26"/>
      <c r="G19" s="27"/>
    </row>
    <row r="20" spans="1:10" s="37" customFormat="1" ht="18" hidden="1" customHeight="1">
      <c r="A20" s="30"/>
      <c r="B20" s="102" t="s">
        <v>163</v>
      </c>
      <c r="C20" s="32" t="s">
        <v>162</v>
      </c>
      <c r="D20" s="33" t="s">
        <v>16</v>
      </c>
      <c r="E20" s="30"/>
      <c r="F20" s="34">
        <f>ROUND(H20*1.1,2)</f>
        <v>434.42</v>
      </c>
      <c r="G20" s="35">
        <f t="shared" ref="G20:G26" si="0">ROUND(F20*E20,3)</f>
        <v>0</v>
      </c>
      <c r="H20" s="36">
        <f>(398.828)/3.55*3.27*1.075</f>
        <v>394.92397943661967</v>
      </c>
      <c r="J20" s="37">
        <f>H20*E20</f>
        <v>0</v>
      </c>
    </row>
    <row r="21" spans="1:10" s="37" customFormat="1" ht="18" hidden="1" customHeight="1">
      <c r="A21" s="30"/>
      <c r="B21" s="102" t="s">
        <v>164</v>
      </c>
      <c r="C21" s="32" t="s">
        <v>165</v>
      </c>
      <c r="D21" s="33" t="s">
        <v>16</v>
      </c>
      <c r="E21" s="30"/>
      <c r="F21" s="34">
        <f>ROUND(H21*1.1,2)</f>
        <v>466.54</v>
      </c>
      <c r="G21" s="35">
        <f t="shared" si="0"/>
        <v>0</v>
      </c>
      <c r="H21" s="36">
        <f>(428.32125)/3.55*3.27*1.075</f>
        <v>424.12852790492957</v>
      </c>
      <c r="J21" s="37">
        <f>H21*E21</f>
        <v>0</v>
      </c>
    </row>
    <row r="22" spans="1:10" s="37" customFormat="1" ht="12.75" hidden="1" customHeight="1">
      <c r="A22" s="30"/>
      <c r="B22" s="46" t="s">
        <v>166</v>
      </c>
      <c r="C22" s="32" t="s">
        <v>154</v>
      </c>
      <c r="D22" s="33" t="s">
        <v>16</v>
      </c>
      <c r="E22" s="30"/>
      <c r="F22" s="45">
        <f>H22*1.1</f>
        <v>4170.3440683098597</v>
      </c>
      <c r="G22" s="35">
        <f t="shared" si="0"/>
        <v>0</v>
      </c>
      <c r="H22" s="48">
        <f>(3520+154.35*2)/3.55*3.27*1.075</f>
        <v>3791.2218802816901</v>
      </c>
      <c r="J22" s="83">
        <f>H22</f>
        <v>3791.2218802816901</v>
      </c>
    </row>
    <row r="23" spans="1:10" s="37" customFormat="1" ht="12.75" hidden="1" customHeight="1">
      <c r="A23" s="30"/>
      <c r="B23" s="46" t="s">
        <v>17</v>
      </c>
      <c r="C23" s="32" t="s">
        <v>18</v>
      </c>
      <c r="D23" s="33" t="s">
        <v>16</v>
      </c>
      <c r="E23" s="30"/>
      <c r="F23" s="45">
        <f>(6183287.792/1000-H23)/4.77*4.52+H23</f>
        <v>6106.4419651390435</v>
      </c>
      <c r="G23" s="35">
        <f t="shared" si="0"/>
        <v>0</v>
      </c>
      <c r="H23" s="48">
        <f>(4371+196.35*2)/3.55*3.27*1.075</f>
        <v>4717.0694154929579</v>
      </c>
    </row>
    <row r="24" spans="1:10" s="37" customFormat="1" ht="12.75" hidden="1" customHeight="1">
      <c r="A24" s="30"/>
      <c r="B24" s="46" t="s">
        <v>19</v>
      </c>
      <c r="C24" s="32" t="s">
        <v>20</v>
      </c>
      <c r="D24" s="33" t="s">
        <v>16</v>
      </c>
      <c r="E24" s="30"/>
      <c r="F24" s="45">
        <f>(7027.04-H24)/4.77*4.52+H24</f>
        <v>6919.7720016535268</v>
      </c>
      <c r="G24" s="35">
        <f t="shared" si="0"/>
        <v>0</v>
      </c>
      <c r="H24" s="48">
        <f>(4450+289.8*2)/3.55*3.27*1.075</f>
        <v>4980.3665915492957</v>
      </c>
      <c r="J24" s="37">
        <f>H24*E24</f>
        <v>0</v>
      </c>
    </row>
    <row r="25" spans="1:10" s="37" customFormat="1" ht="12.75" hidden="1" customHeight="1">
      <c r="A25" s="30"/>
      <c r="B25" s="102" t="s">
        <v>167</v>
      </c>
      <c r="C25" s="32" t="s">
        <v>25</v>
      </c>
      <c r="D25" s="33" t="s">
        <v>16</v>
      </c>
      <c r="E25" s="30"/>
      <c r="F25" s="34">
        <f>ROUND(H25,2)*1.1</f>
        <v>8308.1790000000019</v>
      </c>
      <c r="G25" s="35">
        <f t="shared" si="0"/>
        <v>0</v>
      </c>
      <c r="H25" s="36">
        <f>(6650+488.775*2)/3.55*3.27*1.075</f>
        <v>7552.8859542253522</v>
      </c>
      <c r="J25" s="37">
        <f>H25*E25</f>
        <v>0</v>
      </c>
    </row>
    <row r="26" spans="1:10" s="37" customFormat="1" hidden="1">
      <c r="A26" s="30"/>
      <c r="B26" s="31" t="s">
        <v>21</v>
      </c>
      <c r="C26" s="32" t="s">
        <v>26</v>
      </c>
      <c r="D26" s="33" t="s">
        <v>23</v>
      </c>
      <c r="E26" s="30"/>
      <c r="F26" s="45">
        <f>762.061*1.18/4.77*4.52</f>
        <v>852.10242129979042</v>
      </c>
      <c r="G26" s="35">
        <f t="shared" si="0"/>
        <v>0</v>
      </c>
      <c r="H26" s="37">
        <f>F26/1.18</f>
        <v>722.1206960167716</v>
      </c>
    </row>
    <row r="27" spans="1:10" s="37" customFormat="1" ht="39" customHeight="1">
      <c r="A27" s="30">
        <v>1</v>
      </c>
      <c r="B27" s="31" t="s">
        <v>21</v>
      </c>
      <c r="C27" s="32" t="s">
        <v>173</v>
      </c>
      <c r="D27" s="33" t="s">
        <v>23</v>
      </c>
      <c r="E27" s="30">
        <v>0.63</v>
      </c>
      <c r="F27" s="34">
        <f>1284.02/4.52*4.77</f>
        <v>1355.0388053097345</v>
      </c>
      <c r="G27" s="35">
        <f>ROUND(F27*E27,3)</f>
        <v>853.67399999999998</v>
      </c>
    </row>
    <row r="28" spans="1:10" s="37" customFormat="1" ht="12.75" customHeight="1">
      <c r="A28" s="30">
        <v>2</v>
      </c>
      <c r="B28" s="46" t="s">
        <v>21</v>
      </c>
      <c r="C28" s="32" t="s">
        <v>117</v>
      </c>
      <c r="D28" s="33" t="s">
        <v>16</v>
      </c>
      <c r="E28" s="30">
        <v>1</v>
      </c>
      <c r="F28" s="45">
        <f>(0.15894*5.65*1.18)+H28</f>
        <v>11.549292979999999</v>
      </c>
      <c r="G28" s="35">
        <f>ROUND(F28*E28,3)</f>
        <v>11.548999999999999</v>
      </c>
      <c r="H28" s="47">
        <f>(10489.64)/1000</f>
        <v>10.48964</v>
      </c>
    </row>
    <row r="29" spans="1:10" s="37" customFormat="1" ht="12.75" hidden="1" customHeight="1">
      <c r="A29" s="30"/>
      <c r="B29" s="31" t="s">
        <v>21</v>
      </c>
      <c r="C29" s="32" t="s">
        <v>28</v>
      </c>
      <c r="D29" s="33" t="s">
        <v>23</v>
      </c>
      <c r="E29" s="30"/>
      <c r="F29" s="45">
        <f>834.78/4/4.77*4.52</f>
        <v>197.757106918239</v>
      </c>
      <c r="G29" s="35">
        <f>ROUND(F29*E29,3)</f>
        <v>0</v>
      </c>
    </row>
    <row r="30" spans="1:10" s="37" customFormat="1" ht="12.75" hidden="1" customHeight="1">
      <c r="A30" s="30"/>
      <c r="B30" s="31" t="s">
        <v>21</v>
      </c>
      <c r="C30" s="32" t="s">
        <v>29</v>
      </c>
      <c r="D30" s="33" t="s">
        <v>16</v>
      </c>
      <c r="E30" s="30"/>
      <c r="F30" s="34">
        <f>1227.23*5.52*1.18/1000/4.77*4.52</f>
        <v>7.5747290739119491</v>
      </c>
      <c r="G30" s="35">
        <f>E30*F30</f>
        <v>0</v>
      </c>
    </row>
    <row r="31" spans="1:10" s="37" customFormat="1" ht="12.75" hidden="1" customHeight="1">
      <c r="A31" s="30"/>
      <c r="B31" s="46" t="s">
        <v>30</v>
      </c>
      <c r="C31" s="32" t="s">
        <v>31</v>
      </c>
      <c r="D31" s="33" t="s">
        <v>16</v>
      </c>
      <c r="E31" s="30"/>
      <c r="F31" s="34">
        <f>(2.8)/4.77*4.52*1.18+H31/3.55*3.27</f>
        <v>31.711104156199248</v>
      </c>
      <c r="G31" s="35">
        <f>ROUND(F31*E31,3)</f>
        <v>0</v>
      </c>
      <c r="H31" s="47">
        <f>24.46*1.075*1.18</f>
        <v>31.027509999999996</v>
      </c>
      <c r="J31" s="37">
        <f>H31*E31</f>
        <v>0</v>
      </c>
    </row>
    <row r="32" spans="1:10" s="37" customFormat="1" ht="25.5" hidden="1" customHeight="1">
      <c r="A32" s="30"/>
      <c r="B32" s="46" t="s">
        <v>27</v>
      </c>
      <c r="C32" s="32" t="s">
        <v>32</v>
      </c>
      <c r="D32" s="33" t="s">
        <v>16</v>
      </c>
      <c r="E32" s="30"/>
      <c r="F32" s="34">
        <f>(4.361)*1.18/4.77*4.52+H32/3.55*3.27</f>
        <v>30.122387845040898</v>
      </c>
      <c r="G32" s="35">
        <f>ROUND(F32*E32,3)</f>
        <v>0</v>
      </c>
      <c r="H32" s="47">
        <f>(23.227*1.18)</f>
        <v>27.407859999999999</v>
      </c>
      <c r="J32" s="37">
        <f>H32*E32</f>
        <v>0</v>
      </c>
    </row>
    <row r="33" spans="1:13" s="37" customFormat="1" ht="12.75" hidden="1" customHeight="1">
      <c r="A33" s="30"/>
      <c r="B33" s="31" t="s">
        <v>21</v>
      </c>
      <c r="C33" s="32" t="s">
        <v>95</v>
      </c>
      <c r="D33" s="33" t="s">
        <v>16</v>
      </c>
      <c r="E33" s="30"/>
      <c r="F33" s="45">
        <f>12.70303512/4.77*4.52</f>
        <v>12.037257597987422</v>
      </c>
      <c r="G33" s="35"/>
      <c r="H33" s="50"/>
    </row>
    <row r="34" spans="1:13" s="44" customFormat="1" ht="12.75" hidden="1" customHeight="1">
      <c r="A34" s="30"/>
      <c r="B34" s="31" t="s">
        <v>33</v>
      </c>
      <c r="C34" s="32" t="s">
        <v>34</v>
      </c>
      <c r="D34" s="33" t="s">
        <v>16</v>
      </c>
      <c r="E34" s="30"/>
      <c r="F34" s="34">
        <f>H34/3.55*3.27+4.701*1.25*1.18/4.77*4.52</f>
        <v>42.643955598370098</v>
      </c>
      <c r="G34" s="35">
        <f t="shared" ref="G34:G90" si="1">ROUND(F34*E34,3)</f>
        <v>0</v>
      </c>
      <c r="H34" s="36">
        <f>36.43*1.075</f>
        <v>39.16225</v>
      </c>
      <c r="I34" s="37"/>
      <c r="J34" s="37"/>
      <c r="K34" s="37"/>
      <c r="L34" s="37"/>
      <c r="M34" s="37"/>
    </row>
    <row r="35" spans="1:13" s="44" customFormat="1" ht="25.5" hidden="1" customHeight="1">
      <c r="A35" s="30"/>
      <c r="B35" s="46" t="s">
        <v>27</v>
      </c>
      <c r="C35" s="32" t="s">
        <v>35</v>
      </c>
      <c r="D35" s="33" t="s">
        <v>16</v>
      </c>
      <c r="E35" s="30"/>
      <c r="F35" s="34">
        <f>(3.102)*1.18+H35</f>
        <v>31.06822</v>
      </c>
      <c r="G35" s="35">
        <f t="shared" si="1"/>
        <v>0</v>
      </c>
      <c r="H35" s="47">
        <f>(23.227*1.18)</f>
        <v>27.407859999999999</v>
      </c>
      <c r="I35" s="37"/>
      <c r="J35" s="37">
        <f t="shared" ref="J35:J45" si="2">H35*E35</f>
        <v>0</v>
      </c>
      <c r="K35" s="37"/>
      <c r="L35" s="37"/>
      <c r="M35" s="37"/>
    </row>
    <row r="36" spans="1:13" s="91" customFormat="1" ht="25.5" hidden="1" customHeight="1">
      <c r="A36" s="85"/>
      <c r="B36" s="102" t="s">
        <v>167</v>
      </c>
      <c r="C36" s="86" t="s">
        <v>36</v>
      </c>
      <c r="D36" s="87" t="s">
        <v>16</v>
      </c>
      <c r="E36" s="85"/>
      <c r="F36" s="88">
        <f>((33.49+4871.16)*5.53*1.18/1000)+H36</f>
        <v>184.8439122649296</v>
      </c>
      <c r="G36" s="89">
        <f t="shared" si="1"/>
        <v>0</v>
      </c>
      <c r="H36" s="90">
        <f>(154.35)*1.075/3.55*3.27</f>
        <v>152.83910915492959</v>
      </c>
      <c r="J36" s="91">
        <f t="shared" si="2"/>
        <v>0</v>
      </c>
    </row>
    <row r="37" spans="1:13" s="91" customFormat="1" ht="25.5" hidden="1" customHeight="1">
      <c r="A37" s="38"/>
      <c r="B37" s="102" t="s">
        <v>167</v>
      </c>
      <c r="C37" s="40" t="s">
        <v>37</v>
      </c>
      <c r="D37" s="41" t="s">
        <v>16</v>
      </c>
      <c r="E37" s="38"/>
      <c r="F37" s="42">
        <f>((45.56+5133.81)*5.53*1.18/1000)+H37</f>
        <v>228.22544339236617</v>
      </c>
      <c r="G37" s="43">
        <f t="shared" si="1"/>
        <v>0</v>
      </c>
      <c r="H37" s="90">
        <f>(196.35)*1.075/3.55*3.27</f>
        <v>194.42798239436618</v>
      </c>
      <c r="J37" s="91">
        <f t="shared" si="2"/>
        <v>0</v>
      </c>
    </row>
    <row r="38" spans="1:13" s="91" customFormat="1" ht="25.5" hidden="1" customHeight="1">
      <c r="A38" s="85"/>
      <c r="B38" s="102" t="s">
        <v>167</v>
      </c>
      <c r="C38" s="86" t="s">
        <v>38</v>
      </c>
      <c r="D38" s="87" t="s">
        <v>16</v>
      </c>
      <c r="E38" s="85"/>
      <c r="F38" s="88">
        <f>((45.56+5133.81)*5.53*1.18/1000)+H38</f>
        <v>320.76068635011273</v>
      </c>
      <c r="G38" s="89">
        <f t="shared" si="1"/>
        <v>0</v>
      </c>
      <c r="H38" s="90">
        <f>(289.8)*1.075/3.55*3.27</f>
        <v>286.96322535211272</v>
      </c>
      <c r="J38" s="91">
        <f t="shared" si="2"/>
        <v>0</v>
      </c>
    </row>
    <row r="39" spans="1:13" s="91" customFormat="1" ht="25.5" hidden="1" customHeight="1">
      <c r="A39" s="85"/>
      <c r="B39" s="102" t="s">
        <v>167</v>
      </c>
      <c r="C39" s="86" t="s">
        <v>39</v>
      </c>
      <c r="D39" s="87" t="s">
        <v>16</v>
      </c>
      <c r="E39" s="85"/>
      <c r="F39" s="88">
        <f>((33.49+4871.16)*5.53*1.18/1000)+H39</f>
        <v>113.10310592690141</v>
      </c>
      <c r="G39" s="89">
        <f t="shared" si="1"/>
        <v>0</v>
      </c>
      <c r="H39" s="90">
        <f>(81.9)*1.075/3.55*3.27</f>
        <v>81.098302816901409</v>
      </c>
      <c r="J39" s="91">
        <f t="shared" si="2"/>
        <v>0</v>
      </c>
    </row>
    <row r="40" spans="1:13" s="91" customFormat="1" ht="25.5" hidden="1" customHeight="1">
      <c r="A40" s="85"/>
      <c r="B40" s="102" t="s">
        <v>167</v>
      </c>
      <c r="C40" s="86" t="s">
        <v>40</v>
      </c>
      <c r="D40" s="87" t="s">
        <v>16</v>
      </c>
      <c r="E40" s="85"/>
      <c r="F40" s="88">
        <f>((45.56+5133.81)*5.53*1.18/1000)+H40</f>
        <v>320.76068635011273</v>
      </c>
      <c r="G40" s="89">
        <f t="shared" si="1"/>
        <v>0</v>
      </c>
      <c r="H40" s="90">
        <f>(289.8)*1.075/3.55*3.27</f>
        <v>286.96322535211272</v>
      </c>
      <c r="J40" s="91">
        <f t="shared" si="2"/>
        <v>0</v>
      </c>
    </row>
    <row r="41" spans="1:13" s="91" customFormat="1" ht="25.5" hidden="1" customHeight="1">
      <c r="A41" s="85"/>
      <c r="B41" s="102" t="s">
        <v>167</v>
      </c>
      <c r="C41" s="86" t="s">
        <v>41</v>
      </c>
      <c r="D41" s="87" t="s">
        <v>16</v>
      </c>
      <c r="E41" s="85"/>
      <c r="F41" s="88">
        <f>((33.49+4871.16)*5.53*1.18/1000)+H41</f>
        <v>121.42088057478873</v>
      </c>
      <c r="G41" s="89">
        <f t="shared" si="1"/>
        <v>0</v>
      </c>
      <c r="H41" s="90">
        <f>(90.3)*1.075/3.55*3.27</f>
        <v>89.416077464788728</v>
      </c>
      <c r="J41" s="91">
        <f t="shared" si="2"/>
        <v>0</v>
      </c>
    </row>
    <row r="42" spans="1:13" s="91" customFormat="1" ht="25.5" hidden="1" customHeight="1">
      <c r="A42" s="85"/>
      <c r="B42" s="102" t="s">
        <v>167</v>
      </c>
      <c r="C42" s="86" t="s">
        <v>42</v>
      </c>
      <c r="D42" s="87" t="s">
        <v>16</v>
      </c>
      <c r="E42" s="85"/>
      <c r="F42" s="88">
        <f>(6169.57*5.53*1.18/1000)*1.18+H42</f>
        <v>531.49602857598359</v>
      </c>
      <c r="G42" s="89">
        <f t="shared" si="1"/>
        <v>0</v>
      </c>
      <c r="H42" s="90">
        <f>(488.775)*1.075/3.55*3.27</f>
        <v>483.99051232394362</v>
      </c>
      <c r="J42" s="91">
        <f t="shared" si="2"/>
        <v>0</v>
      </c>
    </row>
    <row r="43" spans="1:13" s="37" customFormat="1" ht="12.75" hidden="1" customHeight="1">
      <c r="A43" s="30"/>
      <c r="B43" s="46" t="s">
        <v>43</v>
      </c>
      <c r="C43" s="32" t="s">
        <v>44</v>
      </c>
      <c r="D43" s="33" t="s">
        <v>16</v>
      </c>
      <c r="E43" s="30"/>
      <c r="F43" s="34">
        <f>(1.36+2.8)/4.77*4.52*1.18+H43/3.55*3.27</f>
        <v>140.26058218518617</v>
      </c>
      <c r="G43" s="35">
        <f t="shared" si="1"/>
        <v>0</v>
      </c>
      <c r="H43" s="49">
        <f>(97.409+18.65)*1.075*1.18</f>
        <v>147.22084149999998</v>
      </c>
      <c r="J43" s="37">
        <f t="shared" si="2"/>
        <v>0</v>
      </c>
      <c r="L43" s="50" t="s">
        <v>45</v>
      </c>
    </row>
    <row r="44" spans="1:13" s="37" customFormat="1" ht="25.5" hidden="1" customHeight="1">
      <c r="A44" s="30"/>
      <c r="B44" s="46" t="s">
        <v>30</v>
      </c>
      <c r="C44" s="32" t="s">
        <v>46</v>
      </c>
      <c r="D44" s="33" t="s">
        <v>16</v>
      </c>
      <c r="E44" s="30"/>
      <c r="F44" s="34">
        <f>(1.36+2.8)/4.77*4.52*1.18+H44/3.55*3.27</f>
        <v>143.87225895842562</v>
      </c>
      <c r="G44" s="35">
        <f t="shared" si="1"/>
        <v>0</v>
      </c>
      <c r="H44" s="49">
        <f>(100.5+18.65)*1.075*1.18</f>
        <v>151.141775</v>
      </c>
      <c r="J44" s="37">
        <f t="shared" si="2"/>
        <v>0</v>
      </c>
      <c r="L44" s="50" t="s">
        <v>45</v>
      </c>
    </row>
    <row r="45" spans="1:13" s="37" customFormat="1" ht="12.75" hidden="1" customHeight="1">
      <c r="A45" s="30"/>
      <c r="B45" s="46" t="s">
        <v>30</v>
      </c>
      <c r="C45" s="32" t="s">
        <v>47</v>
      </c>
      <c r="D45" s="33" t="s">
        <v>16</v>
      </c>
      <c r="E45" s="30"/>
      <c r="F45" s="34">
        <f>(1.36+2.8)/4.77*4.52*1.18+H45/3.55*3.27</f>
        <v>53.901663183777714</v>
      </c>
      <c r="G45" s="35">
        <f t="shared" si="1"/>
        <v>0</v>
      </c>
      <c r="H45" s="49">
        <f>(42.15)*1.075*1.18</f>
        <v>53.467274999999994</v>
      </c>
      <c r="J45" s="37">
        <f t="shared" si="2"/>
        <v>0</v>
      </c>
      <c r="L45" s="50" t="s">
        <v>48</v>
      </c>
    </row>
    <row r="46" spans="1:13" s="37" customFormat="1" ht="12.75" hidden="1" customHeight="1">
      <c r="A46" s="30"/>
      <c r="B46" s="31" t="s">
        <v>49</v>
      </c>
      <c r="C46" s="32" t="s">
        <v>50</v>
      </c>
      <c r="D46" s="33" t="s">
        <v>51</v>
      </c>
      <c r="E46" s="30"/>
      <c r="F46" s="45">
        <f>(2.544)/4.77*4.52*1.18+H46/3.55*3.27</f>
        <v>23.444076018779345</v>
      </c>
      <c r="G46" s="35">
        <f t="shared" si="1"/>
        <v>0</v>
      </c>
      <c r="H46" s="51">
        <f>18.952*1.18</f>
        <v>22.36336</v>
      </c>
    </row>
    <row r="47" spans="1:13" s="37" customFormat="1" hidden="1">
      <c r="A47" s="30"/>
      <c r="B47" s="31" t="s">
        <v>21</v>
      </c>
      <c r="C47" s="32" t="s">
        <v>22</v>
      </c>
      <c r="D47" s="33" t="s">
        <v>23</v>
      </c>
      <c r="E47" s="30"/>
      <c r="F47" s="45">
        <f>1812.84/4.77*4.52</f>
        <v>1717.8274213836476</v>
      </c>
      <c r="G47" s="35">
        <f t="shared" si="1"/>
        <v>0</v>
      </c>
      <c r="H47" s="51"/>
    </row>
    <row r="48" spans="1:13" s="37" customFormat="1" ht="12.75" hidden="1" customHeight="1">
      <c r="A48" s="30"/>
      <c r="B48" s="31" t="s">
        <v>21</v>
      </c>
      <c r="C48" s="32" t="s">
        <v>52</v>
      </c>
      <c r="D48" s="33" t="s">
        <v>23</v>
      </c>
      <c r="E48" s="30"/>
      <c r="F48" s="45">
        <f>1185.4976*1.18/4.77*4.52</f>
        <v>1325.5702304737945</v>
      </c>
      <c r="G48" s="35">
        <f t="shared" si="1"/>
        <v>0</v>
      </c>
      <c r="H48" s="52"/>
      <c r="I48" s="44"/>
      <c r="J48" s="44"/>
      <c r="K48" s="44"/>
      <c r="L48" s="44"/>
      <c r="M48" s="44"/>
    </row>
    <row r="49" spans="1:13" s="37" customFormat="1" ht="25.5" hidden="1" customHeight="1">
      <c r="A49" s="30"/>
      <c r="B49" s="31" t="s">
        <v>21</v>
      </c>
      <c r="C49" s="32" t="s">
        <v>24</v>
      </c>
      <c r="D49" s="33" t="s">
        <v>23</v>
      </c>
      <c r="E49" s="30"/>
      <c r="F49" s="45">
        <f>(1812.84+(42.61*1.18*15))/4.77*4.52</f>
        <v>2432.4962767295597</v>
      </c>
      <c r="G49" s="35">
        <f t="shared" si="1"/>
        <v>0</v>
      </c>
    </row>
    <row r="50" spans="1:13" s="37" customFormat="1" ht="12.75" hidden="1" customHeight="1">
      <c r="A50" s="30"/>
      <c r="B50" s="31" t="s">
        <v>21</v>
      </c>
      <c r="C50" s="32" t="s">
        <v>53</v>
      </c>
      <c r="D50" s="33" t="s">
        <v>23</v>
      </c>
      <c r="E50" s="30"/>
      <c r="F50" s="45">
        <f>1812.84/4.77*4.52</f>
        <v>1717.8274213836476</v>
      </c>
      <c r="G50" s="35">
        <f t="shared" si="1"/>
        <v>0</v>
      </c>
    </row>
    <row r="51" spans="1:13" s="44" customFormat="1" ht="12.75" hidden="1" customHeight="1">
      <c r="A51" s="30"/>
      <c r="B51" s="31" t="s">
        <v>21</v>
      </c>
      <c r="C51" s="32" t="s">
        <v>54</v>
      </c>
      <c r="D51" s="33" t="s">
        <v>23</v>
      </c>
      <c r="E51" s="30"/>
      <c r="F51" s="45">
        <f>2031.19/4.77*4.52</f>
        <v>1924.7335010482179</v>
      </c>
      <c r="G51" s="35">
        <f t="shared" si="1"/>
        <v>0</v>
      </c>
      <c r="H51" s="37"/>
      <c r="I51" s="37"/>
      <c r="J51" s="37"/>
      <c r="K51" s="37"/>
      <c r="L51" s="37"/>
      <c r="M51" s="37"/>
    </row>
    <row r="52" spans="1:13" s="44" customFormat="1" ht="12.75" hidden="1" customHeight="1">
      <c r="A52" s="30"/>
      <c r="B52" s="31" t="s">
        <v>21</v>
      </c>
      <c r="C52" s="32" t="s">
        <v>55</v>
      </c>
      <c r="D52" s="33" t="s">
        <v>23</v>
      </c>
      <c r="E52" s="30"/>
      <c r="F52" s="34">
        <f>2257.231/4.77*4.52</f>
        <v>2138.9274884696019</v>
      </c>
      <c r="G52" s="35">
        <f t="shared" si="1"/>
        <v>0</v>
      </c>
      <c r="H52" s="37"/>
      <c r="I52" s="37"/>
      <c r="J52" s="37"/>
      <c r="K52" s="37"/>
      <c r="L52" s="37"/>
      <c r="M52" s="37"/>
    </row>
    <row r="53" spans="1:13" s="97" customFormat="1" ht="12.75" hidden="1" customHeight="1">
      <c r="A53" s="103"/>
      <c r="B53" s="102" t="s">
        <v>167</v>
      </c>
      <c r="C53" s="104" t="s">
        <v>168</v>
      </c>
      <c r="D53" s="105" t="s">
        <v>16</v>
      </c>
      <c r="E53" s="103"/>
      <c r="F53" s="106">
        <f t="shared" ref="F53:F81" si="3">ROUND(H53*1.1,2)</f>
        <v>249.25</v>
      </c>
      <c r="G53" s="107">
        <f t="shared" si="1"/>
        <v>0</v>
      </c>
      <c r="H53" s="95">
        <f>(138.53133+90.3)*1.075/3.55*3.27</f>
        <v>226.59136134718307</v>
      </c>
      <c r="J53" s="97">
        <f t="shared" ref="J53:J92" si="4">H53*E53</f>
        <v>0</v>
      </c>
      <c r="L53" s="97">
        <f>458631.446453333/1000</f>
        <v>458.63144645333301</v>
      </c>
    </row>
    <row r="54" spans="1:13" s="97" customFormat="1" ht="12.75" hidden="1" customHeight="1">
      <c r="A54" s="103"/>
      <c r="B54" s="102" t="s">
        <v>167</v>
      </c>
      <c r="C54" s="104" t="s">
        <v>56</v>
      </c>
      <c r="D54" s="105" t="s">
        <v>16</v>
      </c>
      <c r="E54" s="103"/>
      <c r="F54" s="106">
        <f t="shared" si="3"/>
        <v>240.1</v>
      </c>
      <c r="G54" s="107">
        <f t="shared" si="1"/>
        <v>0</v>
      </c>
      <c r="H54" s="95">
        <f>(138.53133+81.9)*1.075/3.55*3.27</f>
        <v>218.27358669929581</v>
      </c>
      <c r="J54" s="97">
        <f t="shared" si="4"/>
        <v>0</v>
      </c>
    </row>
    <row r="55" spans="1:13" s="97" customFormat="1" ht="12.75" hidden="1" customHeight="1">
      <c r="A55" s="103"/>
      <c r="B55" s="102" t="s">
        <v>167</v>
      </c>
      <c r="C55" s="104" t="s">
        <v>57</v>
      </c>
      <c r="D55" s="105" t="s">
        <v>16</v>
      </c>
      <c r="E55" s="103"/>
      <c r="F55" s="106">
        <f t="shared" si="3"/>
        <v>895.36</v>
      </c>
      <c r="G55" s="107">
        <f t="shared" si="1"/>
        <v>0</v>
      </c>
      <c r="H55" s="95">
        <f>(333.2339325+488.775)*1.075/3.55*3.27</f>
        <v>813.9625070339788</v>
      </c>
      <c r="J55" s="97">
        <f t="shared" si="4"/>
        <v>0</v>
      </c>
    </row>
    <row r="56" spans="1:13" s="97" customFormat="1" ht="12.75" hidden="1" customHeight="1">
      <c r="A56" s="103"/>
      <c r="B56" s="102" t="s">
        <v>167</v>
      </c>
      <c r="C56" s="104" t="s">
        <v>169</v>
      </c>
      <c r="D56" s="105" t="s">
        <v>16</v>
      </c>
      <c r="E56" s="103"/>
      <c r="F56" s="106">
        <f t="shared" si="3"/>
        <v>953.08</v>
      </c>
      <c r="G56" s="107">
        <f t="shared" si="1"/>
        <v>0</v>
      </c>
      <c r="H56" s="95">
        <f>(386.22339+488.775)*1.075/3.55*3.27</f>
        <v>866.43326491478877</v>
      </c>
      <c r="J56" s="97">
        <f t="shared" si="4"/>
        <v>0</v>
      </c>
      <c r="L56" s="97">
        <f>2053404.7418/1000</f>
        <v>2053.4047418</v>
      </c>
    </row>
    <row r="57" spans="1:13" s="110" customFormat="1" ht="12.75" hidden="1" customHeight="1">
      <c r="A57" s="30"/>
      <c r="B57" s="46" t="s">
        <v>171</v>
      </c>
      <c r="C57" s="32" t="s">
        <v>58</v>
      </c>
      <c r="D57" s="33" t="s">
        <v>16</v>
      </c>
      <c r="E57" s="30"/>
      <c r="F57" s="45">
        <f t="shared" si="3"/>
        <v>325.68</v>
      </c>
      <c r="G57" s="35">
        <f t="shared" si="1"/>
        <v>0</v>
      </c>
      <c r="H57" s="109">
        <f>(180+119)*1.075/3.55*3.27</f>
        <v>296.07316901408456</v>
      </c>
      <c r="J57" s="110">
        <f t="shared" si="4"/>
        <v>0</v>
      </c>
      <c r="L57" s="110">
        <f>538966.759211428/1000</f>
        <v>538.96675921142798</v>
      </c>
    </row>
    <row r="58" spans="1:13" s="97" customFormat="1" ht="12.75" hidden="1" customHeight="1">
      <c r="A58" s="92"/>
      <c r="B58" s="102" t="s">
        <v>167</v>
      </c>
      <c r="C58" s="104" t="s">
        <v>59</v>
      </c>
      <c r="D58" s="105" t="s">
        <v>16</v>
      </c>
      <c r="E58" s="103"/>
      <c r="F58" s="106">
        <f t="shared" si="3"/>
        <v>175.42</v>
      </c>
      <c r="G58" s="107">
        <f t="shared" si="1"/>
        <v>0</v>
      </c>
      <c r="H58" s="95">
        <f>(83.052+78)*1.075/3.55*3.27</f>
        <v>159.47550507042257</v>
      </c>
      <c r="J58" s="97">
        <f t="shared" si="4"/>
        <v>0</v>
      </c>
    </row>
    <row r="59" spans="1:13" s="97" customFormat="1" ht="12.75" hidden="1" customHeight="1">
      <c r="A59" s="92"/>
      <c r="B59" s="102" t="s">
        <v>167</v>
      </c>
      <c r="C59" s="104" t="s">
        <v>60</v>
      </c>
      <c r="D59" s="105" t="s">
        <v>16</v>
      </c>
      <c r="E59" s="103"/>
      <c r="F59" s="106">
        <f t="shared" si="3"/>
        <v>386.2</v>
      </c>
      <c r="G59" s="107">
        <f t="shared" si="1"/>
        <v>0</v>
      </c>
      <c r="H59" s="95">
        <f>(200.20959+154.35)*1.075/3.55*3.27</f>
        <v>351.08890105563376</v>
      </c>
      <c r="J59" s="97">
        <f t="shared" si="4"/>
        <v>0</v>
      </c>
      <c r="L59" s="98">
        <f>605726.714568421/1000</f>
        <v>605.72671456842102</v>
      </c>
    </row>
    <row r="60" spans="1:13" s="97" customFormat="1" hidden="1">
      <c r="A60" s="92"/>
      <c r="B60" s="102" t="s">
        <v>167</v>
      </c>
      <c r="C60" s="104" t="s">
        <v>161</v>
      </c>
      <c r="D60" s="105" t="s">
        <v>16</v>
      </c>
      <c r="E60" s="103"/>
      <c r="F60" s="106">
        <f t="shared" si="3"/>
        <v>644.96</v>
      </c>
      <c r="G60" s="107">
        <f t="shared" si="1"/>
        <v>0</v>
      </c>
      <c r="H60" s="95">
        <f>(428.32125+81.9*2)*1.075/3.55*3.27</f>
        <v>586.32513353873242</v>
      </c>
      <c r="J60" s="97">
        <f t="shared" si="4"/>
        <v>0</v>
      </c>
    </row>
    <row r="61" spans="1:13" s="97" customFormat="1" ht="12.75" hidden="1" customHeight="1">
      <c r="A61" s="92"/>
      <c r="B61" s="102" t="s">
        <v>167</v>
      </c>
      <c r="C61" s="104" t="s">
        <v>61</v>
      </c>
      <c r="D61" s="105" t="s">
        <v>16</v>
      </c>
      <c r="E61" s="103"/>
      <c r="F61" s="106">
        <f t="shared" si="3"/>
        <v>389.91</v>
      </c>
      <c r="G61" s="107">
        <f t="shared" si="1"/>
        <v>0</v>
      </c>
      <c r="H61" s="95">
        <f>(140.367+217.6)/3.55*3.27*1.075</f>
        <v>354.46295683098589</v>
      </c>
      <c r="J61" s="97">
        <f t="shared" si="4"/>
        <v>0</v>
      </c>
    </row>
    <row r="62" spans="1:13" s="97" customFormat="1" ht="12.75" hidden="1" customHeight="1">
      <c r="A62" s="92"/>
      <c r="B62" s="102" t="s">
        <v>167</v>
      </c>
      <c r="C62" s="104" t="s">
        <v>62</v>
      </c>
      <c r="D62" s="105" t="s">
        <v>16</v>
      </c>
      <c r="E62" s="103"/>
      <c r="F62" s="106">
        <f t="shared" si="3"/>
        <v>398.22</v>
      </c>
      <c r="G62" s="107">
        <f t="shared" si="1"/>
        <v>0</v>
      </c>
      <c r="H62" s="95">
        <f>(248.52+117.08)*1.075/3.55*3.27</f>
        <v>362.02123943661974</v>
      </c>
      <c r="J62" s="97">
        <f t="shared" si="4"/>
        <v>0</v>
      </c>
      <c r="L62" s="97">
        <f>605726.714568421/1000</f>
        <v>605.72671456842102</v>
      </c>
    </row>
    <row r="63" spans="1:13" s="97" customFormat="1" ht="12.75" hidden="1" customHeight="1">
      <c r="A63" s="92"/>
      <c r="B63" s="102" t="s">
        <v>167</v>
      </c>
      <c r="C63" s="104" t="s">
        <v>155</v>
      </c>
      <c r="D63" s="105" t="s">
        <v>16</v>
      </c>
      <c r="E63" s="103"/>
      <c r="F63" s="106">
        <f t="shared" si="3"/>
        <v>663.26</v>
      </c>
      <c r="G63" s="107">
        <f t="shared" si="1"/>
        <v>0</v>
      </c>
      <c r="H63" s="95">
        <f>(428.32125+90.3*2)*1.075/3.55*3.27</f>
        <v>602.96068283450711</v>
      </c>
      <c r="J63" s="97">
        <f t="shared" si="4"/>
        <v>0</v>
      </c>
    </row>
    <row r="64" spans="1:13" s="97" customFormat="1" ht="12.75" hidden="1" customHeight="1">
      <c r="A64" s="92"/>
      <c r="B64" s="102" t="s">
        <v>167</v>
      </c>
      <c r="C64" s="104" t="s">
        <v>156</v>
      </c>
      <c r="D64" s="105" t="s">
        <v>16</v>
      </c>
      <c r="E64" s="103"/>
      <c r="F64" s="106">
        <f t="shared" si="3"/>
        <v>631.13</v>
      </c>
      <c r="G64" s="107">
        <f t="shared" si="1"/>
        <v>0</v>
      </c>
      <c r="H64" s="95">
        <f>(398.83+90.3*2)*1.075/3.55*3.27</f>
        <v>573.75811478873231</v>
      </c>
      <c r="J64" s="97">
        <f t="shared" si="4"/>
        <v>0</v>
      </c>
    </row>
    <row r="65" spans="1:13" s="97" customFormat="1" ht="27" hidden="1" customHeight="1">
      <c r="A65" s="92"/>
      <c r="B65" s="102" t="s">
        <v>167</v>
      </c>
      <c r="C65" s="104" t="s">
        <v>63</v>
      </c>
      <c r="D65" s="105" t="s">
        <v>16</v>
      </c>
      <c r="E65" s="103"/>
      <c r="F65" s="106">
        <f t="shared" si="3"/>
        <v>732.43</v>
      </c>
      <c r="G65" s="107">
        <f t="shared" si="1"/>
        <v>0</v>
      </c>
      <c r="H65" s="95">
        <f>(438.27+117.08*2)*1.075/3.55*3.27</f>
        <v>665.84776267605628</v>
      </c>
      <c r="J65" s="97">
        <f t="shared" si="4"/>
        <v>0</v>
      </c>
    </row>
    <row r="66" spans="1:13" s="97" customFormat="1" ht="12.75" hidden="1" customHeight="1">
      <c r="A66" s="92"/>
      <c r="B66" s="102" t="s">
        <v>167</v>
      </c>
      <c r="C66" s="104" t="s">
        <v>64</v>
      </c>
      <c r="D66" s="105" t="s">
        <v>16</v>
      </c>
      <c r="E66" s="103"/>
      <c r="F66" s="106">
        <f t="shared" si="3"/>
        <v>689.47</v>
      </c>
      <c r="G66" s="107">
        <f t="shared" si="1"/>
        <v>0</v>
      </c>
      <c r="H66" s="95">
        <f>(398.83+117.08*2)*1.075/3.55*3.27</f>
        <v>626.79383028169013</v>
      </c>
      <c r="J66" s="97">
        <f t="shared" si="4"/>
        <v>0</v>
      </c>
    </row>
    <row r="67" spans="1:13" s="97" customFormat="1" ht="12.75" hidden="1" customHeight="1">
      <c r="A67" s="92"/>
      <c r="B67" s="102" t="s">
        <v>167</v>
      </c>
      <c r="C67" s="104" t="s">
        <v>65</v>
      </c>
      <c r="D67" s="105" t="s">
        <v>16</v>
      </c>
      <c r="E67" s="103"/>
      <c r="F67" s="106">
        <f t="shared" si="3"/>
        <v>772.53</v>
      </c>
      <c r="G67" s="107">
        <f t="shared" si="1"/>
        <v>0</v>
      </c>
      <c r="H67" s="108">
        <f>(400.54+154.35*2)*1.075/3.55*3.27</f>
        <v>702.2974394366197</v>
      </c>
      <c r="J67" s="97">
        <f t="shared" si="4"/>
        <v>0</v>
      </c>
    </row>
    <row r="68" spans="1:13" s="97" customFormat="1" ht="12.75" hidden="1" customHeight="1">
      <c r="A68" s="92"/>
      <c r="B68" s="102" t="s">
        <v>167</v>
      </c>
      <c r="C68" s="104" t="s">
        <v>66</v>
      </c>
      <c r="D68" s="105" t="s">
        <v>16</v>
      </c>
      <c r="E68" s="103"/>
      <c r="F68" s="106">
        <f t="shared" si="3"/>
        <v>804.39</v>
      </c>
      <c r="G68" s="107">
        <f t="shared" si="1"/>
        <v>0</v>
      </c>
      <c r="H68" s="106">
        <f>(429.79+154.35*2)*1.075/3.55*3.27</f>
        <v>731.26111901408456</v>
      </c>
      <c r="I68" s="95"/>
      <c r="J68" s="97">
        <f t="shared" si="4"/>
        <v>0</v>
      </c>
    </row>
    <row r="69" spans="1:13" s="97" customFormat="1" ht="12" hidden="1" customHeight="1">
      <c r="A69" s="92"/>
      <c r="B69" s="31" t="s">
        <v>21</v>
      </c>
      <c r="C69" s="104" t="s">
        <v>67</v>
      </c>
      <c r="D69" s="105" t="s">
        <v>16</v>
      </c>
      <c r="E69" s="103"/>
      <c r="F69" s="106">
        <f t="shared" si="3"/>
        <v>296.38</v>
      </c>
      <c r="G69" s="107">
        <f t="shared" si="1"/>
        <v>0</v>
      </c>
      <c r="H69" s="99">
        <f>(84.1+94*2)*1.075/3.55*3.27</f>
        <v>269.43648591549299</v>
      </c>
      <c r="J69" s="97">
        <f t="shared" si="4"/>
        <v>0</v>
      </c>
    </row>
    <row r="70" spans="1:13" s="97" customFormat="1" ht="12.75" hidden="1" customHeight="1">
      <c r="A70" s="92"/>
      <c r="B70" s="31" t="s">
        <v>21</v>
      </c>
      <c r="C70" s="104" t="s">
        <v>68</v>
      </c>
      <c r="D70" s="105" t="s">
        <v>16</v>
      </c>
      <c r="E70" s="103"/>
      <c r="F70" s="106">
        <f t="shared" si="3"/>
        <v>345.53</v>
      </c>
      <c r="G70" s="107">
        <f t="shared" si="1"/>
        <v>0</v>
      </c>
      <c r="H70" s="95">
        <f>(96.42+110.4*2)*1.075/3.55*3.27</f>
        <v>314.11481830985917</v>
      </c>
      <c r="J70" s="97">
        <f t="shared" si="4"/>
        <v>0</v>
      </c>
    </row>
    <row r="71" spans="1:13" s="97" customFormat="1" ht="12.75" hidden="1" customHeight="1">
      <c r="A71" s="92"/>
      <c r="B71" s="102" t="s">
        <v>167</v>
      </c>
      <c r="C71" s="104" t="s">
        <v>69</v>
      </c>
      <c r="D71" s="105" t="s">
        <v>16</v>
      </c>
      <c r="E71" s="103"/>
      <c r="F71" s="106">
        <f t="shared" si="3"/>
        <v>1358.49</v>
      </c>
      <c r="G71" s="107">
        <f t="shared" si="1"/>
        <v>0</v>
      </c>
      <c r="H71" s="95">
        <f>(667.6+289.8*2)*1.075/3.55*3.27</f>
        <v>1234.9914929577465</v>
      </c>
      <c r="J71" s="97">
        <f t="shared" si="4"/>
        <v>0</v>
      </c>
    </row>
    <row r="72" spans="1:13" s="97" customFormat="1" ht="12.75" hidden="1" customHeight="1">
      <c r="A72" s="92"/>
      <c r="B72" s="102" t="s">
        <v>167</v>
      </c>
      <c r="C72" s="104" t="s">
        <v>170</v>
      </c>
      <c r="D72" s="105" t="s">
        <v>16</v>
      </c>
      <c r="E72" s="103"/>
      <c r="F72" s="106">
        <f t="shared" si="3"/>
        <v>1178.72</v>
      </c>
      <c r="G72" s="107">
        <f t="shared" si="1"/>
        <v>0</v>
      </c>
      <c r="H72" s="95">
        <f>(502.56+289.8*2)*1.075/3.55*3.27</f>
        <v>1071.5670253521128</v>
      </c>
      <c r="J72" s="97">
        <f t="shared" si="4"/>
        <v>0</v>
      </c>
    </row>
    <row r="73" spans="1:13" s="97" customFormat="1" ht="12.75" hidden="1" customHeight="1">
      <c r="A73" s="92"/>
      <c r="B73" s="102" t="s">
        <v>167</v>
      </c>
      <c r="C73" s="104" t="s">
        <v>70</v>
      </c>
      <c r="D73" s="105" t="s">
        <v>16</v>
      </c>
      <c r="E73" s="103"/>
      <c r="F73" s="106">
        <f t="shared" si="3"/>
        <v>173.95</v>
      </c>
      <c r="G73" s="107">
        <f t="shared" si="1"/>
        <v>0</v>
      </c>
      <c r="H73" s="95">
        <f>(84.1+75.6)*1.075/3.55*3.27</f>
        <v>158.13673943661971</v>
      </c>
      <c r="J73" s="97">
        <f t="shared" si="4"/>
        <v>0</v>
      </c>
      <c r="L73" s="97">
        <f>368175.1038/1000</f>
        <v>368.17510379999999</v>
      </c>
    </row>
    <row r="74" spans="1:13" s="97" customFormat="1" ht="12.75" hidden="1" customHeight="1">
      <c r="A74" s="92"/>
      <c r="B74" s="102" t="s">
        <v>167</v>
      </c>
      <c r="C74" s="104" t="s">
        <v>71</v>
      </c>
      <c r="D74" s="105" t="s">
        <v>16</v>
      </c>
      <c r="E74" s="103"/>
      <c r="F74" s="106">
        <f t="shared" si="3"/>
        <v>170.29</v>
      </c>
      <c r="G74" s="107">
        <f t="shared" si="1"/>
        <v>0</v>
      </c>
      <c r="H74" s="95">
        <f>(84.1+72.24)*1.075/3.55*3.27</f>
        <v>154.80962957746476</v>
      </c>
      <c r="J74" s="97">
        <f t="shared" si="4"/>
        <v>0</v>
      </c>
    </row>
    <row r="75" spans="1:13" s="97" customFormat="1" ht="12.75" hidden="1" customHeight="1">
      <c r="A75" s="92"/>
      <c r="B75" s="102" t="s">
        <v>167</v>
      </c>
      <c r="C75" s="104" t="s">
        <v>72</v>
      </c>
      <c r="D75" s="105" t="s">
        <v>16</v>
      </c>
      <c r="E75" s="103"/>
      <c r="F75" s="106">
        <f t="shared" si="3"/>
        <v>414.53</v>
      </c>
      <c r="G75" s="107">
        <f t="shared" si="1"/>
        <v>0</v>
      </c>
      <c r="H75" s="95">
        <f>(154.2+196.35)*1.075</f>
        <v>376.84124999999995</v>
      </c>
      <c r="J75" s="97">
        <f t="shared" si="4"/>
        <v>0</v>
      </c>
      <c r="L75" s="100">
        <f>[1]реестры!$U$14925</f>
        <v>767640.2267</v>
      </c>
      <c r="M75" s="97">
        <f>AVERAGE(F75:F76)/1.075</f>
        <v>400.49302325581397</v>
      </c>
    </row>
    <row r="76" spans="1:13" s="97" customFormat="1" ht="12.75" hidden="1" customHeight="1">
      <c r="A76" s="92"/>
      <c r="B76" s="102" t="s">
        <v>167</v>
      </c>
      <c r="C76" s="104" t="s">
        <v>73</v>
      </c>
      <c r="D76" s="105" t="s">
        <v>16</v>
      </c>
      <c r="E76" s="103"/>
      <c r="F76" s="106">
        <f t="shared" si="3"/>
        <v>446.53</v>
      </c>
      <c r="G76" s="107">
        <f t="shared" si="1"/>
        <v>0</v>
      </c>
      <c r="H76" s="95">
        <f>(213.6+196.35)*1.075/3.55*3.27</f>
        <v>405.9371091549296</v>
      </c>
      <c r="J76" s="97">
        <f t="shared" si="4"/>
        <v>0</v>
      </c>
      <c r="L76" s="100">
        <f>[1]реестры!$U$14925</f>
        <v>767640.2267</v>
      </c>
    </row>
    <row r="77" spans="1:13" s="97" customFormat="1" ht="12.75" hidden="1" customHeight="1">
      <c r="A77" s="92"/>
      <c r="B77" s="102" t="s">
        <v>167</v>
      </c>
      <c r="C77" s="104" t="s">
        <v>74</v>
      </c>
      <c r="D77" s="105" t="s">
        <v>16</v>
      </c>
      <c r="E77" s="103"/>
      <c r="F77" s="106">
        <f t="shared" si="3"/>
        <v>194.23</v>
      </c>
      <c r="G77" s="107">
        <f t="shared" si="1"/>
        <v>0</v>
      </c>
      <c r="H77" s="95">
        <f>(96.42+81.9)*1.075/3.55*3.27</f>
        <v>176.57447323943663</v>
      </c>
      <c r="J77" s="97">
        <f t="shared" si="4"/>
        <v>0</v>
      </c>
    </row>
    <row r="78" spans="1:13" s="97" customFormat="1" ht="12.75" hidden="1" customHeight="1">
      <c r="A78" s="92"/>
      <c r="B78" s="102" t="s">
        <v>167</v>
      </c>
      <c r="C78" s="104" t="s">
        <v>75</v>
      </c>
      <c r="D78" s="105" t="s">
        <v>16</v>
      </c>
      <c r="E78" s="103"/>
      <c r="F78" s="106">
        <f t="shared" si="3"/>
        <v>1058.08</v>
      </c>
      <c r="G78" s="107">
        <f t="shared" si="1"/>
        <v>0</v>
      </c>
      <c r="H78" s="95">
        <f>(681.6+289.8)*1.075/3.55*3.27</f>
        <v>961.89122535211277</v>
      </c>
      <c r="J78" s="97">
        <f t="shared" si="4"/>
        <v>0</v>
      </c>
    </row>
    <row r="79" spans="1:13" s="97" customFormat="1" ht="12.75" hidden="1" customHeight="1">
      <c r="A79" s="92"/>
      <c r="B79" s="102" t="s">
        <v>167</v>
      </c>
      <c r="C79" s="104" t="s">
        <v>76</v>
      </c>
      <c r="D79" s="105" t="s">
        <v>16</v>
      </c>
      <c r="E79" s="103"/>
      <c r="F79" s="106">
        <f t="shared" si="3"/>
        <v>859.08</v>
      </c>
      <c r="G79" s="107">
        <f t="shared" si="1"/>
        <v>0</v>
      </c>
      <c r="H79" s="95">
        <f>(355.2+433.5)*1.075/3.55*3.27</f>
        <v>780.97962676056341</v>
      </c>
      <c r="J79" s="97">
        <f t="shared" si="4"/>
        <v>0</v>
      </c>
    </row>
    <row r="80" spans="1:13" s="97" customFormat="1" ht="12.75" hidden="1" customHeight="1">
      <c r="A80" s="92"/>
      <c r="B80" s="102" t="s">
        <v>167</v>
      </c>
      <c r="C80" s="104" t="s">
        <v>77</v>
      </c>
      <c r="D80" s="105" t="s">
        <v>16</v>
      </c>
      <c r="E80" s="103"/>
      <c r="F80" s="106">
        <f t="shared" si="3"/>
        <v>1589.84</v>
      </c>
      <c r="G80" s="107">
        <f t="shared" si="1"/>
        <v>0</v>
      </c>
      <c r="H80" s="95">
        <f>(482+488.8*2)*1.075/3.55*3.27</f>
        <v>1445.3123661971831</v>
      </c>
      <c r="J80" s="97">
        <f t="shared" si="4"/>
        <v>0</v>
      </c>
    </row>
    <row r="81" spans="1:13" s="97" customFormat="1" ht="12.75" hidden="1" customHeight="1">
      <c r="A81" s="92"/>
      <c r="B81" s="102" t="s">
        <v>167</v>
      </c>
      <c r="C81" s="93" t="s">
        <v>78</v>
      </c>
      <c r="D81" s="94" t="s">
        <v>16</v>
      </c>
      <c r="E81" s="92"/>
      <c r="F81" s="95">
        <f t="shared" si="3"/>
        <v>1140.43</v>
      </c>
      <c r="G81" s="96">
        <f t="shared" si="1"/>
        <v>0</v>
      </c>
      <c r="H81" s="95">
        <f>(482.6+282.2*2)*1.075/3.55*3.27</f>
        <v>1036.7511971830986</v>
      </c>
      <c r="J81" s="97">
        <f t="shared" si="4"/>
        <v>0</v>
      </c>
      <c r="L81" s="100">
        <f>[1]реестры!$H$12026</f>
        <v>4634316.2823999999</v>
      </c>
    </row>
    <row r="82" spans="1:13" s="97" customFormat="1" ht="12.75" hidden="1" customHeight="1">
      <c r="A82" s="92"/>
      <c r="B82" s="101" t="s">
        <v>79</v>
      </c>
      <c r="C82" s="93" t="s">
        <v>80</v>
      </c>
      <c r="D82" s="94" t="s">
        <v>16</v>
      </c>
      <c r="E82" s="92"/>
      <c r="F82" s="95">
        <f>H82*1.1</f>
        <v>801.77636619718305</v>
      </c>
      <c r="G82" s="96">
        <f t="shared" si="1"/>
        <v>0</v>
      </c>
      <c r="H82" s="95">
        <f>(482.6+154.35*2)/3.55*3.27</f>
        <v>728.88760563380276</v>
      </c>
      <c r="J82" s="97">
        <f t="shared" si="4"/>
        <v>0</v>
      </c>
    </row>
    <row r="83" spans="1:13" s="97" customFormat="1" ht="25.5" hidden="1" customHeight="1">
      <c r="A83" s="92"/>
      <c r="B83" s="102" t="s">
        <v>167</v>
      </c>
      <c r="C83" s="93" t="s">
        <v>81</v>
      </c>
      <c r="D83" s="94" t="s">
        <v>16</v>
      </c>
      <c r="E83" s="92"/>
      <c r="F83" s="95">
        <f>ROUND(H83*1.1,2)</f>
        <v>568.91</v>
      </c>
      <c r="G83" s="96">
        <f t="shared" si="1"/>
        <v>0</v>
      </c>
      <c r="H83" s="95">
        <f>(213.6+154.35*2)*1.075/3.55*3.27</f>
        <v>517.18734507042257</v>
      </c>
      <c r="J83" s="97">
        <f t="shared" si="4"/>
        <v>0</v>
      </c>
    </row>
    <row r="84" spans="1:13" s="37" customFormat="1" hidden="1">
      <c r="A84" s="30"/>
      <c r="B84" s="31" t="s">
        <v>15</v>
      </c>
      <c r="C84" s="32" t="s">
        <v>82</v>
      </c>
      <c r="D84" s="33" t="s">
        <v>16</v>
      </c>
      <c r="E84" s="30"/>
      <c r="F84" s="34">
        <f>ROUND(H84*1.1,2)</f>
        <v>6267.44</v>
      </c>
      <c r="G84" s="35">
        <f t="shared" si="1"/>
        <v>0</v>
      </c>
      <c r="H84" s="34">
        <f>(4472+641*2)*1.075/3.55*3.27</f>
        <v>5697.6756338028172</v>
      </c>
      <c r="J84" s="37">
        <f t="shared" si="4"/>
        <v>0</v>
      </c>
    </row>
    <row r="85" spans="1:13" s="37" customFormat="1" ht="12.75" hidden="1" customHeight="1">
      <c r="A85" s="30"/>
      <c r="B85" s="31" t="s">
        <v>83</v>
      </c>
      <c r="C85" s="32" t="s">
        <v>84</v>
      </c>
      <c r="D85" s="33" t="s">
        <v>16</v>
      </c>
      <c r="E85" s="30"/>
      <c r="F85" s="34">
        <f>(6058533.767/1000-H85)/4.77*4.52+H85</f>
        <v>6039.6208669372545</v>
      </c>
      <c r="G85" s="35">
        <f t="shared" si="1"/>
        <v>0</v>
      </c>
      <c r="H85" s="34">
        <f>(4472+641*2)*1.075/3.55*3.27</f>
        <v>5697.6756338028172</v>
      </c>
      <c r="J85" s="37">
        <f t="shared" si="4"/>
        <v>0</v>
      </c>
    </row>
    <row r="86" spans="1:13" s="37" customFormat="1" ht="12.75" hidden="1" customHeight="1">
      <c r="A86" s="30"/>
      <c r="B86" s="31" t="s">
        <v>157</v>
      </c>
      <c r="C86" s="32" t="s">
        <v>158</v>
      </c>
      <c r="D86" s="33" t="s">
        <v>16</v>
      </c>
      <c r="E86" s="30"/>
      <c r="F86" s="34">
        <f>(3156597.94/1000-H86)/4.77*4.52+H86</f>
        <v>3139.0667121528331</v>
      </c>
      <c r="G86" s="35">
        <f t="shared" si="1"/>
        <v>0</v>
      </c>
      <c r="H86" s="34">
        <f>(2850)*1.075/3.55*3.27</f>
        <v>2822.1021126760565</v>
      </c>
      <c r="J86" s="37">
        <f t="shared" si="4"/>
        <v>0</v>
      </c>
    </row>
    <row r="87" spans="1:13" s="37" customFormat="1" ht="12.75" hidden="1" customHeight="1">
      <c r="A87" s="30"/>
      <c r="B87" s="80" t="s">
        <v>15</v>
      </c>
      <c r="C87" s="32" t="s">
        <v>85</v>
      </c>
      <c r="D87" s="33" t="s">
        <v>16</v>
      </c>
      <c r="E87" s="30"/>
      <c r="F87" s="34">
        <f>(ROUND(H87*1.1,2-H87)/4.77*4.52+H87)</f>
        <v>3697.8449577464789</v>
      </c>
      <c r="G87" s="35">
        <f t="shared" si="1"/>
        <v>0</v>
      </c>
      <c r="H87" s="34">
        <f>(3170+282.2*2)*1.075/3.55*3.27</f>
        <v>3697.8449577464789</v>
      </c>
      <c r="J87" s="37">
        <f t="shared" si="4"/>
        <v>0</v>
      </c>
    </row>
    <row r="88" spans="1:13" s="37" customFormat="1" ht="12.75" hidden="1" customHeight="1">
      <c r="A88" s="30"/>
      <c r="B88" s="81" t="s">
        <v>86</v>
      </c>
      <c r="C88" s="32" t="s">
        <v>87</v>
      </c>
      <c r="D88" s="33" t="s">
        <v>16</v>
      </c>
      <c r="E88" s="30"/>
      <c r="F88" s="34">
        <f>(5493665.82/1000-H88)/4.77*4.52+H88</f>
        <v>5399.5452297351403</v>
      </c>
      <c r="G88" s="35">
        <f t="shared" si="1"/>
        <v>0</v>
      </c>
      <c r="H88" s="34">
        <f>(3170+282.2*2)*1.075/3.55*3.27</f>
        <v>3697.8449577464789</v>
      </c>
      <c r="J88" s="37">
        <f t="shared" si="4"/>
        <v>0</v>
      </c>
    </row>
    <row r="89" spans="1:13" s="37" customFormat="1" ht="12.75" hidden="1" customHeight="1">
      <c r="A89" s="30"/>
      <c r="B89" s="31" t="s">
        <v>15</v>
      </c>
      <c r="C89" s="32" t="s">
        <v>88</v>
      </c>
      <c r="D89" s="33" t="s">
        <v>16</v>
      </c>
      <c r="E89" s="30"/>
      <c r="F89" s="34">
        <f>ROUND(H89*1.1,2)</f>
        <v>4170.34</v>
      </c>
      <c r="G89" s="35">
        <f t="shared" si="1"/>
        <v>0</v>
      </c>
      <c r="H89" s="34">
        <f>(3520+154.35*2)*1.075/3.55*3.27</f>
        <v>3791.2218802816906</v>
      </c>
      <c r="J89" s="37">
        <f t="shared" si="4"/>
        <v>0</v>
      </c>
    </row>
    <row r="90" spans="1:13" s="37" customFormat="1" ht="25.5" hidden="1" customHeight="1">
      <c r="A90" s="30"/>
      <c r="B90" s="31" t="s">
        <v>15</v>
      </c>
      <c r="C90" s="32" t="s">
        <v>89</v>
      </c>
      <c r="D90" s="33" t="s">
        <v>16</v>
      </c>
      <c r="E90" s="30"/>
      <c r="F90" s="34">
        <f>ROUND(H90*1.1,2)</f>
        <v>5188.78</v>
      </c>
      <c r="G90" s="35">
        <f t="shared" si="1"/>
        <v>0</v>
      </c>
      <c r="H90" s="34">
        <f>(4371+196.35*2)*1.075/3.55*3.27</f>
        <v>4717.0694154929579</v>
      </c>
      <c r="J90" s="37">
        <f t="shared" si="4"/>
        <v>0</v>
      </c>
    </row>
    <row r="91" spans="1:13" s="37" customFormat="1" ht="25.5" hidden="1" customHeight="1">
      <c r="A91" s="30"/>
      <c r="B91" s="31" t="s">
        <v>21</v>
      </c>
      <c r="C91" s="32" t="s">
        <v>90</v>
      </c>
      <c r="D91" s="33" t="s">
        <v>16</v>
      </c>
      <c r="E91" s="30"/>
      <c r="F91" s="45">
        <f>774.165196/3.55*3.27</f>
        <v>713.10427913239448</v>
      </c>
      <c r="G91" s="35">
        <f>E91*F91</f>
        <v>0</v>
      </c>
      <c r="H91" s="53"/>
      <c r="J91" s="37">
        <f t="shared" si="4"/>
        <v>0</v>
      </c>
    </row>
    <row r="92" spans="1:13" s="37" customFormat="1" ht="25.5" hidden="1" customHeight="1">
      <c r="A92" s="30"/>
      <c r="B92" s="31" t="s">
        <v>21</v>
      </c>
      <c r="C92" s="32" t="s">
        <v>91</v>
      </c>
      <c r="D92" s="33" t="s">
        <v>16</v>
      </c>
      <c r="E92" s="30"/>
      <c r="F92" s="34">
        <f>14.8007309907692/4.77*4.52</f>
        <v>14.025011337164942</v>
      </c>
      <c r="G92" s="35">
        <f>ROUND(F92*E92,3)</f>
        <v>0</v>
      </c>
      <c r="H92" s="54" t="s">
        <v>92</v>
      </c>
      <c r="J92" s="37" t="e">
        <f t="shared" si="4"/>
        <v>#VALUE!</v>
      </c>
    </row>
    <row r="93" spans="1:13" s="37" customFormat="1" ht="25.5" hidden="1" customHeight="1">
      <c r="A93" s="38"/>
      <c r="B93" s="39" t="s">
        <v>21</v>
      </c>
      <c r="C93" s="40" t="s">
        <v>91</v>
      </c>
      <c r="D93" s="41" t="s">
        <v>51</v>
      </c>
      <c r="E93" s="38"/>
      <c r="F93" s="42">
        <f>42.6113889202797*1.18/4.77*4.52</f>
        <v>47.64614338473875</v>
      </c>
      <c r="G93" s="43">
        <f>ROUND(F93*E93,3)</f>
        <v>0</v>
      </c>
      <c r="H93" s="52"/>
      <c r="I93" s="44"/>
      <c r="J93" s="44"/>
      <c r="K93" s="44"/>
      <c r="L93" s="44"/>
      <c r="M93" s="44"/>
    </row>
    <row r="94" spans="1:13" s="37" customFormat="1" ht="25.5" hidden="1" customHeight="1">
      <c r="A94" s="30"/>
      <c r="B94" s="31" t="s">
        <v>21</v>
      </c>
      <c r="C94" s="32" t="s">
        <v>93</v>
      </c>
      <c r="D94" s="33" t="s">
        <v>16</v>
      </c>
      <c r="E94" s="30"/>
      <c r="F94" s="45">
        <f>0.93313/4.77*4.52+H94/3.55*3.27</f>
        <v>1.2710970549502465</v>
      </c>
      <c r="G94" s="35">
        <f>E94*F94</f>
        <v>0</v>
      </c>
      <c r="H94" s="53">
        <f>0.42</f>
        <v>0.42</v>
      </c>
      <c r="J94" s="37">
        <f>H94*E94</f>
        <v>0</v>
      </c>
    </row>
    <row r="95" spans="1:13" s="37" customFormat="1" ht="25.5" hidden="1" customHeight="1">
      <c r="A95" s="30"/>
      <c r="B95" s="31" t="s">
        <v>21</v>
      </c>
      <c r="C95" s="32" t="s">
        <v>94</v>
      </c>
      <c r="D95" s="33" t="s">
        <v>16</v>
      </c>
      <c r="E95" s="30"/>
      <c r="F95" s="45">
        <f>0.93313/4.77*4.52+H95/3.55*3.27</f>
        <v>2.5054069141051762</v>
      </c>
      <c r="G95" s="35">
        <f>E95*F95</f>
        <v>0</v>
      </c>
      <c r="H95" s="50">
        <f>1.76</f>
        <v>1.76</v>
      </c>
      <c r="J95" s="37">
        <f>H95*E95</f>
        <v>0</v>
      </c>
    </row>
    <row r="96" spans="1:13" s="37" customFormat="1" ht="25.5" hidden="1" customHeight="1">
      <c r="A96" s="30"/>
      <c r="B96" s="31" t="s">
        <v>21</v>
      </c>
      <c r="C96" s="32" t="s">
        <v>96</v>
      </c>
      <c r="D96" s="33" t="s">
        <v>16</v>
      </c>
      <c r="E96" s="30"/>
      <c r="F96" s="45">
        <f>12682.6/100/4.77*4.52</f>
        <v>120.17893501048219</v>
      </c>
      <c r="G96" s="35">
        <f>E96*F96</f>
        <v>0</v>
      </c>
      <c r="H96" s="50"/>
      <c r="J96" s="37">
        <f>H96*E96</f>
        <v>0</v>
      </c>
    </row>
    <row r="97" spans="1:10" s="37" customFormat="1" ht="12.75" hidden="1" customHeight="1">
      <c r="A97" s="30"/>
      <c r="B97" s="31" t="s">
        <v>97</v>
      </c>
      <c r="C97" s="32" t="s">
        <v>98</v>
      </c>
      <c r="D97" s="33" t="s">
        <v>23</v>
      </c>
      <c r="E97" s="30"/>
      <c r="F97" s="34">
        <f>1.25*1284.02/4.77*4.52</f>
        <v>1520.9041928721176</v>
      </c>
      <c r="G97" s="35">
        <f t="shared" ref="G97:G111" si="5">ROUND(F97*E97,3)</f>
        <v>0</v>
      </c>
    </row>
    <row r="98" spans="1:10" s="37" customFormat="1" ht="12.75" hidden="1" customHeight="1">
      <c r="A98" s="30"/>
      <c r="B98" s="31" t="s">
        <v>97</v>
      </c>
      <c r="C98" s="32" t="s">
        <v>99</v>
      </c>
      <c r="D98" s="33" t="s">
        <v>23</v>
      </c>
      <c r="E98" s="30"/>
      <c r="F98" s="34">
        <f>1.25*834.78/4.77*4.52</f>
        <v>988.78553459119496</v>
      </c>
      <c r="G98" s="35">
        <f t="shared" si="5"/>
        <v>0</v>
      </c>
    </row>
    <row r="99" spans="1:10" s="37" customFormat="1" ht="25.5" hidden="1" customHeight="1">
      <c r="A99" s="30"/>
      <c r="B99" s="46" t="s">
        <v>100</v>
      </c>
      <c r="C99" s="32" t="s">
        <v>101</v>
      </c>
      <c r="D99" s="33" t="s">
        <v>16</v>
      </c>
      <c r="E99" s="30"/>
      <c r="F99" s="34">
        <f>(3.321*5.53*1.18)/4.77*4.52+H99/3.55*3.27</f>
        <v>731.55656911379219</v>
      </c>
      <c r="G99" s="35">
        <f t="shared" si="5"/>
        <v>0</v>
      </c>
      <c r="H99" s="55">
        <f>654.156*1.18</f>
        <v>771.90407999999991</v>
      </c>
      <c r="J99" s="37">
        <f>H99*E99</f>
        <v>0</v>
      </c>
    </row>
    <row r="100" spans="1:10" s="37" customFormat="1" ht="27.75" hidden="1" customHeight="1">
      <c r="A100" s="30"/>
      <c r="B100" s="31" t="s">
        <v>21</v>
      </c>
      <c r="C100" s="32" t="s">
        <v>102</v>
      </c>
      <c r="D100" s="33" t="s">
        <v>23</v>
      </c>
      <c r="E100" s="30"/>
      <c r="F100" s="45">
        <f>1284.02/2/4.77*4.52</f>
        <v>608.36167714884687</v>
      </c>
      <c r="G100" s="56">
        <f t="shared" si="5"/>
        <v>0</v>
      </c>
    </row>
    <row r="101" spans="1:10" s="37" customFormat="1" ht="28.5" hidden="1" customHeight="1">
      <c r="A101" s="30"/>
      <c r="B101" s="31" t="s">
        <v>15</v>
      </c>
      <c r="C101" s="32" t="s">
        <v>103</v>
      </c>
      <c r="D101" s="33" t="s">
        <v>16</v>
      </c>
      <c r="E101" s="30"/>
      <c r="F101" s="34">
        <f>(4.684+0.328)*4.52*1.18+H101/3.55*3.27</f>
        <v>160.41052432676059</v>
      </c>
      <c r="G101" s="56">
        <f t="shared" si="5"/>
        <v>0</v>
      </c>
      <c r="H101" s="36">
        <f>(135)*1.075</f>
        <v>145.125</v>
      </c>
      <c r="J101" s="37">
        <f t="shared" ref="J101:J108" si="6">H101*E101</f>
        <v>0</v>
      </c>
    </row>
    <row r="102" spans="1:10" s="37" customFormat="1" ht="12.75" hidden="1" customHeight="1">
      <c r="A102" s="30"/>
      <c r="B102" s="31" t="s">
        <v>104</v>
      </c>
      <c r="C102" s="32" t="s">
        <v>105</v>
      </c>
      <c r="D102" s="33" t="s">
        <v>16</v>
      </c>
      <c r="E102" s="30"/>
      <c r="F102" s="34">
        <f>(260585.3/1000-H102)/4.77*4.52+H102/3.55*3.27</f>
        <v>242.26098085738866</v>
      </c>
      <c r="G102" s="35">
        <f t="shared" si="5"/>
        <v>0</v>
      </c>
      <c r="H102" s="36">
        <f>(84.1+94)*1.075/3.55*3.27</f>
        <v>176.35662676056339</v>
      </c>
      <c r="J102" s="37">
        <f t="shared" si="6"/>
        <v>0</v>
      </c>
    </row>
    <row r="103" spans="1:10" s="37" customFormat="1" ht="12.75" hidden="1" customHeight="1">
      <c r="A103" s="30"/>
      <c r="B103" s="31" t="s">
        <v>160</v>
      </c>
      <c r="C103" s="32" t="s">
        <v>159</v>
      </c>
      <c r="D103" s="33" t="s">
        <v>16</v>
      </c>
      <c r="E103" s="30"/>
      <c r="F103" s="34">
        <f>(280205.16/1000-H103)/4.77*4.52+H103</f>
        <v>276.2528714447692</v>
      </c>
      <c r="G103" s="35">
        <f t="shared" si="5"/>
        <v>0</v>
      </c>
      <c r="H103" s="36">
        <f>(96.42+110.4)*1.075/3.55*3.27</f>
        <v>204.79549436619718</v>
      </c>
      <c r="J103" s="37">
        <f t="shared" si="6"/>
        <v>0</v>
      </c>
    </row>
    <row r="104" spans="1:10" s="37" customFormat="1" ht="12.75" hidden="1" customHeight="1">
      <c r="A104" s="30"/>
      <c r="B104" s="31" t="s">
        <v>15</v>
      </c>
      <c r="C104" s="32" t="s">
        <v>106</v>
      </c>
      <c r="D104" s="33" t="s">
        <v>16</v>
      </c>
      <c r="E104" s="30"/>
      <c r="F104" s="45">
        <f>(25.145)*1.18/4.77*4.52+H104</f>
        <v>331.48101090146747</v>
      </c>
      <c r="G104" s="35">
        <f t="shared" si="5"/>
        <v>0</v>
      </c>
      <c r="H104" s="48">
        <f>(282.2)*1.075</f>
        <v>303.36499999999995</v>
      </c>
      <c r="J104" s="37">
        <f t="shared" si="6"/>
        <v>0</v>
      </c>
    </row>
    <row r="105" spans="1:10" s="37" customFormat="1" ht="12.75" hidden="1" customHeight="1">
      <c r="A105" s="30"/>
      <c r="B105" s="31" t="s">
        <v>15</v>
      </c>
      <c r="C105" s="32" t="s">
        <v>107</v>
      </c>
      <c r="D105" s="33" t="s">
        <v>16</v>
      </c>
      <c r="E105" s="30"/>
      <c r="F105" s="45">
        <f>(25.145)*1.18+H105</f>
        <v>458.92768450704233</v>
      </c>
      <c r="G105" s="35">
        <f t="shared" si="5"/>
        <v>0</v>
      </c>
      <c r="H105" s="48">
        <f>(433.5)*1.075/3.55*3.27</f>
        <v>429.25658450704231</v>
      </c>
      <c r="J105" s="37">
        <f t="shared" si="6"/>
        <v>0</v>
      </c>
    </row>
    <row r="106" spans="1:10" s="37" customFormat="1" ht="12.75" hidden="1" customHeight="1">
      <c r="A106" s="30"/>
      <c r="B106" s="46" t="s">
        <v>43</v>
      </c>
      <c r="C106" s="32" t="s">
        <v>108</v>
      </c>
      <c r="D106" s="33" t="s">
        <v>16</v>
      </c>
      <c r="E106" s="30"/>
      <c r="F106" s="34">
        <f>(2.8)/4.77*4.52*1.18+H106/3.55*3.27</f>
        <v>138.7398911998612</v>
      </c>
      <c r="G106" s="35">
        <f t="shared" si="5"/>
        <v>0</v>
      </c>
      <c r="H106" s="47">
        <f>(97.409+18.65)*1.075*1.18</f>
        <v>147.22084149999998</v>
      </c>
      <c r="J106" s="37">
        <f t="shared" si="6"/>
        <v>0</v>
      </c>
    </row>
    <row r="107" spans="1:10" s="37" customFormat="1" ht="25.5" hidden="1" customHeight="1">
      <c r="A107" s="30"/>
      <c r="B107" s="46" t="s">
        <v>30</v>
      </c>
      <c r="C107" s="32" t="s">
        <v>109</v>
      </c>
      <c r="D107" s="33" t="s">
        <v>16</v>
      </c>
      <c r="E107" s="30"/>
      <c r="F107" s="34">
        <f>(2.8)*1.18+H107</f>
        <v>154.445775</v>
      </c>
      <c r="G107" s="35">
        <f t="shared" si="5"/>
        <v>0</v>
      </c>
      <c r="H107" s="47">
        <f>(100.5+18.65)*1.075*1.18</f>
        <v>151.141775</v>
      </c>
      <c r="J107" s="37">
        <f t="shared" si="6"/>
        <v>0</v>
      </c>
    </row>
    <row r="108" spans="1:10" s="37" customFormat="1" ht="12.75" hidden="1" customHeight="1">
      <c r="A108" s="30"/>
      <c r="B108" s="46" t="s">
        <v>30</v>
      </c>
      <c r="C108" s="32" t="s">
        <v>110</v>
      </c>
      <c r="D108" s="33" t="s">
        <v>16</v>
      </c>
      <c r="E108" s="30"/>
      <c r="F108" s="34">
        <f>(1.36+2.8)/4.77*4.52*1.18+H108/3.55*3.27</f>
        <v>33.231795141524195</v>
      </c>
      <c r="G108" s="35">
        <f t="shared" si="5"/>
        <v>0</v>
      </c>
      <c r="H108" s="47">
        <f>24.46*1.075*1.18</f>
        <v>31.027509999999996</v>
      </c>
      <c r="J108" s="37">
        <f t="shared" si="6"/>
        <v>0</v>
      </c>
    </row>
    <row r="109" spans="1:10" s="37" customFormat="1" ht="12.75" hidden="1" customHeight="1">
      <c r="A109" s="30"/>
      <c r="B109" s="46" t="s">
        <v>111</v>
      </c>
      <c r="C109" s="32" t="s">
        <v>112</v>
      </c>
      <c r="D109" s="33" t="s">
        <v>16</v>
      </c>
      <c r="E109" s="30"/>
      <c r="F109" s="34">
        <f>5.226*1.18/4.77*4.52+H109/3.55*3.27</f>
        <v>115.74863930551865</v>
      </c>
      <c r="G109" s="35">
        <f t="shared" si="5"/>
        <v>0</v>
      </c>
      <c r="H109" s="37">
        <v>119.316</v>
      </c>
    </row>
    <row r="110" spans="1:10" s="37" customFormat="1" ht="12.75" hidden="1" customHeight="1">
      <c r="A110" s="30"/>
      <c r="B110" s="31" t="s">
        <v>33</v>
      </c>
      <c r="C110" s="32" t="s">
        <v>114</v>
      </c>
      <c r="D110" s="33" t="s">
        <v>16</v>
      </c>
      <c r="E110" s="30"/>
      <c r="F110" s="34">
        <f>H110/3.55*3.27+(143.41*4.52/1000)*1.18</f>
        <v>4.2563765055774647</v>
      </c>
      <c r="G110" s="35">
        <f t="shared" si="5"/>
        <v>0</v>
      </c>
      <c r="H110" s="36">
        <f>3.526*1.075</f>
        <v>3.7904499999999994</v>
      </c>
    </row>
    <row r="111" spans="1:10" s="37" customFormat="1" ht="12.75" hidden="1" customHeight="1">
      <c r="A111" s="30"/>
      <c r="B111" s="31" t="s">
        <v>33</v>
      </c>
      <c r="C111" s="32" t="s">
        <v>113</v>
      </c>
      <c r="D111" s="33" t="s">
        <v>16</v>
      </c>
      <c r="E111" s="30"/>
      <c r="F111" s="34">
        <f>H111/3.55*3.27+4.701*1.18/4.77*4.52</f>
        <v>41.329843774470724</v>
      </c>
      <c r="G111" s="35">
        <f t="shared" si="5"/>
        <v>0</v>
      </c>
      <c r="H111" s="36">
        <f>36.43*1.075</f>
        <v>39.16225</v>
      </c>
    </row>
    <row r="112" spans="1:10" s="37" customFormat="1" ht="12.75" hidden="1" customHeight="1">
      <c r="A112" s="30"/>
      <c r="B112" s="31" t="s">
        <v>21</v>
      </c>
      <c r="C112" s="32" t="s">
        <v>115</v>
      </c>
      <c r="D112" s="33" t="s">
        <v>16</v>
      </c>
      <c r="E112" s="30"/>
      <c r="F112" s="45">
        <f>4.19524/4.77*4.52+H112/3.55*3.27</f>
        <v>38.409320337614794</v>
      </c>
      <c r="G112" s="35">
        <f>E112*F112</f>
        <v>0</v>
      </c>
      <c r="H112" s="50">
        <f>35.62243+1.76</f>
        <v>37.382429999999999</v>
      </c>
      <c r="J112" s="37">
        <f>H112*E112</f>
        <v>0</v>
      </c>
    </row>
    <row r="113" spans="1:13" s="37" customFormat="1" ht="25.5" hidden="1" customHeight="1">
      <c r="A113" s="30"/>
      <c r="B113" s="46" t="s">
        <v>21</v>
      </c>
      <c r="C113" s="32" t="s">
        <v>116</v>
      </c>
      <c r="D113" s="33" t="s">
        <v>16</v>
      </c>
      <c r="E113" s="30"/>
      <c r="F113" s="45">
        <f>(0.15894*4.52*1.18)+H113/3.55*3.27</f>
        <v>7.8054257361126744</v>
      </c>
      <c r="G113" s="35">
        <f>ROUND(F113*E113,3)</f>
        <v>0</v>
      </c>
      <c r="H113" s="47">
        <f>(592.11+6961.36)/1000</f>
        <v>7.553469999999999</v>
      </c>
    </row>
    <row r="114" spans="1:13" s="37" customFormat="1" ht="25.5" hidden="1" customHeight="1">
      <c r="A114" s="30"/>
      <c r="B114" s="46" t="s">
        <v>27</v>
      </c>
      <c r="C114" s="32" t="s">
        <v>172</v>
      </c>
      <c r="D114" s="33" t="s">
        <v>16</v>
      </c>
      <c r="E114" s="30"/>
      <c r="F114" s="34">
        <f>(2.544)/4.77*4.52*1.18+H114/3.55*3.27</f>
        <v>28.090699962441317</v>
      </c>
      <c r="G114" s="35">
        <f>ROUND(F114*E114,3)</f>
        <v>0</v>
      </c>
      <c r="H114" s="47">
        <f>(23.227*1.18)</f>
        <v>27.407859999999999</v>
      </c>
      <c r="J114" s="37">
        <f>H114*E114</f>
        <v>0</v>
      </c>
    </row>
    <row r="115" spans="1:13" s="37" customFormat="1" ht="25.5" hidden="1" customHeight="1">
      <c r="A115" s="30"/>
      <c r="B115" s="46" t="s">
        <v>30</v>
      </c>
      <c r="C115" s="32" t="s">
        <v>118</v>
      </c>
      <c r="D115" s="33" t="s">
        <v>16</v>
      </c>
      <c r="E115" s="30"/>
      <c r="F115" s="34">
        <f>(2.88)*1.18/4.77*4.52+H115/3.55*3.27</f>
        <v>52.470424609354239</v>
      </c>
      <c r="G115" s="35">
        <f>ROUND(F115*E115,3)</f>
        <v>0</v>
      </c>
      <c r="H115" s="47">
        <f>(42.15)*1.075*1.18</f>
        <v>53.467274999999994</v>
      </c>
      <c r="J115" s="37">
        <f>H115*E115</f>
        <v>0</v>
      </c>
    </row>
    <row r="116" spans="1:13" s="37" customFormat="1" ht="12.75" hidden="1" customHeight="1">
      <c r="A116" s="30"/>
      <c r="B116" s="46" t="s">
        <v>21</v>
      </c>
      <c r="C116" s="32" t="s">
        <v>119</v>
      </c>
      <c r="D116" s="33" t="s">
        <v>16</v>
      </c>
      <c r="E116" s="30"/>
      <c r="F116" s="34">
        <f>(755.13*4.52/1000)*1.18+H116/3.55*3.27</f>
        <v>45.017702213070422</v>
      </c>
      <c r="G116" s="35">
        <f>ROUND(F116*E116,3)</f>
        <v>0</v>
      </c>
      <c r="H116" s="37">
        <v>44.5</v>
      </c>
    </row>
    <row r="117" spans="1:13" s="37" customFormat="1" ht="25.5" hidden="1" customHeight="1">
      <c r="A117" s="30"/>
      <c r="B117" s="31" t="s">
        <v>21</v>
      </c>
      <c r="C117" s="32" t="s">
        <v>120</v>
      </c>
      <c r="D117" s="33" t="s">
        <v>16</v>
      </c>
      <c r="E117" s="30"/>
      <c r="F117" s="34">
        <f>432.118</f>
        <v>432.11799999999999</v>
      </c>
      <c r="G117" s="35">
        <f>E117*F117</f>
        <v>0</v>
      </c>
      <c r="H117" s="37">
        <f>336.738</f>
        <v>336.738</v>
      </c>
    </row>
    <row r="118" spans="1:13" s="37" customFormat="1" ht="12.75" hidden="1" customHeight="1">
      <c r="A118" s="30"/>
      <c r="B118" s="31" t="s">
        <v>121</v>
      </c>
      <c r="C118" s="32" t="s">
        <v>122</v>
      </c>
      <c r="D118" s="33" t="s">
        <v>16</v>
      </c>
      <c r="E118" s="30"/>
      <c r="F118" s="34">
        <f>(345.02*1.18*4.52/1000)+H118/3.55*3.27</f>
        <v>142.3510604528546</v>
      </c>
      <c r="G118" s="35">
        <f>E118*F118</f>
        <v>0</v>
      </c>
      <c r="H118" s="37">
        <f>180000/1000/1.18</f>
        <v>152.54237288135593</v>
      </c>
    </row>
    <row r="119" spans="1:13" s="37" customFormat="1" ht="12.75" hidden="1" customHeight="1">
      <c r="A119" s="30"/>
      <c r="B119" s="46" t="s">
        <v>123</v>
      </c>
      <c r="C119" s="32" t="s">
        <v>124</v>
      </c>
      <c r="D119" s="33" t="s">
        <v>16</v>
      </c>
      <c r="E119" s="30"/>
      <c r="F119" s="34">
        <f>(2.594+7.604)*1.18/4.77*4.52+H119/3.55*3.27</f>
        <v>69.350109459946253</v>
      </c>
      <c r="G119" s="35">
        <f t="shared" ref="G119:G124" si="7">ROUND(F119*E119,3)</f>
        <v>0</v>
      </c>
      <c r="H119" s="47">
        <f>58.52*1.075</f>
        <v>62.908999999999999</v>
      </c>
      <c r="J119" s="37">
        <f>H119*E119</f>
        <v>0</v>
      </c>
      <c r="L119" s="50" t="s">
        <v>125</v>
      </c>
    </row>
    <row r="120" spans="1:13" s="37" customFormat="1" ht="12.75" hidden="1" customHeight="1">
      <c r="A120" s="30"/>
      <c r="B120" s="46" t="s">
        <v>123</v>
      </c>
      <c r="C120" s="32" t="s">
        <v>126</v>
      </c>
      <c r="D120" s="33" t="s">
        <v>16</v>
      </c>
      <c r="E120" s="30"/>
      <c r="F120" s="34">
        <f>(2.627+7.642)*1.18/4.77*4.52+H120/3.55*3.27</f>
        <v>51.217532840818492</v>
      </c>
      <c r="G120" s="35">
        <f t="shared" si="7"/>
        <v>0</v>
      </c>
      <c r="H120" s="47">
        <f>40.128*1.075</f>
        <v>43.137599999999999</v>
      </c>
      <c r="J120" s="37">
        <f>H120*E120</f>
        <v>0</v>
      </c>
      <c r="L120" s="50" t="s">
        <v>127</v>
      </c>
    </row>
    <row r="121" spans="1:13" s="37" customFormat="1" ht="12.75" hidden="1" customHeight="1">
      <c r="A121" s="30"/>
      <c r="B121" s="46" t="s">
        <v>123</v>
      </c>
      <c r="C121" s="32" t="s">
        <v>128</v>
      </c>
      <c r="D121" s="33" t="s">
        <v>16</v>
      </c>
      <c r="E121" s="30"/>
      <c r="F121" s="34">
        <f>(2.594+7.604)*1.18/4.77*4.52+H121/3.55*3.27</f>
        <v>71.419651009242031</v>
      </c>
      <c r="G121" s="35">
        <f t="shared" si="7"/>
        <v>0</v>
      </c>
      <c r="H121" s="47">
        <f>60.61*1.075</f>
        <v>65.155749999999998</v>
      </c>
      <c r="J121" s="37">
        <f>H121*E121</f>
        <v>0</v>
      </c>
    </row>
    <row r="122" spans="1:13" s="37" customFormat="1" ht="12.75" hidden="1" customHeight="1">
      <c r="A122" s="30"/>
      <c r="B122" s="46" t="s">
        <v>129</v>
      </c>
      <c r="C122" s="32" t="s">
        <v>130</v>
      </c>
      <c r="D122" s="33" t="s">
        <v>16</v>
      </c>
      <c r="E122" s="30"/>
      <c r="F122" s="34">
        <f>(2.594+7.604)*1.18/4.77*4.52+H122/3.55*3.27</f>
        <v>270.09563974163638</v>
      </c>
      <c r="G122" s="35">
        <f t="shared" si="7"/>
        <v>0</v>
      </c>
      <c r="H122" s="47">
        <f>261250/1000*1.075</f>
        <v>280.84375</v>
      </c>
      <c r="J122" s="37">
        <f>H122*E122</f>
        <v>0</v>
      </c>
    </row>
    <row r="123" spans="1:13" s="37" customFormat="1" ht="12.75" hidden="1" customHeight="1">
      <c r="A123" s="30"/>
      <c r="B123" s="46" t="s">
        <v>131</v>
      </c>
      <c r="C123" s="32" t="s">
        <v>132</v>
      </c>
      <c r="D123" s="33" t="s">
        <v>16</v>
      </c>
      <c r="E123" s="30"/>
      <c r="F123" s="34">
        <f>(321.37-H123)/4.77*4.52+H123</f>
        <v>319.62978876192165</v>
      </c>
      <c r="G123" s="35">
        <f t="shared" si="7"/>
        <v>0</v>
      </c>
      <c r="H123" s="55">
        <f>265.12*1.18/3.55*3.27</f>
        <v>288.16676957746478</v>
      </c>
      <c r="J123" s="37">
        <f>H123*E123</f>
        <v>0</v>
      </c>
    </row>
    <row r="124" spans="1:13" s="37" customFormat="1" ht="12.75" hidden="1" customHeight="1">
      <c r="A124" s="30"/>
      <c r="B124" s="31" t="s">
        <v>21</v>
      </c>
      <c r="C124" s="32" t="s">
        <v>133</v>
      </c>
      <c r="D124" s="33" t="s">
        <v>23</v>
      </c>
      <c r="E124" s="30"/>
      <c r="F124" s="34">
        <f>1284.02*0.25/4.77*4.52</f>
        <v>304.18083857442343</v>
      </c>
      <c r="G124" s="35">
        <f t="shared" si="7"/>
        <v>0</v>
      </c>
    </row>
    <row r="125" spans="1:13" s="37" customFormat="1">
      <c r="A125" s="30"/>
      <c r="B125" s="31"/>
      <c r="C125" s="32"/>
      <c r="D125" s="33"/>
      <c r="E125" s="30"/>
      <c r="F125" s="34"/>
      <c r="G125" s="35"/>
    </row>
    <row r="126" spans="1:13" s="37" customFormat="1">
      <c r="A126" s="30"/>
      <c r="B126" s="57" t="s">
        <v>134</v>
      </c>
      <c r="C126" s="32" t="s">
        <v>135</v>
      </c>
      <c r="D126" s="33" t="s">
        <v>16</v>
      </c>
      <c r="E126" s="30">
        <v>1</v>
      </c>
      <c r="F126" s="34"/>
      <c r="G126" s="35">
        <f>ROUND(SUM(G27)*0.01,3)</f>
        <v>8.5370000000000008</v>
      </c>
      <c r="H126" s="50" t="s">
        <v>136</v>
      </c>
    </row>
    <row r="127" spans="1:13" s="37" customFormat="1">
      <c r="A127" s="30"/>
      <c r="B127" s="31"/>
      <c r="C127" s="32"/>
      <c r="D127" s="33"/>
      <c r="E127" s="30"/>
      <c r="F127" s="58"/>
      <c r="G127" s="35"/>
    </row>
    <row r="128" spans="1:13">
      <c r="A128" s="59"/>
      <c r="B128" s="60"/>
      <c r="C128" s="123" t="s">
        <v>137</v>
      </c>
      <c r="D128" s="124"/>
      <c r="E128" s="125"/>
      <c r="F128" s="61"/>
      <c r="G128" s="61">
        <f>SUM(G20:G123)+IF(E126=0,0,G126)</f>
        <v>873.76</v>
      </c>
      <c r="H128" s="62" t="s">
        <v>138</v>
      </c>
      <c r="J128" s="84">
        <f>J57</f>
        <v>0</v>
      </c>
      <c r="M128">
        <f>IF(E126=0,SUM(G20:G123),SUM(G20:G126))</f>
        <v>873.76</v>
      </c>
    </row>
    <row r="129" spans="1:8" ht="12.75" customHeight="1">
      <c r="A129" s="126" t="s">
        <v>139</v>
      </c>
      <c r="B129" s="127"/>
      <c r="C129" s="127"/>
      <c r="D129" s="127"/>
      <c r="E129" s="116"/>
      <c r="F129" s="61"/>
      <c r="G129" s="61"/>
    </row>
    <row r="130" spans="1:8" ht="25.5">
      <c r="A130" s="64">
        <f>A28+1</f>
        <v>3</v>
      </c>
      <c r="B130" s="65" t="s">
        <v>140</v>
      </c>
      <c r="C130" s="66" t="s">
        <v>141</v>
      </c>
      <c r="D130" s="67"/>
      <c r="E130" s="68"/>
      <c r="F130" s="61"/>
      <c r="G130" s="69">
        <f>ROUND(J128*0.07,2)</f>
        <v>0</v>
      </c>
      <c r="H130" s="62" t="s">
        <v>142</v>
      </c>
    </row>
    <row r="131" spans="1:8">
      <c r="A131" s="64">
        <f>A130+1</f>
        <v>4</v>
      </c>
      <c r="B131" s="57" t="s">
        <v>134</v>
      </c>
      <c r="C131" s="123" t="s">
        <v>143</v>
      </c>
      <c r="D131" s="124"/>
      <c r="E131" s="124"/>
      <c r="F131" s="58"/>
      <c r="G131" s="58">
        <f>ROUND(G128*0.07,2)</f>
        <v>61.16</v>
      </c>
      <c r="H131" t="s">
        <v>144</v>
      </c>
    </row>
    <row r="132" spans="1:8" ht="26.25" customHeight="1">
      <c r="A132" s="64">
        <f>A131+1</f>
        <v>5</v>
      </c>
      <c r="B132" s="57" t="s">
        <v>145</v>
      </c>
      <c r="C132" s="123" t="s">
        <v>146</v>
      </c>
      <c r="D132" s="124"/>
      <c r="E132" s="124"/>
      <c r="F132" s="70"/>
      <c r="G132" s="58">
        <f>ROUND(G128*0.01,3)</f>
        <v>8.7379999999999995</v>
      </c>
      <c r="H132" t="s">
        <v>147</v>
      </c>
    </row>
    <row r="133" spans="1:8">
      <c r="A133" s="71"/>
      <c r="B133" s="72"/>
      <c r="C133" s="123" t="s">
        <v>148</v>
      </c>
      <c r="D133" s="124"/>
      <c r="E133" s="125"/>
      <c r="F133" s="58"/>
      <c r="G133" s="58">
        <f>SUM(G130:G132)</f>
        <v>69.897999999999996</v>
      </c>
    </row>
    <row r="134" spans="1:8" s="37" customFormat="1">
      <c r="A134" s="30"/>
      <c r="B134" s="31"/>
      <c r="C134" s="128"/>
      <c r="D134" s="129"/>
      <c r="E134" s="130"/>
      <c r="F134" s="58"/>
      <c r="G134" s="35"/>
    </row>
    <row r="135" spans="1:8">
      <c r="A135" s="117" t="s">
        <v>149</v>
      </c>
      <c r="B135" s="118"/>
      <c r="C135" s="118"/>
      <c r="D135" s="118"/>
      <c r="E135" s="118"/>
      <c r="F135" s="73"/>
      <c r="G135" s="74">
        <f>G133+G128</f>
        <v>943.65800000000002</v>
      </c>
    </row>
    <row r="136" spans="1:8">
      <c r="A136" s="71">
        <f>A132+1</f>
        <v>6</v>
      </c>
      <c r="B136" s="57" t="s">
        <v>145</v>
      </c>
      <c r="C136" s="123" t="s">
        <v>150</v>
      </c>
      <c r="D136" s="124"/>
      <c r="E136" s="124"/>
      <c r="F136" s="70"/>
      <c r="G136" s="58">
        <f>ROUND(G135*0.03,3)</f>
        <v>28.31</v>
      </c>
    </row>
    <row r="137" spans="1:8">
      <c r="A137" s="71"/>
      <c r="B137" s="72"/>
      <c r="C137" s="123"/>
      <c r="D137" s="124"/>
      <c r="E137" s="125"/>
      <c r="F137" s="58"/>
      <c r="G137" s="58"/>
    </row>
    <row r="138" spans="1:8">
      <c r="A138" s="117" t="s">
        <v>151</v>
      </c>
      <c r="B138" s="118"/>
      <c r="C138" s="118"/>
      <c r="D138" s="118"/>
      <c r="E138" s="118"/>
      <c r="F138" s="73"/>
      <c r="G138" s="74">
        <f>G135+G136</f>
        <v>971.96799999999996</v>
      </c>
      <c r="H138" s="74"/>
    </row>
    <row r="139" spans="1:8" ht="52.5" customHeight="1">
      <c r="A139" s="75"/>
      <c r="B139" s="76"/>
      <c r="C139" s="111"/>
      <c r="D139" s="111"/>
      <c r="E139" s="111"/>
      <c r="F139" s="112"/>
      <c r="G139" s="77"/>
    </row>
    <row r="140" spans="1:8" ht="15.75">
      <c r="A140" s="75"/>
      <c r="B140" s="76"/>
      <c r="C140" s="113" t="s">
        <v>152</v>
      </c>
      <c r="D140" s="113"/>
      <c r="E140" s="113"/>
      <c r="F140" s="113" t="s">
        <v>153</v>
      </c>
      <c r="G140" s="79"/>
    </row>
    <row r="141" spans="1:8" ht="15.75">
      <c r="A141" s="75"/>
      <c r="B141" s="76"/>
      <c r="C141" s="78"/>
      <c r="D141" s="78"/>
      <c r="E141" s="78"/>
      <c r="F141" s="78"/>
      <c r="G141" s="12"/>
    </row>
    <row r="144" spans="1:8">
      <c r="A144"/>
      <c r="B144"/>
      <c r="C144"/>
      <c r="D144"/>
      <c r="E144"/>
      <c r="F144"/>
      <c r="G144" s="34"/>
    </row>
  </sheetData>
  <autoFilter ref="A19:M124">
    <filterColumn colId="0">
      <customFilters>
        <customFilter operator="notEqual" val=" "/>
      </customFilters>
    </filterColumn>
    <sortState ref="A27:M114">
      <sortCondition ref="A19:A124"/>
    </sortState>
  </autoFilter>
  <mergeCells count="27">
    <mergeCell ref="C133:E133"/>
    <mergeCell ref="C134:E134"/>
    <mergeCell ref="A135:E135"/>
    <mergeCell ref="C136:E136"/>
    <mergeCell ref="C137:E137"/>
    <mergeCell ref="A138:E138"/>
    <mergeCell ref="C17:D17"/>
    <mergeCell ref="A18:D18"/>
    <mergeCell ref="C128:E128"/>
    <mergeCell ref="A129:D129"/>
    <mergeCell ref="C131:E131"/>
    <mergeCell ref="C132:E132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D1:G1"/>
    <mergeCell ref="H1:H2"/>
    <mergeCell ref="I1:M1"/>
    <mergeCell ref="N1:N2"/>
    <mergeCell ref="D2:G2"/>
    <mergeCell ref="D3:G3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 кв 2010</vt:lpstr>
      <vt:lpstr>4 кв 2011</vt:lpstr>
      <vt:lpstr>'4 кв 2010'!Область_печати</vt:lpstr>
      <vt:lpstr>'4 кв 2011'!Область_печати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bahmutova.na</dc:creator>
  <cp:lastModifiedBy>bahmutova.na</cp:lastModifiedBy>
  <cp:lastPrinted>2012-04-09T11:20:30Z</cp:lastPrinted>
  <dcterms:created xsi:type="dcterms:W3CDTF">2012-01-12T09:52:39Z</dcterms:created>
  <dcterms:modified xsi:type="dcterms:W3CDTF">2012-04-10T05:10:25Z</dcterms:modified>
</cp:coreProperties>
</file>