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9795" yWindow="-120" windowWidth="10320" windowHeight="10170" activeTab="1"/>
  </bookViews>
  <sheets>
    <sheet name="4 кв 2011 год" sheetId="4" r:id="rId1"/>
    <sheet name="4 кв 2010 год " sheetId="5" r:id="rId2"/>
  </sheets>
  <externalReferences>
    <externalReference r:id="rId3"/>
  </externalReferences>
  <definedNames>
    <definedName name="_xlnm._FilterDatabase" localSheetId="1" hidden="1">'4 кв 2010 год '!$A$19:$T$125</definedName>
    <definedName name="_xlnm._FilterDatabase" localSheetId="0" hidden="1">'4 кв 2011 год'!$A$19:$Q$125</definedName>
    <definedName name="Constr" localSheetId="1">'4 кв 2010 год '!#REF!</definedName>
    <definedName name="Constr" localSheetId="0">'4 кв 2011 год'!#REF!</definedName>
    <definedName name="FOT" localSheetId="1">'4 кв 2010 год '!#REF!</definedName>
    <definedName name="FOT" localSheetId="0">'4 кв 2011 год'!#REF!</definedName>
    <definedName name="Ind" localSheetId="1">'4 кв 2010 год '!#REF!</definedName>
    <definedName name="Ind" localSheetId="0">'4 кв 2011 год'!#REF!</definedName>
    <definedName name="Obj" localSheetId="1">'4 кв 2010 год '!#REF!</definedName>
    <definedName name="Obj" localSheetId="0">'4 кв 2011 год'!#REF!</definedName>
    <definedName name="Obosn" localSheetId="1">'4 кв 2010 год '!#REF!</definedName>
    <definedName name="Obosn" localSheetId="0">'4 кв 2011 год'!#REF!</definedName>
    <definedName name="SmPr" localSheetId="1">'4 кв 2010 год '!#REF!</definedName>
    <definedName name="SmPr" localSheetId="0">'4 кв 2011 год'!#REF!</definedName>
    <definedName name="_xlnm.Print_Titles" localSheetId="1">'4 кв 2010 год '!$13:$19</definedName>
    <definedName name="_xlnm.Print_Titles" localSheetId="0">'4 кв 2011 год'!$13:$19</definedName>
    <definedName name="_xlnm.Print_Area" localSheetId="1">'4 кв 2010 год '!$A$1:$G$142</definedName>
    <definedName name="_xlnm.Print_Area" localSheetId="0">'4 кв 2011 год'!$A$1:$G$142</definedName>
  </definedNames>
  <calcPr calcId="125725"/>
</workbook>
</file>

<file path=xl/calcChain.xml><?xml version="1.0" encoding="utf-8"?>
<calcChain xmlns="http://schemas.openxmlformats.org/spreadsheetml/2006/main">
  <c r="A9" i="5"/>
  <c r="Z4"/>
  <c r="A131" i="4" l="1"/>
  <c r="A131" i="5" s="1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83"/>
  <c r="A84"/>
  <c r="A85"/>
  <c r="A86"/>
  <c r="A87"/>
  <c r="E104"/>
  <c r="E83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S73"/>
  <c r="M83"/>
  <c r="I83"/>
  <c r="L83" i="4"/>
  <c r="I83"/>
  <c r="M83" s="1"/>
  <c r="F83" s="1"/>
  <c r="G83" s="1"/>
  <c r="O83" i="5" l="1"/>
  <c r="P83" s="1"/>
  <c r="N83"/>
  <c r="J83"/>
  <c r="Q83"/>
  <c r="N83" i="4"/>
  <c r="F83" i="5" l="1"/>
  <c r="G83" s="1"/>
  <c r="H114" i="4"/>
  <c r="F25"/>
  <c r="H125" l="1"/>
  <c r="F125" s="1"/>
  <c r="H104" i="5" l="1"/>
  <c r="I104" s="1"/>
  <c r="L104"/>
  <c r="M104"/>
  <c r="N104" s="1"/>
  <c r="H105"/>
  <c r="I105" s="1"/>
  <c r="L105"/>
  <c r="M105" s="1"/>
  <c r="N105" s="1"/>
  <c r="L103"/>
  <c r="M103" s="1"/>
  <c r="N103" s="1"/>
  <c r="H103"/>
  <c r="I103" s="1"/>
  <c r="F84" i="4"/>
  <c r="F84" i="5"/>
  <c r="J104" l="1"/>
  <c r="O104"/>
  <c r="P104" s="1"/>
  <c r="J105"/>
  <c r="O105"/>
  <c r="P105" s="1"/>
  <c r="O103"/>
  <c r="P103" s="1"/>
  <c r="J103"/>
  <c r="F105" l="1"/>
  <c r="F104"/>
  <c r="F103"/>
  <c r="I104" i="4"/>
  <c r="L104"/>
  <c r="I105"/>
  <c r="L105"/>
  <c r="L103"/>
  <c r="I103"/>
  <c r="L52" i="5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4"/>
  <c r="L85"/>
  <c r="L86"/>
  <c r="L87"/>
  <c r="L88"/>
  <c r="L89"/>
  <c r="L91"/>
  <c r="L92"/>
  <c r="L93"/>
  <c r="L94"/>
  <c r="L95"/>
  <c r="L50"/>
  <c r="H67"/>
  <c r="H59"/>
  <c r="H22"/>
  <c r="H23"/>
  <c r="H24"/>
  <c r="H25"/>
  <c r="H27"/>
  <c r="H30"/>
  <c r="H44"/>
  <c r="H45"/>
  <c r="H46"/>
  <c r="H47"/>
  <c r="H48"/>
  <c r="H49"/>
  <c r="H50"/>
  <c r="H51"/>
  <c r="H52"/>
  <c r="H53"/>
  <c r="H54"/>
  <c r="H55"/>
  <c r="H56"/>
  <c r="H57"/>
  <c r="H58"/>
  <c r="H60"/>
  <c r="H61"/>
  <c r="H62"/>
  <c r="H63"/>
  <c r="H64"/>
  <c r="H65"/>
  <c r="H66"/>
  <c r="H68"/>
  <c r="H69"/>
  <c r="H70"/>
  <c r="H71"/>
  <c r="H72"/>
  <c r="H73"/>
  <c r="H74"/>
  <c r="H75"/>
  <c r="H76"/>
  <c r="H77"/>
  <c r="H78"/>
  <c r="H79"/>
  <c r="H80"/>
  <c r="H81"/>
  <c r="H82"/>
  <c r="H84"/>
  <c r="H85"/>
  <c r="H86"/>
  <c r="H87"/>
  <c r="H88"/>
  <c r="H89"/>
  <c r="H90"/>
  <c r="H91"/>
  <c r="H92"/>
  <c r="H93"/>
  <c r="H96"/>
  <c r="H97"/>
  <c r="H98"/>
  <c r="H101"/>
  <c r="H111"/>
  <c r="H114"/>
  <c r="H118"/>
  <c r="H125"/>
  <c r="M103" i="4" l="1"/>
  <c r="F103" s="1"/>
  <c r="N104"/>
  <c r="M104"/>
  <c r="F104" s="1"/>
  <c r="N105"/>
  <c r="M105"/>
  <c r="F105" s="1"/>
  <c r="N103"/>
  <c r="K51"/>
  <c r="L51" i="5" s="1"/>
  <c r="A127"/>
  <c r="E127"/>
  <c r="P96" l="1"/>
  <c r="F96" s="1"/>
  <c r="O96"/>
  <c r="I50"/>
  <c r="M50"/>
  <c r="O34"/>
  <c r="P34" s="1"/>
  <c r="L80" i="4"/>
  <c r="I79"/>
  <c r="O50" i="5" l="1"/>
  <c r="O102"/>
  <c r="O101"/>
  <c r="O100"/>
  <c r="O99"/>
  <c r="P98"/>
  <c r="F98" s="1"/>
  <c r="O98"/>
  <c r="N50"/>
  <c r="J50"/>
  <c r="P50" s="1"/>
  <c r="O45"/>
  <c r="M88"/>
  <c r="N88" s="1"/>
  <c r="L50" i="4"/>
  <c r="I50"/>
  <c r="G96" i="5"/>
  <c r="Q104"/>
  <c r="Q114"/>
  <c r="I111"/>
  <c r="I118"/>
  <c r="P119"/>
  <c r="P102"/>
  <c r="P101"/>
  <c r="F101" s="1"/>
  <c r="P100"/>
  <c r="P99"/>
  <c r="P45"/>
  <c r="F45" s="1"/>
  <c r="P26"/>
  <c r="P24"/>
  <c r="F24" s="1"/>
  <c r="P22"/>
  <c r="F22" s="1"/>
  <c r="P20"/>
  <c r="F20" s="1"/>
  <c r="O124"/>
  <c r="P124" s="1"/>
  <c r="O123"/>
  <c r="P123" s="1"/>
  <c r="O122"/>
  <c r="P122" s="1"/>
  <c r="O121"/>
  <c r="P121" s="1"/>
  <c r="O120"/>
  <c r="P120" s="1"/>
  <c r="O118"/>
  <c r="P118" s="1"/>
  <c r="O117"/>
  <c r="P117" s="1"/>
  <c r="O116"/>
  <c r="P116" s="1"/>
  <c r="O115"/>
  <c r="P115" s="1"/>
  <c r="O114"/>
  <c r="P114" s="1"/>
  <c r="O113"/>
  <c r="P113" s="1"/>
  <c r="O112"/>
  <c r="P112" s="1"/>
  <c r="O111"/>
  <c r="P111" s="1"/>
  <c r="O110"/>
  <c r="P110" s="1"/>
  <c r="O109"/>
  <c r="P109" s="1"/>
  <c r="O108"/>
  <c r="P108" s="1"/>
  <c r="O107"/>
  <c r="P107" s="1"/>
  <c r="O106"/>
  <c r="P106" s="1"/>
  <c r="O97"/>
  <c r="P97" s="1"/>
  <c r="F97" s="1"/>
  <c r="O49"/>
  <c r="P49" s="1"/>
  <c r="F49" s="1"/>
  <c r="G49" s="1"/>
  <c r="O48"/>
  <c r="P48" s="1"/>
  <c r="F48" s="1"/>
  <c r="G48" s="1"/>
  <c r="O47"/>
  <c r="P47" s="1"/>
  <c r="F47" s="1"/>
  <c r="O46"/>
  <c r="P46" s="1"/>
  <c r="F46" s="1"/>
  <c r="O44"/>
  <c r="P44" s="1"/>
  <c r="F44" s="1"/>
  <c r="G44" s="1"/>
  <c r="O43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3"/>
  <c r="P33" s="1"/>
  <c r="O32"/>
  <c r="P32" s="1"/>
  <c r="O31"/>
  <c r="P31" s="1"/>
  <c r="O30"/>
  <c r="P30" s="1"/>
  <c r="F30" s="1"/>
  <c r="O29"/>
  <c r="P29" s="1"/>
  <c r="O28"/>
  <c r="P28" s="1"/>
  <c r="O27"/>
  <c r="P27" s="1"/>
  <c r="F27" s="1"/>
  <c r="G27" s="1"/>
  <c r="O25"/>
  <c r="P25" s="1"/>
  <c r="F25" s="1"/>
  <c r="O23"/>
  <c r="P23" s="1"/>
  <c r="F23" s="1"/>
  <c r="G23" s="1"/>
  <c r="O22"/>
  <c r="O21"/>
  <c r="P21" s="1"/>
  <c r="F21" s="1"/>
  <c r="O20"/>
  <c r="A132"/>
  <c r="A133" s="1"/>
  <c r="A137" s="1"/>
  <c r="O125"/>
  <c r="P125" s="1"/>
  <c r="Q105"/>
  <c r="Q103"/>
  <c r="Q101"/>
  <c r="Q96"/>
  <c r="M95"/>
  <c r="N95" s="1"/>
  <c r="M94"/>
  <c r="N94" s="1"/>
  <c r="M93"/>
  <c r="N93" s="1"/>
  <c r="M92"/>
  <c r="N92" s="1"/>
  <c r="M91"/>
  <c r="N91" s="1"/>
  <c r="I91"/>
  <c r="I90"/>
  <c r="M89"/>
  <c r="N89" s="1"/>
  <c r="I89"/>
  <c r="I88"/>
  <c r="M87"/>
  <c r="N87" s="1"/>
  <c r="I87"/>
  <c r="M86"/>
  <c r="N86" s="1"/>
  <c r="I86"/>
  <c r="M85"/>
  <c r="N85" s="1"/>
  <c r="I85"/>
  <c r="M84"/>
  <c r="I84"/>
  <c r="M82"/>
  <c r="N82" s="1"/>
  <c r="I82"/>
  <c r="M81"/>
  <c r="N81" s="1"/>
  <c r="I81"/>
  <c r="S80"/>
  <c r="M80"/>
  <c r="N80" s="1"/>
  <c r="I80"/>
  <c r="M79"/>
  <c r="N79" s="1"/>
  <c r="I79"/>
  <c r="M78"/>
  <c r="N78" s="1"/>
  <c r="I78"/>
  <c r="M77"/>
  <c r="N77" s="1"/>
  <c r="I77"/>
  <c r="M76"/>
  <c r="N76" s="1"/>
  <c r="I76"/>
  <c r="M75"/>
  <c r="N75" s="1"/>
  <c r="I75"/>
  <c r="S74"/>
  <c r="M74"/>
  <c r="N74" s="1"/>
  <c r="I74"/>
  <c r="M73"/>
  <c r="N73" s="1"/>
  <c r="I73"/>
  <c r="M72"/>
  <c r="N72" s="1"/>
  <c r="I72"/>
  <c r="S71"/>
  <c r="M71"/>
  <c r="N71" s="1"/>
  <c r="I71"/>
  <c r="M70"/>
  <c r="N70" s="1"/>
  <c r="I70"/>
  <c r="M69"/>
  <c r="N69" s="1"/>
  <c r="I69"/>
  <c r="M68"/>
  <c r="N68" s="1"/>
  <c r="I68"/>
  <c r="M67"/>
  <c r="N67" s="1"/>
  <c r="M66"/>
  <c r="N66" s="1"/>
  <c r="I66"/>
  <c r="M65"/>
  <c r="N65" s="1"/>
  <c r="I65"/>
  <c r="M64"/>
  <c r="N64" s="1"/>
  <c r="I64"/>
  <c r="M63"/>
  <c r="N63" s="1"/>
  <c r="I63"/>
  <c r="M62"/>
  <c r="N62" s="1"/>
  <c r="I62"/>
  <c r="M61"/>
  <c r="N61" s="1"/>
  <c r="I61"/>
  <c r="S60"/>
  <c r="M60"/>
  <c r="N60" s="1"/>
  <c r="I60"/>
  <c r="M59"/>
  <c r="N59" s="1"/>
  <c r="I59"/>
  <c r="S58"/>
  <c r="M58"/>
  <c r="N58" s="1"/>
  <c r="I58"/>
  <c r="M57"/>
  <c r="N57" s="1"/>
  <c r="I57"/>
  <c r="M56"/>
  <c r="N56" s="1"/>
  <c r="I56"/>
  <c r="M55"/>
  <c r="N55" s="1"/>
  <c r="I55"/>
  <c r="S54"/>
  <c r="M54"/>
  <c r="N54" s="1"/>
  <c r="M53"/>
  <c r="N53" s="1"/>
  <c r="I53"/>
  <c r="S52"/>
  <c r="M52"/>
  <c r="N52" s="1"/>
  <c r="I52"/>
  <c r="S51"/>
  <c r="M51"/>
  <c r="N51" s="1"/>
  <c r="I51"/>
  <c r="L52" i="4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M79" s="1"/>
  <c r="L81"/>
  <c r="L82"/>
  <c r="L84"/>
  <c r="L85"/>
  <c r="L86"/>
  <c r="L87"/>
  <c r="L88"/>
  <c r="L89"/>
  <c r="L91"/>
  <c r="L92"/>
  <c r="L93"/>
  <c r="L94"/>
  <c r="L95"/>
  <c r="K90"/>
  <c r="L90" l="1"/>
  <c r="L90" i="5"/>
  <c r="M90" s="1"/>
  <c r="N90" s="1"/>
  <c r="G47"/>
  <c r="G45"/>
  <c r="O69"/>
  <c r="O70"/>
  <c r="O74"/>
  <c r="G25"/>
  <c r="G46"/>
  <c r="G97"/>
  <c r="G101"/>
  <c r="G22"/>
  <c r="O68"/>
  <c r="G24"/>
  <c r="O52"/>
  <c r="N50" i="4"/>
  <c r="O56" i="5"/>
  <c r="O58"/>
  <c r="O62"/>
  <c r="O64"/>
  <c r="O66"/>
  <c r="O82"/>
  <c r="J59"/>
  <c r="O59"/>
  <c r="J60"/>
  <c r="O60"/>
  <c r="J76"/>
  <c r="O76"/>
  <c r="J77"/>
  <c r="O77"/>
  <c r="J78"/>
  <c r="O78"/>
  <c r="J79"/>
  <c r="O79"/>
  <c r="P79" s="1"/>
  <c r="J80"/>
  <c r="O80"/>
  <c r="J89"/>
  <c r="O89"/>
  <c r="O51"/>
  <c r="O53"/>
  <c r="O72"/>
  <c r="O73"/>
  <c r="O75"/>
  <c r="O90"/>
  <c r="O91"/>
  <c r="G104"/>
  <c r="J55"/>
  <c r="O55"/>
  <c r="J57"/>
  <c r="O57"/>
  <c r="J61"/>
  <c r="O61"/>
  <c r="J63"/>
  <c r="O63"/>
  <c r="J65"/>
  <c r="O65"/>
  <c r="J71"/>
  <c r="O71"/>
  <c r="J81"/>
  <c r="O81"/>
  <c r="O84"/>
  <c r="P84" s="1"/>
  <c r="G84" s="1"/>
  <c r="J85"/>
  <c r="O85"/>
  <c r="J86"/>
  <c r="O86"/>
  <c r="J87"/>
  <c r="O87"/>
  <c r="J88"/>
  <c r="O88"/>
  <c r="G98"/>
  <c r="Q125"/>
  <c r="I114"/>
  <c r="F114" s="1"/>
  <c r="G114" s="1"/>
  <c r="Q52"/>
  <c r="I125"/>
  <c r="F125" s="1"/>
  <c r="G125" s="1"/>
  <c r="M50" i="4"/>
  <c r="F50" s="1"/>
  <c r="G20" i="5"/>
  <c r="Q68"/>
  <c r="Q69"/>
  <c r="F118"/>
  <c r="G118" s="1"/>
  <c r="F111"/>
  <c r="G111" s="1"/>
  <c r="G105"/>
  <c r="G103"/>
  <c r="Q75"/>
  <c r="J51"/>
  <c r="J53"/>
  <c r="J69"/>
  <c r="J73"/>
  <c r="J75"/>
  <c r="J91"/>
  <c r="Q70"/>
  <c r="J52"/>
  <c r="J56"/>
  <c r="J58"/>
  <c r="J62"/>
  <c r="J64"/>
  <c r="J66"/>
  <c r="J68"/>
  <c r="J70"/>
  <c r="J72"/>
  <c r="J74"/>
  <c r="J82"/>
  <c r="J90"/>
  <c r="Q50"/>
  <c r="Q59"/>
  <c r="Q60"/>
  <c r="Q76"/>
  <c r="Q77"/>
  <c r="Q78"/>
  <c r="Q79"/>
  <c r="Q80"/>
  <c r="Q85"/>
  <c r="Q86"/>
  <c r="Q87"/>
  <c r="Q88"/>
  <c r="Q89"/>
  <c r="Q71"/>
  <c r="G21"/>
  <c r="F50"/>
  <c r="Q51"/>
  <c r="Q53"/>
  <c r="I54"/>
  <c r="Q55"/>
  <c r="Q56"/>
  <c r="Q57"/>
  <c r="Q129" s="1"/>
  <c r="Q58"/>
  <c r="Q61"/>
  <c r="Q62"/>
  <c r="Q63"/>
  <c r="Q64"/>
  <c r="Q65"/>
  <c r="Q66"/>
  <c r="I67"/>
  <c r="Q72"/>
  <c r="Q73"/>
  <c r="Q74"/>
  <c r="Q81"/>
  <c r="Q82"/>
  <c r="Q90"/>
  <c r="Q91"/>
  <c r="I92"/>
  <c r="O92" s="1"/>
  <c r="I93"/>
  <c r="P90" l="1"/>
  <c r="F90" s="1"/>
  <c r="G90" s="1"/>
  <c r="G127"/>
  <c r="J93"/>
  <c r="O93"/>
  <c r="J67"/>
  <c r="O67"/>
  <c r="J54"/>
  <c r="O54"/>
  <c r="J92"/>
  <c r="P88"/>
  <c r="P86"/>
  <c r="F86" s="1"/>
  <c r="G86" s="1"/>
  <c r="P80"/>
  <c r="F80" s="1"/>
  <c r="G80" s="1"/>
  <c r="P78"/>
  <c r="F78" s="1"/>
  <c r="G78" s="1"/>
  <c r="P76"/>
  <c r="F76" s="1"/>
  <c r="G76" s="1"/>
  <c r="P70"/>
  <c r="F70" s="1"/>
  <c r="G70" s="1"/>
  <c r="P68"/>
  <c r="F68" s="1"/>
  <c r="G68" s="1"/>
  <c r="P60"/>
  <c r="F60" s="1"/>
  <c r="G60" s="1"/>
  <c r="P52"/>
  <c r="F52" s="1"/>
  <c r="G52" s="1"/>
  <c r="P81"/>
  <c r="F81" s="1"/>
  <c r="G81" s="1"/>
  <c r="P65"/>
  <c r="F65" s="1"/>
  <c r="G65" s="1"/>
  <c r="P63"/>
  <c r="F63" s="1"/>
  <c r="G63" s="1"/>
  <c r="P61"/>
  <c r="F61" s="1"/>
  <c r="G61" s="1"/>
  <c r="P57"/>
  <c r="F57" s="1"/>
  <c r="G57" s="1"/>
  <c r="P55"/>
  <c r="F55" s="1"/>
  <c r="G55" s="1"/>
  <c r="P72"/>
  <c r="F72" s="1"/>
  <c r="G72" s="1"/>
  <c r="P51"/>
  <c r="F51" s="1"/>
  <c r="G51" s="1"/>
  <c r="P89"/>
  <c r="F89" s="1"/>
  <c r="G89" s="1"/>
  <c r="P87"/>
  <c r="F87" s="1"/>
  <c r="G87" s="1"/>
  <c r="P85"/>
  <c r="F85" s="1"/>
  <c r="G85" s="1"/>
  <c r="F79"/>
  <c r="G79" s="1"/>
  <c r="P77"/>
  <c r="F77" s="1"/>
  <c r="G77" s="1"/>
  <c r="P75"/>
  <c r="F75" s="1"/>
  <c r="G75" s="1"/>
  <c r="P71"/>
  <c r="F71" s="1"/>
  <c r="G71" s="1"/>
  <c r="P69"/>
  <c r="F69" s="1"/>
  <c r="G69" s="1"/>
  <c r="P59"/>
  <c r="F59" s="1"/>
  <c r="G59" s="1"/>
  <c r="P74"/>
  <c r="F74" s="1"/>
  <c r="G74" s="1"/>
  <c r="P91"/>
  <c r="F91" s="1"/>
  <c r="G91" s="1"/>
  <c r="P73"/>
  <c r="F73" s="1"/>
  <c r="P53"/>
  <c r="F53" s="1"/>
  <c r="G53" s="1"/>
  <c r="G50"/>
  <c r="Q93"/>
  <c r="Q67"/>
  <c r="Q92"/>
  <c r="Q54"/>
  <c r="P93" l="1"/>
  <c r="F93" s="1"/>
  <c r="P92"/>
  <c r="F92" s="1"/>
  <c r="G92" s="1"/>
  <c r="F88"/>
  <c r="G88" s="1"/>
  <c r="G73"/>
  <c r="T73"/>
  <c r="P54"/>
  <c r="F54" s="1"/>
  <c r="G54" s="1"/>
  <c r="G93"/>
  <c r="P56"/>
  <c r="F56" s="1"/>
  <c r="G56" s="1"/>
  <c r="P62"/>
  <c r="F62" s="1"/>
  <c r="G62" s="1"/>
  <c r="P66"/>
  <c r="F66" s="1"/>
  <c r="G66" s="1"/>
  <c r="P82"/>
  <c r="F82" s="1"/>
  <c r="G82" s="1"/>
  <c r="P67"/>
  <c r="F67" s="1"/>
  <c r="G67" s="1"/>
  <c r="P58"/>
  <c r="F58" s="1"/>
  <c r="G58" s="1"/>
  <c r="P64"/>
  <c r="F64" s="1"/>
  <c r="G64" s="1"/>
  <c r="I51" i="4"/>
  <c r="I52"/>
  <c r="M52" s="1"/>
  <c r="F52" s="1"/>
  <c r="I53"/>
  <c r="M53" s="1"/>
  <c r="I54"/>
  <c r="M54" s="1"/>
  <c r="I55"/>
  <c r="M55" s="1"/>
  <c r="I56"/>
  <c r="M56" s="1"/>
  <c r="I57"/>
  <c r="M57" s="1"/>
  <c r="I58"/>
  <c r="M58" s="1"/>
  <c r="I59"/>
  <c r="M59" s="1"/>
  <c r="I60"/>
  <c r="M60" s="1"/>
  <c r="I61"/>
  <c r="M61" s="1"/>
  <c r="I62"/>
  <c r="M62" s="1"/>
  <c r="I63"/>
  <c r="M63" s="1"/>
  <c r="I64"/>
  <c r="M64" s="1"/>
  <c r="I65"/>
  <c r="M65" s="1"/>
  <c r="I66"/>
  <c r="M66" s="1"/>
  <c r="I67"/>
  <c r="M67" s="1"/>
  <c r="I68"/>
  <c r="M68" s="1"/>
  <c r="I69"/>
  <c r="M69" s="1"/>
  <c r="I70"/>
  <c r="M70" s="1"/>
  <c r="I71"/>
  <c r="M71" s="1"/>
  <c r="I72"/>
  <c r="M72" s="1"/>
  <c r="I73"/>
  <c r="M73" s="1"/>
  <c r="I74"/>
  <c r="M74" s="1"/>
  <c r="I75"/>
  <c r="M75" s="1"/>
  <c r="I76"/>
  <c r="M76" s="1"/>
  <c r="I77"/>
  <c r="M77" s="1"/>
  <c r="I78"/>
  <c r="N78" s="1"/>
  <c r="I80"/>
  <c r="M80" s="1"/>
  <c r="I81"/>
  <c r="M81" s="1"/>
  <c r="I82"/>
  <c r="M82" s="1"/>
  <c r="I84"/>
  <c r="M84" s="1"/>
  <c r="I85"/>
  <c r="M85" s="1"/>
  <c r="I86"/>
  <c r="M86" s="1"/>
  <c r="I87"/>
  <c r="M87" s="1"/>
  <c r="I88"/>
  <c r="M88" s="1"/>
  <c r="I89"/>
  <c r="M89" s="1"/>
  <c r="I90"/>
  <c r="M90" s="1"/>
  <c r="I91"/>
  <c r="M91" s="1"/>
  <c r="L51"/>
  <c r="H124"/>
  <c r="H124" i="5" s="1"/>
  <c r="H122" i="4"/>
  <c r="H122" i="5" s="1"/>
  <c r="H120" i="4"/>
  <c r="H119"/>
  <c r="H119" i="5" s="1"/>
  <c r="I119" s="1"/>
  <c r="F119" s="1"/>
  <c r="G119" s="1"/>
  <c r="F119" i="4"/>
  <c r="F118"/>
  <c r="H113"/>
  <c r="H112"/>
  <c r="F111"/>
  <c r="H110"/>
  <c r="H110" i="5" s="1"/>
  <c r="H109" i="4"/>
  <c r="H109" i="5" s="1"/>
  <c r="H108" i="4"/>
  <c r="H108" i="5" s="1"/>
  <c r="H107" i="4"/>
  <c r="H106"/>
  <c r="H106" i="5" s="1"/>
  <c r="F101" i="4"/>
  <c r="F97"/>
  <c r="F96"/>
  <c r="F49"/>
  <c r="F48"/>
  <c r="F47"/>
  <c r="F46"/>
  <c r="F45"/>
  <c r="F44"/>
  <c r="H39"/>
  <c r="H37"/>
  <c r="H37" i="5" s="1"/>
  <c r="H38" i="4"/>
  <c r="F37"/>
  <c r="H36"/>
  <c r="H34"/>
  <c r="H34" i="5" s="1"/>
  <c r="H35" i="4"/>
  <c r="H35" i="5" s="1"/>
  <c r="F35" i="4"/>
  <c r="H33"/>
  <c r="F30"/>
  <c r="F27"/>
  <c r="F23"/>
  <c r="G23" s="1"/>
  <c r="F22"/>
  <c r="F21"/>
  <c r="F20"/>
  <c r="I34" i="5" l="1"/>
  <c r="F34" s="1"/>
  <c r="G34" s="1"/>
  <c r="Q34"/>
  <c r="I37"/>
  <c r="F37" s="1"/>
  <c r="G37" s="1"/>
  <c r="Q37"/>
  <c r="F113" i="4"/>
  <c r="H113" i="5"/>
  <c r="I113" s="1"/>
  <c r="F113" s="1"/>
  <c r="G113" s="1"/>
  <c r="F120" i="4"/>
  <c r="H120" i="5"/>
  <c r="I120" s="1"/>
  <c r="F120" s="1"/>
  <c r="G120" s="1"/>
  <c r="I122"/>
  <c r="F122" s="1"/>
  <c r="G122" s="1"/>
  <c r="Q122"/>
  <c r="I124"/>
  <c r="F124" s="1"/>
  <c r="G124" s="1"/>
  <c r="Q124"/>
  <c r="F106" i="4"/>
  <c r="F108"/>
  <c r="F109"/>
  <c r="F110"/>
  <c r="F33"/>
  <c r="H33" i="5"/>
  <c r="I35"/>
  <c r="F35" s="1"/>
  <c r="G35" s="1"/>
  <c r="Q35"/>
  <c r="F36" i="4"/>
  <c r="H36" i="5"/>
  <c r="F38" i="4"/>
  <c r="H38" i="5"/>
  <c r="F39" i="4"/>
  <c r="H39" i="5"/>
  <c r="I106"/>
  <c r="F106" s="1"/>
  <c r="G106" s="1"/>
  <c r="Q106"/>
  <c r="F107" i="4"/>
  <c r="H107" i="5"/>
  <c r="Q108"/>
  <c r="I108"/>
  <c r="F108" s="1"/>
  <c r="G108" s="1"/>
  <c r="Q109"/>
  <c r="I109"/>
  <c r="F109" s="1"/>
  <c r="G109" s="1"/>
  <c r="Q110"/>
  <c r="I110"/>
  <c r="F110" s="1"/>
  <c r="G110" s="1"/>
  <c r="F112" i="4"/>
  <c r="H112" i="5"/>
  <c r="I112" s="1"/>
  <c r="F112" s="1"/>
  <c r="G112" s="1"/>
  <c r="F122" i="4"/>
  <c r="F124"/>
  <c r="M51"/>
  <c r="F51" s="1"/>
  <c r="M78"/>
  <c r="N91"/>
  <c r="F91"/>
  <c r="N89"/>
  <c r="F89"/>
  <c r="N87"/>
  <c r="F87"/>
  <c r="F85"/>
  <c r="N85"/>
  <c r="F82"/>
  <c r="N82"/>
  <c r="F80"/>
  <c r="N80"/>
  <c r="F78"/>
  <c r="F76"/>
  <c r="N76"/>
  <c r="F74"/>
  <c r="N74"/>
  <c r="F72"/>
  <c r="N72"/>
  <c r="F70"/>
  <c r="N70"/>
  <c r="F68"/>
  <c r="N68"/>
  <c r="F66"/>
  <c r="N66"/>
  <c r="F64"/>
  <c r="N64"/>
  <c r="F62"/>
  <c r="N62"/>
  <c r="F60"/>
  <c r="N60"/>
  <c r="F58"/>
  <c r="N58"/>
  <c r="F56"/>
  <c r="N56"/>
  <c r="F54"/>
  <c r="N54"/>
  <c r="N52"/>
  <c r="N90"/>
  <c r="F90"/>
  <c r="N88"/>
  <c r="F88"/>
  <c r="N86"/>
  <c r="F86"/>
  <c r="N81"/>
  <c r="F81"/>
  <c r="N79"/>
  <c r="F79"/>
  <c r="N77"/>
  <c r="F77"/>
  <c r="N75"/>
  <c r="F75"/>
  <c r="N73"/>
  <c r="F73"/>
  <c r="N71"/>
  <c r="F71"/>
  <c r="N69"/>
  <c r="F69"/>
  <c r="N67"/>
  <c r="F67"/>
  <c r="N65"/>
  <c r="F65"/>
  <c r="N63"/>
  <c r="F63"/>
  <c r="N61"/>
  <c r="F61"/>
  <c r="N59"/>
  <c r="F59"/>
  <c r="N57"/>
  <c r="F57"/>
  <c r="N55"/>
  <c r="F55"/>
  <c r="N53"/>
  <c r="F53"/>
  <c r="N51"/>
  <c r="Q107" i="5" l="1"/>
  <c r="I107"/>
  <c r="F107" s="1"/>
  <c r="G107" s="1"/>
  <c r="I39"/>
  <c r="F39" s="1"/>
  <c r="G39" s="1"/>
  <c r="Q39"/>
  <c r="I38"/>
  <c r="F38" s="1"/>
  <c r="G38" s="1"/>
  <c r="Q38"/>
  <c r="I36"/>
  <c r="F36" s="1"/>
  <c r="G36" s="1"/>
  <c r="Q36"/>
  <c r="I33"/>
  <c r="F33" s="1"/>
  <c r="G33" s="1"/>
  <c r="Q33"/>
  <c r="G113" i="4"/>
  <c r="A132"/>
  <c r="A133" s="1"/>
  <c r="A137" s="1"/>
  <c r="G20"/>
  <c r="N125"/>
  <c r="G125"/>
  <c r="N124"/>
  <c r="G124"/>
  <c r="H123"/>
  <c r="N122"/>
  <c r="G122"/>
  <c r="H121"/>
  <c r="G120"/>
  <c r="G119"/>
  <c r="G118"/>
  <c r="H117"/>
  <c r="H116"/>
  <c r="H115"/>
  <c r="N114"/>
  <c r="F114"/>
  <c r="G114" s="1"/>
  <c r="G112"/>
  <c r="G111"/>
  <c r="N110"/>
  <c r="G110"/>
  <c r="N109"/>
  <c r="G109"/>
  <c r="N108"/>
  <c r="G108"/>
  <c r="N107"/>
  <c r="G107"/>
  <c r="N106"/>
  <c r="G106"/>
  <c r="G25"/>
  <c r="H102" i="5"/>
  <c r="G22" i="4"/>
  <c r="N101"/>
  <c r="G101"/>
  <c r="H100"/>
  <c r="H100" i="5" s="1"/>
  <c r="H99" i="4"/>
  <c r="H99" i="5" s="1"/>
  <c r="F98" i="4"/>
  <c r="G98" s="1"/>
  <c r="G97"/>
  <c r="N96"/>
  <c r="G96"/>
  <c r="H95"/>
  <c r="H95" i="5" s="1"/>
  <c r="I95" s="1"/>
  <c r="H94" i="4"/>
  <c r="H94" i="5" s="1"/>
  <c r="I94" s="1"/>
  <c r="G91" i="4"/>
  <c r="G90"/>
  <c r="G89"/>
  <c r="G82"/>
  <c r="G81"/>
  <c r="P80"/>
  <c r="G80"/>
  <c r="G79"/>
  <c r="G77"/>
  <c r="G76"/>
  <c r="G75"/>
  <c r="P74"/>
  <c r="G74"/>
  <c r="P73"/>
  <c r="G72"/>
  <c r="P71"/>
  <c r="G71"/>
  <c r="G69"/>
  <c r="G70"/>
  <c r="G68"/>
  <c r="G66"/>
  <c r="G65"/>
  <c r="G64"/>
  <c r="G55"/>
  <c r="G63"/>
  <c r="G62"/>
  <c r="G61"/>
  <c r="P60"/>
  <c r="G60"/>
  <c r="G59"/>
  <c r="G78"/>
  <c r="P58"/>
  <c r="G58"/>
  <c r="G57"/>
  <c r="P54"/>
  <c r="G54"/>
  <c r="P52"/>
  <c r="G52"/>
  <c r="G53"/>
  <c r="G50"/>
  <c r="P51"/>
  <c r="G51"/>
  <c r="G49"/>
  <c r="G48"/>
  <c r="G47"/>
  <c r="G46"/>
  <c r="G45"/>
  <c r="G44"/>
  <c r="H43"/>
  <c r="H42"/>
  <c r="H42" i="5" s="1"/>
  <c r="H41" i="4"/>
  <c r="H41" i="5" s="1"/>
  <c r="H40" i="4"/>
  <c r="H40" i="5" s="1"/>
  <c r="N39" i="4"/>
  <c r="G39"/>
  <c r="N38"/>
  <c r="G38"/>
  <c r="N37"/>
  <c r="G37"/>
  <c r="N36"/>
  <c r="G36"/>
  <c r="N35"/>
  <c r="G35"/>
  <c r="N34"/>
  <c r="F34"/>
  <c r="G34" s="1"/>
  <c r="N33"/>
  <c r="G33"/>
  <c r="H32"/>
  <c r="H31"/>
  <c r="H29"/>
  <c r="H29" i="5" s="1"/>
  <c r="H28" i="4"/>
  <c r="H28" i="5" s="1"/>
  <c r="G84" i="4"/>
  <c r="G27"/>
  <c r="H26"/>
  <c r="F26"/>
  <c r="G26" s="1"/>
  <c r="G24"/>
  <c r="G21"/>
  <c r="V4" i="5" s="1"/>
  <c r="G88" i="4"/>
  <c r="G87"/>
  <c r="G86"/>
  <c r="G85"/>
  <c r="G67"/>
  <c r="G56"/>
  <c r="I28" i="5" l="1"/>
  <c r="F28" s="1"/>
  <c r="G28" s="1"/>
  <c r="Q28"/>
  <c r="F31" i="4"/>
  <c r="G31" s="1"/>
  <c r="H31" i="5"/>
  <c r="I31" s="1"/>
  <c r="F31" s="1"/>
  <c r="G31" s="1"/>
  <c r="Q40"/>
  <c r="I40"/>
  <c r="F40" s="1"/>
  <c r="G40" s="1"/>
  <c r="Q42"/>
  <c r="I42"/>
  <c r="F42" s="1"/>
  <c r="G42" s="1"/>
  <c r="O94"/>
  <c r="P94" s="1"/>
  <c r="J94"/>
  <c r="Q94"/>
  <c r="Q99"/>
  <c r="I99"/>
  <c r="F99" s="1"/>
  <c r="G99" s="1"/>
  <c r="F116" i="4"/>
  <c r="G116" s="1"/>
  <c r="H116" i="5"/>
  <c r="I116" s="1"/>
  <c r="F116" s="1"/>
  <c r="G116" s="1"/>
  <c r="F123" i="4"/>
  <c r="G123" s="1"/>
  <c r="H123" i="5"/>
  <c r="N26" i="4"/>
  <c r="H26" i="5"/>
  <c r="I29"/>
  <c r="F29" s="1"/>
  <c r="G29" s="1"/>
  <c r="Q29"/>
  <c r="N32" i="4"/>
  <c r="H32" i="5"/>
  <c r="Q41"/>
  <c r="I41"/>
  <c r="F41" s="1"/>
  <c r="G41" s="1"/>
  <c r="F43" i="4"/>
  <c r="G43" s="1"/>
  <c r="H43" i="5"/>
  <c r="I43" s="1"/>
  <c r="F43" s="1"/>
  <c r="G43" s="1"/>
  <c r="O95"/>
  <c r="P95" s="1"/>
  <c r="Q95"/>
  <c r="J95"/>
  <c r="Q100"/>
  <c r="I100"/>
  <c r="F100" s="1"/>
  <c r="G100" s="1"/>
  <c r="Q102"/>
  <c r="I102"/>
  <c r="F102" s="1"/>
  <c r="G102" s="1"/>
  <c r="F115" i="4"/>
  <c r="G115" s="1"/>
  <c r="H115" i="5"/>
  <c r="I115" s="1"/>
  <c r="F115" s="1"/>
  <c r="G115" s="1"/>
  <c r="F117" i="4"/>
  <c r="G117" s="1"/>
  <c r="H117" i="5"/>
  <c r="F121" i="4"/>
  <c r="G121" s="1"/>
  <c r="H121" i="5"/>
  <c r="W4"/>
  <c r="Y4"/>
  <c r="X4"/>
  <c r="N4" i="4"/>
  <c r="Q4"/>
  <c r="P4"/>
  <c r="O4"/>
  <c r="G127"/>
  <c r="F32"/>
  <c r="G32" s="1"/>
  <c r="G105"/>
  <c r="N123"/>
  <c r="N29"/>
  <c r="F29"/>
  <c r="G29" s="1"/>
  <c r="N40"/>
  <c r="F40"/>
  <c r="G40" s="1"/>
  <c r="N42"/>
  <c r="F42"/>
  <c r="G42" s="1"/>
  <c r="G104"/>
  <c r="N117"/>
  <c r="I92"/>
  <c r="I94"/>
  <c r="M94" s="1"/>
  <c r="N99"/>
  <c r="F99"/>
  <c r="G99" s="1"/>
  <c r="N102"/>
  <c r="G102"/>
  <c r="N28"/>
  <c r="F28"/>
  <c r="G28" s="1"/>
  <c r="N41"/>
  <c r="F41"/>
  <c r="G41" s="1"/>
  <c r="G103"/>
  <c r="N121"/>
  <c r="I93"/>
  <c r="I95"/>
  <c r="N100"/>
  <c r="F100"/>
  <c r="G100" s="1"/>
  <c r="Q73"/>
  <c r="N129"/>
  <c r="G73"/>
  <c r="H21"/>
  <c r="H21" i="5" s="1"/>
  <c r="F94" l="1"/>
  <c r="G94" s="1"/>
  <c r="I32"/>
  <c r="F32" s="1"/>
  <c r="G32" s="1"/>
  <c r="Q32"/>
  <c r="Q26"/>
  <c r="I26"/>
  <c r="F26" s="1"/>
  <c r="G26" s="1"/>
  <c r="I123"/>
  <c r="F123" s="1"/>
  <c r="G123" s="1"/>
  <c r="Q123"/>
  <c r="I121"/>
  <c r="F121" s="1"/>
  <c r="G121" s="1"/>
  <c r="Q121"/>
  <c r="I117"/>
  <c r="F117" s="1"/>
  <c r="G117" s="1"/>
  <c r="Q117"/>
  <c r="F95"/>
  <c r="G95" s="1"/>
  <c r="N92" i="4"/>
  <c r="M92"/>
  <c r="F92" s="1"/>
  <c r="G92" s="1"/>
  <c r="N94"/>
  <c r="N93"/>
  <c r="M93"/>
  <c r="F93" s="1"/>
  <c r="G93" s="1"/>
  <c r="N95"/>
  <c r="M95"/>
  <c r="F94"/>
  <c r="G94" s="1"/>
  <c r="F95"/>
  <c r="G95" s="1"/>
  <c r="G129" i="5" l="1"/>
  <c r="G133" s="1"/>
  <c r="G129" i="4"/>
  <c r="R4" s="1"/>
  <c r="G131"/>
  <c r="AA4" i="5" l="1"/>
  <c r="G132" i="4"/>
  <c r="G132" i="5" s="1"/>
  <c r="S4" i="4"/>
  <c r="G133"/>
  <c r="G131" i="5"/>
  <c r="G134" i="4" l="1"/>
  <c r="G136" s="1"/>
  <c r="G137" s="1"/>
  <c r="G139" s="1"/>
  <c r="S5" s="1"/>
  <c r="G134" i="5"/>
  <c r="G136" s="1"/>
  <c r="G137" s="1"/>
  <c r="G139" s="1"/>
  <c r="AA5" s="1"/>
</calcChain>
</file>

<file path=xl/sharedStrings.xml><?xml version="1.0" encoding="utf-8"?>
<sst xmlns="http://schemas.openxmlformats.org/spreadsheetml/2006/main" count="759" uniqueCount="201">
  <si>
    <t>"Утвержден" «    »________________2011г.</t>
  </si>
  <si>
    <t>"Утверждаю"</t>
  </si>
  <si>
    <t>Заместитель директора</t>
  </si>
  <si>
    <t xml:space="preserve"> по капитальному строительству</t>
  </si>
  <si>
    <t>филиала ОАО "МРСК Центра" - "Белгородэнерго"</t>
  </si>
  <si>
    <t xml:space="preserve">                            _____________________Леваков Г.Г.</t>
  </si>
  <si>
    <t>УКРУПНЕННЫЙ РАСЧЕТ ПРЕДЕЛЬНОЙ СТОИМОСТИ СТРОИТЕЛЬСТВА</t>
  </si>
  <si>
    <t xml:space="preserve">              (наименование стройки)</t>
  </si>
  <si>
    <t>Составлен в текущих  ценах по состоянию на 4-й кв. 2010г.</t>
  </si>
  <si>
    <t>№ пп</t>
  </si>
  <si>
    <t>Номера расчетов, документов</t>
  </si>
  <si>
    <t>Наименование объектов, работ и затрат</t>
  </si>
  <si>
    <t>Сметная стоимость за ед., тыс.руб. 
с НДС</t>
  </si>
  <si>
    <t>Общая сметная стоимость, тыс.руб.
с НДС</t>
  </si>
  <si>
    <t>оборудов</t>
  </si>
  <si>
    <t>оборудование итого</t>
  </si>
  <si>
    <t>Объекты энергетического хозяйства. Электроснабжение</t>
  </si>
  <si>
    <t>ООО "Симтэк"</t>
  </si>
  <si>
    <t>шт</t>
  </si>
  <si>
    <t>аналог TP40153531</t>
  </si>
  <si>
    <t>аналог TP40099214</t>
  </si>
  <si>
    <t>СС 2010г.</t>
  </si>
  <si>
    <t xml:space="preserve">КЛ-0,4 кВ </t>
  </si>
  <si>
    <t>L,км</t>
  </si>
  <si>
    <t>КЛ-0,4 кВ Наружное освещение. (15 шт. на км)</t>
  </si>
  <si>
    <t>ВЛИ 0,4 кВ</t>
  </si>
  <si>
    <t>ООО "СтандартЭнерго"</t>
  </si>
  <si>
    <t>Выключатель</t>
  </si>
  <si>
    <t>ООО "ГКФ Электрощит"</t>
  </si>
  <si>
    <t>Замена АВР</t>
  </si>
  <si>
    <t>Замена выключатеей нагрузки на вакуумный выключатель</t>
  </si>
  <si>
    <t>ООО "ЭТС"</t>
  </si>
  <si>
    <t>Замена РЛНД  на  РЛК</t>
  </si>
  <si>
    <t>Замена рубильника на выключатель</t>
  </si>
  <si>
    <t>Замена ТМГ 160 кВА на ТМГ 250 кВА</t>
  </si>
  <si>
    <t>Замена ТМГ 250 кВА на ТМГ 400 кВА</t>
  </si>
  <si>
    <t>Замена ТМГ 250 кВА на ТМГ 630 кВА</t>
  </si>
  <si>
    <t>Замена ТМГ 40 кВА на ТМГ 63 кВА</t>
  </si>
  <si>
    <t>Замена ТМГ 400 кВА на ТМГ 630 кВА</t>
  </si>
  <si>
    <t>Замена ТМГ 63 кВА на ТМГ 100 кВА</t>
  </si>
  <si>
    <t>Замена ТМГ 630 кВА на ТМГ 1000 кВА</t>
  </si>
  <si>
    <t>ООО "ЛИК-ТЕХНО"</t>
  </si>
  <si>
    <t>Замена ЩО-70 ( секц. с ошиновк)</t>
  </si>
  <si>
    <t>ЩО 70-1-74</t>
  </si>
  <si>
    <t>Замена ЩО-70 (вводн.,  с ошиновк)</t>
  </si>
  <si>
    <t>Замена ЩО-70 (лин., отх. линий)</t>
  </si>
  <si>
    <t>ЩО 70-1-09</t>
  </si>
  <si>
    <t xml:space="preserve">ООО "К-С" </t>
  </si>
  <si>
    <t>Индикатор короткого замыкания</t>
  </si>
  <si>
    <t>шт.</t>
  </si>
  <si>
    <t xml:space="preserve">КЛ-0,4 кВ Наружное освещение. </t>
  </si>
  <si>
    <t>КЛ-0,4 кВ НО</t>
  </si>
  <si>
    <t>КЛ-10 кВ</t>
  </si>
  <si>
    <t>КЛ-6-10 кВ (СПЭ)</t>
  </si>
  <si>
    <t>КТП  1000 кВА (т)</t>
  </si>
  <si>
    <t>КТП  25 кВА</t>
  </si>
  <si>
    <t>КТП  250 кВА (п)</t>
  </si>
  <si>
    <t>КТП  250 кВА (т)</t>
  </si>
  <si>
    <t>КТП  250 кВА с тр. 160 кВА</t>
  </si>
  <si>
    <t>КТП  2х160 кВА (п)</t>
  </si>
  <si>
    <t>КТП  2х250 кВА (П)</t>
  </si>
  <si>
    <t>КТП  2х40 кВА</t>
  </si>
  <si>
    <t>КТП  2х63 кВА</t>
  </si>
  <si>
    <t>КТП  40 кВА</t>
  </si>
  <si>
    <t>КТП  40 кВА с ТМГ 25 кВА</t>
  </si>
  <si>
    <t>КТП  400 кВА (П)</t>
  </si>
  <si>
    <t>КТП  400 кВА (Т)</t>
  </si>
  <si>
    <t>КТП  63 кВА</t>
  </si>
  <si>
    <t>КТП  630 кВА (П)</t>
  </si>
  <si>
    <t>КТП  630 кВА (Т)</t>
  </si>
  <si>
    <t>КТП 2х1000 кВА (т)</t>
  </si>
  <si>
    <t>КТП 2х400кВА с тр. 250 кВА</t>
  </si>
  <si>
    <t>КТП 400кВА с тр. 250 кВА (проходная)</t>
  </si>
  <si>
    <t>КТПНУ 2х1000кВА "Сэндвич"</t>
  </si>
  <si>
    <t>аналог TP40055167</t>
  </si>
  <si>
    <t>КТПНУ 2х1250кВА "Сэндвич"</t>
  </si>
  <si>
    <t>КТПНУ 2х400кВА "Сэндвич"</t>
  </si>
  <si>
    <t>аналог TP40118119</t>
  </si>
  <si>
    <t>КТПНУ 2х630кВА "Сэндвич"</t>
  </si>
  <si>
    <t>Монтаж БКТП 2х250кВА</t>
  </si>
  <si>
    <t>Монтаж БКТП 2х400кВА на новое место</t>
  </si>
  <si>
    <t xml:space="preserve">Монтаж реклоузеров
</t>
  </si>
  <si>
    <t>Наружное освещение. Установка светильников.</t>
  </si>
  <si>
    <t>Делала расчет на монтаж светильников 1,5 м - 63 шт, 2,5 м - 132 шт. двухрожковые</t>
  </si>
  <si>
    <t xml:space="preserve">ОПН 0,4 кВ 
</t>
  </si>
  <si>
    <t xml:space="preserve">ОПН 10 кВ 
</t>
  </si>
  <si>
    <t>Замена опоры на СВ-110</t>
  </si>
  <si>
    <t xml:space="preserve">Ошиновка
</t>
  </si>
  <si>
    <t>СС 2010г., к-т 1,25</t>
  </si>
  <si>
    <t>УСРСС ЗАО "ЗНОиМ"</t>
  </si>
  <si>
    <t>Реконструкция ПС ( установка 2х ячеек)</t>
  </si>
  <si>
    <t>СТП  25 кВА</t>
  </si>
  <si>
    <t>аналог  KS00003391</t>
  </si>
  <si>
    <t>СТП  40 кВА</t>
  </si>
  <si>
    <t>ТМГ 400 кВА</t>
  </si>
  <si>
    <t>ТМГ 630 кВА</t>
  </si>
  <si>
    <t>Устан. ЩО-70 ( секц. с ошиновк)</t>
  </si>
  <si>
    <t>Устан. ЩО-70 (вводн., с ошиновк)</t>
  </si>
  <si>
    <t>Установка АВР</t>
  </si>
  <si>
    <t>ИВТ</t>
  </si>
  <si>
    <t>Установка Гелиос</t>
  </si>
  <si>
    <t>Установка РЛК</t>
  </si>
  <si>
    <t>Установка РДИП</t>
  </si>
  <si>
    <t>Установка РЛК с ОПН 10 кВ</t>
  </si>
  <si>
    <t>Установка шкафа учета "Нейрон" (однофазный)</t>
  </si>
  <si>
    <t>Установка шкафа учета "Нейрон" (трехфазный)</t>
  </si>
  <si>
    <t>Установка ЩО-70 (лин., отх. линий)</t>
  </si>
  <si>
    <t>ЩУР-0,4</t>
  </si>
  <si>
    <t>Ячейка К - 59 (с ВВ и микропроц. Сириус)</t>
  </si>
  <si>
    <t>"Энергопортал"</t>
  </si>
  <si>
    <t xml:space="preserve">Ячейка КРН-10 </t>
  </si>
  <si>
    <t>ООО Энергия""</t>
  </si>
  <si>
    <t>Ячейка КСО (вводн.), замена</t>
  </si>
  <si>
    <t>393-09, ВН</t>
  </si>
  <si>
    <t>Ячейка КСО (секц., отх.), замена</t>
  </si>
  <si>
    <t>393-04 , с разрядником, разъед, ввода</t>
  </si>
  <si>
    <t>Ячейка КСО 298 с ВН</t>
  </si>
  <si>
    <t>ООО "Энергия"</t>
  </si>
  <si>
    <t>Ячейка КСО с BB/TEL</t>
  </si>
  <si>
    <t>аналог ТР40299933</t>
  </si>
  <si>
    <t>Ячейка отходящих линий с ВВ</t>
  </si>
  <si>
    <t>расчет, УСПЭС</t>
  </si>
  <si>
    <t>Благоустройство</t>
  </si>
  <si>
    <t>1 % от ЛЭП</t>
  </si>
  <si>
    <t>Итого СМР (в т.ч. оборудование)</t>
  </si>
  <si>
    <t>№</t>
  </si>
  <si>
    <t>Прочие</t>
  </si>
  <si>
    <t>Письмо ФСК 
МА 22/118 от 10.04.06</t>
  </si>
  <si>
    <t>ПНР</t>
  </si>
  <si>
    <t>7 % от оборудования</t>
  </si>
  <si>
    <t xml:space="preserve">ПСД </t>
  </si>
  <si>
    <t>7 % от СМР (в т.ч. оборудование)</t>
  </si>
  <si>
    <t>МДС 81-35.2004</t>
  </si>
  <si>
    <t>Средства на покрытие затрат строительных организаций по страхованию, в том числе строительных рисков, 1%</t>
  </si>
  <si>
    <t>1 % от СМР (в т.ч. оборудование)</t>
  </si>
  <si>
    <t>Итого Прочие</t>
  </si>
  <si>
    <t>Итого по  расчету в текущих ценах, с НДС</t>
  </si>
  <si>
    <t>Непредвиденные затраты 3%</t>
  </si>
  <si>
    <t>Всего по  расчету в текущих ценах, с НДС</t>
  </si>
  <si>
    <t>Составил</t>
  </si>
  <si>
    <t>КТП  2х100 кВА (п)</t>
  </si>
  <si>
    <t>КТП  2х100 кВА (т)</t>
  </si>
  <si>
    <t>аналог TP40149077</t>
  </si>
  <si>
    <t>КТПНУ 2х250кВА "Сэндвич"</t>
  </si>
  <si>
    <t>СТП  63 кВА</t>
  </si>
  <si>
    <t>аналог  KS00003393</t>
  </si>
  <si>
    <t>КТП 2х100 кВА с тр. 63 кВА</t>
  </si>
  <si>
    <t>ООО Торговый дом «УЗТТ» СХЕМА №7 каталога</t>
  </si>
  <si>
    <t>ООО Торговый дом «УЗТТ» СХЕМА №19 каталога</t>
  </si>
  <si>
    <t>аналог TP40153531.01</t>
  </si>
  <si>
    <t xml:space="preserve">ООО Торговый дом «УЗТТ» </t>
  </si>
  <si>
    <t>КТП  1000 кВА (п)</t>
  </si>
  <si>
    <t>КТП  2х630 кВА (т)</t>
  </si>
  <si>
    <t>ООО ПК "Энергоресурс"</t>
  </si>
  <si>
    <t>Наименование объекта</t>
  </si>
  <si>
    <t>Сметная стоимость, тыс. руб. с НДС</t>
  </si>
  <si>
    <t>Итого 
тыс. руб.
с НДС:</t>
  </si>
  <si>
    <t xml:space="preserve"> ВЛ 6-10 кВ</t>
  </si>
  <si>
    <t>ВЛ 0,4 кВ</t>
  </si>
  <si>
    <t xml:space="preserve"> КЛ 6-10 кВ </t>
  </si>
  <si>
    <t>КЛ 0,4 кВ</t>
  </si>
  <si>
    <t>ТП 10/0,4</t>
  </si>
  <si>
    <t>Составлен в текущих  ценах по состоянию на 4-й кв. 2011г.</t>
  </si>
  <si>
    <t>КТП  160 кВА п в/к</t>
  </si>
  <si>
    <t>КТП 2х400кВА п в/к</t>
  </si>
  <si>
    <t>КТП  2х630 кВА п в/к</t>
  </si>
  <si>
    <t>КТП  160 кВА т в/к</t>
  </si>
  <si>
    <t>ВЛ 10</t>
  </si>
  <si>
    <t>КТП  2х40 кВА п</t>
  </si>
  <si>
    <t>КТП  2 х40 кВА т</t>
  </si>
  <si>
    <t>КТПБ  2х250 кВА</t>
  </si>
  <si>
    <t>КТПБ  2х400 кВА</t>
  </si>
  <si>
    <t>КТПБ  2х630 кВА</t>
  </si>
  <si>
    <t>КТПБ  П 2х1000 кВА</t>
  </si>
  <si>
    <t>КТП демонтаж  (киоск)</t>
  </si>
  <si>
    <t xml:space="preserve">ВЛ-0,4 кВ реконструкция </t>
  </si>
  <si>
    <t xml:space="preserve">ВЛ 10  реконструкция </t>
  </si>
  <si>
    <t xml:space="preserve">ВЛИ-0,4 кВ. Совместной подвеской провода   </t>
  </si>
  <si>
    <t xml:space="preserve">ВЛ 0,4  демонтаж </t>
  </si>
  <si>
    <t xml:space="preserve">ВЛ-10 кВ демонтаж </t>
  </si>
  <si>
    <t>КТП</t>
  </si>
  <si>
    <t>ТМГ</t>
  </si>
  <si>
    <t>10% СМР</t>
  </si>
  <si>
    <t>шт. тмг</t>
  </si>
  <si>
    <t>КТП  100 кВА с тр. 63 кВА (п)</t>
  </si>
  <si>
    <t>КТП  100 кВА (т)</t>
  </si>
  <si>
    <t>КТП  2х250 кВА т</t>
  </si>
  <si>
    <t>2</t>
  </si>
  <si>
    <t>Справка о стоимости мат и обор-ия</t>
  </si>
  <si>
    <t>Заменяю стоимость КТП, трансформаторы по энергоресурсу нормально стоят</t>
  </si>
  <si>
    <t>Заключение рамочного соглашения на закупки комплексных работ ПИР, СМР, ПНР  по электроснабжению потребителей Белгородской области  Белгородэнерго</t>
  </si>
  <si>
    <t>Ячейка отходящих линий с ВВ (ЯКНО)</t>
  </si>
  <si>
    <t>КТПНУ 2х2500кВА "Сэндвич"</t>
  </si>
  <si>
    <t>Установка ПРВТ-10</t>
  </si>
  <si>
    <t>Замена. Ячейка КСО с BB/TEL</t>
  </si>
  <si>
    <t>выключатель</t>
  </si>
  <si>
    <t xml:space="preserve">РТП </t>
  </si>
  <si>
    <t>реконструкция  2х ячеек</t>
  </si>
  <si>
    <t>Укрупнённый расчет</t>
  </si>
  <si>
    <t>Романенко О.В.</t>
  </si>
  <si>
    <t xml:space="preserve">ООО "Монолитстрой"
Наружное освещение восьмисекционного жилого дома, г. Белгород, мкр. Ботсад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</si>
</sst>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0.000"/>
    <numFmt numFmtId="166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7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50"/>
      <name val="Arial Cyr"/>
      <charset val="204"/>
    </font>
    <font>
      <b/>
      <sz val="10"/>
      <color rgb="FF00B05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7030A0"/>
      <name val="Arial Cyr"/>
      <charset val="204"/>
    </font>
    <font>
      <b/>
      <sz val="10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theme="3" tint="0.39997558519241921"/>
      <name val="Arial Cyr"/>
      <charset val="204"/>
    </font>
    <font>
      <sz val="6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4" fontId="5" fillId="0" borderId="0" xfId="0" applyNumberFormat="1" applyFont="1" applyAlignment="1">
      <alignment horizontal="right" vertical="top" indent="1"/>
    </xf>
    <xf numFmtId="0" fontId="4" fillId="0" borderId="0" xfId="0" applyFont="1" applyAlignment="1"/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top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4" fontId="5" fillId="0" borderId="13" xfId="0" applyNumberFormat="1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164" fontId="5" fillId="0" borderId="1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0" borderId="0" xfId="0" applyFont="1" applyFill="1"/>
    <xf numFmtId="0" fontId="0" fillId="2" borderId="13" xfId="0" applyFill="1" applyBorder="1" applyAlignment="1">
      <alignment horizontal="left" vertical="top" wrapText="1"/>
    </xf>
    <xf numFmtId="4" fontId="5" fillId="2" borderId="13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5" fillId="2" borderId="14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" fontId="5" fillId="0" borderId="1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2" fontId="0" fillId="0" borderId="0" xfId="0" applyNumberFormat="1" applyFont="1" applyFill="1"/>
    <xf numFmtId="4" fontId="5" fillId="0" borderId="0" xfId="0" applyNumberFormat="1" applyFont="1" applyFill="1" applyAlignment="1">
      <alignment horizontal="right" vertical="top" wrapText="1"/>
    </xf>
    <xf numFmtId="0" fontId="0" fillId="0" borderId="0" xfId="0" applyFill="1"/>
    <xf numFmtId="0" fontId="0" fillId="0" borderId="1" xfId="0" applyFont="1" applyFill="1" applyBorder="1"/>
    <xf numFmtId="0" fontId="0" fillId="3" borderId="1" xfId="0" applyFont="1" applyFill="1" applyBorder="1"/>
    <xf numFmtId="2" fontId="9" fillId="0" borderId="0" xfId="0" applyNumberFormat="1" applyFont="1" applyFill="1"/>
    <xf numFmtId="164" fontId="5" fillId="0" borderId="16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164" fontId="4" fillId="0" borderId="15" xfId="0" applyNumberFormat="1" applyFont="1" applyBorder="1" applyAlignment="1">
      <alignment horizontal="left" vertical="top"/>
    </xf>
    <xf numFmtId="164" fontId="4" fillId="0" borderId="14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0" fillId="0" borderId="13" xfId="0" applyFill="1" applyBorder="1"/>
    <xf numFmtId="0" fontId="8" fillId="0" borderId="0" xfId="0" applyFont="1" applyAlignment="1">
      <alignment horizontal="right" vertical="top"/>
    </xf>
    <xf numFmtId="4" fontId="0" fillId="0" borderId="0" xfId="0" applyNumberFormat="1" applyFont="1" applyFill="1"/>
    <xf numFmtId="4" fontId="0" fillId="0" borderId="0" xfId="0" applyNumberFormat="1"/>
    <xf numFmtId="4" fontId="5" fillId="4" borderId="13" xfId="0" applyNumberFormat="1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164" fontId="5" fillId="4" borderId="14" xfId="0" applyNumberFormat="1" applyFont="1" applyFill="1" applyBorder="1" applyAlignment="1">
      <alignment horizontal="right" vertical="top" wrapText="1"/>
    </xf>
    <xf numFmtId="4" fontId="5" fillId="4" borderId="0" xfId="0" applyNumberFormat="1" applyFont="1" applyFill="1" applyAlignment="1">
      <alignment horizontal="right" vertical="top" wrapText="1"/>
    </xf>
    <xf numFmtId="0" fontId="0" fillId="4" borderId="0" xfId="0" applyFont="1" applyFill="1"/>
    <xf numFmtId="4" fontId="5" fillId="5" borderId="1" xfId="0" applyNumberFormat="1" applyFont="1" applyFill="1" applyBorder="1" applyAlignment="1">
      <alignment horizontal="right" vertical="top" wrapText="1"/>
    </xf>
    <xf numFmtId="0" fontId="0" fillId="5" borderId="0" xfId="0" applyFont="1" applyFill="1"/>
    <xf numFmtId="4" fontId="5" fillId="5" borderId="0" xfId="0" applyNumberFormat="1" applyFont="1" applyFill="1" applyAlignment="1">
      <alignment horizontal="right" vertical="top" wrapText="1"/>
    </xf>
    <xf numFmtId="0" fontId="16" fillId="0" borderId="13" xfId="0" applyFont="1" applyFill="1" applyBorder="1" applyAlignment="1">
      <alignment horizontal="left" vertical="top" wrapText="1"/>
    </xf>
    <xf numFmtId="4" fontId="5" fillId="6" borderId="13" xfId="0" applyNumberFormat="1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164" fontId="5" fillId="6" borderId="14" xfId="0" applyNumberFormat="1" applyFont="1" applyFill="1" applyBorder="1" applyAlignment="1">
      <alignment horizontal="right" vertical="top" wrapText="1"/>
    </xf>
    <xf numFmtId="0" fontId="0" fillId="7" borderId="0" xfId="0" applyFont="1" applyFill="1"/>
    <xf numFmtId="0" fontId="17" fillId="0" borderId="0" xfId="0" applyFont="1" applyAlignment="1">
      <alignment horizontal="left" vertical="top"/>
    </xf>
    <xf numFmtId="166" fontId="17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165" fontId="21" fillId="0" borderId="22" xfId="0" applyNumberFormat="1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left" vertical="top" wrapText="1"/>
    </xf>
    <xf numFmtId="4" fontId="5" fillId="8" borderId="13" xfId="0" applyNumberFormat="1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164" fontId="5" fillId="8" borderId="14" xfId="0" applyNumberFormat="1" applyFont="1" applyFill="1" applyBorder="1" applyAlignment="1">
      <alignment horizontal="right" vertical="top" wrapText="1"/>
    </xf>
    <xf numFmtId="0" fontId="0" fillId="8" borderId="0" xfId="0" applyFont="1" applyFill="1"/>
    <xf numFmtId="4" fontId="0" fillId="8" borderId="0" xfId="0" applyNumberFormat="1" applyFont="1" applyFill="1"/>
    <xf numFmtId="4" fontId="5" fillId="8" borderId="0" xfId="0" applyNumberFormat="1" applyFont="1" applyFill="1" applyAlignment="1">
      <alignment horizontal="righ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Font="1" applyFill="1" applyBorder="1"/>
    <xf numFmtId="0" fontId="0" fillId="3" borderId="0" xfId="0" applyFont="1" applyFill="1" applyBorder="1"/>
    <xf numFmtId="4" fontId="5" fillId="5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4" fontId="5" fillId="8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/>
    </xf>
    <xf numFmtId="4" fontId="23" fillId="5" borderId="0" xfId="0" applyNumberFormat="1" applyFont="1" applyFill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164" fontId="25" fillId="0" borderId="0" xfId="0" applyNumberFormat="1" applyFont="1" applyBorder="1" applyAlignment="1">
      <alignment horizontal="right" vertical="top"/>
    </xf>
    <xf numFmtId="4" fontId="23" fillId="8" borderId="0" xfId="0" applyNumberFormat="1" applyFont="1" applyFill="1" applyAlignment="1">
      <alignment horizontal="right" vertical="top" wrapText="1"/>
    </xf>
    <xf numFmtId="2" fontId="0" fillId="8" borderId="0" xfId="0" applyNumberFormat="1" applyFont="1" applyFill="1"/>
    <xf numFmtId="0" fontId="0" fillId="8" borderId="0" xfId="0" applyFill="1"/>
    <xf numFmtId="0" fontId="0" fillId="0" borderId="0" xfId="0" applyAlignment="1">
      <alignment wrapText="1"/>
    </xf>
    <xf numFmtId="0" fontId="28" fillId="0" borderId="0" xfId="0" applyFont="1"/>
    <xf numFmtId="0" fontId="27" fillId="0" borderId="0" xfId="0" applyFont="1" applyAlignment="1">
      <alignment horizontal="right" vertical="top"/>
    </xf>
    <xf numFmtId="49" fontId="27" fillId="0" borderId="0" xfId="0" applyNumberFormat="1" applyFont="1" applyAlignment="1">
      <alignment horizontal="left" vertical="top"/>
    </xf>
    <xf numFmtId="4" fontId="27" fillId="8" borderId="0" xfId="0" applyNumberFormat="1" applyFont="1" applyFill="1" applyAlignment="1">
      <alignment horizontal="right" vertical="top" wrapText="1"/>
    </xf>
    <xf numFmtId="0" fontId="28" fillId="0" borderId="0" xfId="0" applyFont="1" applyFill="1"/>
    <xf numFmtId="164" fontId="29" fillId="0" borderId="0" xfId="0" applyNumberFormat="1" applyFont="1" applyBorder="1" applyAlignment="1">
      <alignment horizontal="right" vertical="top"/>
    </xf>
    <xf numFmtId="2" fontId="28" fillId="8" borderId="0" xfId="0" applyNumberFormat="1" applyFont="1" applyFill="1"/>
    <xf numFmtId="4" fontId="23" fillId="0" borderId="0" xfId="0" applyNumberFormat="1" applyFont="1" applyFill="1" applyAlignment="1">
      <alignment horizontal="right" vertical="top" wrapText="1"/>
    </xf>
    <xf numFmtId="4" fontId="27" fillId="0" borderId="0" xfId="0" applyNumberFormat="1" applyFont="1" applyFill="1" applyAlignment="1">
      <alignment horizontal="right" vertical="top" wrapText="1"/>
    </xf>
    <xf numFmtId="2" fontId="28" fillId="0" borderId="0" xfId="0" applyNumberFormat="1" applyFont="1" applyFill="1"/>
    <xf numFmtId="0" fontId="28" fillId="0" borderId="0" xfId="0" applyFont="1" applyFill="1" applyAlignment="1">
      <alignment vertical="top"/>
    </xf>
    <xf numFmtId="0" fontId="28" fillId="0" borderId="0" xfId="0" applyFont="1" applyFill="1" applyBorder="1"/>
    <xf numFmtId="0" fontId="28" fillId="3" borderId="0" xfId="0" applyFont="1" applyFill="1" applyBorder="1"/>
    <xf numFmtId="4" fontId="27" fillId="5" borderId="0" xfId="0" applyNumberFormat="1" applyFont="1" applyFill="1" applyAlignment="1">
      <alignment horizontal="right" vertical="top" wrapText="1"/>
    </xf>
    <xf numFmtId="0" fontId="28" fillId="3" borderId="0" xfId="0" applyFont="1" applyFill="1"/>
    <xf numFmtId="0" fontId="1" fillId="0" borderId="0" xfId="0" applyFont="1" applyBorder="1"/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 vertical="top"/>
    </xf>
    <xf numFmtId="0" fontId="0" fillId="0" borderId="13" xfId="0" applyFont="1" applyFill="1" applyBorder="1" applyAlignment="1">
      <alignment horizontal="left" vertical="top" wrapText="1"/>
    </xf>
    <xf numFmtId="4" fontId="31" fillId="8" borderId="0" xfId="0" applyNumberFormat="1" applyFont="1" applyFill="1"/>
    <xf numFmtId="0" fontId="31" fillId="8" borderId="0" xfId="0" applyFont="1" applyFill="1"/>
    <xf numFmtId="0" fontId="31" fillId="0" borderId="0" xfId="0" applyFont="1" applyFill="1"/>
    <xf numFmtId="0" fontId="31" fillId="5" borderId="0" xfId="0" applyFont="1" applyFill="1"/>
    <xf numFmtId="0" fontId="9" fillId="0" borderId="0" xfId="0" applyFont="1" applyFill="1"/>
    <xf numFmtId="165" fontId="1" fillId="0" borderId="0" xfId="0" applyNumberFormat="1" applyFont="1"/>
    <xf numFmtId="4" fontId="4" fillId="0" borderId="1" xfId="0" applyNumberFormat="1" applyFont="1" applyBorder="1" applyAlignment="1">
      <alignment horizontal="right" vertical="top" wrapText="1"/>
    </xf>
    <xf numFmtId="0" fontId="32" fillId="8" borderId="13" xfId="0" applyFont="1" applyFill="1" applyBorder="1" applyAlignment="1">
      <alignment horizontal="left" vertical="top" wrapText="1"/>
    </xf>
    <xf numFmtId="4" fontId="4" fillId="8" borderId="0" xfId="0" applyNumberFormat="1" applyFont="1" applyFill="1" applyAlignment="1">
      <alignment horizontal="right" vertical="top" wrapText="1"/>
    </xf>
    <xf numFmtId="4" fontId="4" fillId="8" borderId="1" xfId="0" applyNumberFormat="1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4" fillId="5" borderId="0" xfId="0" applyNumberFormat="1" applyFont="1" applyFill="1" applyAlignment="1">
      <alignment horizontal="right" vertical="top" wrapText="1"/>
    </xf>
    <xf numFmtId="165" fontId="0" fillId="0" borderId="0" xfId="0" applyNumberFormat="1"/>
    <xf numFmtId="0" fontId="4" fillId="0" borderId="13" xfId="0" applyFont="1" applyBorder="1" applyAlignment="1">
      <alignment horizontal="left" vertical="top" indent="1"/>
    </xf>
    <xf numFmtId="0" fontId="4" fillId="0" borderId="15" xfId="0" applyFont="1" applyBorder="1" applyAlignment="1">
      <alignment horizontal="left" vertical="top" inden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 indent="4"/>
    </xf>
    <xf numFmtId="0" fontId="4" fillId="0" borderId="15" xfId="0" applyFont="1" applyBorder="1" applyAlignment="1">
      <alignment horizontal="left" vertical="top" wrapText="1" indent="4"/>
    </xf>
    <xf numFmtId="4" fontId="5" fillId="0" borderId="13" xfId="0" applyNumberFormat="1" applyFont="1" applyFill="1" applyBorder="1" applyAlignment="1">
      <alignment horizontal="center" vertical="top" wrapText="1"/>
    </xf>
    <xf numFmtId="4" fontId="5" fillId="0" borderId="15" xfId="0" applyNumberFormat="1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6%20&#1055;&#1086;&#1076;&#1089;&#1082;&#1072;&#1079;&#1082;&#1080;/&#1044;&#1074;&#1086;&#1088;&#1103;&#1096;&#1080;&#1085;&#1072;/&#1042;&#1099;&#1087;&#1086;&#1083;&#1085;&#1077;&#1085;&#1080;&#1077;%20&#1076;&#1077;&#1082;&#1072;&#1073;&#1088;&#1103;%20%202010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СКУЭ июнь"/>
      <sheetName val="Лист1"/>
      <sheetName val="пообъектная расш"/>
      <sheetName val="Лист3"/>
      <sheetName val="непроведенные акты вып.работ"/>
      <sheetName val="Лист4"/>
      <sheetName val="реестры"/>
      <sheetName val="акты ввода"/>
      <sheetName val="АСКУЭ"/>
      <sheetName val="Отчет о совместимости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>
        <row r="12026">
          <cell r="H12026">
            <v>4634316.2823999999</v>
          </cell>
        </row>
        <row r="14925">
          <cell r="U14925">
            <v>767640.2267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 filterMode="1">
    <tabColor rgb="FF00B050"/>
    <pageSetUpPr autoPageBreaks="0"/>
  </sheetPr>
  <dimension ref="A1:S145"/>
  <sheetViews>
    <sheetView showGridLines="0" view="pageBreakPreview" topLeftCell="A44" zoomScale="130" zoomScaleSheetLayoutView="130" workbookViewId="0">
      <selection activeCell="A9" sqref="A9:G9"/>
    </sheetView>
  </sheetViews>
  <sheetFormatPr defaultRowHeight="12.75" outlineLevelCol="1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1.140625" customWidth="1" outlineLevel="1"/>
    <col min="9" max="9" width="10.28515625" style="125" customWidth="1" outlineLevel="1"/>
    <col min="10" max="10" width="6.5703125" customWidth="1" outlineLevel="1"/>
    <col min="11" max="12" width="7.85546875" customWidth="1" outlineLevel="1"/>
    <col min="13" max="13" width="12.28515625" customWidth="1" outlineLevel="1"/>
    <col min="14" max="14" width="16" customWidth="1"/>
    <col min="15" max="15" width="13.5703125" customWidth="1"/>
    <col min="16" max="16" width="14.7109375" customWidth="1"/>
    <col min="17" max="17" width="12.5703125" customWidth="1"/>
    <col min="18" max="18" width="13" customWidth="1"/>
  </cols>
  <sheetData>
    <row r="1" spans="1:19" s="4" customFormat="1" ht="28.5" customHeight="1" thickBot="1">
      <c r="A1" s="1"/>
      <c r="B1" s="2" t="s">
        <v>0</v>
      </c>
      <c r="C1" s="3"/>
      <c r="D1" s="187" t="s">
        <v>1</v>
      </c>
      <c r="E1" s="187"/>
      <c r="F1" s="187"/>
      <c r="G1" s="187"/>
      <c r="H1" s="114"/>
      <c r="J1" s="116"/>
      <c r="K1" s="116"/>
      <c r="L1" s="116"/>
      <c r="M1" s="203" t="s">
        <v>154</v>
      </c>
      <c r="N1" s="205" t="s">
        <v>155</v>
      </c>
      <c r="O1" s="206"/>
      <c r="P1" s="206"/>
      <c r="Q1" s="206"/>
      <c r="R1" s="207"/>
      <c r="S1" s="203" t="s">
        <v>156</v>
      </c>
    </row>
    <row r="2" spans="1:19" s="4" customFormat="1" ht="15" thickBot="1">
      <c r="A2" s="5"/>
      <c r="B2" s="6"/>
      <c r="C2" s="7"/>
      <c r="D2" s="187" t="s">
        <v>2</v>
      </c>
      <c r="E2" s="187"/>
      <c r="F2" s="187"/>
      <c r="G2" s="187"/>
      <c r="H2" s="114"/>
      <c r="J2" s="113"/>
      <c r="K2" s="113"/>
      <c r="L2" s="113"/>
      <c r="M2" s="204"/>
      <c r="N2" s="98" t="s">
        <v>157</v>
      </c>
      <c r="O2" s="98" t="s">
        <v>158</v>
      </c>
      <c r="P2" s="98" t="s">
        <v>159</v>
      </c>
      <c r="Q2" s="98" t="s">
        <v>160</v>
      </c>
      <c r="R2" s="98" t="s">
        <v>161</v>
      </c>
      <c r="S2" s="204"/>
    </row>
    <row r="3" spans="1:19" s="4" customFormat="1" ht="13.5" thickBot="1">
      <c r="A3" s="5"/>
      <c r="B3" s="8"/>
      <c r="C3" s="9"/>
      <c r="D3" s="187" t="s">
        <v>3</v>
      </c>
      <c r="E3" s="187"/>
      <c r="F3" s="187"/>
      <c r="G3" s="187"/>
      <c r="H3" s="114"/>
      <c r="J3" s="99"/>
      <c r="K3" s="99"/>
      <c r="L3" s="99"/>
      <c r="M3" s="99">
        <v>1</v>
      </c>
      <c r="N3" s="99">
        <v>2</v>
      </c>
      <c r="O3" s="99">
        <v>3</v>
      </c>
      <c r="P3" s="99">
        <v>4</v>
      </c>
      <c r="Q3" s="99">
        <v>5</v>
      </c>
      <c r="R3" s="99">
        <v>6</v>
      </c>
      <c r="S3" s="99">
        <v>7</v>
      </c>
    </row>
    <row r="4" spans="1:19" s="4" customFormat="1" ht="15.75" thickBot="1">
      <c r="A4" s="5"/>
      <c r="B4" s="10"/>
      <c r="D4" s="11"/>
      <c r="E4" s="11"/>
      <c r="F4" s="11"/>
      <c r="G4" s="12" t="s">
        <v>4</v>
      </c>
      <c r="H4" s="12"/>
      <c r="J4" s="100"/>
      <c r="K4" s="100"/>
      <c r="L4" s="100"/>
      <c r="M4" s="100"/>
      <c r="N4" s="101">
        <f>(ROUND(('4 кв 2011 год'!G21+'4 кв 2011 год'!G22+'4 кв 2011 год'!G27+IF('4 кв 2011 год'!E127=0,0,(G21+G22+G27)*0.01))*0.07,2)+(G21+G22+G27+IF('4 кв 2011 год'!E127=0,0,(G21+G22+G27)*0.01))*1.01)*1.03</f>
        <v>0</v>
      </c>
      <c r="O4" s="101">
        <f>(ROUND(('4 кв 2011 год'!G20+'4 кв 2011 год'!G23+'4 кв 2011 год'!G24+'4 кв 2011 год'!G25+IF('4 кв 2011 год'!E127=0,0,(G20+G23+G24+G25)*0.01))*0.07,2)+(G20+G23+G24+G25+IF('4 кв 2011 год'!E127=0,0,(G20+G23+G24+G25)*0.01))*1.01)*1.03</f>
        <v>0</v>
      </c>
      <c r="P4" s="101">
        <f>(ROUND(('4 кв 2011 год'!G48+'4 кв 2011 год'!G49+IF('4 кв 2011 год'!E127=0,0,(G48+G49)*0.01))*0.07,2)+(G48+G49+IF('4 кв 2011 год'!E127=0,0,(G48+G49)*0.01))*1.01)*1.03</f>
        <v>0</v>
      </c>
      <c r="Q4" s="101">
        <f>(ROUND(('4 кв 2011 год'!G44+'4 кв 2011 год'!G45+'4 кв 2011 год'!G46+'4 кв 2011 год'!G47+IF('4 кв 2011 год'!E127=0,0,(G44+G45+G46+G47)*0.01))*0.07,2)+(G44+G45+G46+G47+IF('4 кв 2011 год'!E127=0,0,(G44+G45+G46+G47)*0.01))*1.01)*1.03</f>
        <v>61.107982655000001</v>
      </c>
      <c r="R4" s="101">
        <f>(ROUND(SUM('4 кв 2011 год'!N50:'4 кв 2011 год'!N95)*0.07,2)+ROUND((('4 кв 2011 год'!G129+IF('4 кв 2011 год'!E127=0,0,(-G127))-'4 кв 2011 год'!G20-'4 кв 2011 год'!G21-'4 кв 2011 год'!G22-'4 кв 2011 год'!G23-'4 кв 2011 год'!G24-'4 кв 2011 год'!G25-'4 кв 2011 год'!G27-'4 кв 2011 год'!G44-'4 кв 2011 год'!G45-'4 кв 2011 год'!G46-'4 кв 2011 год'!G47-'4 кв 2011 год'!G48-'4 кв 2011 год'!G49)*0.07),2)+(SUM(G20:G125)-G20-G21-G22-G23-G24-G25-G27-G44-G45-G46-G47-G48-G49)*1.01)*1.03</f>
        <v>139.58336490000002</v>
      </c>
      <c r="S4" s="101">
        <f>SUM(N4:R4)</f>
        <v>200.69134755500002</v>
      </c>
    </row>
    <row r="5" spans="1:19" s="4" customFormat="1">
      <c r="A5" s="5"/>
      <c r="B5" s="6"/>
      <c r="C5" s="7"/>
      <c r="D5" s="13"/>
      <c r="E5" s="14"/>
      <c r="F5" s="14"/>
      <c r="G5" s="15"/>
      <c r="S5" s="165">
        <f>S4-G139</f>
        <v>3.4755500001892869E-4</v>
      </c>
    </row>
    <row r="6" spans="1:19" s="4" customFormat="1">
      <c r="A6" s="5"/>
      <c r="B6" s="6"/>
      <c r="C6" s="7"/>
      <c r="D6" s="16"/>
      <c r="E6" s="187" t="s">
        <v>5</v>
      </c>
      <c r="F6" s="187"/>
      <c r="G6" s="187"/>
    </row>
    <row r="7" spans="1:19" ht="11.25" customHeight="1">
      <c r="D7" s="13"/>
      <c r="E7" s="13"/>
      <c r="G7" s="16"/>
      <c r="I7"/>
    </row>
    <row r="8" spans="1:19" ht="11.25" customHeight="1">
      <c r="A8" s="188" t="s">
        <v>6</v>
      </c>
      <c r="B8" s="188"/>
      <c r="C8" s="188"/>
      <c r="D8" s="188"/>
      <c r="E8" s="188"/>
      <c r="F8" s="188"/>
      <c r="G8" s="188"/>
      <c r="H8" t="s">
        <v>189</v>
      </c>
      <c r="I8"/>
    </row>
    <row r="9" spans="1:19" ht="63" customHeight="1">
      <c r="A9" s="189" t="s">
        <v>200</v>
      </c>
      <c r="B9" s="190"/>
      <c r="C9" s="190"/>
      <c r="D9" s="190"/>
      <c r="E9" s="190"/>
      <c r="F9" s="190"/>
      <c r="G9" s="190"/>
      <c r="H9" s="74"/>
      <c r="I9" s="74" t="s">
        <v>190</v>
      </c>
      <c r="J9" s="74"/>
      <c r="K9" s="74"/>
      <c r="L9" s="74"/>
      <c r="M9" s="56"/>
    </row>
    <row r="10" spans="1:19">
      <c r="A10" s="191" t="s">
        <v>7</v>
      </c>
      <c r="B10" s="191"/>
      <c r="C10" s="191"/>
      <c r="D10" s="191"/>
      <c r="E10" s="191"/>
      <c r="F10" s="191"/>
      <c r="G10" s="191"/>
      <c r="I10"/>
    </row>
    <row r="11" spans="1:19">
      <c r="B11" s="7"/>
      <c r="C11" s="17"/>
      <c r="D11" s="17"/>
      <c r="E11" s="17"/>
      <c r="F11" s="17"/>
      <c r="G11" s="18"/>
      <c r="I11"/>
    </row>
    <row r="12" spans="1:19">
      <c r="B12" s="6" t="s">
        <v>162</v>
      </c>
      <c r="F12" s="19"/>
      <c r="G12" s="16"/>
      <c r="H12" s="6"/>
      <c r="I12" s="6"/>
      <c r="J12" s="6"/>
      <c r="K12" s="6"/>
      <c r="L12" s="6"/>
    </row>
    <row r="13" spans="1:19" ht="12.75" customHeight="1">
      <c r="A13" s="192" t="s">
        <v>9</v>
      </c>
      <c r="B13" s="193" t="s">
        <v>10</v>
      </c>
      <c r="C13" s="194" t="s">
        <v>11</v>
      </c>
      <c r="D13" s="195"/>
      <c r="E13" s="196"/>
      <c r="F13" s="200" t="s">
        <v>12</v>
      </c>
      <c r="G13" s="200" t="s">
        <v>13</v>
      </c>
      <c r="H13" s="6"/>
      <c r="I13" s="6"/>
      <c r="J13" s="6"/>
      <c r="K13" s="6"/>
      <c r="L13" s="6"/>
    </row>
    <row r="14" spans="1:19">
      <c r="A14" s="192"/>
      <c r="B14" s="193"/>
      <c r="C14" s="197"/>
      <c r="D14" s="198"/>
      <c r="E14" s="199"/>
      <c r="F14" s="201"/>
      <c r="G14" s="201"/>
      <c r="I14"/>
    </row>
    <row r="15" spans="1:19" ht="14.25" customHeight="1">
      <c r="A15" s="192"/>
      <c r="B15" s="193"/>
      <c r="C15" s="197"/>
      <c r="D15" s="198"/>
      <c r="E15" s="199"/>
      <c r="F15" s="201"/>
      <c r="G15" s="201"/>
      <c r="I15"/>
    </row>
    <row r="16" spans="1:19">
      <c r="A16" s="192"/>
      <c r="B16" s="193"/>
      <c r="C16" s="20"/>
      <c r="D16" s="21"/>
      <c r="E16" s="22"/>
      <c r="F16" s="202"/>
      <c r="G16" s="202"/>
      <c r="I16"/>
    </row>
    <row r="17" spans="1:14">
      <c r="A17" s="23">
        <v>1</v>
      </c>
      <c r="B17" s="24" t="s">
        <v>187</v>
      </c>
      <c r="C17" s="175">
        <v>3</v>
      </c>
      <c r="D17" s="176"/>
      <c r="E17" s="24">
        <v>4</v>
      </c>
      <c r="F17" s="23">
        <v>5</v>
      </c>
      <c r="G17" s="23">
        <v>7</v>
      </c>
      <c r="H17" t="s">
        <v>14</v>
      </c>
    </row>
    <row r="18" spans="1:14" ht="12.75" customHeight="1">
      <c r="A18" s="177" t="s">
        <v>16</v>
      </c>
      <c r="B18" s="178"/>
      <c r="C18" s="178"/>
      <c r="D18" s="178"/>
      <c r="E18" s="25"/>
      <c r="F18" s="26"/>
      <c r="G18" s="27"/>
    </row>
    <row r="19" spans="1:14" ht="12" customHeight="1">
      <c r="A19" s="95"/>
      <c r="B19" s="96"/>
      <c r="C19" s="96"/>
      <c r="D19" s="96"/>
      <c r="E19" s="25"/>
      <c r="F19" s="26"/>
      <c r="G19" s="27"/>
      <c r="H19" t="s">
        <v>180</v>
      </c>
      <c r="I19" s="125" t="s">
        <v>180</v>
      </c>
      <c r="J19" t="s">
        <v>183</v>
      </c>
      <c r="K19" t="s">
        <v>181</v>
      </c>
      <c r="L19" t="s">
        <v>181</v>
      </c>
      <c r="M19" t="s">
        <v>182</v>
      </c>
      <c r="N19" s="131" t="s">
        <v>15</v>
      </c>
    </row>
    <row r="20" spans="1:14" s="35" customFormat="1" ht="39.75" hidden="1" customHeight="1">
      <c r="A20" s="28"/>
      <c r="B20" s="159" t="s">
        <v>21</v>
      </c>
      <c r="C20" s="30" t="s">
        <v>178</v>
      </c>
      <c r="D20" s="31" t="s">
        <v>23</v>
      </c>
      <c r="E20" s="28"/>
      <c r="F20" s="32">
        <f>1284.02*0.25</f>
        <v>321.005</v>
      </c>
      <c r="G20" s="33">
        <f t="shared" ref="G20:G29" si="0">ROUND(F20*E20,3)</f>
        <v>0</v>
      </c>
    </row>
    <row r="21" spans="1:14" s="35" customFormat="1" ht="18" hidden="1" customHeight="1">
      <c r="A21" s="28"/>
      <c r="B21" s="159" t="s">
        <v>21</v>
      </c>
      <c r="C21" s="30" t="s">
        <v>167</v>
      </c>
      <c r="D21" s="31" t="s">
        <v>23</v>
      </c>
      <c r="E21" s="28"/>
      <c r="F21" s="42">
        <f>762.061*1.18</f>
        <v>899.23198000000002</v>
      </c>
      <c r="G21" s="33">
        <f t="shared" si="0"/>
        <v>0</v>
      </c>
      <c r="H21" s="35">
        <f>F21/1.18</f>
        <v>762.06100000000004</v>
      </c>
    </row>
    <row r="22" spans="1:14" s="35" customFormat="1" ht="12.75" hidden="1" customHeight="1">
      <c r="A22" s="28"/>
      <c r="B22" s="159" t="s">
        <v>88</v>
      </c>
      <c r="C22" s="30" t="s">
        <v>176</v>
      </c>
      <c r="D22" s="31" t="s">
        <v>23</v>
      </c>
      <c r="E22" s="28"/>
      <c r="F22" s="32">
        <f>1.25*762.061*1.18</f>
        <v>1124.0399749999999</v>
      </c>
      <c r="G22" s="33">
        <f t="shared" si="0"/>
        <v>0</v>
      </c>
    </row>
    <row r="23" spans="1:14" s="35" customFormat="1" ht="12.75" hidden="1" customHeight="1">
      <c r="A23" s="28"/>
      <c r="B23" s="159" t="s">
        <v>88</v>
      </c>
      <c r="C23" s="30" t="s">
        <v>175</v>
      </c>
      <c r="D23" s="31" t="s">
        <v>23</v>
      </c>
      <c r="E23" s="28"/>
      <c r="F23" s="32">
        <f>1.25*1284.02</f>
        <v>1605.0250000000001</v>
      </c>
      <c r="G23" s="33">
        <f>ROUND(F23*E23,3)</f>
        <v>0</v>
      </c>
    </row>
    <row r="24" spans="1:14" s="35" customFormat="1" ht="12.75" hidden="1" customHeight="1">
      <c r="A24" s="28"/>
      <c r="B24" s="159" t="s">
        <v>21</v>
      </c>
      <c r="C24" s="30" t="s">
        <v>25</v>
      </c>
      <c r="D24" s="31" t="s">
        <v>23</v>
      </c>
      <c r="E24" s="28"/>
      <c r="F24" s="32">
        <v>1284.02</v>
      </c>
      <c r="G24" s="33">
        <f t="shared" si="0"/>
        <v>0</v>
      </c>
    </row>
    <row r="25" spans="1:14" s="35" customFormat="1" ht="25.5" hidden="1">
      <c r="A25" s="28"/>
      <c r="B25" s="159" t="s">
        <v>21</v>
      </c>
      <c r="C25" s="30" t="s">
        <v>177</v>
      </c>
      <c r="D25" s="31" t="s">
        <v>23</v>
      </c>
      <c r="E25" s="28"/>
      <c r="F25" s="42">
        <f>1284.02/2*1.25</f>
        <v>802.51250000000005</v>
      </c>
      <c r="G25" s="33">
        <f t="shared" si="0"/>
        <v>0</v>
      </c>
    </row>
    <row r="26" spans="1:14" s="35" customFormat="1" hidden="1">
      <c r="A26" s="28"/>
      <c r="B26" s="43" t="s">
        <v>26</v>
      </c>
      <c r="C26" s="30" t="s">
        <v>27</v>
      </c>
      <c r="D26" s="31" t="s">
        <v>18</v>
      </c>
      <c r="E26" s="28"/>
      <c r="F26" s="32">
        <f>(2.544)/4.77*4.52*1.18+H26/3.55*3.27</f>
        <v>28.090699962441317</v>
      </c>
      <c r="G26" s="33">
        <f t="shared" si="0"/>
        <v>0</v>
      </c>
      <c r="H26" s="44">
        <f>(23.227*1.18)</f>
        <v>27.407859999999999</v>
      </c>
      <c r="I26" s="44"/>
      <c r="J26" s="44"/>
      <c r="K26" s="44"/>
      <c r="L26" s="44"/>
      <c r="N26" s="35">
        <f>H26*E26</f>
        <v>0</v>
      </c>
    </row>
    <row r="27" spans="1:14" s="35" customFormat="1" ht="12.75" hidden="1" customHeight="1">
      <c r="A27" s="28"/>
      <c r="B27" s="159" t="s">
        <v>21</v>
      </c>
      <c r="C27" s="30" t="s">
        <v>179</v>
      </c>
      <c r="D27" s="31" t="s">
        <v>23</v>
      </c>
      <c r="E27" s="28"/>
      <c r="F27" s="42">
        <f>834.78/4</f>
        <v>208.69499999999999</v>
      </c>
      <c r="G27" s="33">
        <f t="shared" si="0"/>
        <v>0</v>
      </c>
    </row>
    <row r="28" spans="1:14" s="35" customFormat="1" ht="12.75" hidden="1" customHeight="1">
      <c r="A28" s="28"/>
      <c r="B28" s="43" t="s">
        <v>28</v>
      </c>
      <c r="C28" s="30" t="s">
        <v>29</v>
      </c>
      <c r="D28" s="31" t="s">
        <v>18</v>
      </c>
      <c r="E28" s="28"/>
      <c r="F28" s="32">
        <f>(2.8)*1.18+H28</f>
        <v>34.331509999999994</v>
      </c>
      <c r="G28" s="33">
        <f t="shared" si="0"/>
        <v>0</v>
      </c>
      <c r="H28" s="44">
        <f>24.46*1.075*1.18</f>
        <v>31.027509999999996</v>
      </c>
      <c r="I28" s="44"/>
      <c r="J28" s="44"/>
      <c r="K28" s="44"/>
      <c r="L28" s="44"/>
      <c r="N28" s="35">
        <f>H28*E28</f>
        <v>0</v>
      </c>
    </row>
    <row r="29" spans="1:14" s="35" customFormat="1" ht="12.75" hidden="1" customHeight="1">
      <c r="A29" s="28"/>
      <c r="B29" s="43" t="s">
        <v>26</v>
      </c>
      <c r="C29" s="30" t="s">
        <v>30</v>
      </c>
      <c r="D29" s="31" t="s">
        <v>18</v>
      </c>
      <c r="E29" s="28"/>
      <c r="F29" s="32">
        <f>(4.361)*1.18+H29</f>
        <v>32.553840000000001</v>
      </c>
      <c r="G29" s="33">
        <f t="shared" si="0"/>
        <v>0</v>
      </c>
      <c r="H29" s="44">
        <f>(23.227*1.18)</f>
        <v>27.407859999999999</v>
      </c>
      <c r="I29" s="44"/>
      <c r="J29" s="44"/>
      <c r="K29" s="44"/>
      <c r="L29" s="44"/>
      <c r="N29" s="35">
        <f>H29*E29</f>
        <v>0</v>
      </c>
    </row>
    <row r="30" spans="1:14" s="35" customFormat="1" ht="12.75" hidden="1" customHeight="1">
      <c r="A30" s="28"/>
      <c r="B30" s="29" t="s">
        <v>21</v>
      </c>
      <c r="C30" s="30" t="s">
        <v>86</v>
      </c>
      <c r="D30" s="31" t="s">
        <v>18</v>
      </c>
      <c r="E30" s="28"/>
      <c r="F30" s="42">
        <f>12.70303512</f>
        <v>12.703035119999999</v>
      </c>
      <c r="G30" s="33"/>
      <c r="H30" s="46"/>
      <c r="I30" s="46"/>
      <c r="J30" s="46"/>
      <c r="K30" s="46"/>
      <c r="L30" s="46"/>
    </row>
    <row r="31" spans="1:14" s="35" customFormat="1" ht="12.75" hidden="1" customHeight="1">
      <c r="A31" s="28"/>
      <c r="B31" s="29" t="s">
        <v>31</v>
      </c>
      <c r="C31" s="30" t="s">
        <v>32</v>
      </c>
      <c r="D31" s="31" t="s">
        <v>18</v>
      </c>
      <c r="E31" s="28"/>
      <c r="F31" s="32">
        <f>H31+4.701*1.25*1.18</f>
        <v>46.096224999999997</v>
      </c>
      <c r="G31" s="33">
        <f t="shared" ref="G31:G62" si="1">ROUND(F31*E31,3)</f>
        <v>0</v>
      </c>
      <c r="H31" s="34">
        <f>36.43*1.075</f>
        <v>39.16225</v>
      </c>
      <c r="I31" s="34"/>
      <c r="J31" s="34"/>
      <c r="K31" s="34"/>
      <c r="L31" s="34"/>
    </row>
    <row r="32" spans="1:14" s="35" customFormat="1" ht="25.5" hidden="1" customHeight="1">
      <c r="A32" s="28"/>
      <c r="B32" s="43" t="s">
        <v>26</v>
      </c>
      <c r="C32" s="30" t="s">
        <v>195</v>
      </c>
      <c r="D32" s="31" t="s">
        <v>18</v>
      </c>
      <c r="E32" s="28"/>
      <c r="F32" s="32">
        <f>(3.102)*1.18+H32</f>
        <v>31.06822</v>
      </c>
      <c r="G32" s="33">
        <f t="shared" si="1"/>
        <v>0</v>
      </c>
      <c r="H32" s="44">
        <f>(23.227*1.18)</f>
        <v>27.407859999999999</v>
      </c>
      <c r="I32" s="44"/>
      <c r="J32" s="44"/>
      <c r="K32" s="44"/>
      <c r="L32" s="44"/>
      <c r="N32" s="35">
        <f t="shared" ref="N32:N42" si="2">H32*E32</f>
        <v>0</v>
      </c>
    </row>
    <row r="33" spans="1:17" s="35" customFormat="1" ht="12.75" hidden="1" customHeight="1">
      <c r="A33" s="28"/>
      <c r="B33" s="86" t="s">
        <v>150</v>
      </c>
      <c r="C33" s="77" t="s">
        <v>34</v>
      </c>
      <c r="D33" s="78" t="s">
        <v>18</v>
      </c>
      <c r="E33" s="28"/>
      <c r="F33" s="79">
        <f>((33.49+4871.16)*5.65*1.18/1000)+H33</f>
        <v>198.62555154999998</v>
      </c>
      <c r="G33" s="80">
        <f t="shared" si="1"/>
        <v>0</v>
      </c>
      <c r="H33" s="81">
        <f>(154.35)*1.075</f>
        <v>165.92624999999998</v>
      </c>
      <c r="I33" s="81"/>
      <c r="J33" s="81"/>
      <c r="K33" s="81"/>
      <c r="L33" s="81"/>
      <c r="M33" s="82"/>
      <c r="N33" s="82">
        <f t="shared" si="2"/>
        <v>0</v>
      </c>
      <c r="O33" s="82"/>
      <c r="P33" s="82"/>
      <c r="Q33" s="82"/>
    </row>
    <row r="34" spans="1:17" s="41" customFormat="1" ht="12.75" hidden="1" customHeight="1">
      <c r="A34" s="28"/>
      <c r="B34" s="86" t="s">
        <v>150</v>
      </c>
      <c r="C34" s="37" t="s">
        <v>35</v>
      </c>
      <c r="D34" s="38" t="s">
        <v>18</v>
      </c>
      <c r="E34" s="28"/>
      <c r="F34" s="39">
        <f>((45.56+5133.81)*5.53*1.18/1000)+H34</f>
        <v>244.87371099799998</v>
      </c>
      <c r="G34" s="40">
        <f t="shared" si="1"/>
        <v>0</v>
      </c>
      <c r="H34" s="81">
        <f>(196.35)*1.075</f>
        <v>211.07624999999999</v>
      </c>
      <c r="I34" s="81"/>
      <c r="J34" s="81"/>
      <c r="K34" s="81"/>
      <c r="L34" s="81"/>
      <c r="M34" s="82"/>
      <c r="N34" s="82">
        <f t="shared" si="2"/>
        <v>0</v>
      </c>
      <c r="O34" s="82"/>
      <c r="P34" s="82"/>
      <c r="Q34" s="82"/>
    </row>
    <row r="35" spans="1:17" s="41" customFormat="1" ht="25.5" hidden="1" customHeight="1">
      <c r="A35" s="28"/>
      <c r="B35" s="86" t="s">
        <v>150</v>
      </c>
      <c r="C35" s="77" t="s">
        <v>36</v>
      </c>
      <c r="D35" s="78" t="s">
        <v>18</v>
      </c>
      <c r="E35" s="28"/>
      <c r="F35" s="79">
        <f>((45.56+5133.81)*5.65*1.18/1000)+H35</f>
        <v>346.06585979000005</v>
      </c>
      <c r="G35" s="80">
        <f t="shared" si="1"/>
        <v>0</v>
      </c>
      <c r="H35" s="81">
        <f>(289.8)*1.075</f>
        <v>311.53500000000003</v>
      </c>
      <c r="I35" s="81"/>
      <c r="J35" s="81"/>
      <c r="K35" s="81"/>
      <c r="L35" s="81"/>
      <c r="M35" s="82"/>
      <c r="N35" s="82">
        <f t="shared" si="2"/>
        <v>0</v>
      </c>
      <c r="O35" s="82"/>
      <c r="P35" s="82"/>
      <c r="Q35" s="82"/>
    </row>
    <row r="36" spans="1:17" s="82" customFormat="1" ht="25.5" hidden="1" customHeight="1">
      <c r="A36" s="28"/>
      <c r="B36" s="86" t="s">
        <v>150</v>
      </c>
      <c r="C36" s="77" t="s">
        <v>37</v>
      </c>
      <c r="D36" s="78" t="s">
        <v>18</v>
      </c>
      <c r="E36" s="28"/>
      <c r="F36" s="79">
        <f>((33.49+4871.16)*5.65*1.18/1000)+H36</f>
        <v>120.74180154999999</v>
      </c>
      <c r="G36" s="80">
        <f t="shared" si="1"/>
        <v>0</v>
      </c>
      <c r="H36" s="81">
        <f>(81.9)*1.075</f>
        <v>88.042500000000004</v>
      </c>
      <c r="I36" s="81"/>
      <c r="J36" s="81"/>
      <c r="K36" s="81"/>
      <c r="L36" s="81"/>
      <c r="N36" s="82">
        <f t="shared" si="2"/>
        <v>0</v>
      </c>
    </row>
    <row r="37" spans="1:17" s="82" customFormat="1" ht="25.5" hidden="1" customHeight="1">
      <c r="A37" s="28"/>
      <c r="B37" s="86" t="s">
        <v>150</v>
      </c>
      <c r="C37" s="77" t="s">
        <v>38</v>
      </c>
      <c r="D37" s="78" t="s">
        <v>18</v>
      </c>
      <c r="E37" s="28"/>
      <c r="F37" s="79">
        <f>((45.56+5133.81)*5.65*1.18/1000)+H37</f>
        <v>346.06585979000005</v>
      </c>
      <c r="G37" s="80">
        <f t="shared" si="1"/>
        <v>0</v>
      </c>
      <c r="H37" s="81">
        <f>(289.8)*1.075</f>
        <v>311.53500000000003</v>
      </c>
      <c r="I37" s="81"/>
      <c r="J37" s="81"/>
      <c r="K37" s="81"/>
      <c r="L37" s="81"/>
      <c r="N37" s="82">
        <f t="shared" si="2"/>
        <v>0</v>
      </c>
    </row>
    <row r="38" spans="1:17" s="82" customFormat="1" ht="25.5" hidden="1" customHeight="1">
      <c r="A38" s="28"/>
      <c r="B38" s="86" t="s">
        <v>150</v>
      </c>
      <c r="C38" s="77" t="s">
        <v>39</v>
      </c>
      <c r="D38" s="78" t="s">
        <v>18</v>
      </c>
      <c r="E38" s="28"/>
      <c r="F38" s="79">
        <f>((33.49+4871.16)*5.65*1.18/1000)+H38</f>
        <v>129.77180154999999</v>
      </c>
      <c r="G38" s="80">
        <f t="shared" si="1"/>
        <v>0</v>
      </c>
      <c r="H38" s="81">
        <f>(90.3)*1.075</f>
        <v>97.072499999999991</v>
      </c>
      <c r="I38" s="81"/>
      <c r="J38" s="81"/>
      <c r="K38" s="81"/>
      <c r="L38" s="81"/>
      <c r="N38" s="82">
        <f t="shared" si="2"/>
        <v>0</v>
      </c>
    </row>
    <row r="39" spans="1:17" s="82" customFormat="1" ht="25.5" hidden="1" customHeight="1">
      <c r="A39" s="28"/>
      <c r="B39" s="86" t="s">
        <v>150</v>
      </c>
      <c r="C39" s="77" t="s">
        <v>40</v>
      </c>
      <c r="D39" s="78" t="s">
        <v>18</v>
      </c>
      <c r="E39" s="28"/>
      <c r="F39" s="79">
        <f>(6169.57*5.65*1.18/1000)*1.18+H39</f>
        <v>573.96950236419991</v>
      </c>
      <c r="G39" s="80">
        <f t="shared" si="1"/>
        <v>0</v>
      </c>
      <c r="H39" s="81">
        <f>(488.775)*1.075</f>
        <v>525.4331249999999</v>
      </c>
      <c r="I39" s="81"/>
      <c r="J39" s="81"/>
      <c r="K39" s="81"/>
      <c r="L39" s="81"/>
      <c r="N39" s="82">
        <f t="shared" si="2"/>
        <v>0</v>
      </c>
    </row>
    <row r="40" spans="1:17" s="82" customFormat="1" ht="25.5" hidden="1" customHeight="1">
      <c r="A40" s="28"/>
      <c r="B40" s="43" t="s">
        <v>41</v>
      </c>
      <c r="C40" s="30" t="s">
        <v>42</v>
      </c>
      <c r="D40" s="31" t="s">
        <v>18</v>
      </c>
      <c r="E40" s="28"/>
      <c r="F40" s="32">
        <f>(1.36+2.8)*1.18+H40</f>
        <v>152.12964149999999</v>
      </c>
      <c r="G40" s="33">
        <f t="shared" si="1"/>
        <v>0</v>
      </c>
      <c r="H40" s="44">
        <f>(97.409+18.65)*1.075*1.18</f>
        <v>147.22084149999998</v>
      </c>
      <c r="I40" s="44"/>
      <c r="J40" s="44"/>
      <c r="K40" s="44"/>
      <c r="L40" s="44"/>
      <c r="M40" s="35"/>
      <c r="N40" s="35">
        <f t="shared" si="2"/>
        <v>0</v>
      </c>
      <c r="O40" s="35"/>
      <c r="P40" s="46" t="s">
        <v>43</v>
      </c>
      <c r="Q40" s="35"/>
    </row>
    <row r="41" spans="1:17" s="82" customFormat="1" ht="25.5" hidden="1" customHeight="1">
      <c r="A41" s="28"/>
      <c r="B41" s="43" t="s">
        <v>28</v>
      </c>
      <c r="C41" s="30" t="s">
        <v>44</v>
      </c>
      <c r="D41" s="31" t="s">
        <v>18</v>
      </c>
      <c r="E41" s="28"/>
      <c r="F41" s="32">
        <f>(1.36+2.8*1.18+H41)</f>
        <v>155.80577499999998</v>
      </c>
      <c r="G41" s="33">
        <f t="shared" si="1"/>
        <v>0</v>
      </c>
      <c r="H41" s="44">
        <f>(100.5+18.65)*1.075*1.18</f>
        <v>151.141775</v>
      </c>
      <c r="I41" s="44"/>
      <c r="J41" s="44"/>
      <c r="K41" s="44"/>
      <c r="L41" s="44"/>
      <c r="M41" s="35"/>
      <c r="N41" s="35">
        <f t="shared" si="2"/>
        <v>0</v>
      </c>
      <c r="O41" s="35"/>
      <c r="P41" s="46" t="s">
        <v>43</v>
      </c>
      <c r="Q41" s="35"/>
    </row>
    <row r="42" spans="1:17" s="82" customFormat="1" ht="25.5" hidden="1" customHeight="1">
      <c r="A42" s="28"/>
      <c r="B42" s="43" t="s">
        <v>28</v>
      </c>
      <c r="C42" s="30" t="s">
        <v>45</v>
      </c>
      <c r="D42" s="31" t="s">
        <v>18</v>
      </c>
      <c r="E42" s="28"/>
      <c r="F42" s="32">
        <f>(1.36+2.8)*1.18+H42</f>
        <v>58.376074999999993</v>
      </c>
      <c r="G42" s="33">
        <f t="shared" si="1"/>
        <v>0</v>
      </c>
      <c r="H42" s="44">
        <f>(42.15)*1.075*1.18</f>
        <v>53.467274999999994</v>
      </c>
      <c r="I42" s="44"/>
      <c r="J42" s="44"/>
      <c r="K42" s="44"/>
      <c r="L42" s="44"/>
      <c r="M42" s="35"/>
      <c r="N42" s="35">
        <f t="shared" si="2"/>
        <v>0</v>
      </c>
      <c r="O42" s="35"/>
      <c r="P42" s="46" t="s">
        <v>46</v>
      </c>
      <c r="Q42" s="35"/>
    </row>
    <row r="43" spans="1:17" s="35" customFormat="1" ht="12.75" hidden="1" customHeight="1">
      <c r="A43" s="28"/>
      <c r="B43" s="29" t="s">
        <v>47</v>
      </c>
      <c r="C43" s="30" t="s">
        <v>48</v>
      </c>
      <c r="D43" s="31" t="s">
        <v>49</v>
      </c>
      <c r="E43" s="28"/>
      <c r="F43" s="42">
        <f>(2.544)*1.18+H43</f>
        <v>25.365279999999998</v>
      </c>
      <c r="G43" s="33">
        <f t="shared" si="1"/>
        <v>0</v>
      </c>
      <c r="H43" s="47">
        <f>18.952*1.18</f>
        <v>22.36336</v>
      </c>
      <c r="I43" s="117"/>
      <c r="J43" s="117"/>
      <c r="K43" s="117"/>
      <c r="L43" s="117"/>
    </row>
    <row r="44" spans="1:17" s="35" customFormat="1" ht="25.5" customHeight="1">
      <c r="A44" s="28">
        <v>1</v>
      </c>
      <c r="B44" s="159" t="s">
        <v>21</v>
      </c>
      <c r="C44" s="30" t="s">
        <v>22</v>
      </c>
      <c r="D44" s="31" t="s">
        <v>23</v>
      </c>
      <c r="E44" s="28">
        <v>0.03</v>
      </c>
      <c r="F44" s="42">
        <f>1812.84</f>
        <v>1812.84</v>
      </c>
      <c r="G44" s="33">
        <f t="shared" si="1"/>
        <v>54.384999999999998</v>
      </c>
      <c r="H44" s="47"/>
      <c r="I44" s="117"/>
      <c r="J44" s="117"/>
      <c r="K44" s="117"/>
      <c r="L44" s="117"/>
    </row>
    <row r="45" spans="1:17" s="35" customFormat="1" ht="12.75" hidden="1" customHeight="1">
      <c r="A45" s="28"/>
      <c r="B45" s="159" t="s">
        <v>21</v>
      </c>
      <c r="C45" s="30" t="s">
        <v>50</v>
      </c>
      <c r="D45" s="31" t="s">
        <v>23</v>
      </c>
      <c r="E45" s="28"/>
      <c r="F45" s="42">
        <f>1185.4976*1.18/4.77*4.52</f>
        <v>1325.5702304737945</v>
      </c>
      <c r="G45" s="33">
        <f t="shared" si="1"/>
        <v>0</v>
      </c>
      <c r="H45" s="48"/>
      <c r="I45" s="118"/>
      <c r="J45" s="118"/>
      <c r="K45" s="118"/>
      <c r="L45" s="118"/>
      <c r="M45" s="41"/>
      <c r="N45" s="41"/>
      <c r="O45" s="41"/>
      <c r="P45" s="41"/>
      <c r="Q45" s="41"/>
    </row>
    <row r="46" spans="1:17" s="35" customFormat="1" ht="12.75" hidden="1" customHeight="1">
      <c r="A46" s="28"/>
      <c r="B46" s="159" t="s">
        <v>21</v>
      </c>
      <c r="C46" s="30" t="s">
        <v>24</v>
      </c>
      <c r="D46" s="31" t="s">
        <v>23</v>
      </c>
      <c r="E46" s="28"/>
      <c r="F46" s="42">
        <f>(1812.84+(42.61*1.18*15))</f>
        <v>2567.0369999999998</v>
      </c>
      <c r="G46" s="33">
        <f t="shared" si="1"/>
        <v>0</v>
      </c>
      <c r="H46" s="47"/>
      <c r="I46" s="117"/>
      <c r="J46" s="117"/>
      <c r="K46" s="117"/>
      <c r="L46" s="117"/>
    </row>
    <row r="47" spans="1:17" s="35" customFormat="1" hidden="1">
      <c r="A47" s="28"/>
      <c r="B47" s="159" t="s">
        <v>21</v>
      </c>
      <c r="C47" s="30" t="s">
        <v>51</v>
      </c>
      <c r="D47" s="31" t="s">
        <v>23</v>
      </c>
      <c r="E47" s="28"/>
      <c r="F47" s="42">
        <f>1812.84</f>
        <v>1812.84</v>
      </c>
      <c r="G47" s="33">
        <f t="shared" si="1"/>
        <v>0</v>
      </c>
      <c r="H47" s="47"/>
      <c r="I47" s="117"/>
      <c r="J47" s="117"/>
      <c r="K47" s="117"/>
      <c r="L47" s="117"/>
    </row>
    <row r="48" spans="1:17" s="35" customFormat="1" ht="12.75" hidden="1" customHeight="1">
      <c r="A48" s="28"/>
      <c r="B48" s="159" t="s">
        <v>21</v>
      </c>
      <c r="C48" s="30" t="s">
        <v>52</v>
      </c>
      <c r="D48" s="31" t="s">
        <v>23</v>
      </c>
      <c r="E48" s="28"/>
      <c r="F48" s="42">
        <f>2031.19</f>
        <v>2031.19</v>
      </c>
      <c r="G48" s="33">
        <f t="shared" si="1"/>
        <v>0</v>
      </c>
      <c r="H48" s="47"/>
      <c r="I48" s="117"/>
      <c r="J48" s="117"/>
      <c r="K48" s="117"/>
      <c r="L48" s="117"/>
    </row>
    <row r="49" spans="1:17" s="35" customFormat="1" ht="25.5" hidden="1" customHeight="1">
      <c r="A49" s="28"/>
      <c r="B49" s="159" t="s">
        <v>21</v>
      </c>
      <c r="C49" s="30" t="s">
        <v>53</v>
      </c>
      <c r="D49" s="31" t="s">
        <v>23</v>
      </c>
      <c r="E49" s="28"/>
      <c r="F49" s="32">
        <f>2257.231</f>
        <v>2257.2310000000002</v>
      </c>
      <c r="G49" s="33">
        <f t="shared" si="1"/>
        <v>0</v>
      </c>
    </row>
    <row r="50" spans="1:17" s="107" customFormat="1" ht="12.75" hidden="1" customHeight="1">
      <c r="A50" s="28"/>
      <c r="B50" s="167" t="s">
        <v>188</v>
      </c>
      <c r="C50" s="103" t="s">
        <v>184</v>
      </c>
      <c r="D50" s="104" t="s">
        <v>18</v>
      </c>
      <c r="E50" s="28"/>
      <c r="F50" s="105">
        <f>I50+L50+M50</f>
        <v>545.29200000000003</v>
      </c>
      <c r="G50" s="106">
        <f t="shared" si="1"/>
        <v>0</v>
      </c>
      <c r="H50" s="168">
        <v>376</v>
      </c>
      <c r="I50" s="128">
        <f>H50*1.08</f>
        <v>406.08000000000004</v>
      </c>
      <c r="J50" s="109">
        <v>1</v>
      </c>
      <c r="K50" s="109">
        <v>83</v>
      </c>
      <c r="L50" s="128">
        <f>K50*1.08*J50</f>
        <v>89.64</v>
      </c>
      <c r="M50" s="129">
        <f>(I50+L50)*0.1</f>
        <v>49.572000000000003</v>
      </c>
      <c r="N50" s="160">
        <f>(I50+L50)*E50</f>
        <v>0</v>
      </c>
      <c r="O50" s="161"/>
    </row>
    <row r="51" spans="1:17" s="107" customFormat="1" ht="12.75" hidden="1" customHeight="1">
      <c r="A51" s="28"/>
      <c r="B51" s="102" t="s">
        <v>153</v>
      </c>
      <c r="C51" s="103" t="s">
        <v>185</v>
      </c>
      <c r="D51" s="104" t="s">
        <v>18</v>
      </c>
      <c r="E51" s="28"/>
      <c r="F51" s="105">
        <f t="shared" ref="F51:F95" si="3">I51+L51+M51</f>
        <v>568.57680000000005</v>
      </c>
      <c r="G51" s="106">
        <f t="shared" si="1"/>
        <v>0</v>
      </c>
      <c r="H51" s="168">
        <v>376</v>
      </c>
      <c r="I51" s="128">
        <f t="shared" ref="I51:I95" si="4">H51*1.08</f>
        <v>406.08000000000004</v>
      </c>
      <c r="J51" s="109">
        <v>1</v>
      </c>
      <c r="K51" s="109">
        <f>95*1.08</f>
        <v>102.60000000000001</v>
      </c>
      <c r="L51" s="128">
        <f t="shared" ref="L51:L95" si="5">K51*1.08*J51</f>
        <v>110.80800000000002</v>
      </c>
      <c r="M51" s="129">
        <f t="shared" ref="M51:M95" si="6">(I51+L51)*0.1</f>
        <v>51.688800000000008</v>
      </c>
      <c r="N51" s="160">
        <f t="shared" ref="N51:N95" si="7">(I51+L51)*E51</f>
        <v>0</v>
      </c>
      <c r="O51" s="161"/>
      <c r="P51" s="107">
        <f>458631.446453333/1000</f>
        <v>458.63144645333301</v>
      </c>
    </row>
    <row r="52" spans="1:17" s="107" customFormat="1" ht="12.75" hidden="1" customHeight="1">
      <c r="A52" s="28"/>
      <c r="B52" s="102" t="s">
        <v>153</v>
      </c>
      <c r="C52" s="103" t="s">
        <v>151</v>
      </c>
      <c r="D52" s="104" t="s">
        <v>18</v>
      </c>
      <c r="E52" s="28"/>
      <c r="F52" s="105">
        <f>I52+L52+M52</f>
        <v>1947.1320000000001</v>
      </c>
      <c r="G52" s="106">
        <f t="shared" si="1"/>
        <v>0</v>
      </c>
      <c r="H52" s="168">
        <v>1189</v>
      </c>
      <c r="I52" s="128">
        <f t="shared" si="4"/>
        <v>1284.1200000000001</v>
      </c>
      <c r="J52" s="109">
        <v>1</v>
      </c>
      <c r="K52" s="109">
        <v>450</v>
      </c>
      <c r="L52" s="128">
        <f t="shared" si="5"/>
        <v>486.00000000000006</v>
      </c>
      <c r="M52" s="129">
        <f t="shared" si="6"/>
        <v>177.01200000000003</v>
      </c>
      <c r="N52" s="160">
        <f t="shared" si="7"/>
        <v>0</v>
      </c>
      <c r="O52" s="161"/>
      <c r="P52" s="107">
        <f>2053404.7418/1000</f>
        <v>2053.4047418</v>
      </c>
    </row>
    <row r="53" spans="1:17" s="107" customFormat="1" ht="12.75" hidden="1" customHeight="1">
      <c r="A53" s="28"/>
      <c r="B53" s="102" t="s">
        <v>153</v>
      </c>
      <c r="C53" s="103" t="s">
        <v>54</v>
      </c>
      <c r="D53" s="104" t="s">
        <v>18</v>
      </c>
      <c r="E53" s="28"/>
      <c r="F53" s="105">
        <f t="shared" si="3"/>
        <v>1229.5800000000002</v>
      </c>
      <c r="G53" s="106">
        <f t="shared" si="1"/>
        <v>0</v>
      </c>
      <c r="H53" s="169">
        <v>585</v>
      </c>
      <c r="I53" s="128">
        <f t="shared" si="4"/>
        <v>631.80000000000007</v>
      </c>
      <c r="J53" s="122">
        <v>1</v>
      </c>
      <c r="K53" s="122">
        <v>450</v>
      </c>
      <c r="L53" s="128">
        <f t="shared" si="5"/>
        <v>486.00000000000006</v>
      </c>
      <c r="M53" s="129">
        <f t="shared" si="6"/>
        <v>111.78000000000003</v>
      </c>
      <c r="N53" s="160">
        <f t="shared" si="7"/>
        <v>0</v>
      </c>
      <c r="O53" s="161"/>
    </row>
    <row r="54" spans="1:17" s="107" customFormat="1" ht="12.75" hidden="1" customHeight="1">
      <c r="A54" s="28"/>
      <c r="B54" s="102" t="s">
        <v>153</v>
      </c>
      <c r="C54" s="103" t="s">
        <v>163</v>
      </c>
      <c r="D54" s="104" t="s">
        <v>18</v>
      </c>
      <c r="E54" s="28"/>
      <c r="F54" s="105">
        <f t="shared" si="3"/>
        <v>602.31600000000003</v>
      </c>
      <c r="G54" s="106">
        <f t="shared" si="1"/>
        <v>0</v>
      </c>
      <c r="H54" s="169">
        <v>388</v>
      </c>
      <c r="I54" s="128">
        <f t="shared" si="4"/>
        <v>419.04</v>
      </c>
      <c r="J54" s="122">
        <v>1</v>
      </c>
      <c r="K54" s="122">
        <v>119</v>
      </c>
      <c r="L54" s="128">
        <f t="shared" si="5"/>
        <v>128.52000000000001</v>
      </c>
      <c r="M54" s="129">
        <f t="shared" si="6"/>
        <v>54.756000000000007</v>
      </c>
      <c r="N54" s="160">
        <f t="shared" si="7"/>
        <v>0</v>
      </c>
      <c r="O54" s="161"/>
      <c r="P54" s="107">
        <f>538966.759211428/1000</f>
        <v>538.96675921142798</v>
      </c>
    </row>
    <row r="55" spans="1:17" s="107" customFormat="1" ht="12.75" hidden="1" customHeight="1">
      <c r="A55" s="28"/>
      <c r="B55" s="102" t="s">
        <v>153</v>
      </c>
      <c r="C55" s="103" t="s">
        <v>166</v>
      </c>
      <c r="D55" s="104" t="s">
        <v>18</v>
      </c>
      <c r="E55" s="28"/>
      <c r="F55" s="105">
        <f t="shared" si="3"/>
        <v>388.476</v>
      </c>
      <c r="G55" s="106">
        <f t="shared" si="1"/>
        <v>0</v>
      </c>
      <c r="H55" s="169">
        <v>208</v>
      </c>
      <c r="I55" s="128">
        <f t="shared" si="4"/>
        <v>224.64000000000001</v>
      </c>
      <c r="J55" s="122">
        <v>1</v>
      </c>
      <c r="K55" s="122">
        <v>119</v>
      </c>
      <c r="L55" s="128">
        <f t="shared" si="5"/>
        <v>128.52000000000001</v>
      </c>
      <c r="M55" s="129">
        <f t="shared" si="6"/>
        <v>35.316000000000003</v>
      </c>
      <c r="N55" s="160">
        <f t="shared" si="7"/>
        <v>0</v>
      </c>
      <c r="O55" s="161"/>
    </row>
    <row r="56" spans="1:17" s="84" customFormat="1" ht="12.75" hidden="1" customHeight="1">
      <c r="A56" s="28"/>
      <c r="B56" s="86" t="s">
        <v>147</v>
      </c>
      <c r="C56" s="30" t="s">
        <v>169</v>
      </c>
      <c r="D56" s="31" t="s">
        <v>18</v>
      </c>
      <c r="E56" s="28"/>
      <c r="F56" s="89">
        <f t="shared" si="3"/>
        <v>851.00986476000003</v>
      </c>
      <c r="G56" s="33">
        <f t="shared" si="1"/>
        <v>0</v>
      </c>
      <c r="H56" s="166">
        <v>566.33826999999997</v>
      </c>
      <c r="I56" s="124">
        <f t="shared" si="4"/>
        <v>611.64533159999996</v>
      </c>
      <c r="J56" s="121">
        <v>2</v>
      </c>
      <c r="K56" s="121">
        <v>75</v>
      </c>
      <c r="L56" s="124">
        <f t="shared" si="5"/>
        <v>162</v>
      </c>
      <c r="M56" s="129">
        <f t="shared" si="6"/>
        <v>77.364533160000008</v>
      </c>
      <c r="N56" s="160">
        <f t="shared" si="7"/>
        <v>0</v>
      </c>
      <c r="O56" s="162"/>
      <c r="P56" s="35"/>
      <c r="Q56" s="35"/>
    </row>
    <row r="57" spans="1:17" s="91" customFormat="1" ht="12.75" hidden="1" customHeight="1">
      <c r="A57" s="28"/>
      <c r="B57" s="167" t="s">
        <v>188</v>
      </c>
      <c r="C57" s="87" t="s">
        <v>55</v>
      </c>
      <c r="D57" s="88" t="s">
        <v>18</v>
      </c>
      <c r="E57" s="28"/>
      <c r="F57" s="89">
        <f t="shared" si="3"/>
        <v>301.75200000000007</v>
      </c>
      <c r="G57" s="90">
        <f t="shared" si="1"/>
        <v>0</v>
      </c>
      <c r="H57" s="166">
        <v>185</v>
      </c>
      <c r="I57" s="124">
        <f t="shared" si="4"/>
        <v>199.8</v>
      </c>
      <c r="J57" s="119">
        <v>1</v>
      </c>
      <c r="K57" s="119">
        <v>69</v>
      </c>
      <c r="L57" s="124">
        <f t="shared" si="5"/>
        <v>74.52000000000001</v>
      </c>
      <c r="M57" s="129">
        <f t="shared" si="6"/>
        <v>27.432000000000006</v>
      </c>
      <c r="N57" s="160">
        <f t="shared" si="7"/>
        <v>0</v>
      </c>
      <c r="O57" s="163"/>
      <c r="P57" s="84"/>
      <c r="Q57" s="84"/>
    </row>
    <row r="58" spans="1:17" s="107" customFormat="1" ht="12.75" hidden="1" customHeight="1">
      <c r="A58" s="28"/>
      <c r="B58" s="102" t="s">
        <v>153</v>
      </c>
      <c r="C58" s="103" t="s">
        <v>56</v>
      </c>
      <c r="D58" s="104" t="s">
        <v>18</v>
      </c>
      <c r="E58" s="28"/>
      <c r="F58" s="105">
        <f t="shared" si="3"/>
        <v>636.76800000000003</v>
      </c>
      <c r="G58" s="106">
        <f t="shared" si="1"/>
        <v>0</v>
      </c>
      <c r="H58" s="169">
        <v>388</v>
      </c>
      <c r="I58" s="128">
        <f t="shared" si="4"/>
        <v>419.04</v>
      </c>
      <c r="J58" s="122">
        <v>1</v>
      </c>
      <c r="K58" s="122">
        <v>148</v>
      </c>
      <c r="L58" s="128">
        <f t="shared" si="5"/>
        <v>159.84</v>
      </c>
      <c r="M58" s="129">
        <f t="shared" si="6"/>
        <v>57.888000000000005</v>
      </c>
      <c r="N58" s="160">
        <f t="shared" si="7"/>
        <v>0</v>
      </c>
      <c r="O58" s="161"/>
      <c r="P58" s="130">
        <f>605726.714568421/1000</f>
        <v>605.72671456842102</v>
      </c>
    </row>
    <row r="59" spans="1:17" s="107" customFormat="1" ht="12.75" hidden="1" customHeight="1">
      <c r="A59" s="28"/>
      <c r="B59" s="102" t="s">
        <v>153</v>
      </c>
      <c r="C59" s="103" t="s">
        <v>57</v>
      </c>
      <c r="D59" s="104" t="s">
        <v>18</v>
      </c>
      <c r="E59" s="28"/>
      <c r="F59" s="105">
        <f t="shared" si="3"/>
        <v>422.928</v>
      </c>
      <c r="G59" s="106">
        <f t="shared" si="1"/>
        <v>0</v>
      </c>
      <c r="H59" s="169">
        <v>208</v>
      </c>
      <c r="I59" s="128">
        <f t="shared" si="4"/>
        <v>224.64000000000001</v>
      </c>
      <c r="J59" s="122">
        <v>1</v>
      </c>
      <c r="K59" s="122">
        <v>148</v>
      </c>
      <c r="L59" s="128">
        <f t="shared" si="5"/>
        <v>159.84</v>
      </c>
      <c r="M59" s="129">
        <f t="shared" si="6"/>
        <v>38.448000000000008</v>
      </c>
      <c r="N59" s="160">
        <f t="shared" si="7"/>
        <v>0</v>
      </c>
      <c r="O59" s="161"/>
    </row>
    <row r="60" spans="1:17" s="107" customFormat="1" hidden="1">
      <c r="A60" s="28"/>
      <c r="B60" s="102" t="s">
        <v>153</v>
      </c>
      <c r="C60" s="103" t="s">
        <v>58</v>
      </c>
      <c r="D60" s="104" t="s">
        <v>18</v>
      </c>
      <c r="E60" s="28"/>
      <c r="F60" s="105">
        <f t="shared" si="3"/>
        <v>602.31600000000003</v>
      </c>
      <c r="G60" s="106">
        <f t="shared" si="1"/>
        <v>0</v>
      </c>
      <c r="H60" s="169">
        <v>388</v>
      </c>
      <c r="I60" s="128">
        <f t="shared" si="4"/>
        <v>419.04</v>
      </c>
      <c r="J60" s="122">
        <v>1</v>
      </c>
      <c r="K60" s="122">
        <v>119</v>
      </c>
      <c r="L60" s="128">
        <f t="shared" si="5"/>
        <v>128.52000000000001</v>
      </c>
      <c r="M60" s="129">
        <f t="shared" si="6"/>
        <v>54.756000000000007</v>
      </c>
      <c r="N60" s="160">
        <f t="shared" si="7"/>
        <v>0</v>
      </c>
      <c r="O60" s="161"/>
      <c r="P60" s="107">
        <f>605726.714568421/1000</f>
        <v>605.72671456842102</v>
      </c>
    </row>
    <row r="61" spans="1:17" s="107" customFormat="1" ht="12.75" hidden="1" customHeight="1">
      <c r="A61" s="28"/>
      <c r="B61" s="102" t="s">
        <v>150</v>
      </c>
      <c r="C61" s="103" t="s">
        <v>140</v>
      </c>
      <c r="D61" s="104" t="s">
        <v>18</v>
      </c>
      <c r="E61" s="28"/>
      <c r="F61" s="105">
        <f t="shared" si="3"/>
        <v>948.28082184000016</v>
      </c>
      <c r="G61" s="106">
        <f t="shared" si="1"/>
        <v>0</v>
      </c>
      <c r="H61" s="169">
        <v>608.21618000000001</v>
      </c>
      <c r="I61" s="128">
        <f t="shared" si="4"/>
        <v>656.87347440000008</v>
      </c>
      <c r="J61" s="122">
        <v>2</v>
      </c>
      <c r="K61" s="122">
        <v>95</v>
      </c>
      <c r="L61" s="128">
        <f t="shared" si="5"/>
        <v>205.20000000000002</v>
      </c>
      <c r="M61" s="129">
        <f t="shared" si="6"/>
        <v>86.207347440000021</v>
      </c>
      <c r="N61" s="160">
        <f t="shared" si="7"/>
        <v>0</v>
      </c>
      <c r="O61" s="161"/>
    </row>
    <row r="62" spans="1:17" s="107" customFormat="1" ht="12.75" hidden="1" customHeight="1">
      <c r="A62" s="28"/>
      <c r="B62" s="102" t="s">
        <v>150</v>
      </c>
      <c r="C62" s="103" t="s">
        <v>141</v>
      </c>
      <c r="D62" s="104" t="s">
        <v>18</v>
      </c>
      <c r="E62" s="28"/>
      <c r="F62" s="105">
        <f t="shared" si="3"/>
        <v>898.12800000000016</v>
      </c>
      <c r="G62" s="106">
        <f t="shared" si="1"/>
        <v>0</v>
      </c>
      <c r="H62" s="169">
        <v>566</v>
      </c>
      <c r="I62" s="128">
        <f t="shared" si="4"/>
        <v>611.28000000000009</v>
      </c>
      <c r="J62" s="122">
        <v>2</v>
      </c>
      <c r="K62" s="122">
        <v>95</v>
      </c>
      <c r="L62" s="128">
        <f t="shared" si="5"/>
        <v>205.20000000000002</v>
      </c>
      <c r="M62" s="129">
        <f t="shared" si="6"/>
        <v>81.648000000000025</v>
      </c>
      <c r="N62" s="160">
        <f t="shared" si="7"/>
        <v>0</v>
      </c>
      <c r="O62" s="161"/>
    </row>
    <row r="63" spans="1:17" s="107" customFormat="1" ht="12.75" hidden="1" customHeight="1">
      <c r="A63" s="28"/>
      <c r="B63" s="102" t="s">
        <v>150</v>
      </c>
      <c r="C63" s="103" t="s">
        <v>59</v>
      </c>
      <c r="D63" s="104" t="s">
        <v>18</v>
      </c>
      <c r="E63" s="28"/>
      <c r="F63" s="105">
        <f t="shared" si="3"/>
        <v>955.15200000000016</v>
      </c>
      <c r="G63" s="106">
        <f t="shared" ref="G63:G83" si="8">ROUND(F63*E63,3)</f>
        <v>0</v>
      </c>
      <c r="H63" s="169">
        <v>566</v>
      </c>
      <c r="I63" s="128">
        <f t="shared" si="4"/>
        <v>611.28000000000009</v>
      </c>
      <c r="J63" s="122">
        <v>2</v>
      </c>
      <c r="K63" s="122">
        <v>119</v>
      </c>
      <c r="L63" s="128">
        <f t="shared" si="5"/>
        <v>257.04000000000002</v>
      </c>
      <c r="M63" s="129">
        <f t="shared" si="6"/>
        <v>86.832000000000022</v>
      </c>
      <c r="N63" s="160">
        <f t="shared" si="7"/>
        <v>0</v>
      </c>
      <c r="O63" s="161"/>
    </row>
    <row r="64" spans="1:17" s="107" customFormat="1" ht="12.75" hidden="1" customHeight="1">
      <c r="A64" s="28"/>
      <c r="B64" s="102" t="s">
        <v>150</v>
      </c>
      <c r="C64" s="103" t="s">
        <v>186</v>
      </c>
      <c r="D64" s="104" t="s">
        <v>18</v>
      </c>
      <c r="E64" s="28"/>
      <c r="F64" s="105">
        <f t="shared" si="3"/>
        <v>1027.34027352</v>
      </c>
      <c r="G64" s="106">
        <f t="shared" si="8"/>
        <v>0</v>
      </c>
      <c r="H64" s="169">
        <v>568.76454000000001</v>
      </c>
      <c r="I64" s="128">
        <f t="shared" si="4"/>
        <v>614.26570320000008</v>
      </c>
      <c r="J64" s="122">
        <v>2</v>
      </c>
      <c r="K64" s="122">
        <v>148</v>
      </c>
      <c r="L64" s="128">
        <f t="shared" si="5"/>
        <v>319.68</v>
      </c>
      <c r="M64" s="129">
        <f t="shared" si="6"/>
        <v>93.394570320000014</v>
      </c>
      <c r="N64" s="160">
        <f t="shared" si="7"/>
        <v>0</v>
      </c>
      <c r="O64" s="161"/>
    </row>
    <row r="65" spans="1:17" s="107" customFormat="1" ht="15.75" hidden="1" customHeight="1">
      <c r="A65" s="28"/>
      <c r="B65" s="102" t="s">
        <v>150</v>
      </c>
      <c r="C65" s="103" t="s">
        <v>60</v>
      </c>
      <c r="D65" s="104" t="s">
        <v>18</v>
      </c>
      <c r="E65" s="28"/>
      <c r="F65" s="105">
        <f t="shared" si="3"/>
        <v>1076.68617012</v>
      </c>
      <c r="G65" s="106">
        <f t="shared" si="8"/>
        <v>0</v>
      </c>
      <c r="H65" s="169">
        <v>610.30148999999994</v>
      </c>
      <c r="I65" s="128">
        <f t="shared" si="4"/>
        <v>659.12560919999999</v>
      </c>
      <c r="J65" s="122">
        <v>2</v>
      </c>
      <c r="K65" s="122">
        <v>148</v>
      </c>
      <c r="L65" s="128">
        <f t="shared" si="5"/>
        <v>319.68</v>
      </c>
      <c r="M65" s="129">
        <f t="shared" si="6"/>
        <v>97.880560919999994</v>
      </c>
      <c r="N65" s="160">
        <f t="shared" si="7"/>
        <v>0</v>
      </c>
      <c r="O65" s="161"/>
    </row>
    <row r="66" spans="1:17" s="84" customFormat="1" ht="12.75" hidden="1" customHeight="1">
      <c r="A66" s="28"/>
      <c r="B66" s="29" t="s">
        <v>21</v>
      </c>
      <c r="C66" s="87" t="s">
        <v>61</v>
      </c>
      <c r="D66" s="88" t="s">
        <v>18</v>
      </c>
      <c r="E66" s="28"/>
      <c r="F66" s="89">
        <f t="shared" si="3"/>
        <v>895.75200000000018</v>
      </c>
      <c r="G66" s="90">
        <f t="shared" si="8"/>
        <v>0</v>
      </c>
      <c r="H66" s="169">
        <v>566</v>
      </c>
      <c r="I66" s="124">
        <f t="shared" si="4"/>
        <v>611.28000000000009</v>
      </c>
      <c r="J66" s="84">
        <v>2</v>
      </c>
      <c r="K66" s="119">
        <v>94</v>
      </c>
      <c r="L66" s="124">
        <f t="shared" si="5"/>
        <v>203.04000000000002</v>
      </c>
      <c r="M66" s="129">
        <f t="shared" si="6"/>
        <v>81.432000000000016</v>
      </c>
      <c r="N66" s="160">
        <f t="shared" si="7"/>
        <v>0</v>
      </c>
      <c r="O66" s="163"/>
    </row>
    <row r="67" spans="1:17" s="84" customFormat="1" ht="12.75" hidden="1" customHeight="1">
      <c r="A67" s="28"/>
      <c r="B67" s="86" t="s">
        <v>148</v>
      </c>
      <c r="C67" s="30" t="s">
        <v>168</v>
      </c>
      <c r="D67" s="31" t="s">
        <v>18</v>
      </c>
      <c r="E67" s="28"/>
      <c r="F67" s="89">
        <f t="shared" si="3"/>
        <v>722.56082184000013</v>
      </c>
      <c r="G67" s="33">
        <f t="shared" si="8"/>
        <v>0</v>
      </c>
      <c r="H67" s="169">
        <v>608.21618000000001</v>
      </c>
      <c r="I67" s="124">
        <f t="shared" si="4"/>
        <v>656.87347440000008</v>
      </c>
      <c r="J67" s="34"/>
      <c r="K67" s="34"/>
      <c r="L67" s="124">
        <f t="shared" si="5"/>
        <v>0</v>
      </c>
      <c r="M67" s="129">
        <f t="shared" si="6"/>
        <v>65.687347440000011</v>
      </c>
      <c r="N67" s="160">
        <f t="shared" si="7"/>
        <v>0</v>
      </c>
      <c r="O67" s="162"/>
      <c r="P67" s="35"/>
      <c r="Q67" s="35"/>
    </row>
    <row r="68" spans="1:17" s="107" customFormat="1" ht="12.75" hidden="1" customHeight="1">
      <c r="A68" s="28"/>
      <c r="B68" s="29" t="s">
        <v>21</v>
      </c>
      <c r="C68" s="87" t="s">
        <v>62</v>
      </c>
      <c r="D68" s="88" t="s">
        <v>18</v>
      </c>
      <c r="E68" s="28"/>
      <c r="F68" s="89">
        <f t="shared" si="3"/>
        <v>919.7688218400001</v>
      </c>
      <c r="G68" s="90">
        <f t="shared" si="8"/>
        <v>0</v>
      </c>
      <c r="H68" s="169">
        <v>608.21618000000001</v>
      </c>
      <c r="I68" s="124">
        <f t="shared" si="4"/>
        <v>656.87347440000008</v>
      </c>
      <c r="J68" s="83">
        <v>2</v>
      </c>
      <c r="K68" s="83">
        <v>83</v>
      </c>
      <c r="L68" s="124">
        <f t="shared" si="5"/>
        <v>179.28</v>
      </c>
      <c r="M68" s="129">
        <f t="shared" si="6"/>
        <v>83.615347440000008</v>
      </c>
      <c r="N68" s="160">
        <f t="shared" si="7"/>
        <v>0</v>
      </c>
      <c r="O68" s="163"/>
      <c r="P68" s="84"/>
      <c r="Q68" s="84"/>
    </row>
    <row r="69" spans="1:17" s="84" customFormat="1" ht="12" hidden="1" customHeight="1">
      <c r="A69" s="28"/>
      <c r="B69" s="86" t="s">
        <v>150</v>
      </c>
      <c r="C69" s="87" t="s">
        <v>152</v>
      </c>
      <c r="D69" s="88" t="s">
        <v>18</v>
      </c>
      <c r="E69" s="28"/>
      <c r="F69" s="89">
        <f t="shared" si="3"/>
        <v>1448.3556766800002</v>
      </c>
      <c r="G69" s="90">
        <f t="shared" si="8"/>
        <v>0</v>
      </c>
      <c r="H69" s="171">
        <v>631.15461000000005</v>
      </c>
      <c r="I69" s="124">
        <f t="shared" si="4"/>
        <v>681.64697880000006</v>
      </c>
      <c r="J69" s="85">
        <v>2</v>
      </c>
      <c r="K69" s="85">
        <v>294</v>
      </c>
      <c r="L69" s="124">
        <f t="shared" si="5"/>
        <v>635.04000000000008</v>
      </c>
      <c r="M69" s="129">
        <f t="shared" si="6"/>
        <v>131.66869788000002</v>
      </c>
      <c r="N69" s="160">
        <f t="shared" si="7"/>
        <v>0</v>
      </c>
      <c r="O69" s="163"/>
    </row>
    <row r="70" spans="1:17" s="107" customFormat="1" ht="12.75" hidden="1" customHeight="1">
      <c r="A70" s="28"/>
      <c r="B70" s="102" t="s">
        <v>153</v>
      </c>
      <c r="C70" s="103" t="s">
        <v>165</v>
      </c>
      <c r="D70" s="104" t="s">
        <v>18</v>
      </c>
      <c r="E70" s="28"/>
      <c r="F70" s="105">
        <f t="shared" si="3"/>
        <v>1489.43841552</v>
      </c>
      <c r="G70" s="106">
        <f t="shared" si="8"/>
        <v>0</v>
      </c>
      <c r="H70" s="169">
        <v>665.73604</v>
      </c>
      <c r="I70" s="128">
        <f t="shared" si="4"/>
        <v>718.99492320000002</v>
      </c>
      <c r="J70" s="109">
        <v>2</v>
      </c>
      <c r="K70" s="122">
        <v>294</v>
      </c>
      <c r="L70" s="128">
        <f t="shared" si="5"/>
        <v>635.04000000000008</v>
      </c>
      <c r="M70" s="129">
        <f t="shared" si="6"/>
        <v>135.40349232000003</v>
      </c>
      <c r="N70" s="160">
        <f t="shared" si="7"/>
        <v>0</v>
      </c>
      <c r="O70" s="161"/>
    </row>
    <row r="71" spans="1:17" s="107" customFormat="1" ht="12.75" hidden="1" customHeight="1">
      <c r="A71" s="28"/>
      <c r="B71" s="86" t="s">
        <v>150</v>
      </c>
      <c r="C71" s="87" t="s">
        <v>63</v>
      </c>
      <c r="D71" s="88" t="s">
        <v>18</v>
      </c>
      <c r="E71" s="28"/>
      <c r="F71" s="89">
        <f t="shared" si="3"/>
        <v>309.59279999999995</v>
      </c>
      <c r="G71" s="90">
        <f t="shared" si="8"/>
        <v>0</v>
      </c>
      <c r="H71" s="170">
        <v>185</v>
      </c>
      <c r="I71" s="124">
        <f t="shared" si="4"/>
        <v>199.8</v>
      </c>
      <c r="J71" s="119">
        <v>1</v>
      </c>
      <c r="K71" s="119">
        <v>75.599999999999994</v>
      </c>
      <c r="L71" s="124">
        <f t="shared" si="5"/>
        <v>81.647999999999996</v>
      </c>
      <c r="M71" s="129">
        <f t="shared" si="6"/>
        <v>28.1448</v>
      </c>
      <c r="N71" s="160">
        <f t="shared" si="7"/>
        <v>0</v>
      </c>
      <c r="O71" s="163"/>
      <c r="P71" s="84">
        <f>368175.1038/1000</f>
        <v>368.17510379999999</v>
      </c>
      <c r="Q71" s="84"/>
    </row>
    <row r="72" spans="1:17" s="84" customFormat="1" ht="12.75" hidden="1" customHeight="1">
      <c r="A72" s="28"/>
      <c r="B72" s="86" t="s">
        <v>150</v>
      </c>
      <c r="C72" s="87" t="s">
        <v>64</v>
      </c>
      <c r="D72" s="88" t="s">
        <v>18</v>
      </c>
      <c r="E72" s="28"/>
      <c r="F72" s="89">
        <f t="shared" si="3"/>
        <v>305.60112000000004</v>
      </c>
      <c r="G72" s="90">
        <f t="shared" si="8"/>
        <v>0</v>
      </c>
      <c r="H72" s="170">
        <v>185</v>
      </c>
      <c r="I72" s="124">
        <f t="shared" si="4"/>
        <v>199.8</v>
      </c>
      <c r="J72" s="119">
        <v>1</v>
      </c>
      <c r="K72" s="119">
        <v>72.239999999999995</v>
      </c>
      <c r="L72" s="124">
        <f t="shared" si="5"/>
        <v>78.019199999999998</v>
      </c>
      <c r="M72" s="129">
        <f t="shared" si="6"/>
        <v>27.781920000000003</v>
      </c>
      <c r="N72" s="160">
        <f t="shared" si="7"/>
        <v>0</v>
      </c>
      <c r="O72" s="163"/>
    </row>
    <row r="73" spans="1:17" s="107" customFormat="1" ht="12.75" hidden="1" customHeight="1">
      <c r="A73" s="28"/>
      <c r="B73" s="102" t="s">
        <v>153</v>
      </c>
      <c r="C73" s="103" t="s">
        <v>65</v>
      </c>
      <c r="D73" s="104" t="s">
        <v>18</v>
      </c>
      <c r="E73" s="28"/>
      <c r="F73" s="105">
        <f t="shared" si="3"/>
        <v>713.98800000000006</v>
      </c>
      <c r="G73" s="106">
        <f t="shared" si="8"/>
        <v>0</v>
      </c>
      <c r="H73" s="169">
        <v>405</v>
      </c>
      <c r="I73" s="128">
        <f t="shared" si="4"/>
        <v>437.40000000000003</v>
      </c>
      <c r="J73" s="122">
        <v>1</v>
      </c>
      <c r="K73" s="122">
        <v>196</v>
      </c>
      <c r="L73" s="128">
        <f t="shared" si="5"/>
        <v>211.68</v>
      </c>
      <c r="M73" s="129">
        <f t="shared" si="6"/>
        <v>64.908000000000001</v>
      </c>
      <c r="N73" s="160">
        <f t="shared" si="7"/>
        <v>0</v>
      </c>
      <c r="O73" s="161"/>
      <c r="P73" s="108">
        <f>[1]реестры!$U$14925</f>
        <v>767640.2267</v>
      </c>
      <c r="Q73" s="107">
        <f>AVERAGE(F73:F74)/1.075</f>
        <v>570.792558139535</v>
      </c>
    </row>
    <row r="74" spans="1:17" s="107" customFormat="1" ht="12.75" hidden="1" customHeight="1">
      <c r="A74" s="28"/>
      <c r="B74" s="102" t="s">
        <v>153</v>
      </c>
      <c r="C74" s="103" t="s">
        <v>66</v>
      </c>
      <c r="D74" s="104" t="s">
        <v>18</v>
      </c>
      <c r="E74" s="28"/>
      <c r="F74" s="105">
        <f t="shared" si="3"/>
        <v>513.21600000000012</v>
      </c>
      <c r="G74" s="106">
        <f t="shared" si="8"/>
        <v>0</v>
      </c>
      <c r="H74" s="169">
        <v>236</v>
      </c>
      <c r="I74" s="128">
        <f t="shared" si="4"/>
        <v>254.88000000000002</v>
      </c>
      <c r="J74" s="122">
        <v>1</v>
      </c>
      <c r="K74" s="122">
        <v>196</v>
      </c>
      <c r="L74" s="128">
        <f t="shared" si="5"/>
        <v>211.68</v>
      </c>
      <c r="M74" s="129">
        <f t="shared" si="6"/>
        <v>46.656000000000006</v>
      </c>
      <c r="N74" s="160">
        <f t="shared" si="7"/>
        <v>0</v>
      </c>
      <c r="O74" s="161"/>
      <c r="P74" s="108">
        <f>[1]реестры!$U$14925</f>
        <v>767640.2267</v>
      </c>
    </row>
    <row r="75" spans="1:17" s="107" customFormat="1" ht="12.75" hidden="1" customHeight="1">
      <c r="A75" s="28"/>
      <c r="B75" s="102" t="s">
        <v>153</v>
      </c>
      <c r="C75" s="103" t="s">
        <v>67</v>
      </c>
      <c r="D75" s="104" t="s">
        <v>18</v>
      </c>
      <c r="E75" s="28"/>
      <c r="F75" s="105">
        <f t="shared" si="3"/>
        <v>318.38400000000001</v>
      </c>
      <c r="G75" s="106">
        <f t="shared" si="8"/>
        <v>0</v>
      </c>
      <c r="H75" s="169">
        <v>185</v>
      </c>
      <c r="I75" s="128">
        <f t="shared" si="4"/>
        <v>199.8</v>
      </c>
      <c r="J75" s="122">
        <v>1</v>
      </c>
      <c r="K75" s="122">
        <v>83</v>
      </c>
      <c r="L75" s="128">
        <f t="shared" si="5"/>
        <v>89.64</v>
      </c>
      <c r="M75" s="129">
        <f t="shared" si="6"/>
        <v>28.944000000000003</v>
      </c>
      <c r="N75" s="160">
        <f t="shared" si="7"/>
        <v>0</v>
      </c>
      <c r="O75" s="161"/>
    </row>
    <row r="76" spans="1:17" s="107" customFormat="1" ht="12.75" hidden="1" customHeight="1">
      <c r="A76" s="28"/>
      <c r="B76" s="102" t="s">
        <v>153</v>
      </c>
      <c r="C76" s="103" t="s">
        <v>68</v>
      </c>
      <c r="D76" s="104" t="s">
        <v>18</v>
      </c>
      <c r="E76" s="28"/>
      <c r="F76" s="105">
        <f t="shared" si="3"/>
        <v>867.24000000000012</v>
      </c>
      <c r="G76" s="106">
        <f t="shared" si="8"/>
        <v>0</v>
      </c>
      <c r="H76" s="169">
        <v>436</v>
      </c>
      <c r="I76" s="128">
        <f t="shared" si="4"/>
        <v>470.88000000000005</v>
      </c>
      <c r="J76" s="122">
        <v>1</v>
      </c>
      <c r="K76" s="122">
        <v>294</v>
      </c>
      <c r="L76" s="128">
        <f t="shared" si="5"/>
        <v>317.52000000000004</v>
      </c>
      <c r="M76" s="129">
        <f t="shared" si="6"/>
        <v>78.840000000000018</v>
      </c>
      <c r="N76" s="160">
        <f t="shared" si="7"/>
        <v>0</v>
      </c>
      <c r="O76" s="161"/>
    </row>
    <row r="77" spans="1:17" s="107" customFormat="1" ht="12.75" hidden="1" customHeight="1">
      <c r="A77" s="28"/>
      <c r="B77" s="102" t="s">
        <v>153</v>
      </c>
      <c r="C77" s="103" t="s">
        <v>69</v>
      </c>
      <c r="D77" s="104" t="s">
        <v>18</v>
      </c>
      <c r="E77" s="28"/>
      <c r="F77" s="105">
        <f t="shared" si="3"/>
        <v>996.7320000000002</v>
      </c>
      <c r="G77" s="106">
        <f t="shared" si="8"/>
        <v>0</v>
      </c>
      <c r="H77" s="169">
        <v>545</v>
      </c>
      <c r="I77" s="128">
        <f t="shared" si="4"/>
        <v>588.6</v>
      </c>
      <c r="J77" s="122">
        <v>1</v>
      </c>
      <c r="K77" s="122">
        <v>294</v>
      </c>
      <c r="L77" s="128">
        <f t="shared" si="5"/>
        <v>317.52000000000004</v>
      </c>
      <c r="M77" s="129">
        <f t="shared" si="6"/>
        <v>90.612000000000023</v>
      </c>
      <c r="N77" s="160">
        <f t="shared" si="7"/>
        <v>0</v>
      </c>
      <c r="O77" s="161"/>
    </row>
    <row r="78" spans="1:17" s="107" customFormat="1" ht="12.75" hidden="1" customHeight="1">
      <c r="A78" s="28"/>
      <c r="B78" s="102" t="s">
        <v>153</v>
      </c>
      <c r="C78" s="103" t="s">
        <v>146</v>
      </c>
      <c r="D78" s="104" t="s">
        <v>18</v>
      </c>
      <c r="E78" s="28"/>
      <c r="F78" s="105">
        <f t="shared" si="3"/>
        <v>869.6160000000001</v>
      </c>
      <c r="G78" s="106">
        <f t="shared" si="8"/>
        <v>0</v>
      </c>
      <c r="H78" s="169">
        <v>566</v>
      </c>
      <c r="I78" s="128">
        <f t="shared" si="4"/>
        <v>611.28000000000009</v>
      </c>
      <c r="J78" s="122">
        <v>2</v>
      </c>
      <c r="K78" s="122">
        <v>83</v>
      </c>
      <c r="L78" s="128">
        <f t="shared" si="5"/>
        <v>179.28</v>
      </c>
      <c r="M78" s="129">
        <f t="shared" si="6"/>
        <v>79.056000000000012</v>
      </c>
      <c r="N78" s="160">
        <f>(I78+L78)*E78</f>
        <v>0</v>
      </c>
      <c r="O78" s="161"/>
    </row>
    <row r="79" spans="1:17" s="107" customFormat="1" ht="12.75" hidden="1" customHeight="1">
      <c r="A79" s="28"/>
      <c r="B79" s="102" t="s">
        <v>153</v>
      </c>
      <c r="C79" s="103" t="s">
        <v>70</v>
      </c>
      <c r="D79" s="104" t="s">
        <v>18</v>
      </c>
      <c r="E79" s="28"/>
      <c r="F79" s="105">
        <f t="shared" si="3"/>
        <v>2364.85476612</v>
      </c>
      <c r="G79" s="106">
        <f t="shared" si="8"/>
        <v>0</v>
      </c>
      <c r="H79" s="169">
        <v>1090.6184900000001</v>
      </c>
      <c r="I79" s="128">
        <f>H79*1.08</f>
        <v>1177.8679692000001</v>
      </c>
      <c r="J79" s="122">
        <v>2</v>
      </c>
      <c r="K79" s="122">
        <v>450</v>
      </c>
      <c r="L79" s="128">
        <f t="shared" si="5"/>
        <v>972.00000000000011</v>
      </c>
      <c r="M79" s="129">
        <f t="shared" si="6"/>
        <v>214.98679692000002</v>
      </c>
      <c r="N79" s="160">
        <f t="shared" si="7"/>
        <v>0</v>
      </c>
      <c r="O79" s="161"/>
    </row>
    <row r="80" spans="1:17" s="107" customFormat="1" ht="12.75" hidden="1" customHeight="1">
      <c r="A80" s="28"/>
      <c r="B80" s="102" t="s">
        <v>153</v>
      </c>
      <c r="C80" s="103" t="s">
        <v>164</v>
      </c>
      <c r="D80" s="104" t="s">
        <v>18</v>
      </c>
      <c r="E80" s="28"/>
      <c r="F80" s="105">
        <f t="shared" si="3"/>
        <v>1305.0499571999999</v>
      </c>
      <c r="G80" s="106">
        <f t="shared" si="8"/>
        <v>0</v>
      </c>
      <c r="H80" s="169">
        <v>706.52689999999996</v>
      </c>
      <c r="I80" s="128">
        <f t="shared" si="4"/>
        <v>763.04905199999996</v>
      </c>
      <c r="J80" s="122">
        <v>2</v>
      </c>
      <c r="K80" s="122">
        <v>196</v>
      </c>
      <c r="L80" s="128">
        <f>K80*1.08*J80</f>
        <v>423.36</v>
      </c>
      <c r="M80" s="129">
        <f t="shared" si="6"/>
        <v>118.64090520000001</v>
      </c>
      <c r="N80" s="160">
        <f t="shared" si="7"/>
        <v>0</v>
      </c>
      <c r="O80" s="161"/>
      <c r="P80" s="108">
        <f>[1]реестры!$H$12026</f>
        <v>4634316.2823999999</v>
      </c>
    </row>
    <row r="81" spans="1:17" s="107" customFormat="1" ht="12.75" hidden="1" customHeight="1">
      <c r="A81" s="28"/>
      <c r="B81" s="102" t="s">
        <v>153</v>
      </c>
      <c r="C81" s="103" t="s">
        <v>71</v>
      </c>
      <c r="D81" s="104" t="s">
        <v>18</v>
      </c>
      <c r="E81" s="28"/>
      <c r="F81" s="105">
        <f t="shared" si="3"/>
        <v>1078.1312889600001</v>
      </c>
      <c r="G81" s="106">
        <f t="shared" si="8"/>
        <v>0</v>
      </c>
      <c r="H81" s="169">
        <v>611.51792</v>
      </c>
      <c r="I81" s="128">
        <f t="shared" si="4"/>
        <v>660.4393536</v>
      </c>
      <c r="J81" s="122">
        <v>2</v>
      </c>
      <c r="K81" s="122">
        <v>148</v>
      </c>
      <c r="L81" s="128">
        <f t="shared" si="5"/>
        <v>319.68</v>
      </c>
      <c r="M81" s="129">
        <f t="shared" si="6"/>
        <v>98.01193536000001</v>
      </c>
      <c r="N81" s="160">
        <f t="shared" si="7"/>
        <v>0</v>
      </c>
      <c r="O81" s="161"/>
    </row>
    <row r="82" spans="1:17" s="107" customFormat="1" ht="12.75" hidden="1" customHeight="1">
      <c r="A82" s="28"/>
      <c r="B82" s="102" t="s">
        <v>153</v>
      </c>
      <c r="C82" s="103" t="s">
        <v>72</v>
      </c>
      <c r="D82" s="104" t="s">
        <v>18</v>
      </c>
      <c r="E82" s="28"/>
      <c r="F82" s="105">
        <f t="shared" si="3"/>
        <v>656.96400000000006</v>
      </c>
      <c r="G82" s="106">
        <f t="shared" si="8"/>
        <v>0</v>
      </c>
      <c r="H82" s="169">
        <v>405</v>
      </c>
      <c r="I82" s="128">
        <f t="shared" si="4"/>
        <v>437.40000000000003</v>
      </c>
      <c r="J82" s="122">
        <v>1</v>
      </c>
      <c r="K82" s="122">
        <v>148</v>
      </c>
      <c r="L82" s="128">
        <f t="shared" si="5"/>
        <v>159.84</v>
      </c>
      <c r="M82" s="129">
        <f t="shared" si="6"/>
        <v>59.724000000000004</v>
      </c>
      <c r="N82" s="160">
        <f t="shared" si="7"/>
        <v>0</v>
      </c>
      <c r="O82" s="161"/>
    </row>
    <row r="83" spans="1:17" s="35" customFormat="1" hidden="1">
      <c r="A83" s="28"/>
      <c r="B83" s="43" t="s">
        <v>149</v>
      </c>
      <c r="C83" s="30" t="s">
        <v>196</v>
      </c>
      <c r="D83" s="31" t="s">
        <v>18</v>
      </c>
      <c r="E83" s="28"/>
      <c r="F83" s="89">
        <f t="shared" ref="F83" si="9">I83+L83+M83</f>
        <v>4533.4080000000004</v>
      </c>
      <c r="G83" s="33">
        <f t="shared" si="8"/>
        <v>0</v>
      </c>
      <c r="H83" s="42">
        <v>3520</v>
      </c>
      <c r="I83" s="124">
        <f t="shared" ref="I83" si="10">H83*1.08</f>
        <v>3801.6000000000004</v>
      </c>
      <c r="J83" s="120">
        <v>2</v>
      </c>
      <c r="K83" s="120">
        <v>148</v>
      </c>
      <c r="L83" s="124">
        <f t="shared" ref="L83" si="11">K83*1.08*J83</f>
        <v>319.68</v>
      </c>
      <c r="M83" s="129">
        <f t="shared" ref="M83" si="12">(I83+L83)*0.1</f>
        <v>412.1280000000001</v>
      </c>
      <c r="N83" s="160">
        <f t="shared" ref="N83" si="13">(I83+L83)*E83</f>
        <v>0</v>
      </c>
      <c r="O83" s="162"/>
    </row>
    <row r="84" spans="1:17" s="84" customFormat="1" ht="25.5" hidden="1" customHeight="1">
      <c r="A84" s="28"/>
      <c r="B84" s="29" t="s">
        <v>21</v>
      </c>
      <c r="C84" s="30" t="s">
        <v>174</v>
      </c>
      <c r="D84" s="31" t="s">
        <v>18</v>
      </c>
      <c r="E84" s="28"/>
      <c r="F84" s="32">
        <f>1227.23*5.65*1.18/1000</f>
        <v>8.1819424099999996</v>
      </c>
      <c r="G84" s="33">
        <f>E84*F84</f>
        <v>0</v>
      </c>
      <c r="H84" s="47"/>
      <c r="I84" s="124">
        <f t="shared" si="4"/>
        <v>0</v>
      </c>
      <c r="J84" s="117"/>
      <c r="K84" s="117"/>
      <c r="L84" s="124">
        <f t="shared" si="5"/>
        <v>0</v>
      </c>
      <c r="M84" s="129">
        <f t="shared" si="6"/>
        <v>0</v>
      </c>
      <c r="N84" s="162"/>
      <c r="O84" s="162"/>
      <c r="P84" s="35"/>
      <c r="Q84" s="35"/>
    </row>
    <row r="85" spans="1:17" s="35" customFormat="1" hidden="1">
      <c r="A85" s="28"/>
      <c r="B85" s="43" t="s">
        <v>149</v>
      </c>
      <c r="C85" s="30" t="s">
        <v>170</v>
      </c>
      <c r="D85" s="31" t="s">
        <v>18</v>
      </c>
      <c r="E85" s="28"/>
      <c r="F85" s="89">
        <f t="shared" si="3"/>
        <v>4533.4080000000004</v>
      </c>
      <c r="G85" s="33">
        <f t="shared" ref="G85:G95" si="14">ROUND(F85*E85,3)</f>
        <v>0</v>
      </c>
      <c r="H85" s="42">
        <v>3520</v>
      </c>
      <c r="I85" s="124">
        <f t="shared" si="4"/>
        <v>3801.6000000000004</v>
      </c>
      <c r="J85" s="120">
        <v>2</v>
      </c>
      <c r="K85" s="120">
        <v>148</v>
      </c>
      <c r="L85" s="124">
        <f t="shared" si="5"/>
        <v>319.68</v>
      </c>
      <c r="M85" s="129">
        <f t="shared" si="6"/>
        <v>412.1280000000001</v>
      </c>
      <c r="N85" s="160">
        <f t="shared" si="7"/>
        <v>0</v>
      </c>
      <c r="O85" s="162"/>
    </row>
    <row r="86" spans="1:17" s="35" customFormat="1" ht="12.75" hidden="1" customHeight="1">
      <c r="A86" s="28"/>
      <c r="B86" s="43" t="s">
        <v>19</v>
      </c>
      <c r="C86" s="30" t="s">
        <v>171</v>
      </c>
      <c r="D86" s="31" t="s">
        <v>18</v>
      </c>
      <c r="E86" s="28"/>
      <c r="F86" s="89">
        <f t="shared" si="3"/>
        <v>5658.4439999999995</v>
      </c>
      <c r="G86" s="33">
        <f t="shared" si="14"/>
        <v>0</v>
      </c>
      <c r="H86" s="42">
        <v>4371</v>
      </c>
      <c r="I86" s="124">
        <f t="shared" si="4"/>
        <v>4720.68</v>
      </c>
      <c r="J86" s="120">
        <v>2</v>
      </c>
      <c r="K86" s="120">
        <v>196</v>
      </c>
      <c r="L86" s="124">
        <f t="shared" si="5"/>
        <v>423.36</v>
      </c>
      <c r="M86" s="129">
        <f t="shared" si="6"/>
        <v>514.404</v>
      </c>
      <c r="N86" s="160">
        <f t="shared" si="7"/>
        <v>0</v>
      </c>
      <c r="O86" s="162"/>
    </row>
    <row r="87" spans="1:17" s="35" customFormat="1" ht="12.75" hidden="1" customHeight="1">
      <c r="A87" s="28"/>
      <c r="B87" s="43" t="s">
        <v>20</v>
      </c>
      <c r="C87" s="30" t="s">
        <v>172</v>
      </c>
      <c r="D87" s="31" t="s">
        <v>18</v>
      </c>
      <c r="E87" s="28"/>
      <c r="F87" s="89">
        <f t="shared" si="3"/>
        <v>5985.1440000000002</v>
      </c>
      <c r="G87" s="33">
        <f t="shared" si="14"/>
        <v>0</v>
      </c>
      <c r="H87" s="42">
        <v>4450</v>
      </c>
      <c r="I87" s="124">
        <f t="shared" si="4"/>
        <v>4806</v>
      </c>
      <c r="J87" s="120">
        <v>2</v>
      </c>
      <c r="K87" s="120">
        <v>294</v>
      </c>
      <c r="L87" s="124">
        <f t="shared" si="5"/>
        <v>635.04000000000008</v>
      </c>
      <c r="M87" s="129">
        <f t="shared" si="6"/>
        <v>544.10400000000004</v>
      </c>
      <c r="N87" s="160">
        <f t="shared" si="7"/>
        <v>0</v>
      </c>
      <c r="O87" s="162"/>
    </row>
    <row r="88" spans="1:17" s="35" customFormat="1" ht="12.75" hidden="1" customHeight="1">
      <c r="A88" s="28"/>
      <c r="B88" s="115" t="s">
        <v>150</v>
      </c>
      <c r="C88" s="30" t="s">
        <v>173</v>
      </c>
      <c r="D88" s="31" t="s">
        <v>18</v>
      </c>
      <c r="E88" s="28"/>
      <c r="F88" s="89">
        <f t="shared" si="3"/>
        <v>8969.4000000000015</v>
      </c>
      <c r="G88" s="33">
        <f t="shared" si="14"/>
        <v>0</v>
      </c>
      <c r="H88" s="32">
        <v>6650</v>
      </c>
      <c r="I88" s="124">
        <f t="shared" si="4"/>
        <v>7182.0000000000009</v>
      </c>
      <c r="J88" s="120">
        <v>2</v>
      </c>
      <c r="K88" s="121">
        <v>450</v>
      </c>
      <c r="L88" s="124">
        <f t="shared" si="5"/>
        <v>972.00000000000011</v>
      </c>
      <c r="M88" s="129">
        <f t="shared" si="6"/>
        <v>815.40000000000009</v>
      </c>
      <c r="N88" s="160">
        <f t="shared" si="7"/>
        <v>0</v>
      </c>
      <c r="O88" s="162"/>
    </row>
    <row r="89" spans="1:17" s="35" customFormat="1" ht="12.75" hidden="1" customHeight="1">
      <c r="A89" s="28"/>
      <c r="B89" s="29" t="s">
        <v>17</v>
      </c>
      <c r="C89" s="30" t="s">
        <v>73</v>
      </c>
      <c r="D89" s="31" t="s">
        <v>18</v>
      </c>
      <c r="E89" s="28"/>
      <c r="F89" s="89">
        <f t="shared" si="3"/>
        <v>6652.8</v>
      </c>
      <c r="G89" s="33">
        <f t="shared" si="14"/>
        <v>0</v>
      </c>
      <c r="H89" s="166">
        <v>4700</v>
      </c>
      <c r="I89" s="124">
        <f t="shared" si="4"/>
        <v>5076</v>
      </c>
      <c r="J89" s="120">
        <v>2</v>
      </c>
      <c r="K89" s="121">
        <v>450</v>
      </c>
      <c r="L89" s="124">
        <f t="shared" si="5"/>
        <v>972.00000000000011</v>
      </c>
      <c r="M89" s="129">
        <f t="shared" si="6"/>
        <v>604.80000000000007</v>
      </c>
      <c r="N89" s="160">
        <f t="shared" si="7"/>
        <v>0</v>
      </c>
      <c r="O89" s="162"/>
    </row>
    <row r="90" spans="1:17" s="35" customFormat="1" ht="12.75" hidden="1" customHeight="1">
      <c r="A90" s="28"/>
      <c r="B90" s="29" t="s">
        <v>74</v>
      </c>
      <c r="C90" s="30" t="s">
        <v>192</v>
      </c>
      <c r="D90" s="31" t="s">
        <v>18</v>
      </c>
      <c r="E90" s="28"/>
      <c r="F90" s="89">
        <f t="shared" si="3"/>
        <v>13365</v>
      </c>
      <c r="G90" s="33">
        <f t="shared" si="14"/>
        <v>0</v>
      </c>
      <c r="H90" s="166">
        <v>10125</v>
      </c>
      <c r="I90" s="124">
        <f t="shared" si="4"/>
        <v>10935</v>
      </c>
      <c r="J90" s="120">
        <v>2</v>
      </c>
      <c r="K90" s="121">
        <f>450*1.25</f>
        <v>562.5</v>
      </c>
      <c r="L90" s="124">
        <f t="shared" si="5"/>
        <v>1215</v>
      </c>
      <c r="M90" s="129">
        <f t="shared" si="6"/>
        <v>1215</v>
      </c>
      <c r="N90" s="160">
        <f t="shared" si="7"/>
        <v>0</v>
      </c>
      <c r="O90" s="162"/>
    </row>
    <row r="91" spans="1:17" s="35" customFormat="1" ht="25.5" hidden="1" customHeight="1">
      <c r="A91" s="28"/>
      <c r="B91" s="29" t="s">
        <v>142</v>
      </c>
      <c r="C91" s="30" t="s">
        <v>143</v>
      </c>
      <c r="D91" s="31" t="s">
        <v>18</v>
      </c>
      <c r="E91" s="28"/>
      <c r="F91" s="89">
        <f t="shared" si="3"/>
        <v>3737.4479999999999</v>
      </c>
      <c r="G91" s="33">
        <f t="shared" si="14"/>
        <v>0</v>
      </c>
      <c r="H91" s="166">
        <v>2850</v>
      </c>
      <c r="I91" s="124">
        <f t="shared" si="4"/>
        <v>3078</v>
      </c>
      <c r="J91" s="120">
        <v>2</v>
      </c>
      <c r="K91" s="121">
        <v>148</v>
      </c>
      <c r="L91" s="124">
        <f t="shared" si="5"/>
        <v>319.68</v>
      </c>
      <c r="M91" s="129">
        <f t="shared" si="6"/>
        <v>339.76800000000003</v>
      </c>
      <c r="N91" s="160">
        <f t="shared" si="7"/>
        <v>0</v>
      </c>
      <c r="O91" s="162"/>
    </row>
    <row r="92" spans="1:17" s="35" customFormat="1" ht="25.5" hidden="1" customHeight="1">
      <c r="A92" s="28"/>
      <c r="B92" s="29" t="s">
        <v>17</v>
      </c>
      <c r="C92" s="30" t="s">
        <v>76</v>
      </c>
      <c r="D92" s="31" t="s">
        <v>18</v>
      </c>
      <c r="E92" s="28"/>
      <c r="F92" s="89">
        <f t="shared" si="3"/>
        <v>4231.6560000000009</v>
      </c>
      <c r="G92" s="33">
        <f t="shared" si="14"/>
        <v>0</v>
      </c>
      <c r="H92" s="166">
        <v>3170</v>
      </c>
      <c r="I92" s="124">
        <f t="shared" si="4"/>
        <v>3423.6000000000004</v>
      </c>
      <c r="J92" s="120">
        <v>2</v>
      </c>
      <c r="K92" s="121">
        <v>196</v>
      </c>
      <c r="L92" s="124">
        <f t="shared" si="5"/>
        <v>423.36</v>
      </c>
      <c r="M92" s="129">
        <f t="shared" si="6"/>
        <v>384.69600000000008</v>
      </c>
      <c r="N92" s="160">
        <f t="shared" si="7"/>
        <v>0</v>
      </c>
      <c r="O92" s="162"/>
    </row>
    <row r="93" spans="1:17" s="35" customFormat="1" ht="25.5" hidden="1" customHeight="1">
      <c r="A93" s="28"/>
      <c r="B93" s="73" t="s">
        <v>77</v>
      </c>
      <c r="C93" s="30" t="s">
        <v>78</v>
      </c>
      <c r="D93" s="31" t="s">
        <v>18</v>
      </c>
      <c r="E93" s="28"/>
      <c r="F93" s="89">
        <f t="shared" si="3"/>
        <v>5272.3440000000001</v>
      </c>
      <c r="G93" s="33">
        <f t="shared" si="14"/>
        <v>0</v>
      </c>
      <c r="H93" s="32">
        <v>3850</v>
      </c>
      <c r="I93" s="124">
        <f t="shared" si="4"/>
        <v>4158</v>
      </c>
      <c r="J93" s="120">
        <v>2</v>
      </c>
      <c r="K93" s="121">
        <v>294</v>
      </c>
      <c r="L93" s="124">
        <f t="shared" si="5"/>
        <v>635.04000000000008</v>
      </c>
      <c r="M93" s="129">
        <f t="shared" si="6"/>
        <v>479.30400000000003</v>
      </c>
      <c r="N93" s="160">
        <f t="shared" si="7"/>
        <v>0</v>
      </c>
      <c r="O93" s="162"/>
    </row>
    <row r="94" spans="1:17" s="35" customFormat="1" ht="25.5" hidden="1" customHeight="1">
      <c r="A94" s="28"/>
      <c r="B94" s="29" t="s">
        <v>17</v>
      </c>
      <c r="C94" s="30" t="s">
        <v>79</v>
      </c>
      <c r="D94" s="31" t="s">
        <v>18</v>
      </c>
      <c r="E94" s="28"/>
      <c r="F94" s="89">
        <f t="shared" si="3"/>
        <v>4855.6195937746488</v>
      </c>
      <c r="G94" s="33">
        <f t="shared" si="14"/>
        <v>0</v>
      </c>
      <c r="H94" s="32">
        <f>(3520+154.35*2)*1.075/3.55*3.27</f>
        <v>3791.2218802816906</v>
      </c>
      <c r="I94" s="124">
        <f t="shared" si="4"/>
        <v>4094.5196307042261</v>
      </c>
      <c r="J94" s="120">
        <v>2</v>
      </c>
      <c r="K94" s="121">
        <v>148</v>
      </c>
      <c r="L94" s="124">
        <f t="shared" si="5"/>
        <v>319.68</v>
      </c>
      <c r="M94" s="129">
        <f>(I94+L94)*0.1</f>
        <v>441.41996307042268</v>
      </c>
      <c r="N94" s="160">
        <f t="shared" si="7"/>
        <v>0</v>
      </c>
      <c r="O94" s="162"/>
    </row>
    <row r="95" spans="1:17" s="35" customFormat="1" ht="25.5" hidden="1" customHeight="1">
      <c r="A95" s="28"/>
      <c r="B95" s="29" t="s">
        <v>17</v>
      </c>
      <c r="C95" s="30" t="s">
        <v>80</v>
      </c>
      <c r="D95" s="31" t="s">
        <v>18</v>
      </c>
      <c r="E95" s="28"/>
      <c r="F95" s="89">
        <f t="shared" si="3"/>
        <v>6069.574465605634</v>
      </c>
      <c r="G95" s="33">
        <f t="shared" si="14"/>
        <v>0</v>
      </c>
      <c r="H95" s="32">
        <f>(4371+196.35*2)*1.075/3.55*3.27</f>
        <v>4717.0694154929579</v>
      </c>
      <c r="I95" s="124">
        <f t="shared" si="4"/>
        <v>5094.4349687323947</v>
      </c>
      <c r="J95" s="120">
        <v>2</v>
      </c>
      <c r="K95" s="121">
        <v>196</v>
      </c>
      <c r="L95" s="124">
        <f t="shared" si="5"/>
        <v>423.36</v>
      </c>
      <c r="M95" s="129">
        <f t="shared" si="6"/>
        <v>551.77949687323951</v>
      </c>
      <c r="N95" s="160">
        <f t="shared" si="7"/>
        <v>0</v>
      </c>
      <c r="O95" s="162"/>
    </row>
    <row r="96" spans="1:17" s="35" customFormat="1" ht="25.5" hidden="1" customHeight="1">
      <c r="A96" s="28"/>
      <c r="B96" s="29" t="s">
        <v>21</v>
      </c>
      <c r="C96" s="30" t="s">
        <v>81</v>
      </c>
      <c r="D96" s="31" t="s">
        <v>18</v>
      </c>
      <c r="E96" s="28"/>
      <c r="F96" s="42">
        <f>774.165196</f>
        <v>774.16519600000004</v>
      </c>
      <c r="G96" s="33">
        <f>E96*F96</f>
        <v>0</v>
      </c>
      <c r="H96" s="46"/>
      <c r="I96" s="46"/>
      <c r="J96" s="46"/>
      <c r="K96" s="46"/>
      <c r="L96" s="46"/>
      <c r="N96" s="35">
        <f>H96*E96</f>
        <v>0</v>
      </c>
    </row>
    <row r="97" spans="1:17" s="35" customFormat="1" ht="25.5" hidden="1" customHeight="1">
      <c r="A97" s="28"/>
      <c r="B97" s="29" t="s">
        <v>21</v>
      </c>
      <c r="C97" s="30" t="s">
        <v>82</v>
      </c>
      <c r="D97" s="31" t="s">
        <v>18</v>
      </c>
      <c r="E97" s="28"/>
      <c r="F97" s="32">
        <f>14.8007309907692</f>
        <v>14.8007309907692</v>
      </c>
      <c r="G97" s="33">
        <f>ROUND(F97*E97,3)</f>
        <v>0</v>
      </c>
      <c r="H97" s="49" t="s">
        <v>83</v>
      </c>
      <c r="I97" s="49"/>
      <c r="J97" s="49"/>
      <c r="K97" s="49"/>
      <c r="L97" s="49"/>
    </row>
    <row r="98" spans="1:17" s="35" customFormat="1" ht="12.75" hidden="1" customHeight="1">
      <c r="A98" s="28"/>
      <c r="B98" s="36" t="s">
        <v>21</v>
      </c>
      <c r="C98" s="37" t="s">
        <v>82</v>
      </c>
      <c r="D98" s="38" t="s">
        <v>49</v>
      </c>
      <c r="E98" s="28"/>
      <c r="F98" s="39">
        <f>42.6113889202797*1.18/4.77*4.52</f>
        <v>47.64614338473875</v>
      </c>
      <c r="G98" s="40">
        <f>ROUND(F98*E98,3)</f>
        <v>0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</row>
    <row r="99" spans="1:17" s="35" customFormat="1" ht="12.75" hidden="1" customHeight="1">
      <c r="A99" s="28"/>
      <c r="B99" s="29" t="s">
        <v>21</v>
      </c>
      <c r="C99" s="30" t="s">
        <v>84</v>
      </c>
      <c r="D99" s="31" t="s">
        <v>18</v>
      </c>
      <c r="E99" s="28"/>
      <c r="F99" s="42">
        <f>0.93313+H99</f>
        <v>1.3531299999999999</v>
      </c>
      <c r="G99" s="33">
        <f>E99*F99</f>
        <v>0</v>
      </c>
      <c r="H99" s="46">
        <f>0.42</f>
        <v>0.42</v>
      </c>
      <c r="I99" s="46"/>
      <c r="J99" s="46"/>
      <c r="K99" s="46"/>
      <c r="L99" s="46"/>
      <c r="N99" s="35">
        <f t="shared" ref="N99:N110" si="15">H99*E99</f>
        <v>0</v>
      </c>
    </row>
    <row r="100" spans="1:17" s="35" customFormat="1" ht="25.5" hidden="1" customHeight="1">
      <c r="A100" s="28"/>
      <c r="B100" s="29" t="s">
        <v>21</v>
      </c>
      <c r="C100" s="30" t="s">
        <v>85</v>
      </c>
      <c r="D100" s="31" t="s">
        <v>18</v>
      </c>
      <c r="E100" s="28"/>
      <c r="F100" s="42">
        <f>0.93313+H100</f>
        <v>2.69313</v>
      </c>
      <c r="G100" s="33">
        <f>E100*F100</f>
        <v>0</v>
      </c>
      <c r="H100" s="46">
        <f>1.76</f>
        <v>1.76</v>
      </c>
      <c r="I100" s="46"/>
      <c r="J100" s="46"/>
      <c r="K100" s="46"/>
      <c r="L100" s="46"/>
      <c r="N100" s="35">
        <f t="shared" si="15"/>
        <v>0</v>
      </c>
    </row>
    <row r="101" spans="1:17" s="35" customFormat="1" ht="27.75" hidden="1" customHeight="1">
      <c r="A101" s="28"/>
      <c r="B101" s="29" t="s">
        <v>21</v>
      </c>
      <c r="C101" s="30" t="s">
        <v>87</v>
      </c>
      <c r="D101" s="31" t="s">
        <v>18</v>
      </c>
      <c r="E101" s="28"/>
      <c r="F101" s="42">
        <f>12682.6/100</f>
        <v>126.82600000000001</v>
      </c>
      <c r="G101" s="50">
        <f>E101*F101</f>
        <v>0</v>
      </c>
      <c r="H101" s="46"/>
      <c r="I101" s="46"/>
      <c r="J101" s="46"/>
      <c r="K101" s="46"/>
      <c r="L101" s="46"/>
      <c r="N101" s="35">
        <f t="shared" si="15"/>
        <v>0</v>
      </c>
    </row>
    <row r="102" spans="1:17" s="35" customFormat="1" ht="28.5" hidden="1" customHeight="1">
      <c r="A102" s="28"/>
      <c r="B102" s="43" t="s">
        <v>198</v>
      </c>
      <c r="C102" s="30" t="s">
        <v>197</v>
      </c>
      <c r="D102" s="31" t="s">
        <v>18</v>
      </c>
      <c r="E102" s="28"/>
      <c r="F102" s="32">
        <v>15896.392083935998</v>
      </c>
      <c r="G102" s="50">
        <f t="shared" ref="G102:G113" si="16">ROUND(F102*E102,3)</f>
        <v>0</v>
      </c>
      <c r="H102" s="49">
        <v>15896.392083935998</v>
      </c>
      <c r="I102" s="49"/>
      <c r="J102" s="49"/>
      <c r="K102" s="49"/>
      <c r="L102" s="49"/>
      <c r="N102" s="35">
        <f t="shared" si="15"/>
        <v>0</v>
      </c>
    </row>
    <row r="103" spans="1:17" s="35" customFormat="1" ht="12.75" hidden="1" customHeight="1">
      <c r="A103" s="28"/>
      <c r="B103" s="29" t="s">
        <v>188</v>
      </c>
      <c r="C103" s="30" t="s">
        <v>91</v>
      </c>
      <c r="D103" s="31" t="s">
        <v>18</v>
      </c>
      <c r="E103" s="28"/>
      <c r="F103" s="32">
        <f>I103+L103+M103</f>
        <v>139.86000000000001</v>
      </c>
      <c r="G103" s="33">
        <f t="shared" si="16"/>
        <v>0</v>
      </c>
      <c r="H103" s="32">
        <v>65</v>
      </c>
      <c r="I103" s="124">
        <f t="shared" ref="I103" si="17">H103*1.08</f>
        <v>70.2</v>
      </c>
      <c r="J103" s="120">
        <v>1</v>
      </c>
      <c r="K103" s="121">
        <v>58</v>
      </c>
      <c r="L103" s="124">
        <f t="shared" ref="L103" si="18">K103*1.08*J103</f>
        <v>62.64</v>
      </c>
      <c r="M103" s="129">
        <f>(I103+L13)*0.1</f>
        <v>7.0200000000000005</v>
      </c>
      <c r="N103" s="160">
        <f t="shared" ref="N103" si="19">(I103+L103)*E103</f>
        <v>0</v>
      </c>
    </row>
    <row r="104" spans="1:17" s="35" customFormat="1" ht="12.75" hidden="1" customHeight="1">
      <c r="A104" s="28"/>
      <c r="B104" s="29" t="s">
        <v>188</v>
      </c>
      <c r="C104" s="30" t="s">
        <v>93</v>
      </c>
      <c r="D104" s="31" t="s">
        <v>18</v>
      </c>
      <c r="E104" s="28"/>
      <c r="F104" s="32">
        <f t="shared" ref="F104:F105" si="20">I104+L104+M104</f>
        <v>156.816</v>
      </c>
      <c r="G104" s="33">
        <f t="shared" si="16"/>
        <v>0</v>
      </c>
      <c r="H104" s="32">
        <v>66</v>
      </c>
      <c r="I104" s="124">
        <f t="shared" ref="I104:I105" si="21">H104*1.08</f>
        <v>71.28</v>
      </c>
      <c r="J104" s="120">
        <v>1</v>
      </c>
      <c r="K104" s="121">
        <v>66</v>
      </c>
      <c r="L104" s="124">
        <f t="shared" ref="L104:L105" si="22">K104*1.08*J104</f>
        <v>71.28</v>
      </c>
      <c r="M104" s="129">
        <f t="shared" ref="M104:M105" si="23">(I104+L104)*0.1</f>
        <v>14.256</v>
      </c>
      <c r="N104" s="160">
        <f t="shared" ref="N104:N105" si="24">(I104+L104)*E104</f>
        <v>0</v>
      </c>
    </row>
    <row r="105" spans="1:17" s="35" customFormat="1" ht="12.75" hidden="1" customHeight="1">
      <c r="A105" s="28"/>
      <c r="B105" s="29" t="s">
        <v>188</v>
      </c>
      <c r="C105" s="30" t="s">
        <v>144</v>
      </c>
      <c r="D105" s="31" t="s">
        <v>18</v>
      </c>
      <c r="E105" s="28"/>
      <c r="F105" s="32">
        <f t="shared" si="20"/>
        <v>178.2</v>
      </c>
      <c r="G105" s="33">
        <f t="shared" si="16"/>
        <v>0</v>
      </c>
      <c r="H105" s="32">
        <v>72</v>
      </c>
      <c r="I105" s="124">
        <f t="shared" si="21"/>
        <v>77.760000000000005</v>
      </c>
      <c r="J105" s="120">
        <v>1</v>
      </c>
      <c r="K105" s="121">
        <v>78</v>
      </c>
      <c r="L105" s="124">
        <f t="shared" si="22"/>
        <v>84.240000000000009</v>
      </c>
      <c r="M105" s="129">
        <f t="shared" si="23"/>
        <v>16.2</v>
      </c>
      <c r="N105" s="160">
        <f t="shared" si="24"/>
        <v>0</v>
      </c>
    </row>
    <row r="106" spans="1:17" s="35" customFormat="1" ht="12.75" hidden="1" customHeight="1">
      <c r="A106" s="28"/>
      <c r="B106" s="29" t="s">
        <v>17</v>
      </c>
      <c r="C106" s="30" t="s">
        <v>94</v>
      </c>
      <c r="D106" s="31" t="s">
        <v>18</v>
      </c>
      <c r="E106" s="28"/>
      <c r="F106" s="42">
        <f>(25.145)*1.18+H106</f>
        <v>333.03609999999998</v>
      </c>
      <c r="G106" s="33">
        <f t="shared" si="16"/>
        <v>0</v>
      </c>
      <c r="H106" s="45">
        <f>(282.2)*1.075</f>
        <v>303.36499999999995</v>
      </c>
      <c r="I106" s="45"/>
      <c r="J106" s="45"/>
      <c r="K106" s="45"/>
      <c r="L106" s="45"/>
      <c r="N106" s="35">
        <f t="shared" si="15"/>
        <v>0</v>
      </c>
    </row>
    <row r="107" spans="1:17" s="35" customFormat="1" ht="12.75" hidden="1" customHeight="1">
      <c r="A107" s="28"/>
      <c r="B107" s="29" t="s">
        <v>17</v>
      </c>
      <c r="C107" s="30" t="s">
        <v>95</v>
      </c>
      <c r="D107" s="31" t="s">
        <v>18</v>
      </c>
      <c r="E107" s="28"/>
      <c r="F107" s="42">
        <f>(25.145)*1.18+H107</f>
        <v>495.68360000000001</v>
      </c>
      <c r="G107" s="33">
        <f t="shared" si="16"/>
        <v>0</v>
      </c>
      <c r="H107" s="45">
        <f>(433.5)*1.075</f>
        <v>466.01249999999999</v>
      </c>
      <c r="I107" s="45"/>
      <c r="J107" s="45"/>
      <c r="K107" s="45"/>
      <c r="L107" s="45"/>
      <c r="N107" s="35">
        <f t="shared" si="15"/>
        <v>0</v>
      </c>
    </row>
    <row r="108" spans="1:17" s="35" customFormat="1" ht="25.5" hidden="1" customHeight="1">
      <c r="A108" s="28"/>
      <c r="B108" s="43" t="s">
        <v>41</v>
      </c>
      <c r="C108" s="30" t="s">
        <v>96</v>
      </c>
      <c r="D108" s="31" t="s">
        <v>18</v>
      </c>
      <c r="E108" s="28"/>
      <c r="F108" s="32">
        <f>(2.8)*1.18+H108</f>
        <v>150.52484149999998</v>
      </c>
      <c r="G108" s="33">
        <f t="shared" si="16"/>
        <v>0</v>
      </c>
      <c r="H108" s="44">
        <f>(97.409+18.65)*1.075*1.18</f>
        <v>147.22084149999998</v>
      </c>
      <c r="I108" s="44"/>
      <c r="J108" s="44"/>
      <c r="K108" s="44"/>
      <c r="L108" s="44"/>
      <c r="N108" s="35">
        <f t="shared" si="15"/>
        <v>0</v>
      </c>
    </row>
    <row r="109" spans="1:17" s="35" customFormat="1" ht="12.75" hidden="1" customHeight="1">
      <c r="A109" s="28"/>
      <c r="B109" s="43" t="s">
        <v>28</v>
      </c>
      <c r="C109" s="30" t="s">
        <v>97</v>
      </c>
      <c r="D109" s="31" t="s">
        <v>18</v>
      </c>
      <c r="E109" s="28"/>
      <c r="F109" s="32">
        <f>(2.8)*1.18+H109</f>
        <v>154.445775</v>
      </c>
      <c r="G109" s="33">
        <f t="shared" si="16"/>
        <v>0</v>
      </c>
      <c r="H109" s="44">
        <f>(100.5+18.65)*1.075*1.18</f>
        <v>151.141775</v>
      </c>
      <c r="I109" s="44"/>
      <c r="J109" s="44"/>
      <c r="K109" s="44"/>
      <c r="L109" s="44"/>
      <c r="N109" s="35">
        <f t="shared" si="15"/>
        <v>0</v>
      </c>
    </row>
    <row r="110" spans="1:17" s="35" customFormat="1" ht="12.75" hidden="1" customHeight="1">
      <c r="A110" s="28"/>
      <c r="B110" s="43" t="s">
        <v>28</v>
      </c>
      <c r="C110" s="30" t="s">
        <v>98</v>
      </c>
      <c r="D110" s="31" t="s">
        <v>18</v>
      </c>
      <c r="E110" s="28"/>
      <c r="F110" s="32">
        <f>(1.36+2.8)*1.18+H110</f>
        <v>35.936309999999999</v>
      </c>
      <c r="G110" s="33">
        <f t="shared" si="16"/>
        <v>0</v>
      </c>
      <c r="H110" s="44">
        <f>24.46*1.075*1.18</f>
        <v>31.027509999999996</v>
      </c>
      <c r="I110" s="44"/>
      <c r="J110" s="44"/>
      <c r="K110" s="44"/>
      <c r="L110" s="44"/>
      <c r="N110" s="35">
        <f t="shared" si="15"/>
        <v>0</v>
      </c>
    </row>
    <row r="111" spans="1:17" s="35" customFormat="1" ht="12.75" customHeight="1">
      <c r="A111" s="28">
        <v>2</v>
      </c>
      <c r="B111" s="43" t="s">
        <v>99</v>
      </c>
      <c r="C111" s="30" t="s">
        <v>100</v>
      </c>
      <c r="D111" s="31" t="s">
        <v>18</v>
      </c>
      <c r="E111" s="28">
        <v>1</v>
      </c>
      <c r="F111" s="32">
        <f>5.226*1.18+H111</f>
        <v>125.48268</v>
      </c>
      <c r="G111" s="33">
        <f t="shared" si="16"/>
        <v>125.483</v>
      </c>
      <c r="H111" s="35">
        <v>119.316</v>
      </c>
    </row>
    <row r="112" spans="1:17" s="35" customFormat="1" ht="12.75" hidden="1" customHeight="1">
      <c r="A112" s="28"/>
      <c r="B112" s="29" t="s">
        <v>31</v>
      </c>
      <c r="C112" s="30" t="s">
        <v>102</v>
      </c>
      <c r="D112" s="31" t="s">
        <v>18</v>
      </c>
      <c r="E112" s="28"/>
      <c r="F112" s="32">
        <f>H112+(143.41*5.65/1000)*1.18</f>
        <v>4.7465644699999991</v>
      </c>
      <c r="G112" s="33">
        <f t="shared" si="16"/>
        <v>0</v>
      </c>
      <c r="H112" s="34">
        <f>3.526*1.075</f>
        <v>3.7904499999999994</v>
      </c>
      <c r="I112" s="34"/>
      <c r="J112" s="34"/>
      <c r="K112" s="34"/>
      <c r="L112" s="34"/>
    </row>
    <row r="113" spans="1:16" s="35" customFormat="1" ht="12.75" hidden="1" customHeight="1">
      <c r="A113" s="28"/>
      <c r="B113" s="29" t="s">
        <v>31</v>
      </c>
      <c r="C113" s="30" t="s">
        <v>101</v>
      </c>
      <c r="D113" s="31" t="s">
        <v>18</v>
      </c>
      <c r="E113" s="28"/>
      <c r="F113" s="32">
        <f>H113+4.701*1.18</f>
        <v>44.709429999999998</v>
      </c>
      <c r="G113" s="33">
        <f t="shared" si="16"/>
        <v>0</v>
      </c>
      <c r="H113" s="34">
        <f>36.43*1.075</f>
        <v>39.16225</v>
      </c>
      <c r="I113" s="34"/>
      <c r="J113" s="34"/>
      <c r="K113" s="34"/>
      <c r="L113" s="34"/>
    </row>
    <row r="114" spans="1:16" s="35" customFormat="1" ht="25.5" hidden="1" customHeight="1">
      <c r="A114" s="28"/>
      <c r="B114" s="29" t="s">
        <v>21</v>
      </c>
      <c r="C114" s="30" t="s">
        <v>193</v>
      </c>
      <c r="D114" s="31" t="s">
        <v>18</v>
      </c>
      <c r="E114" s="28"/>
      <c r="F114" s="42">
        <f>4.19524+H114</f>
        <v>52.970239999999997</v>
      </c>
      <c r="G114" s="33">
        <f>E114*F114</f>
        <v>0</v>
      </c>
      <c r="H114" s="46">
        <f>48.775</f>
        <v>48.774999999999999</v>
      </c>
      <c r="I114" s="46"/>
      <c r="J114" s="46"/>
      <c r="K114" s="46"/>
      <c r="L114" s="46"/>
      <c r="N114" s="35">
        <f>H114*E114</f>
        <v>0</v>
      </c>
    </row>
    <row r="115" spans="1:16" s="35" customFormat="1" ht="25.5" hidden="1" customHeight="1">
      <c r="A115" s="28"/>
      <c r="B115" s="43" t="s">
        <v>21</v>
      </c>
      <c r="C115" s="30" t="s">
        <v>104</v>
      </c>
      <c r="D115" s="31" t="s">
        <v>18</v>
      </c>
      <c r="E115" s="28"/>
      <c r="F115" s="42">
        <f>(0.15894*5.65*1.18)+H115</f>
        <v>8.6131229799999982</v>
      </c>
      <c r="G115" s="33">
        <f>ROUND(F115*E115,3)</f>
        <v>0</v>
      </c>
      <c r="H115" s="44">
        <f>(592.11+6961.36)/1000</f>
        <v>7.553469999999999</v>
      </c>
      <c r="I115" s="44"/>
      <c r="J115" s="44"/>
      <c r="K115" s="44"/>
      <c r="L115" s="44"/>
    </row>
    <row r="116" spans="1:16" s="35" customFormat="1" ht="25.5" hidden="1" customHeight="1">
      <c r="A116" s="28"/>
      <c r="B116" s="43" t="s">
        <v>21</v>
      </c>
      <c r="C116" s="30" t="s">
        <v>105</v>
      </c>
      <c r="D116" s="31" t="s">
        <v>18</v>
      </c>
      <c r="E116" s="28"/>
      <c r="F116" s="42">
        <f>(0.15894*5.65*1.18)+H116</f>
        <v>11.549292979999999</v>
      </c>
      <c r="G116" s="33">
        <f>ROUND(F116*E116,3)</f>
        <v>0</v>
      </c>
      <c r="H116" s="44">
        <f>(10489.64)/1000</f>
        <v>10.48964</v>
      </c>
      <c r="I116" s="44"/>
      <c r="J116" s="44"/>
      <c r="K116" s="44"/>
      <c r="L116" s="44"/>
    </row>
    <row r="117" spans="1:16" s="35" customFormat="1" ht="12.75" hidden="1" customHeight="1">
      <c r="A117" s="28"/>
      <c r="B117" s="43" t="s">
        <v>28</v>
      </c>
      <c r="C117" s="30" t="s">
        <v>106</v>
      </c>
      <c r="D117" s="31" t="s">
        <v>18</v>
      </c>
      <c r="E117" s="28"/>
      <c r="F117" s="32">
        <f>(2.88)*1.18+H117</f>
        <v>56.865674999999996</v>
      </c>
      <c r="G117" s="33">
        <f>ROUND(F117*E117,3)</f>
        <v>0</v>
      </c>
      <c r="H117" s="44">
        <f>(42.15)*1.075*1.18</f>
        <v>53.467274999999994</v>
      </c>
      <c r="I117" s="44"/>
      <c r="J117" s="44"/>
      <c r="K117" s="44"/>
      <c r="L117" s="44"/>
      <c r="N117" s="35">
        <f>H117*E117</f>
        <v>0</v>
      </c>
    </row>
    <row r="118" spans="1:16" s="35" customFormat="1" ht="25.5" hidden="1" customHeight="1">
      <c r="A118" s="28"/>
      <c r="B118" s="43" t="s">
        <v>21</v>
      </c>
      <c r="C118" s="30" t="s">
        <v>107</v>
      </c>
      <c r="D118" s="31" t="s">
        <v>18</v>
      </c>
      <c r="E118" s="28"/>
      <c r="F118" s="32">
        <f>(755.13*5.65/1000)*1.18+H118</f>
        <v>49.534451709999999</v>
      </c>
      <c r="G118" s="33">
        <f>ROUND(F118*E118,3)</f>
        <v>0</v>
      </c>
      <c r="H118" s="35">
        <v>44.5</v>
      </c>
    </row>
    <row r="119" spans="1:16" s="35" customFormat="1" ht="12.75" hidden="1" customHeight="1">
      <c r="A119" s="28"/>
      <c r="B119" s="29" t="s">
        <v>21</v>
      </c>
      <c r="C119" s="30" t="s">
        <v>108</v>
      </c>
      <c r="D119" s="31" t="s">
        <v>18</v>
      </c>
      <c r="E119" s="28"/>
      <c r="F119" s="32">
        <f>432.118</f>
        <v>432.11799999999999</v>
      </c>
      <c r="G119" s="33">
        <f>E119*F119</f>
        <v>0</v>
      </c>
      <c r="H119" s="35">
        <f>336.738</f>
        <v>336.738</v>
      </c>
    </row>
    <row r="120" spans="1:16" s="35" customFormat="1" ht="12.75" hidden="1" customHeight="1">
      <c r="A120" s="28"/>
      <c r="B120" s="29" t="s">
        <v>109</v>
      </c>
      <c r="C120" s="30" t="s">
        <v>110</v>
      </c>
      <c r="D120" s="31" t="s">
        <v>18</v>
      </c>
      <c r="E120" s="28"/>
      <c r="F120" s="32">
        <f>(345.02*1.18*5.65/1000)+H120</f>
        <v>17.554485628135595</v>
      </c>
      <c r="G120" s="33">
        <f>E120*F120</f>
        <v>0</v>
      </c>
      <c r="H120" s="35">
        <f>18000/1000/1.18</f>
        <v>15.254237288135593</v>
      </c>
    </row>
    <row r="121" spans="1:16" s="35" customFormat="1" ht="12.75" hidden="1" customHeight="1">
      <c r="A121" s="28"/>
      <c r="B121" s="43" t="s">
        <v>111</v>
      </c>
      <c r="C121" s="30" t="s">
        <v>112</v>
      </c>
      <c r="D121" s="31" t="s">
        <v>18</v>
      </c>
      <c r="E121" s="28"/>
      <c r="F121" s="32">
        <f>(2.594+7.604)*1.18+H121</f>
        <v>74.942639999999997</v>
      </c>
      <c r="G121" s="33">
        <f>ROUND(F121*E121,3)</f>
        <v>0</v>
      </c>
      <c r="H121" s="44">
        <f>58.52*1.075</f>
        <v>62.908999999999999</v>
      </c>
      <c r="I121" s="44"/>
      <c r="J121" s="44"/>
      <c r="K121" s="44"/>
      <c r="L121" s="44"/>
      <c r="N121" s="35">
        <f>H121*E121</f>
        <v>0</v>
      </c>
      <c r="P121" s="46" t="s">
        <v>113</v>
      </c>
    </row>
    <row r="122" spans="1:16" s="35" customFormat="1" ht="12.75" hidden="1" customHeight="1">
      <c r="A122" s="28"/>
      <c r="B122" s="43" t="s">
        <v>111</v>
      </c>
      <c r="C122" s="30" t="s">
        <v>114</v>
      </c>
      <c r="D122" s="31" t="s">
        <v>18</v>
      </c>
      <c r="E122" s="28"/>
      <c r="F122" s="32">
        <f>(2.627+7.642)*1.18/4.77*4.52+H122/3.55*3.27</f>
        <v>51.217532840818492</v>
      </c>
      <c r="G122" s="33">
        <f>ROUND(F122*E122,3)</f>
        <v>0</v>
      </c>
      <c r="H122" s="44">
        <f>40.128*1.075</f>
        <v>43.137599999999999</v>
      </c>
      <c r="I122" s="44"/>
      <c r="J122" s="44"/>
      <c r="K122" s="44"/>
      <c r="L122" s="44"/>
      <c r="N122" s="35">
        <f>H122*E122</f>
        <v>0</v>
      </c>
      <c r="P122" s="46" t="s">
        <v>115</v>
      </c>
    </row>
    <row r="123" spans="1:16" s="35" customFormat="1" ht="12.75" hidden="1" customHeight="1">
      <c r="A123" s="28"/>
      <c r="B123" s="43" t="s">
        <v>111</v>
      </c>
      <c r="C123" s="30" t="s">
        <v>116</v>
      </c>
      <c r="D123" s="31" t="s">
        <v>18</v>
      </c>
      <c r="E123" s="28"/>
      <c r="F123" s="32">
        <f>(2.594+7.604)*1.18+H123</f>
        <v>77.189390000000003</v>
      </c>
      <c r="G123" s="33">
        <f>ROUND(F123*E123,3)</f>
        <v>0</v>
      </c>
      <c r="H123" s="44">
        <f>60.61*1.075</f>
        <v>65.155749999999998</v>
      </c>
      <c r="I123" s="44"/>
      <c r="J123" s="44"/>
      <c r="K123" s="44"/>
      <c r="L123" s="44"/>
      <c r="N123" s="35">
        <f>H123*E123</f>
        <v>0</v>
      </c>
    </row>
    <row r="124" spans="1:16" s="35" customFormat="1" ht="12.75" hidden="1" customHeight="1">
      <c r="A124" s="28"/>
      <c r="B124" s="43" t="s">
        <v>117</v>
      </c>
      <c r="C124" s="30" t="s">
        <v>194</v>
      </c>
      <c r="D124" s="31" t="s">
        <v>18</v>
      </c>
      <c r="E124" s="28"/>
      <c r="F124" s="32">
        <f>(2.594+7.604)*1.18+H124</f>
        <v>292.87738999999999</v>
      </c>
      <c r="G124" s="33">
        <f>ROUND(F124*E124,3)</f>
        <v>0</v>
      </c>
      <c r="H124" s="44">
        <f>261250/1000*1.075</f>
        <v>280.84375</v>
      </c>
      <c r="I124" s="44"/>
      <c r="J124" s="44"/>
      <c r="K124" s="44"/>
      <c r="L124" s="44"/>
      <c r="N124" s="35">
        <f>H124*E124</f>
        <v>0</v>
      </c>
    </row>
    <row r="125" spans="1:16" s="35" customFormat="1" ht="26.25" hidden="1" customHeight="1">
      <c r="A125" s="28"/>
      <c r="B125" s="43" t="s">
        <v>119</v>
      </c>
      <c r="C125" s="30" t="s">
        <v>191</v>
      </c>
      <c r="D125" s="31" t="s">
        <v>18</v>
      </c>
      <c r="E125" s="28"/>
      <c r="F125" s="32">
        <f>(H125)+H125*0.01</f>
        <v>400.10544000000004</v>
      </c>
      <c r="G125" s="33">
        <f>ROUND(F125*E125,3)</f>
        <v>0</v>
      </c>
      <c r="H125" s="49">
        <f>366.8*1.08</f>
        <v>396.14400000000006</v>
      </c>
      <c r="I125" s="49"/>
      <c r="J125" s="49"/>
      <c r="K125" s="49"/>
      <c r="L125" s="49"/>
      <c r="N125" s="35">
        <f>H125*E125</f>
        <v>0</v>
      </c>
    </row>
    <row r="126" spans="1:16" s="35" customFormat="1">
      <c r="A126" s="28"/>
      <c r="B126" s="29"/>
      <c r="C126" s="30"/>
      <c r="D126" s="31"/>
      <c r="E126" s="28"/>
      <c r="F126" s="32"/>
      <c r="G126" s="33"/>
      <c r="I126" s="126"/>
    </row>
    <row r="127" spans="1:16" s="35" customFormat="1">
      <c r="A127" s="28">
        <v>3</v>
      </c>
      <c r="B127" s="51" t="s">
        <v>121</v>
      </c>
      <c r="C127" s="30" t="s">
        <v>122</v>
      </c>
      <c r="D127" s="31" t="s">
        <v>18</v>
      </c>
      <c r="E127" s="28">
        <v>1</v>
      </c>
      <c r="F127" s="32"/>
      <c r="G127" s="33">
        <f>ROUND((G49+G48+G47+G46+G45+G44+G25+G24+G23+G22+G21)*0.01,3)</f>
        <v>0.54400000000000004</v>
      </c>
      <c r="H127" s="46" t="s">
        <v>123</v>
      </c>
      <c r="I127" s="126"/>
      <c r="J127" s="46"/>
      <c r="K127" s="46"/>
      <c r="L127" s="46"/>
    </row>
    <row r="128" spans="1:16" s="35" customFormat="1">
      <c r="A128" s="28"/>
      <c r="B128" s="29"/>
      <c r="C128" s="30"/>
      <c r="D128" s="31"/>
      <c r="E128" s="28"/>
      <c r="F128" s="52"/>
      <c r="G128" s="33"/>
      <c r="I128" s="126"/>
    </row>
    <row r="129" spans="1:14">
      <c r="A129" s="53"/>
      <c r="B129" s="54"/>
      <c r="C129" s="179" t="s">
        <v>124</v>
      </c>
      <c r="D129" s="180"/>
      <c r="E129" s="181"/>
      <c r="F129" s="55"/>
      <c r="G129" s="55">
        <f>SUM(G20:G125)+IF(E127=0,0,G127)</f>
        <v>180.41200000000001</v>
      </c>
      <c r="H129" s="56" t="s">
        <v>125</v>
      </c>
      <c r="J129" s="56"/>
      <c r="K129" s="56"/>
      <c r="L129" s="56"/>
      <c r="N129" s="76">
        <f>N57</f>
        <v>0</v>
      </c>
    </row>
    <row r="130" spans="1:14" ht="12.75" customHeight="1">
      <c r="A130" s="182" t="s">
        <v>126</v>
      </c>
      <c r="B130" s="183"/>
      <c r="C130" s="183"/>
      <c r="D130" s="183"/>
      <c r="E130" s="97"/>
      <c r="F130" s="55"/>
      <c r="G130" s="55"/>
    </row>
    <row r="131" spans="1:14" ht="25.5">
      <c r="A131" s="57">
        <f>A127+1</f>
        <v>4</v>
      </c>
      <c r="B131" s="58" t="s">
        <v>127</v>
      </c>
      <c r="C131" s="59" t="s">
        <v>128</v>
      </c>
      <c r="D131" s="60"/>
      <c r="E131" s="61"/>
      <c r="F131" s="55"/>
      <c r="G131" s="62">
        <f>ROUND((SUM(N50:N95))*0.07,2)</f>
        <v>0</v>
      </c>
      <c r="H131" s="56" t="s">
        <v>129</v>
      </c>
      <c r="J131" s="56"/>
      <c r="K131" s="56"/>
      <c r="L131" s="56"/>
    </row>
    <row r="132" spans="1:14">
      <c r="A132" s="57">
        <f>A131+1</f>
        <v>5</v>
      </c>
      <c r="B132" s="51" t="s">
        <v>121</v>
      </c>
      <c r="C132" s="179" t="s">
        <v>130</v>
      </c>
      <c r="D132" s="180"/>
      <c r="E132" s="180"/>
      <c r="F132" s="52"/>
      <c r="G132" s="52">
        <f>ROUND(G129*0.07,2)</f>
        <v>12.63</v>
      </c>
      <c r="H132" t="s">
        <v>131</v>
      </c>
    </row>
    <row r="133" spans="1:14" ht="41.25" customHeight="1">
      <c r="A133" s="57">
        <f>A132+1</f>
        <v>6</v>
      </c>
      <c r="B133" s="51" t="s">
        <v>132</v>
      </c>
      <c r="C133" s="179" t="s">
        <v>133</v>
      </c>
      <c r="D133" s="180"/>
      <c r="E133" s="180"/>
      <c r="F133" s="63"/>
      <c r="G133" s="52">
        <f>ROUND(G129*0.01,3)</f>
        <v>1.804</v>
      </c>
      <c r="H133" t="s">
        <v>134</v>
      </c>
    </row>
    <row r="134" spans="1:14">
      <c r="A134" s="64"/>
      <c r="B134" s="65"/>
      <c r="C134" s="179" t="s">
        <v>135</v>
      </c>
      <c r="D134" s="180"/>
      <c r="E134" s="181"/>
      <c r="F134" s="52"/>
      <c r="G134" s="52">
        <f>SUM(G131:G133)</f>
        <v>14.434000000000001</v>
      </c>
    </row>
    <row r="135" spans="1:14" s="35" customFormat="1">
      <c r="A135" s="28"/>
      <c r="B135" s="29"/>
      <c r="C135" s="184"/>
      <c r="D135" s="185"/>
      <c r="E135" s="186"/>
      <c r="F135" s="52"/>
      <c r="G135" s="33"/>
      <c r="I135" s="126"/>
    </row>
    <row r="136" spans="1:14">
      <c r="A136" s="173" t="s">
        <v>136</v>
      </c>
      <c r="B136" s="174"/>
      <c r="C136" s="174"/>
      <c r="D136" s="174"/>
      <c r="E136" s="174"/>
      <c r="F136" s="66"/>
      <c r="G136" s="67">
        <f>G134+G129</f>
        <v>194.846</v>
      </c>
    </row>
    <row r="137" spans="1:14">
      <c r="A137" s="64">
        <f>A133+1</f>
        <v>7</v>
      </c>
      <c r="B137" s="51" t="s">
        <v>132</v>
      </c>
      <c r="C137" s="179" t="s">
        <v>137</v>
      </c>
      <c r="D137" s="180"/>
      <c r="E137" s="180"/>
      <c r="F137" s="63"/>
      <c r="G137" s="52">
        <f>ROUND(G136*0.03,3)</f>
        <v>5.8449999999999998</v>
      </c>
    </row>
    <row r="138" spans="1:14">
      <c r="A138" s="64"/>
      <c r="B138" s="65"/>
      <c r="C138" s="179"/>
      <c r="D138" s="180"/>
      <c r="E138" s="181"/>
      <c r="F138" s="52"/>
      <c r="G138" s="52"/>
    </row>
    <row r="139" spans="1:14">
      <c r="A139" s="173" t="s">
        <v>138</v>
      </c>
      <c r="B139" s="174"/>
      <c r="C139" s="174"/>
      <c r="D139" s="174"/>
      <c r="E139" s="174"/>
      <c r="F139" s="66"/>
      <c r="G139" s="67">
        <f>G136+G137</f>
        <v>200.691</v>
      </c>
      <c r="H139" s="67"/>
      <c r="I139" s="127"/>
      <c r="J139" s="123"/>
      <c r="K139" s="123"/>
      <c r="L139" s="123"/>
    </row>
    <row r="140" spans="1:14" ht="52.5" customHeight="1">
      <c r="A140" s="68"/>
      <c r="B140" s="69"/>
      <c r="C140" s="92"/>
      <c r="D140" s="92"/>
      <c r="E140" s="92"/>
      <c r="F140" s="93"/>
      <c r="G140" s="70"/>
    </row>
    <row r="141" spans="1:14" ht="15.75">
      <c r="A141" s="68"/>
      <c r="B141" s="158"/>
      <c r="C141" s="94" t="s">
        <v>139</v>
      </c>
      <c r="D141" s="94"/>
      <c r="E141" s="94"/>
      <c r="F141" s="94" t="s">
        <v>199</v>
      </c>
      <c r="G141" s="72"/>
    </row>
    <row r="142" spans="1:14" ht="15.75">
      <c r="A142" s="68"/>
      <c r="B142" s="69"/>
      <c r="C142" s="71"/>
      <c r="D142" s="71"/>
      <c r="E142" s="71"/>
      <c r="F142" s="71"/>
      <c r="G142" s="12"/>
    </row>
    <row r="145" spans="1:7">
      <c r="A145"/>
      <c r="B145"/>
      <c r="C145"/>
      <c r="D145"/>
      <c r="E145"/>
      <c r="F145"/>
      <c r="G145" s="32"/>
    </row>
  </sheetData>
  <autoFilter ref="A19:Q125">
    <filterColumn colId="0"/>
    <filterColumn colId="4">
      <customFilters>
        <customFilter operator="notEqual" val=" "/>
      </customFilters>
    </filterColumn>
    <filterColumn colId="8"/>
    <filterColumn colId="9"/>
    <filterColumn colId="10"/>
    <filterColumn colId="11"/>
    <sortState ref="A20:M124">
      <sortCondition ref="C19:C124"/>
    </sortState>
  </autoFilter>
  <mergeCells count="27">
    <mergeCell ref="D3:G3"/>
    <mergeCell ref="D1:G1"/>
    <mergeCell ref="M1:M2"/>
    <mergeCell ref="N1:R1"/>
    <mergeCell ref="S1:S2"/>
    <mergeCell ref="D2:G2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A139:E139"/>
    <mergeCell ref="C17:D17"/>
    <mergeCell ref="A18:D18"/>
    <mergeCell ref="C129:E129"/>
    <mergeCell ref="A130:D130"/>
    <mergeCell ref="C132:E132"/>
    <mergeCell ref="C133:E133"/>
    <mergeCell ref="C134:E134"/>
    <mergeCell ref="C135:E135"/>
    <mergeCell ref="A136:E136"/>
    <mergeCell ref="C137:E137"/>
    <mergeCell ref="C138:E138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7030A0"/>
    <pageSetUpPr autoPageBreaks="0"/>
  </sheetPr>
  <dimension ref="A1:AA145"/>
  <sheetViews>
    <sheetView showGridLines="0" tabSelected="1" view="pageBreakPreview" topLeftCell="A7" zoomScale="130" zoomScaleSheetLayoutView="130" workbookViewId="0">
      <selection activeCell="Y8" sqref="Y8"/>
    </sheetView>
  </sheetViews>
  <sheetFormatPr defaultRowHeight="12.75" outlineLevelCol="2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2.85546875" customWidth="1" outlineLevel="2"/>
    <col min="9" max="9" width="11.85546875" style="132" customWidth="1" outlineLevel="2"/>
    <col min="10" max="10" width="7.7109375" style="132" customWidth="1" outlineLevel="2"/>
    <col min="11" max="11" width="6.5703125" customWidth="1" outlineLevel="2"/>
    <col min="12" max="13" width="7.85546875" customWidth="1" outlineLevel="2"/>
    <col min="14" max="14" width="8.5703125" style="132" customWidth="1" outlineLevel="2"/>
    <col min="15" max="15" width="8" customWidth="1" outlineLevel="1"/>
    <col min="16" max="16" width="7.5703125" style="132" customWidth="1" outlineLevel="1"/>
    <col min="17" max="17" width="16" customWidth="1"/>
    <col min="18" max="21" width="7" customWidth="1"/>
    <col min="22" max="22" width="12.85546875" bestFit="1" customWidth="1"/>
    <col min="23" max="23" width="11" bestFit="1" customWidth="1"/>
    <col min="24" max="24" width="13.42578125" bestFit="1" customWidth="1"/>
    <col min="25" max="25" width="11" bestFit="1" customWidth="1"/>
    <col min="26" max="26" width="10.42578125" bestFit="1" customWidth="1"/>
  </cols>
  <sheetData>
    <row r="1" spans="1:27" s="4" customFormat="1" ht="28.5" customHeight="1" thickBot="1">
      <c r="A1" s="1"/>
      <c r="B1" s="2" t="s">
        <v>0</v>
      </c>
      <c r="C1" s="3"/>
      <c r="D1" s="187" t="s">
        <v>1</v>
      </c>
      <c r="E1" s="187"/>
      <c r="F1" s="187"/>
      <c r="G1" s="187"/>
      <c r="H1" s="147"/>
      <c r="I1" s="148"/>
      <c r="J1" s="148"/>
      <c r="K1" s="149"/>
      <c r="L1" s="149"/>
      <c r="M1" s="210"/>
      <c r="N1" s="148"/>
      <c r="O1" s="210"/>
      <c r="P1" s="211"/>
      <c r="Q1" s="212"/>
      <c r="R1" s="212"/>
      <c r="S1" s="212"/>
      <c r="T1" s="212"/>
      <c r="U1" s="210"/>
      <c r="V1" s="205" t="s">
        <v>155</v>
      </c>
      <c r="W1" s="206"/>
      <c r="X1" s="206"/>
      <c r="Y1" s="206"/>
      <c r="Z1" s="207"/>
      <c r="AA1" s="203" t="s">
        <v>156</v>
      </c>
    </row>
    <row r="2" spans="1:27" s="4" customFormat="1" ht="15" thickBot="1">
      <c r="A2" s="5"/>
      <c r="B2" s="6"/>
      <c r="C2" s="7"/>
      <c r="D2" s="187" t="s">
        <v>2</v>
      </c>
      <c r="E2" s="187"/>
      <c r="F2" s="187"/>
      <c r="G2" s="187"/>
      <c r="H2" s="147"/>
      <c r="I2" s="148"/>
      <c r="J2" s="148"/>
      <c r="K2" s="149"/>
      <c r="L2" s="149"/>
      <c r="M2" s="210"/>
      <c r="N2" s="148"/>
      <c r="O2" s="150"/>
      <c r="P2" s="151"/>
      <c r="Q2" s="150"/>
      <c r="R2" s="150"/>
      <c r="S2" s="150"/>
      <c r="T2" s="150"/>
      <c r="U2" s="210"/>
      <c r="V2" s="98" t="s">
        <v>157</v>
      </c>
      <c r="W2" s="98" t="s">
        <v>158</v>
      </c>
      <c r="X2" s="98" t="s">
        <v>159</v>
      </c>
      <c r="Y2" s="98" t="s">
        <v>160</v>
      </c>
      <c r="Z2" s="98" t="s">
        <v>161</v>
      </c>
      <c r="AA2" s="204"/>
    </row>
    <row r="3" spans="1:27" s="4" customFormat="1" ht="13.5" thickBot="1">
      <c r="A3" s="5"/>
      <c r="B3" s="8"/>
      <c r="C3" s="9"/>
      <c r="D3" s="187" t="s">
        <v>3</v>
      </c>
      <c r="E3" s="187"/>
      <c r="F3" s="187"/>
      <c r="G3" s="187"/>
      <c r="H3" s="147"/>
      <c r="I3" s="152"/>
      <c r="J3" s="152"/>
      <c r="K3" s="153"/>
      <c r="L3" s="153"/>
      <c r="M3" s="153"/>
      <c r="N3" s="152"/>
      <c r="O3" s="153"/>
      <c r="P3" s="152"/>
      <c r="Q3" s="153"/>
      <c r="R3" s="153"/>
      <c r="S3" s="153"/>
      <c r="T3" s="153"/>
      <c r="U3" s="153"/>
      <c r="V3" s="99">
        <v>2</v>
      </c>
      <c r="W3" s="99">
        <v>3</v>
      </c>
      <c r="X3" s="99">
        <v>4</v>
      </c>
      <c r="Y3" s="99">
        <v>5</v>
      </c>
      <c r="Z3" s="99">
        <v>6</v>
      </c>
      <c r="AA3" s="99">
        <v>7</v>
      </c>
    </row>
    <row r="4" spans="1:27" s="4" customFormat="1" ht="15.75" thickBot="1">
      <c r="A4" s="5"/>
      <c r="B4" s="10"/>
      <c r="D4" s="11"/>
      <c r="E4" s="11"/>
      <c r="F4" s="11"/>
      <c r="G4" s="12" t="s">
        <v>4</v>
      </c>
      <c r="H4" s="147"/>
      <c r="I4" s="154"/>
      <c r="J4" s="154"/>
      <c r="K4" s="155"/>
      <c r="L4" s="155"/>
      <c r="M4" s="155"/>
      <c r="N4" s="154"/>
      <c r="O4" s="156"/>
      <c r="P4" s="157"/>
      <c r="Q4" s="156"/>
      <c r="R4" s="156"/>
      <c r="S4" s="156"/>
      <c r="T4" s="156"/>
      <c r="U4" s="156"/>
      <c r="V4" s="101">
        <f>(ROUND(('4 кв 2011 год'!G21+'4 кв 2011 год'!G22+'4 кв 2011 год'!G27+IF('4 кв 2011 год'!E127=0,0,('4 кв 2011 год'!G21+'4 кв 2011 год'!G22+'4 кв 2011 год'!G27)*0.01))*0.07,2)/3.31*3.13+(G21+G22+G27+IF('4 кв 2011 год'!E127=0,0,(G21+G22+G27)*0.01))*1.01)*1.03</f>
        <v>0</v>
      </c>
      <c r="W4" s="101">
        <f>(ROUND(('4 кв 2011 год'!G20+'4 кв 2011 год'!G23+'4 кв 2011 год'!G24+'4 кв 2011 год'!G25+IF('4 кв 2011 год'!E127=0,0,('4 кв 2011 год'!G20+'4 кв 2011 год'!G23+'4 кв 2011 год'!G24+'4 кв 2011 год'!G25)*0.01))*0.07,2)/3.31*3.13+(G20+G23+G24+G25+IF('4 кв 2011 год'!E127=0,0,(G20+G23+G24+G25)*0.01))*1.01)*1.03</f>
        <v>0</v>
      </c>
      <c r="X4" s="101">
        <f>(ROUND(('4 кв 2011 год'!G48+'4 кв 2011 год'!G49+IF('4 кв 2011 год'!E127=0,0,('4 кв 2011 год'!G48+'4 кв 2011 год'!G49)*0.01))*0.07,2)/3.31*3.13+(G48+G49+IF('4 кв 2011 год'!E127=0,0,(G48+G49)*0.01))*1.01)*1.03</f>
        <v>0</v>
      </c>
      <c r="Y4" s="101">
        <f>(ROUND(('4 кв 2011 год'!G44+'4 кв 2011 год'!G45+'4 кв 2011 год'!G46+'4 кв 2011 год'!G47+IF('4 кв 2011 год'!E127=0,0,('4 кв 2011 год'!G44+'4 кв 2011 год'!G45+'4 кв 2011 год'!G46+'4 кв 2011 год'!G47)*0.01))*0.07,2)/3.31*3.13+(G44+G45+G46+G47+IF('4 кв 2011 год'!E127=0,0,(G44+G45+G46+G47)*0.01))*1.01)*1.03</f>
        <v>57.897832579320244</v>
      </c>
      <c r="Z4" s="101">
        <f>(ROUND(SUM('4 кв 2011 год'!N50:'4 кв 2011 год'!N95)*0.07,2)/6.95*6.03+(ROUND(('4 кв 2011 год'!G129+IF('4 кв 2011 год'!E127=0,0,(-'4 кв 2011 год'!G127))-'4 кв 2011 год'!G20-'4 кв 2011 год'!G21-'4 кв 2011 год'!G22-'4 кв 2011 год'!G23-'4 кв 2011 год'!G24-'4 кв 2011 год'!G25-'4 кв 2011 год'!G27-'4 кв 2011 год'!G44-'4 кв 2011 год'!G45-'4 кв 2011 год'!G46-'4 кв 2011 год'!G47-'4 кв 2011 год'!G48-'4 кв 2011 год'!G49)*0.07,2)/3.31*3.13)+ROUND((SUM(G20:G125)-G20-G21-G22-G23-G24-G25-G27-G44-G45-G46-G47-G48-G49)*1.01,3))*1.03</f>
        <v>128.96479389728097</v>
      </c>
      <c r="AA4" s="101">
        <f>SUM(V4:Z4)</f>
        <v>186.86262647660121</v>
      </c>
    </row>
    <row r="5" spans="1:27" s="4" customFormat="1">
      <c r="A5" s="5"/>
      <c r="B5" s="6"/>
      <c r="C5" s="7"/>
      <c r="D5" s="13"/>
      <c r="E5" s="14"/>
      <c r="F5" s="14"/>
      <c r="G5" s="15"/>
      <c r="I5" s="132"/>
      <c r="J5" s="132"/>
      <c r="N5" s="132"/>
      <c r="P5" s="132"/>
      <c r="AA5" s="165">
        <f>AA4-G139</f>
        <v>-5.4572883684045337E-4</v>
      </c>
    </row>
    <row r="6" spans="1:27" s="4" customFormat="1">
      <c r="A6" s="5"/>
      <c r="B6" s="6"/>
      <c r="C6" s="7"/>
      <c r="D6" s="16"/>
      <c r="E6" s="187" t="s">
        <v>5</v>
      </c>
      <c r="F6" s="187"/>
      <c r="G6" s="187"/>
      <c r="I6" s="132"/>
      <c r="J6" s="132"/>
      <c r="N6" s="132"/>
      <c r="P6" s="132"/>
    </row>
    <row r="7" spans="1:27" ht="11.25" customHeight="1">
      <c r="D7" s="13"/>
      <c r="E7" s="13"/>
      <c r="G7" s="16"/>
    </row>
    <row r="8" spans="1:27" ht="11.25" customHeight="1">
      <c r="A8" s="188" t="s">
        <v>6</v>
      </c>
      <c r="B8" s="188"/>
      <c r="C8" s="188"/>
      <c r="D8" s="188"/>
      <c r="E8" s="188"/>
      <c r="F8" s="188"/>
      <c r="G8" s="188"/>
      <c r="Y8" s="172"/>
    </row>
    <row r="9" spans="1:27" ht="31.5" customHeight="1">
      <c r="A9" s="208" t="str">
        <f>'4 кв 2011 год'!A9:G9</f>
        <v xml:space="preserve">ООО "Монолитстрой"
Наружное освещение восьмисекционного жилого дома, г. Белгород, мкр. Ботсад
</v>
      </c>
      <c r="B9" s="208"/>
      <c r="C9" s="208"/>
      <c r="D9" s="208"/>
      <c r="E9" s="208"/>
      <c r="F9" s="208"/>
      <c r="G9" s="208"/>
      <c r="H9" s="74"/>
      <c r="I9" s="133"/>
      <c r="J9" s="133"/>
      <c r="K9" s="74"/>
      <c r="L9" s="74"/>
      <c r="M9" s="74"/>
      <c r="N9" s="133"/>
      <c r="O9" s="56"/>
    </row>
    <row r="10" spans="1:27">
      <c r="A10" s="209" t="s">
        <v>7</v>
      </c>
      <c r="B10" s="209"/>
      <c r="C10" s="209"/>
      <c r="D10" s="209"/>
      <c r="E10" s="209"/>
      <c r="F10" s="209"/>
      <c r="G10" s="209"/>
    </row>
    <row r="11" spans="1:27">
      <c r="B11" s="7"/>
      <c r="C11" s="17"/>
      <c r="D11" s="17"/>
      <c r="E11" s="17"/>
      <c r="F11" s="17"/>
      <c r="G11" s="18"/>
    </row>
    <row r="12" spans="1:27">
      <c r="B12" s="6" t="s">
        <v>8</v>
      </c>
      <c r="F12" s="19"/>
      <c r="G12" s="16"/>
      <c r="H12" s="6"/>
      <c r="I12" s="134"/>
      <c r="J12" s="134"/>
      <c r="K12" s="6"/>
      <c r="L12" s="6"/>
      <c r="M12" s="6"/>
      <c r="N12" s="134"/>
    </row>
    <row r="13" spans="1:27" ht="12.75" customHeight="1">
      <c r="A13" s="192" t="s">
        <v>9</v>
      </c>
      <c r="B13" s="193" t="s">
        <v>10</v>
      </c>
      <c r="C13" s="194" t="s">
        <v>11</v>
      </c>
      <c r="D13" s="195"/>
      <c r="E13" s="196"/>
      <c r="F13" s="200" t="s">
        <v>12</v>
      </c>
      <c r="G13" s="200" t="s">
        <v>13</v>
      </c>
      <c r="H13" s="6"/>
      <c r="I13" s="134"/>
      <c r="J13" s="134"/>
      <c r="K13" s="6"/>
      <c r="L13" s="6"/>
      <c r="M13" s="6"/>
      <c r="N13" s="134"/>
    </row>
    <row r="14" spans="1:27">
      <c r="A14" s="192"/>
      <c r="B14" s="193"/>
      <c r="C14" s="197"/>
      <c r="D14" s="198"/>
      <c r="E14" s="199"/>
      <c r="F14" s="201"/>
      <c r="G14" s="201"/>
    </row>
    <row r="15" spans="1:27" ht="14.25" customHeight="1">
      <c r="A15" s="192"/>
      <c r="B15" s="193"/>
      <c r="C15" s="197"/>
      <c r="D15" s="198"/>
      <c r="E15" s="199"/>
      <c r="F15" s="201"/>
      <c r="G15" s="201"/>
    </row>
    <row r="16" spans="1:27">
      <c r="A16" s="192"/>
      <c r="B16" s="193"/>
      <c r="C16" s="20"/>
      <c r="D16" s="21"/>
      <c r="E16" s="22"/>
      <c r="F16" s="202"/>
      <c r="G16" s="202"/>
    </row>
    <row r="17" spans="1:17">
      <c r="A17" s="23">
        <v>1</v>
      </c>
      <c r="B17" s="24" t="s">
        <v>187</v>
      </c>
      <c r="C17" s="175">
        <v>3</v>
      </c>
      <c r="D17" s="176"/>
      <c r="E17" s="24">
        <v>4</v>
      </c>
      <c r="F17" s="23">
        <v>5</v>
      </c>
      <c r="G17" s="23">
        <v>7</v>
      </c>
      <c r="H17" t="s">
        <v>14</v>
      </c>
    </row>
    <row r="18" spans="1:17" ht="12.75" customHeight="1">
      <c r="A18" s="177" t="s">
        <v>16</v>
      </c>
      <c r="B18" s="178"/>
      <c r="C18" s="178"/>
      <c r="D18" s="178"/>
      <c r="E18" s="25"/>
      <c r="F18" s="26"/>
      <c r="G18" s="27"/>
    </row>
    <row r="19" spans="1:17" ht="12" customHeight="1">
      <c r="A19" s="111"/>
      <c r="B19" s="112"/>
      <c r="C19" s="112"/>
      <c r="D19" s="112"/>
      <c r="E19" s="25"/>
      <c r="F19" s="26"/>
      <c r="G19" s="27"/>
      <c r="H19" t="s">
        <v>180</v>
      </c>
      <c r="I19" s="132" t="s">
        <v>180</v>
      </c>
      <c r="K19" t="s">
        <v>183</v>
      </c>
      <c r="L19" t="s">
        <v>181</v>
      </c>
      <c r="M19" t="s">
        <v>181</v>
      </c>
      <c r="O19" t="s">
        <v>182</v>
      </c>
      <c r="Q19" s="131" t="s">
        <v>15</v>
      </c>
    </row>
    <row r="20" spans="1:17" s="35" customFormat="1" ht="39.75" hidden="1" customHeight="1">
      <c r="A20" s="28">
        <f>'4 кв 2011 год'!A20</f>
        <v>0</v>
      </c>
      <c r="B20" s="159" t="s">
        <v>21</v>
      </c>
      <c r="C20" s="30" t="s">
        <v>178</v>
      </c>
      <c r="D20" s="31" t="s">
        <v>23</v>
      </c>
      <c r="E20" s="28">
        <f>'4 кв 2011 год'!E20</f>
        <v>0</v>
      </c>
      <c r="F20" s="32">
        <f>I20+P20</f>
        <v>304.18083857442343</v>
      </c>
      <c r="G20" s="33">
        <f t="shared" ref="G20:G29" si="0">ROUND(F20*E20,3)</f>
        <v>0</v>
      </c>
      <c r="I20" s="136"/>
      <c r="O20" s="32">
        <f>1284.02*0.25</f>
        <v>321.005</v>
      </c>
      <c r="P20" s="142">
        <f>O20/4.77*4.52</f>
        <v>304.18083857442343</v>
      </c>
    </row>
    <row r="21" spans="1:17" s="35" customFormat="1" ht="18" hidden="1" customHeight="1">
      <c r="A21" s="28">
        <f>'4 кв 2011 год'!A21</f>
        <v>0</v>
      </c>
      <c r="B21" s="159" t="s">
        <v>21</v>
      </c>
      <c r="C21" s="30" t="s">
        <v>167</v>
      </c>
      <c r="D21" s="31" t="s">
        <v>23</v>
      </c>
      <c r="E21" s="28">
        <f>'4 кв 2011 год'!E21</f>
        <v>0</v>
      </c>
      <c r="F21" s="32">
        <f t="shared" ref="F21:F49" si="1">I21+P21</f>
        <v>852.10242129979042</v>
      </c>
      <c r="G21" s="33">
        <f t="shared" si="0"/>
        <v>0</v>
      </c>
      <c r="H21" s="35">
        <f>'4 кв 2011 год'!H21</f>
        <v>762.06100000000004</v>
      </c>
      <c r="I21" s="136"/>
      <c r="O21" s="42">
        <f>762.061*1.18</f>
        <v>899.23198000000002</v>
      </c>
      <c r="P21" s="142">
        <f t="shared" ref="P21:P49" si="2">O21/4.77*4.52</f>
        <v>852.10242129979042</v>
      </c>
    </row>
    <row r="22" spans="1:17" s="35" customFormat="1" ht="12.75" hidden="1" customHeight="1">
      <c r="A22" s="28">
        <f>'4 кв 2011 год'!A22</f>
        <v>0</v>
      </c>
      <c r="B22" s="159" t="s">
        <v>88</v>
      </c>
      <c r="C22" s="30" t="s">
        <v>176</v>
      </c>
      <c r="D22" s="31" t="s">
        <v>23</v>
      </c>
      <c r="E22" s="28">
        <f>'4 кв 2011 год'!E22</f>
        <v>0</v>
      </c>
      <c r="F22" s="32">
        <f t="shared" si="1"/>
        <v>1065.1280266247379</v>
      </c>
      <c r="G22" s="33">
        <f t="shared" si="0"/>
        <v>0</v>
      </c>
      <c r="H22" s="35">
        <f>'4 кв 2011 год'!H22</f>
        <v>0</v>
      </c>
      <c r="I22" s="136"/>
      <c r="O22" s="32">
        <f>1.25*762.061*1.18</f>
        <v>1124.0399749999999</v>
      </c>
      <c r="P22" s="142">
        <f t="shared" si="2"/>
        <v>1065.1280266247379</v>
      </c>
    </row>
    <row r="23" spans="1:17" s="35" customFormat="1" ht="12.75" hidden="1" customHeight="1">
      <c r="A23" s="28">
        <f>'4 кв 2011 год'!A23</f>
        <v>0</v>
      </c>
      <c r="B23" s="29" t="s">
        <v>88</v>
      </c>
      <c r="C23" s="30" t="s">
        <v>175</v>
      </c>
      <c r="D23" s="31" t="s">
        <v>23</v>
      </c>
      <c r="E23" s="28">
        <f>'4 кв 2011 год'!E23</f>
        <v>0</v>
      </c>
      <c r="F23" s="32">
        <f t="shared" si="1"/>
        <v>1520.9041928721176</v>
      </c>
      <c r="G23" s="33">
        <f t="shared" si="0"/>
        <v>0</v>
      </c>
      <c r="H23" s="35">
        <f>'4 кв 2011 год'!H23</f>
        <v>0</v>
      </c>
      <c r="I23" s="136"/>
      <c r="O23" s="32">
        <f>1.25*1284.02</f>
        <v>1605.0250000000001</v>
      </c>
      <c r="P23" s="142">
        <f t="shared" si="2"/>
        <v>1520.9041928721176</v>
      </c>
    </row>
    <row r="24" spans="1:17" s="35" customFormat="1" ht="12.75" hidden="1" customHeight="1">
      <c r="A24" s="28">
        <f>'4 кв 2011 год'!A24</f>
        <v>0</v>
      </c>
      <c r="B24" s="159" t="s">
        <v>21</v>
      </c>
      <c r="C24" s="30" t="s">
        <v>25</v>
      </c>
      <c r="D24" s="31" t="s">
        <v>23</v>
      </c>
      <c r="E24" s="28">
        <f>'4 кв 2011 год'!E24</f>
        <v>0</v>
      </c>
      <c r="F24" s="32">
        <f t="shared" si="1"/>
        <v>1216.7233542976937</v>
      </c>
      <c r="G24" s="33">
        <f t="shared" si="0"/>
        <v>0</v>
      </c>
      <c r="H24" s="35">
        <f>'4 кв 2011 год'!H24</f>
        <v>0</v>
      </c>
      <c r="I24" s="136"/>
      <c r="O24" s="32">
        <v>1284.02</v>
      </c>
      <c r="P24" s="142">
        <f t="shared" si="2"/>
        <v>1216.7233542976937</v>
      </c>
    </row>
    <row r="25" spans="1:17" s="35" customFormat="1" ht="12.75" hidden="1" customHeight="1">
      <c r="A25" s="28">
        <f>'4 кв 2011 год'!A25</f>
        <v>0</v>
      </c>
      <c r="B25" s="159" t="s">
        <v>21</v>
      </c>
      <c r="C25" s="30" t="s">
        <v>177</v>
      </c>
      <c r="D25" s="31" t="s">
        <v>23</v>
      </c>
      <c r="E25" s="28">
        <f>'4 кв 2011 год'!E25</f>
        <v>0</v>
      </c>
      <c r="F25" s="32">
        <f t="shared" si="1"/>
        <v>608.36167714884687</v>
      </c>
      <c r="G25" s="33">
        <f t="shared" si="0"/>
        <v>0</v>
      </c>
      <c r="H25" s="35">
        <f>'4 кв 2011 год'!H25</f>
        <v>0</v>
      </c>
      <c r="I25" s="136"/>
      <c r="O25" s="42">
        <f>1284.02/2</f>
        <v>642.01</v>
      </c>
      <c r="P25" s="142">
        <f t="shared" si="2"/>
        <v>608.36167714884687</v>
      </c>
    </row>
    <row r="26" spans="1:17" s="35" customFormat="1" hidden="1">
      <c r="A26" s="28">
        <f>'4 кв 2011 год'!A26</f>
        <v>0</v>
      </c>
      <c r="B26" s="43" t="s">
        <v>26</v>
      </c>
      <c r="C26" s="30" t="s">
        <v>27</v>
      </c>
      <c r="D26" s="31" t="s">
        <v>18</v>
      </c>
      <c r="E26" s="28">
        <f>'4 кв 2011 год'!E26</f>
        <v>0</v>
      </c>
      <c r="F26" s="32">
        <f t="shared" si="1"/>
        <v>25.246113295774649</v>
      </c>
      <c r="G26" s="33">
        <f t="shared" si="0"/>
        <v>0</v>
      </c>
      <c r="H26" s="35">
        <f>'4 кв 2011 год'!H26</f>
        <v>27.407859999999999</v>
      </c>
      <c r="I26" s="141">
        <f>H26/3.55*3.27</f>
        <v>25.246113295774649</v>
      </c>
      <c r="J26" s="44"/>
      <c r="K26" s="44"/>
      <c r="L26" s="44"/>
      <c r="M26" s="44"/>
      <c r="N26" s="44"/>
      <c r="P26" s="142">
        <f t="shared" si="2"/>
        <v>0</v>
      </c>
      <c r="Q26" s="35">
        <f>H26*E26</f>
        <v>0</v>
      </c>
    </row>
    <row r="27" spans="1:17" s="35" customFormat="1" ht="12.75" hidden="1" customHeight="1">
      <c r="A27" s="28">
        <f>'4 кв 2011 год'!A27</f>
        <v>0</v>
      </c>
      <c r="B27" s="159" t="s">
        <v>21</v>
      </c>
      <c r="C27" s="30" t="s">
        <v>179</v>
      </c>
      <c r="D27" s="31" t="s">
        <v>23</v>
      </c>
      <c r="E27" s="28">
        <f>'4 кв 2011 год'!E27</f>
        <v>0</v>
      </c>
      <c r="F27" s="32">
        <f t="shared" si="1"/>
        <v>197.757106918239</v>
      </c>
      <c r="G27" s="33">
        <f t="shared" si="0"/>
        <v>0</v>
      </c>
      <c r="H27" s="35">
        <f>'4 кв 2011 год'!H27</f>
        <v>0</v>
      </c>
      <c r="I27" s="136"/>
      <c r="O27" s="42">
        <f>834.78/4</f>
        <v>208.69499999999999</v>
      </c>
      <c r="P27" s="142">
        <f t="shared" si="2"/>
        <v>197.757106918239</v>
      </c>
    </row>
    <row r="28" spans="1:17" s="35" customFormat="1" ht="12.75" hidden="1" customHeight="1">
      <c r="A28" s="28">
        <f>'4 кв 2011 год'!A28</f>
        <v>0</v>
      </c>
      <c r="B28" s="43" t="s">
        <v>28</v>
      </c>
      <c r="C28" s="30" t="s">
        <v>29</v>
      </c>
      <c r="D28" s="31" t="s">
        <v>18</v>
      </c>
      <c r="E28" s="28">
        <f>'4 кв 2011 год'!E28</f>
        <v>0</v>
      </c>
      <c r="F28" s="32">
        <f t="shared" si="1"/>
        <v>31.711104156199248</v>
      </c>
      <c r="G28" s="33">
        <f t="shared" si="0"/>
        <v>0</v>
      </c>
      <c r="H28" s="35">
        <f>'4 кв 2011 год'!H28</f>
        <v>31.027509999999996</v>
      </c>
      <c r="I28" s="141">
        <f>H28/3.55*3.27</f>
        <v>28.580269774647885</v>
      </c>
      <c r="J28" s="44"/>
      <c r="K28" s="44"/>
      <c r="L28" s="44"/>
      <c r="M28" s="44"/>
      <c r="N28" s="44"/>
      <c r="O28" s="35">
        <f>(2.8)*1.18</f>
        <v>3.3039999999999998</v>
      </c>
      <c r="P28" s="142">
        <f t="shared" si="2"/>
        <v>3.1308343815513622</v>
      </c>
      <c r="Q28" s="35">
        <f>H28*E28</f>
        <v>0</v>
      </c>
    </row>
    <row r="29" spans="1:17" s="35" customFormat="1" ht="12.75" hidden="1" customHeight="1">
      <c r="A29" s="28">
        <f>'4 кв 2011 год'!A29</f>
        <v>0</v>
      </c>
      <c r="B29" s="43" t="s">
        <v>26</v>
      </c>
      <c r="C29" s="30" t="s">
        <v>30</v>
      </c>
      <c r="D29" s="31" t="s">
        <v>18</v>
      </c>
      <c r="E29" s="28">
        <f>'4 кв 2011 год'!E29</f>
        <v>0</v>
      </c>
      <c r="F29" s="32">
        <f t="shared" si="1"/>
        <v>30.122387845040898</v>
      </c>
      <c r="G29" s="33">
        <f t="shared" si="0"/>
        <v>0</v>
      </c>
      <c r="H29" s="35">
        <f>'4 кв 2011 год'!H29</f>
        <v>27.407859999999999</v>
      </c>
      <c r="I29" s="141">
        <f>H29/3.55*3.27</f>
        <v>25.246113295774649</v>
      </c>
      <c r="J29" s="44"/>
      <c r="K29" s="44"/>
      <c r="L29" s="44"/>
      <c r="M29" s="44"/>
      <c r="N29" s="44"/>
      <c r="O29" s="35">
        <f>(4.361)*1.18</f>
        <v>5.1459799999999998</v>
      </c>
      <c r="P29" s="142">
        <f t="shared" si="2"/>
        <v>4.8762745492662471</v>
      </c>
      <c r="Q29" s="35">
        <f>H29*E29</f>
        <v>0</v>
      </c>
    </row>
    <row r="30" spans="1:17" s="35" customFormat="1" ht="12.75" hidden="1" customHeight="1">
      <c r="A30" s="28">
        <f>'4 кв 2011 год'!A30</f>
        <v>0</v>
      </c>
      <c r="B30" s="29" t="s">
        <v>21</v>
      </c>
      <c r="C30" s="30" t="s">
        <v>86</v>
      </c>
      <c r="D30" s="31" t="s">
        <v>18</v>
      </c>
      <c r="E30" s="28">
        <f>'4 кв 2011 год'!E30</f>
        <v>0</v>
      </c>
      <c r="F30" s="32">
        <f t="shared" si="1"/>
        <v>12.037257597987422</v>
      </c>
      <c r="G30" s="33"/>
      <c r="H30" s="35">
        <f>'4 кв 2011 год'!H30</f>
        <v>0</v>
      </c>
      <c r="I30" s="136"/>
      <c r="J30" s="46"/>
      <c r="K30" s="46"/>
      <c r="L30" s="46"/>
      <c r="M30" s="46"/>
      <c r="N30" s="46"/>
      <c r="O30" s="42">
        <f>12.70303512</f>
        <v>12.703035119999999</v>
      </c>
      <c r="P30" s="142">
        <f t="shared" si="2"/>
        <v>12.037257597987422</v>
      </c>
    </row>
    <row r="31" spans="1:17" s="35" customFormat="1" ht="12.75" hidden="1" customHeight="1">
      <c r="A31" s="28">
        <f>'4 кв 2011 год'!A31</f>
        <v>0</v>
      </c>
      <c r="B31" s="29" t="s">
        <v>31</v>
      </c>
      <c r="C31" s="30" t="s">
        <v>32</v>
      </c>
      <c r="D31" s="31" t="s">
        <v>18</v>
      </c>
      <c r="E31" s="28">
        <f>'4 кв 2011 год'!E31</f>
        <v>0</v>
      </c>
      <c r="F31" s="32">
        <f t="shared" si="1"/>
        <v>42.643955598370098</v>
      </c>
      <c r="G31" s="33">
        <f t="shared" ref="G31:G62" si="3">ROUND(F31*E31,3)</f>
        <v>0</v>
      </c>
      <c r="H31" s="35">
        <f>'4 кв 2011 год'!H31</f>
        <v>39.16225</v>
      </c>
      <c r="I31" s="141">
        <f t="shared" ref="I31:I36" si="4">H31/3.55*3.27</f>
        <v>36.073396478873242</v>
      </c>
      <c r="J31" s="34"/>
      <c r="K31" s="34"/>
      <c r="L31" s="34"/>
      <c r="M31" s="34"/>
      <c r="N31" s="34"/>
      <c r="O31" s="46">
        <f>4.701*1.25*1.18</f>
        <v>6.9339749999999993</v>
      </c>
      <c r="P31" s="142">
        <f t="shared" si="2"/>
        <v>6.5705591194968544</v>
      </c>
    </row>
    <row r="32" spans="1:17" s="35" customFormat="1" ht="25.5" hidden="1" customHeight="1">
      <c r="A32" s="28">
        <f>'4 кв 2011 год'!A32</f>
        <v>0</v>
      </c>
      <c r="B32" s="43" t="s">
        <v>26</v>
      </c>
      <c r="C32" s="30" t="s">
        <v>33</v>
      </c>
      <c r="D32" s="31" t="s">
        <v>18</v>
      </c>
      <c r="E32" s="28">
        <f>'4 кв 2011 год'!E32</f>
        <v>0</v>
      </c>
      <c r="F32" s="32">
        <f t="shared" si="1"/>
        <v>28.714630528479052</v>
      </c>
      <c r="G32" s="33">
        <f t="shared" si="3"/>
        <v>0</v>
      </c>
      <c r="H32" s="35">
        <f>'4 кв 2011 год'!H32</f>
        <v>27.407859999999999</v>
      </c>
      <c r="I32" s="141">
        <f t="shared" si="4"/>
        <v>25.246113295774649</v>
      </c>
      <c r="J32" s="44"/>
      <c r="K32" s="44"/>
      <c r="L32" s="44"/>
      <c r="M32" s="44"/>
      <c r="N32" s="44"/>
      <c r="O32" s="35">
        <f>(3.102)*1.18</f>
        <v>3.6603599999999998</v>
      </c>
      <c r="P32" s="142">
        <f t="shared" si="2"/>
        <v>3.4685172327044023</v>
      </c>
      <c r="Q32" s="35">
        <f t="shared" ref="Q32:Q42" si="5">H32*E32</f>
        <v>0</v>
      </c>
    </row>
    <row r="33" spans="1:20" s="35" customFormat="1" ht="12.75" hidden="1" customHeight="1">
      <c r="A33" s="28">
        <f>'4 кв 2011 год'!A33</f>
        <v>0</v>
      </c>
      <c r="B33" s="86" t="s">
        <v>150</v>
      </c>
      <c r="C33" s="77" t="s">
        <v>34</v>
      </c>
      <c r="D33" s="78" t="s">
        <v>18</v>
      </c>
      <c r="E33" s="28">
        <f>'4 кв 2011 год'!E33</f>
        <v>0</v>
      </c>
      <c r="F33" s="32">
        <f t="shared" si="1"/>
        <v>183.82461083333629</v>
      </c>
      <c r="G33" s="80">
        <f t="shared" si="3"/>
        <v>0</v>
      </c>
      <c r="H33" s="35">
        <f>'4 кв 2011 год'!H33</f>
        <v>165.92624999999998</v>
      </c>
      <c r="I33" s="141">
        <f t="shared" si="4"/>
        <v>152.83910915492959</v>
      </c>
      <c r="J33" s="81"/>
      <c r="K33" s="81"/>
      <c r="L33" s="81"/>
      <c r="M33" s="81"/>
      <c r="N33" s="81"/>
      <c r="O33" s="82">
        <f>((33.49+4871.16)*5.65*1.18/1000)</f>
        <v>32.699301549999994</v>
      </c>
      <c r="P33" s="142">
        <f t="shared" si="2"/>
        <v>30.985501678406703</v>
      </c>
      <c r="Q33" s="82">
        <f t="shared" si="5"/>
        <v>0</v>
      </c>
      <c r="R33" s="82"/>
      <c r="S33" s="82"/>
      <c r="T33" s="82"/>
    </row>
    <row r="34" spans="1:20" s="41" customFormat="1" ht="12.75" hidden="1" customHeight="1">
      <c r="A34" s="28">
        <f>'4 кв 2011 год'!A34</f>
        <v>0</v>
      </c>
      <c r="B34" s="86" t="s">
        <v>150</v>
      </c>
      <c r="C34" s="37" t="s">
        <v>35</v>
      </c>
      <c r="D34" s="38" t="s">
        <v>18</v>
      </c>
      <c r="E34" s="28">
        <f>'4 кв 2011 год'!E34</f>
        <v>0</v>
      </c>
      <c r="F34" s="32">
        <f>I34+P34</f>
        <v>226.45408799414815</v>
      </c>
      <c r="G34" s="40">
        <f t="shared" si="3"/>
        <v>0</v>
      </c>
      <c r="H34" s="35">
        <f>'4 кв 2011 год'!H34</f>
        <v>211.07624999999999</v>
      </c>
      <c r="I34" s="141">
        <f t="shared" si="4"/>
        <v>194.42798239436618</v>
      </c>
      <c r="J34" s="81"/>
      <c r="K34" s="81"/>
      <c r="L34" s="81"/>
      <c r="M34" s="81"/>
      <c r="N34" s="81"/>
      <c r="O34" s="82">
        <f>((45.56+5133.81)*5.53*1.18/1000)</f>
        <v>33.797460998000005</v>
      </c>
      <c r="P34" s="142">
        <f>O34/4.77*4.52</f>
        <v>32.026105599781978</v>
      </c>
      <c r="Q34" s="82">
        <f t="shared" si="5"/>
        <v>0</v>
      </c>
      <c r="R34" s="82"/>
      <c r="S34" s="82"/>
      <c r="T34" s="82"/>
    </row>
    <row r="35" spans="1:20" s="41" customFormat="1" ht="25.5" hidden="1" customHeight="1">
      <c r="A35" s="28">
        <f>'4 кв 2011 год'!A35</f>
        <v>0</v>
      </c>
      <c r="B35" s="86" t="s">
        <v>150</v>
      </c>
      <c r="C35" s="77" t="s">
        <v>36</v>
      </c>
      <c r="D35" s="78" t="s">
        <v>18</v>
      </c>
      <c r="E35" s="28">
        <f>'4 кв 2011 год'!E35</f>
        <v>0</v>
      </c>
      <c r="F35" s="32">
        <f t="shared" si="1"/>
        <v>319.68429165207078</v>
      </c>
      <c r="G35" s="80">
        <f t="shared" si="3"/>
        <v>0</v>
      </c>
      <c r="H35" s="35">
        <f>'4 кв 2011 год'!H35</f>
        <v>311.53500000000003</v>
      </c>
      <c r="I35" s="141">
        <f t="shared" si="4"/>
        <v>286.96322535211272</v>
      </c>
      <c r="J35" s="81"/>
      <c r="K35" s="81"/>
      <c r="L35" s="81"/>
      <c r="M35" s="81"/>
      <c r="N35" s="81"/>
      <c r="O35" s="82">
        <f>((45.56+5133.81)*5.65*1.18/1000)</f>
        <v>34.530859790000008</v>
      </c>
      <c r="P35" s="142">
        <f t="shared" si="2"/>
        <v>32.721066299958075</v>
      </c>
      <c r="Q35" s="82">
        <f t="shared" si="5"/>
        <v>0</v>
      </c>
      <c r="R35" s="82"/>
      <c r="S35" s="82"/>
      <c r="T35" s="82"/>
    </row>
    <row r="36" spans="1:20" s="82" customFormat="1" ht="25.5" hidden="1" customHeight="1">
      <c r="A36" s="28">
        <f>'4 кв 2011 год'!A36</f>
        <v>0</v>
      </c>
      <c r="B36" s="86" t="s">
        <v>150</v>
      </c>
      <c r="C36" s="77" t="s">
        <v>37</v>
      </c>
      <c r="D36" s="78" t="s">
        <v>18</v>
      </c>
      <c r="E36" s="28">
        <f>'4 кв 2011 год'!E36</f>
        <v>0</v>
      </c>
      <c r="F36" s="32">
        <f t="shared" si="1"/>
        <v>112.08380449530812</v>
      </c>
      <c r="G36" s="80">
        <f t="shared" si="3"/>
        <v>0</v>
      </c>
      <c r="H36" s="35">
        <f>'4 кв 2011 год'!H36</f>
        <v>88.042500000000004</v>
      </c>
      <c r="I36" s="141">
        <f t="shared" si="4"/>
        <v>81.098302816901409</v>
      </c>
      <c r="J36" s="81"/>
      <c r="K36" s="81"/>
      <c r="L36" s="81"/>
      <c r="M36" s="81"/>
      <c r="N36" s="81"/>
      <c r="O36" s="82">
        <f>((33.49+4871.16)*5.65*1.18/1000)</f>
        <v>32.699301549999994</v>
      </c>
      <c r="P36" s="142">
        <f t="shared" si="2"/>
        <v>30.985501678406703</v>
      </c>
      <c r="Q36" s="82">
        <f t="shared" si="5"/>
        <v>0</v>
      </c>
    </row>
    <row r="37" spans="1:20" s="82" customFormat="1" ht="25.5" hidden="1" customHeight="1">
      <c r="A37" s="28">
        <f>'4 кв 2011 год'!A37</f>
        <v>0</v>
      </c>
      <c r="B37" s="86" t="s">
        <v>150</v>
      </c>
      <c r="C37" s="77" t="s">
        <v>38</v>
      </c>
      <c r="D37" s="78" t="s">
        <v>18</v>
      </c>
      <c r="E37" s="28">
        <f>'4 кв 2011 год'!E37</f>
        <v>0</v>
      </c>
      <c r="F37" s="32">
        <f t="shared" si="1"/>
        <v>319.68429165207078</v>
      </c>
      <c r="G37" s="80">
        <f t="shared" si="3"/>
        <v>0</v>
      </c>
      <c r="H37" s="35">
        <f>'4 кв 2011 год'!H37</f>
        <v>311.53500000000003</v>
      </c>
      <c r="I37" s="141">
        <f t="shared" ref="I37:I43" si="6">H37/3.55*3.27</f>
        <v>286.96322535211272</v>
      </c>
      <c r="J37" s="81"/>
      <c r="K37" s="81"/>
      <c r="L37" s="81"/>
      <c r="M37" s="81"/>
      <c r="N37" s="81"/>
      <c r="O37" s="82">
        <f>((45.56+5133.81)*5.65*1.18/1000)</f>
        <v>34.530859790000008</v>
      </c>
      <c r="P37" s="142">
        <f t="shared" si="2"/>
        <v>32.721066299958075</v>
      </c>
      <c r="Q37" s="82">
        <f t="shared" si="5"/>
        <v>0</v>
      </c>
    </row>
    <row r="38" spans="1:20" s="82" customFormat="1" ht="25.5" hidden="1" customHeight="1">
      <c r="A38" s="28">
        <f>'4 кв 2011 год'!A38</f>
        <v>0</v>
      </c>
      <c r="B38" s="86" t="s">
        <v>150</v>
      </c>
      <c r="C38" s="77" t="s">
        <v>39</v>
      </c>
      <c r="D38" s="78" t="s">
        <v>18</v>
      </c>
      <c r="E38" s="28">
        <f>'4 кв 2011 год'!E38</f>
        <v>0</v>
      </c>
      <c r="F38" s="32">
        <f t="shared" si="1"/>
        <v>120.40157914319543</v>
      </c>
      <c r="G38" s="80">
        <f t="shared" si="3"/>
        <v>0</v>
      </c>
      <c r="H38" s="35">
        <f>'4 кв 2011 год'!H38</f>
        <v>97.072499999999991</v>
      </c>
      <c r="I38" s="141">
        <f t="shared" si="6"/>
        <v>89.416077464788728</v>
      </c>
      <c r="J38" s="81"/>
      <c r="K38" s="81"/>
      <c r="L38" s="81"/>
      <c r="M38" s="81"/>
      <c r="N38" s="81"/>
      <c r="O38" s="82">
        <f>((33.49+4871.16)*5.65*1.18/1000)</f>
        <v>32.699301549999994</v>
      </c>
      <c r="P38" s="142">
        <f t="shared" si="2"/>
        <v>30.985501678406703</v>
      </c>
      <c r="Q38" s="82">
        <f t="shared" si="5"/>
        <v>0</v>
      </c>
    </row>
    <row r="39" spans="1:20" s="82" customFormat="1" ht="25.5" hidden="1" customHeight="1">
      <c r="A39" s="28">
        <f>'4 кв 2011 год'!A39</f>
        <v>0</v>
      </c>
      <c r="B39" s="86" t="s">
        <v>150</v>
      </c>
      <c r="C39" s="77" t="s">
        <v>40</v>
      </c>
      <c r="D39" s="78" t="s">
        <v>18</v>
      </c>
      <c r="E39" s="28">
        <f>'4 кв 2011 год'!E39</f>
        <v>0</v>
      </c>
      <c r="F39" s="32">
        <f t="shared" si="1"/>
        <v>529.98305439651892</v>
      </c>
      <c r="G39" s="80">
        <f t="shared" si="3"/>
        <v>0</v>
      </c>
      <c r="H39" s="35">
        <f>'4 кв 2011 год'!H39</f>
        <v>525.4331249999999</v>
      </c>
      <c r="I39" s="141">
        <f t="shared" si="6"/>
        <v>483.99051232394362</v>
      </c>
      <c r="J39" s="81"/>
      <c r="K39" s="81"/>
      <c r="L39" s="81"/>
      <c r="M39" s="81"/>
      <c r="N39" s="81"/>
      <c r="O39" s="82">
        <f>(6169.57*5.65*1.18/1000)*1.18</f>
        <v>48.5363773642</v>
      </c>
      <c r="P39" s="142">
        <f t="shared" si="2"/>
        <v>45.992542072575262</v>
      </c>
      <c r="Q39" s="82">
        <f t="shared" si="5"/>
        <v>0</v>
      </c>
    </row>
    <row r="40" spans="1:20" s="82" customFormat="1" ht="25.5" hidden="1" customHeight="1">
      <c r="A40" s="28">
        <f>'4 кв 2011 год'!A40</f>
        <v>0</v>
      </c>
      <c r="B40" s="43" t="s">
        <v>41</v>
      </c>
      <c r="C40" s="30" t="s">
        <v>42</v>
      </c>
      <c r="D40" s="31" t="s">
        <v>18</v>
      </c>
      <c r="E40" s="28">
        <f>'4 кв 2011 год'!E40</f>
        <v>0</v>
      </c>
      <c r="F40" s="32">
        <f t="shared" si="1"/>
        <v>140.26058218518617</v>
      </c>
      <c r="G40" s="33">
        <f t="shared" si="3"/>
        <v>0</v>
      </c>
      <c r="H40" s="35">
        <f>'4 кв 2011 год'!H40</f>
        <v>147.22084149999998</v>
      </c>
      <c r="I40" s="141">
        <f t="shared" si="6"/>
        <v>135.60905681830985</v>
      </c>
      <c r="J40" s="44"/>
      <c r="K40" s="44"/>
      <c r="L40" s="44"/>
      <c r="M40" s="44"/>
      <c r="N40" s="44"/>
      <c r="O40" s="35">
        <f>(1.36+2.8)*1.18</f>
        <v>4.9088000000000003</v>
      </c>
      <c r="P40" s="142">
        <f t="shared" si="2"/>
        <v>4.6515253668763101</v>
      </c>
      <c r="Q40" s="35">
        <f t="shared" si="5"/>
        <v>0</v>
      </c>
      <c r="R40" s="35"/>
      <c r="S40" s="46" t="s">
        <v>43</v>
      </c>
      <c r="T40" s="35"/>
    </row>
    <row r="41" spans="1:20" s="82" customFormat="1" ht="25.5" hidden="1" customHeight="1">
      <c r="A41" s="28">
        <f>'4 кв 2011 год'!A41</f>
        <v>0</v>
      </c>
      <c r="B41" s="43" t="s">
        <v>28</v>
      </c>
      <c r="C41" s="30" t="s">
        <v>44</v>
      </c>
      <c r="D41" s="31" t="s">
        <v>18</v>
      </c>
      <c r="E41" s="28">
        <f>'4 кв 2011 год'!E41</f>
        <v>0</v>
      </c>
      <c r="F41" s="32">
        <f t="shared" si="1"/>
        <v>143.64028914710485</v>
      </c>
      <c r="G41" s="33">
        <f t="shared" si="3"/>
        <v>0</v>
      </c>
      <c r="H41" s="35">
        <f>'4 кв 2011 год'!H41</f>
        <v>151.141775</v>
      </c>
      <c r="I41" s="141">
        <f t="shared" si="6"/>
        <v>139.2207335915493</v>
      </c>
      <c r="J41" s="44"/>
      <c r="K41" s="44"/>
      <c r="L41" s="44"/>
      <c r="M41" s="44"/>
      <c r="N41" s="44"/>
      <c r="O41" s="35">
        <f>(1.36+2.8*1.18)</f>
        <v>4.6639999999999997</v>
      </c>
      <c r="P41" s="142">
        <f t="shared" si="2"/>
        <v>4.4195555555555552</v>
      </c>
      <c r="Q41" s="35">
        <f t="shared" si="5"/>
        <v>0</v>
      </c>
      <c r="R41" s="35"/>
      <c r="S41" s="46" t="s">
        <v>43</v>
      </c>
      <c r="T41" s="35"/>
    </row>
    <row r="42" spans="1:20" s="82" customFormat="1" ht="25.5" hidden="1" customHeight="1">
      <c r="A42" s="28">
        <f>'4 кв 2011 год'!A42</f>
        <v>0</v>
      </c>
      <c r="B42" s="43" t="s">
        <v>28</v>
      </c>
      <c r="C42" s="30" t="s">
        <v>45</v>
      </c>
      <c r="D42" s="31" t="s">
        <v>18</v>
      </c>
      <c r="E42" s="28">
        <f>'4 кв 2011 год'!E42</f>
        <v>0</v>
      </c>
      <c r="F42" s="32">
        <f t="shared" si="1"/>
        <v>53.901663183777714</v>
      </c>
      <c r="G42" s="33">
        <f t="shared" si="3"/>
        <v>0</v>
      </c>
      <c r="H42" s="35">
        <f>'4 кв 2011 год'!H42</f>
        <v>53.467274999999994</v>
      </c>
      <c r="I42" s="141">
        <f t="shared" si="6"/>
        <v>49.250137816901407</v>
      </c>
      <c r="J42" s="44"/>
      <c r="K42" s="44"/>
      <c r="L42" s="44"/>
      <c r="M42" s="44"/>
      <c r="N42" s="44"/>
      <c r="O42" s="35">
        <f>(1.36+2.8)*1.18</f>
        <v>4.9088000000000003</v>
      </c>
      <c r="P42" s="142">
        <f t="shared" si="2"/>
        <v>4.6515253668763101</v>
      </c>
      <c r="Q42" s="35">
        <f t="shared" si="5"/>
        <v>0</v>
      </c>
      <c r="R42" s="35"/>
      <c r="S42" s="46" t="s">
        <v>46</v>
      </c>
      <c r="T42" s="35"/>
    </row>
    <row r="43" spans="1:20" s="35" customFormat="1" ht="12.75" hidden="1" customHeight="1">
      <c r="A43" s="28">
        <f>'4 кв 2011 год'!A43</f>
        <v>0</v>
      </c>
      <c r="B43" s="29" t="s">
        <v>47</v>
      </c>
      <c r="C43" s="30" t="s">
        <v>48</v>
      </c>
      <c r="D43" s="31" t="s">
        <v>49</v>
      </c>
      <c r="E43" s="28">
        <f>'4 кв 2011 год'!E43</f>
        <v>0</v>
      </c>
      <c r="F43" s="32">
        <f t="shared" si="1"/>
        <v>23.444076018779342</v>
      </c>
      <c r="G43" s="33">
        <f t="shared" si="3"/>
        <v>0</v>
      </c>
      <c r="H43" s="35">
        <f>'4 кв 2011 год'!H43</f>
        <v>22.36336</v>
      </c>
      <c r="I43" s="141">
        <f t="shared" si="6"/>
        <v>20.599489352112677</v>
      </c>
      <c r="J43" s="117"/>
      <c r="K43" s="117"/>
      <c r="L43" s="117"/>
      <c r="M43" s="117"/>
      <c r="N43" s="117"/>
      <c r="O43" s="35">
        <f>(2.544)*1.18</f>
        <v>3.0019199999999997</v>
      </c>
      <c r="P43" s="142">
        <f t="shared" si="2"/>
        <v>2.8445866666666664</v>
      </c>
    </row>
    <row r="44" spans="1:20" s="35" customFormat="1" ht="25.5" customHeight="1">
      <c r="A44" s="28">
        <f>'4 кв 2011 год'!A44</f>
        <v>1</v>
      </c>
      <c r="B44" s="159" t="s">
        <v>21</v>
      </c>
      <c r="C44" s="30" t="s">
        <v>22</v>
      </c>
      <c r="D44" s="31" t="s">
        <v>23</v>
      </c>
      <c r="E44" s="28">
        <f>'4 кв 2011 год'!E44</f>
        <v>0.03</v>
      </c>
      <c r="F44" s="32">
        <f t="shared" si="1"/>
        <v>1717.8274213836476</v>
      </c>
      <c r="G44" s="33">
        <f t="shared" si="3"/>
        <v>51.534999999999997</v>
      </c>
      <c r="H44" s="35">
        <f>'4 кв 2011 год'!H44</f>
        <v>0</v>
      </c>
      <c r="I44" s="143"/>
      <c r="J44" s="117"/>
      <c r="K44" s="117"/>
      <c r="L44" s="117"/>
      <c r="M44" s="117"/>
      <c r="N44" s="117"/>
      <c r="O44" s="42">
        <f>1812.84</f>
        <v>1812.84</v>
      </c>
      <c r="P44" s="142">
        <f t="shared" si="2"/>
        <v>1717.8274213836476</v>
      </c>
    </row>
    <row r="45" spans="1:20" s="35" customFormat="1" ht="12.75" hidden="1" customHeight="1">
      <c r="A45" s="28">
        <f>'4 кв 2011 год'!A45</f>
        <v>0</v>
      </c>
      <c r="B45" s="159" t="s">
        <v>21</v>
      </c>
      <c r="C45" s="30" t="s">
        <v>50</v>
      </c>
      <c r="D45" s="31" t="s">
        <v>23</v>
      </c>
      <c r="E45" s="28">
        <f>'4 кв 2011 год'!E45</f>
        <v>0</v>
      </c>
      <c r="F45" s="32">
        <f t="shared" si="1"/>
        <v>1256.0958997361743</v>
      </c>
      <c r="G45" s="33">
        <f t="shared" si="3"/>
        <v>0</v>
      </c>
      <c r="H45" s="35">
        <f>'4 кв 2011 год'!H45</f>
        <v>0</v>
      </c>
      <c r="I45" s="144"/>
      <c r="J45" s="118"/>
      <c r="K45" s="118"/>
      <c r="L45" s="118"/>
      <c r="M45" s="118"/>
      <c r="N45" s="118"/>
      <c r="O45" s="42">
        <f>1185.4976*1.18/4.77*4.52</f>
        <v>1325.5702304737945</v>
      </c>
      <c r="P45" s="142">
        <f t="shared" si="2"/>
        <v>1256.0958997361743</v>
      </c>
      <c r="Q45" s="41"/>
      <c r="R45" s="41"/>
      <c r="S45" s="41"/>
      <c r="T45" s="41"/>
    </row>
    <row r="46" spans="1:20" s="35" customFormat="1" ht="12.75" hidden="1" customHeight="1">
      <c r="A46" s="28">
        <f>'4 кв 2011 год'!A46</f>
        <v>0</v>
      </c>
      <c r="B46" s="159" t="s">
        <v>21</v>
      </c>
      <c r="C46" s="30" t="s">
        <v>24</v>
      </c>
      <c r="D46" s="31" t="s">
        <v>23</v>
      </c>
      <c r="E46" s="28">
        <f>'4 кв 2011 год'!E46</f>
        <v>0</v>
      </c>
      <c r="F46" s="32">
        <f t="shared" si="1"/>
        <v>2432.4962767295597</v>
      </c>
      <c r="G46" s="33">
        <f t="shared" si="3"/>
        <v>0</v>
      </c>
      <c r="H46" s="35">
        <f>'4 кв 2011 год'!H46</f>
        <v>0</v>
      </c>
      <c r="I46" s="143"/>
      <c r="J46" s="117"/>
      <c r="K46" s="117"/>
      <c r="L46" s="117"/>
      <c r="M46" s="117"/>
      <c r="N46" s="117"/>
      <c r="O46" s="42">
        <f>(1812.84+(42.61*1.18*15))</f>
        <v>2567.0369999999998</v>
      </c>
      <c r="P46" s="142">
        <f t="shared" si="2"/>
        <v>2432.4962767295597</v>
      </c>
    </row>
    <row r="47" spans="1:20" s="35" customFormat="1" hidden="1">
      <c r="A47" s="28">
        <f>'4 кв 2011 год'!A47</f>
        <v>0</v>
      </c>
      <c r="B47" s="159" t="s">
        <v>21</v>
      </c>
      <c r="C47" s="30" t="s">
        <v>51</v>
      </c>
      <c r="D47" s="31" t="s">
        <v>23</v>
      </c>
      <c r="E47" s="28">
        <f>'4 кв 2011 год'!E47</f>
        <v>0</v>
      </c>
      <c r="F47" s="32">
        <f t="shared" si="1"/>
        <v>1717.8274213836476</v>
      </c>
      <c r="G47" s="33">
        <f t="shared" si="3"/>
        <v>0</v>
      </c>
      <c r="H47" s="35">
        <f>'4 кв 2011 год'!H47</f>
        <v>0</v>
      </c>
      <c r="I47" s="143"/>
      <c r="J47" s="117"/>
      <c r="K47" s="117"/>
      <c r="L47" s="117"/>
      <c r="M47" s="117"/>
      <c r="N47" s="117"/>
      <c r="O47" s="42">
        <f>1812.84</f>
        <v>1812.84</v>
      </c>
      <c r="P47" s="142">
        <f t="shared" si="2"/>
        <v>1717.8274213836476</v>
      </c>
    </row>
    <row r="48" spans="1:20" s="35" customFormat="1" ht="12.75" hidden="1" customHeight="1">
      <c r="A48" s="28">
        <f>'4 кв 2011 год'!A48</f>
        <v>0</v>
      </c>
      <c r="B48" s="159" t="s">
        <v>21</v>
      </c>
      <c r="C48" s="30" t="s">
        <v>52</v>
      </c>
      <c r="D48" s="31" t="s">
        <v>23</v>
      </c>
      <c r="E48" s="28">
        <f>'4 кв 2011 год'!E48</f>
        <v>0</v>
      </c>
      <c r="F48" s="32">
        <f t="shared" si="1"/>
        <v>1924.7335010482179</v>
      </c>
      <c r="G48" s="33">
        <f t="shared" si="3"/>
        <v>0</v>
      </c>
      <c r="H48" s="35">
        <f>'4 кв 2011 год'!H48</f>
        <v>0</v>
      </c>
      <c r="I48" s="143"/>
      <c r="J48" s="117"/>
      <c r="K48" s="117"/>
      <c r="L48" s="117"/>
      <c r="M48" s="117"/>
      <c r="N48" s="117"/>
      <c r="O48" s="42">
        <f>2031.19</f>
        <v>2031.19</v>
      </c>
      <c r="P48" s="142">
        <f t="shared" si="2"/>
        <v>1924.7335010482179</v>
      </c>
    </row>
    <row r="49" spans="1:19" s="35" customFormat="1" ht="25.5" hidden="1" customHeight="1">
      <c r="A49" s="28">
        <f>'4 кв 2011 год'!A49</f>
        <v>0</v>
      </c>
      <c r="B49" s="159" t="s">
        <v>21</v>
      </c>
      <c r="C49" s="30" t="s">
        <v>53</v>
      </c>
      <c r="D49" s="31" t="s">
        <v>23</v>
      </c>
      <c r="E49" s="28">
        <f>'4 кв 2011 год'!E49</f>
        <v>0</v>
      </c>
      <c r="F49" s="32">
        <f t="shared" si="1"/>
        <v>2138.9274884696019</v>
      </c>
      <c r="G49" s="33">
        <f t="shared" si="3"/>
        <v>0</v>
      </c>
      <c r="H49" s="35">
        <f>'4 кв 2011 год'!H49</f>
        <v>0</v>
      </c>
      <c r="I49" s="136"/>
      <c r="O49" s="32">
        <f>2257.231</f>
        <v>2257.2310000000002</v>
      </c>
      <c r="P49" s="142">
        <f t="shared" si="2"/>
        <v>2138.9274884696019</v>
      </c>
    </row>
    <row r="50" spans="1:19" s="107" customFormat="1" ht="12.75" hidden="1" customHeight="1">
      <c r="A50" s="28">
        <f>'4 кв 2011 год'!A50</f>
        <v>0</v>
      </c>
      <c r="B50" s="102" t="s">
        <v>153</v>
      </c>
      <c r="C50" s="103" t="s">
        <v>184</v>
      </c>
      <c r="D50" s="104" t="s">
        <v>18</v>
      </c>
      <c r="E50" s="28">
        <f>'4 кв 2011 год'!E50</f>
        <v>0</v>
      </c>
      <c r="F50" s="105">
        <f>(J50+N50)+P50</f>
        <v>503.5948445389318</v>
      </c>
      <c r="G50" s="106">
        <f t="shared" si="3"/>
        <v>0</v>
      </c>
      <c r="H50" s="35">
        <f>'4 кв 2011 год'!H50</f>
        <v>376</v>
      </c>
      <c r="I50" s="128">
        <f>H50*1.08</f>
        <v>406.08000000000004</v>
      </c>
      <c r="J50" s="135">
        <f>I50/3.55*3.27</f>
        <v>374.05115492957754</v>
      </c>
      <c r="K50" s="109">
        <v>1</v>
      </c>
      <c r="L50" s="109">
        <f>'4 кв 2011 год'!K50</f>
        <v>83</v>
      </c>
      <c r="M50" s="128">
        <f>L50*1.08*K50</f>
        <v>89.64</v>
      </c>
      <c r="N50" s="135">
        <f>M50/3.55*3.27</f>
        <v>82.569802816901415</v>
      </c>
      <c r="O50" s="129">
        <f>(I50+M50)*0.1</f>
        <v>49.572000000000003</v>
      </c>
      <c r="P50" s="138">
        <f>O50/4.77*4.52</f>
        <v>46.973886792452831</v>
      </c>
      <c r="Q50" s="108">
        <f>(I50+M50)*E50</f>
        <v>0</v>
      </c>
    </row>
    <row r="51" spans="1:19" s="107" customFormat="1" ht="12.75" hidden="1" customHeight="1">
      <c r="A51" s="28">
        <f>'4 кв 2011 год'!A51</f>
        <v>0</v>
      </c>
      <c r="B51" s="102" t="s">
        <v>153</v>
      </c>
      <c r="C51" s="103" t="s">
        <v>185</v>
      </c>
      <c r="D51" s="104" t="s">
        <v>18</v>
      </c>
      <c r="E51" s="28">
        <f>'4 кв 2011 год'!E51</f>
        <v>0</v>
      </c>
      <c r="F51" s="105">
        <f t="shared" ref="F51:F82" si="7">(J51+N51)+P51</f>
        <v>525.09911241031102</v>
      </c>
      <c r="G51" s="106">
        <f t="shared" si="3"/>
        <v>0</v>
      </c>
      <c r="H51" s="35">
        <f>'4 кв 2011 год'!H51</f>
        <v>376</v>
      </c>
      <c r="I51" s="128">
        <f t="shared" ref="I51:I95" si="8">H51*1.08</f>
        <v>406.08000000000004</v>
      </c>
      <c r="J51" s="135">
        <f t="shared" ref="J51:J83" si="9">I51/3.55*3.27</f>
        <v>374.05115492957754</v>
      </c>
      <c r="K51" s="109">
        <v>1</v>
      </c>
      <c r="L51" s="109">
        <f>'4 кв 2011 год'!K51</f>
        <v>102.60000000000001</v>
      </c>
      <c r="M51" s="128">
        <f t="shared" ref="M51:M95" si="10">L51*1.08*K51</f>
        <v>110.80800000000002</v>
      </c>
      <c r="N51" s="135">
        <f t="shared" ref="N51:N82" si="11">M51/3.55*3.27</f>
        <v>102.06821408450708</v>
      </c>
      <c r="O51" s="129">
        <f t="shared" ref="O51:O94" si="12">(I51+M51)*0.1</f>
        <v>51.688800000000008</v>
      </c>
      <c r="P51" s="138">
        <f t="shared" ref="P51:P82" si="13">O51/4.77*4.52</f>
        <v>48.979743396226425</v>
      </c>
      <c r="Q51" s="108">
        <f t="shared" ref="Q51:Q95" si="14">(I51+M51)*E51</f>
        <v>0</v>
      </c>
      <c r="S51" s="107">
        <f>458631.446453333/1000</f>
        <v>458.63144645333301</v>
      </c>
    </row>
    <row r="52" spans="1:19" s="107" customFormat="1" ht="12.75" hidden="1" customHeight="1">
      <c r="A52" s="28">
        <f>'4 кв 2011 год'!A52</f>
        <v>0</v>
      </c>
      <c r="B52" s="102" t="s">
        <v>153</v>
      </c>
      <c r="C52" s="103" t="s">
        <v>151</v>
      </c>
      <c r="D52" s="104" t="s">
        <v>18</v>
      </c>
      <c r="E52" s="28">
        <f>'4 кв 2011 год'!E52</f>
        <v>0</v>
      </c>
      <c r="F52" s="105">
        <f t="shared" si="7"/>
        <v>1798.2395429178848</v>
      </c>
      <c r="G52" s="106">
        <f t="shared" si="3"/>
        <v>0</v>
      </c>
      <c r="H52" s="35">
        <f>'4 кв 2011 год'!H52</f>
        <v>1189</v>
      </c>
      <c r="I52" s="128">
        <f t="shared" si="8"/>
        <v>1284.1200000000001</v>
      </c>
      <c r="J52" s="135">
        <f t="shared" si="9"/>
        <v>1182.8372957746481</v>
      </c>
      <c r="K52" s="109">
        <v>1</v>
      </c>
      <c r="L52" s="109">
        <f>'4 кв 2011 год'!K52</f>
        <v>450</v>
      </c>
      <c r="M52" s="128">
        <f t="shared" si="10"/>
        <v>486.00000000000006</v>
      </c>
      <c r="N52" s="135">
        <f t="shared" si="11"/>
        <v>447.66760563380291</v>
      </c>
      <c r="O52" s="129">
        <f t="shared" si="12"/>
        <v>177.01200000000003</v>
      </c>
      <c r="P52" s="138">
        <f t="shared" si="13"/>
        <v>167.734641509434</v>
      </c>
      <c r="Q52" s="108">
        <f t="shared" si="14"/>
        <v>0</v>
      </c>
      <c r="S52" s="107">
        <f>2053404.7418/1000</f>
        <v>2053.4047418</v>
      </c>
    </row>
    <row r="53" spans="1:19" s="107" customFormat="1" ht="12.75" hidden="1" customHeight="1">
      <c r="A53" s="28">
        <f>'4 кв 2011 год'!A53</f>
        <v>0</v>
      </c>
      <c r="B53" s="102" t="s">
        <v>153</v>
      </c>
      <c r="C53" s="103" t="s">
        <v>54</v>
      </c>
      <c r="D53" s="104" t="s">
        <v>18</v>
      </c>
      <c r="E53" s="28">
        <f>'4 кв 2011 год'!E53</f>
        <v>0</v>
      </c>
      <c r="F53" s="105">
        <f t="shared" si="7"/>
        <v>1135.5570023917089</v>
      </c>
      <c r="G53" s="106">
        <f t="shared" si="3"/>
        <v>0</v>
      </c>
      <c r="H53" s="35">
        <f>'4 кв 2011 год'!H53</f>
        <v>585</v>
      </c>
      <c r="I53" s="128">
        <f t="shared" si="8"/>
        <v>631.80000000000007</v>
      </c>
      <c r="J53" s="135">
        <f t="shared" si="9"/>
        <v>581.96788732394373</v>
      </c>
      <c r="K53" s="122">
        <v>1</v>
      </c>
      <c r="L53" s="109">
        <f>'4 кв 2011 год'!K53</f>
        <v>450</v>
      </c>
      <c r="M53" s="128">
        <f t="shared" si="10"/>
        <v>486.00000000000006</v>
      </c>
      <c r="N53" s="135">
        <f t="shared" si="11"/>
        <v>447.66760563380291</v>
      </c>
      <c r="O53" s="129">
        <f t="shared" si="12"/>
        <v>111.78000000000003</v>
      </c>
      <c r="P53" s="138">
        <f t="shared" si="13"/>
        <v>105.9215094339623</v>
      </c>
      <c r="Q53" s="108">
        <f t="shared" si="14"/>
        <v>0</v>
      </c>
    </row>
    <row r="54" spans="1:19" s="107" customFormat="1" ht="12.75" hidden="1" customHeight="1">
      <c r="A54" s="28">
        <f>'4 кв 2011 год'!A54</f>
        <v>0</v>
      </c>
      <c r="B54" s="102" t="s">
        <v>153</v>
      </c>
      <c r="C54" s="103" t="s">
        <v>163</v>
      </c>
      <c r="D54" s="104" t="s">
        <v>18</v>
      </c>
      <c r="E54" s="28">
        <f>'4 кв 2011 год'!E54</f>
        <v>0</v>
      </c>
      <c r="F54" s="105">
        <f t="shared" si="7"/>
        <v>556.2583576933298</v>
      </c>
      <c r="G54" s="106">
        <f t="shared" si="3"/>
        <v>0</v>
      </c>
      <c r="H54" s="35">
        <f>'4 кв 2011 год'!H54</f>
        <v>388</v>
      </c>
      <c r="I54" s="128">
        <f t="shared" si="8"/>
        <v>419.04</v>
      </c>
      <c r="J54" s="135">
        <f t="shared" si="9"/>
        <v>385.98895774647889</v>
      </c>
      <c r="K54" s="122">
        <v>1</v>
      </c>
      <c r="L54" s="109">
        <f>'4 кв 2011 год'!K54</f>
        <v>119</v>
      </c>
      <c r="M54" s="128">
        <f t="shared" si="10"/>
        <v>128.52000000000001</v>
      </c>
      <c r="N54" s="135">
        <f t="shared" si="11"/>
        <v>118.38321126760565</v>
      </c>
      <c r="O54" s="129">
        <f t="shared" si="12"/>
        <v>54.756000000000007</v>
      </c>
      <c r="P54" s="138">
        <f t="shared" si="13"/>
        <v>51.886188679245294</v>
      </c>
      <c r="Q54" s="108">
        <f t="shared" si="14"/>
        <v>0</v>
      </c>
      <c r="S54" s="107">
        <f>538966.759211428/1000</f>
        <v>538.96675921142798</v>
      </c>
    </row>
    <row r="55" spans="1:19" s="107" customFormat="1" ht="12.75" hidden="1" customHeight="1">
      <c r="A55" s="28">
        <f>'4 кв 2011 год'!A55</f>
        <v>0</v>
      </c>
      <c r="B55" s="102" t="s">
        <v>153</v>
      </c>
      <c r="C55" s="103" t="s">
        <v>166</v>
      </c>
      <c r="D55" s="104" t="s">
        <v>18</v>
      </c>
      <c r="E55" s="28">
        <f>'4 кв 2011 год'!E55</f>
        <v>0</v>
      </c>
      <c r="F55" s="105">
        <f t="shared" si="7"/>
        <v>358.77018336433702</v>
      </c>
      <c r="G55" s="106">
        <f t="shared" si="3"/>
        <v>0</v>
      </c>
      <c r="H55" s="35">
        <f>'4 кв 2011 год'!H55</f>
        <v>208</v>
      </c>
      <c r="I55" s="128">
        <f t="shared" si="8"/>
        <v>224.64000000000001</v>
      </c>
      <c r="J55" s="135">
        <f t="shared" si="9"/>
        <v>206.92191549295777</v>
      </c>
      <c r="K55" s="122">
        <v>1</v>
      </c>
      <c r="L55" s="109">
        <f>'4 кв 2011 год'!K55</f>
        <v>119</v>
      </c>
      <c r="M55" s="128">
        <f t="shared" si="10"/>
        <v>128.52000000000001</v>
      </c>
      <c r="N55" s="135">
        <f t="shared" si="11"/>
        <v>118.38321126760565</v>
      </c>
      <c r="O55" s="129">
        <f t="shared" si="12"/>
        <v>35.316000000000003</v>
      </c>
      <c r="P55" s="138">
        <f t="shared" si="13"/>
        <v>33.46505660377359</v>
      </c>
      <c r="Q55" s="108">
        <f t="shared" si="14"/>
        <v>0</v>
      </c>
    </row>
    <row r="56" spans="1:19" s="35" customFormat="1" ht="12.75" hidden="1" customHeight="1">
      <c r="A56" s="28">
        <f>'4 кв 2011 год'!A56</f>
        <v>0</v>
      </c>
      <c r="B56" s="86" t="s">
        <v>147</v>
      </c>
      <c r="C56" s="30" t="s">
        <v>169</v>
      </c>
      <c r="D56" s="31" t="s">
        <v>18</v>
      </c>
      <c r="E56" s="28">
        <f>'4 кв 2011 год'!E56</f>
        <v>0</v>
      </c>
      <c r="F56" s="42">
        <f t="shared" si="7"/>
        <v>785.93520635716175</v>
      </c>
      <c r="G56" s="33">
        <f t="shared" si="3"/>
        <v>0</v>
      </c>
      <c r="H56" s="35">
        <f>'4 кв 2011 год'!H56</f>
        <v>566.33826999999997</v>
      </c>
      <c r="I56" s="139">
        <f t="shared" si="8"/>
        <v>611.64533159999996</v>
      </c>
      <c r="J56" s="140">
        <f t="shared" si="9"/>
        <v>563.40288291042248</v>
      </c>
      <c r="K56" s="120">
        <v>2</v>
      </c>
      <c r="L56" s="109">
        <f>'4 кв 2011 год'!K56</f>
        <v>75</v>
      </c>
      <c r="M56" s="139">
        <f t="shared" si="10"/>
        <v>162</v>
      </c>
      <c r="N56" s="140">
        <f t="shared" si="11"/>
        <v>149.2225352112676</v>
      </c>
      <c r="O56" s="129">
        <f t="shared" si="12"/>
        <v>77.364533160000008</v>
      </c>
      <c r="P56" s="141">
        <f t="shared" si="13"/>
        <v>73.3097882354717</v>
      </c>
      <c r="Q56" s="75">
        <f t="shared" si="14"/>
        <v>0</v>
      </c>
    </row>
    <row r="57" spans="1:19" s="35" customFormat="1" ht="12.75" hidden="1" customHeight="1">
      <c r="A57" s="28">
        <f>'4 кв 2011 год'!A57</f>
        <v>0</v>
      </c>
      <c r="B57" s="86" t="s">
        <v>147</v>
      </c>
      <c r="C57" s="30" t="s">
        <v>55</v>
      </c>
      <c r="D57" s="31" t="s">
        <v>18</v>
      </c>
      <c r="E57" s="28">
        <f>'4 кв 2011 год'!E57</f>
        <v>0</v>
      </c>
      <c r="F57" s="42">
        <f t="shared" si="7"/>
        <v>278.67775710868995</v>
      </c>
      <c r="G57" s="33">
        <f t="shared" si="3"/>
        <v>0</v>
      </c>
      <c r="H57" s="35">
        <f>'4 кв 2011 год'!H57</f>
        <v>185</v>
      </c>
      <c r="I57" s="139">
        <f t="shared" si="8"/>
        <v>199.8</v>
      </c>
      <c r="J57" s="140">
        <f t="shared" si="9"/>
        <v>184.0411267605634</v>
      </c>
      <c r="K57" s="120">
        <v>1</v>
      </c>
      <c r="L57" s="109">
        <f>'4 кв 2011 год'!K57</f>
        <v>69</v>
      </c>
      <c r="M57" s="139">
        <f t="shared" si="10"/>
        <v>74.52000000000001</v>
      </c>
      <c r="N57" s="140">
        <f t="shared" si="11"/>
        <v>68.642366197183108</v>
      </c>
      <c r="O57" s="129">
        <f t="shared" si="12"/>
        <v>27.432000000000006</v>
      </c>
      <c r="P57" s="141">
        <f t="shared" si="13"/>
        <v>25.994264150943401</v>
      </c>
      <c r="Q57" s="75">
        <f t="shared" si="14"/>
        <v>0</v>
      </c>
    </row>
    <row r="58" spans="1:19" s="107" customFormat="1" ht="12.75" hidden="1" customHeight="1">
      <c r="A58" s="28">
        <f>'4 кв 2011 год'!A58</f>
        <v>0</v>
      </c>
      <c r="B58" s="102" t="s">
        <v>153</v>
      </c>
      <c r="C58" s="103" t="s">
        <v>56</v>
      </c>
      <c r="D58" s="104" t="s">
        <v>18</v>
      </c>
      <c r="E58" s="28">
        <f>'4 кв 2011 год'!E58</f>
        <v>0</v>
      </c>
      <c r="F58" s="105">
        <f t="shared" si="7"/>
        <v>588.07589689077861</v>
      </c>
      <c r="G58" s="106">
        <f t="shared" si="3"/>
        <v>0</v>
      </c>
      <c r="H58" s="35">
        <f>'4 кв 2011 год'!H58</f>
        <v>388</v>
      </c>
      <c r="I58" s="128">
        <f t="shared" si="8"/>
        <v>419.04</v>
      </c>
      <c r="J58" s="135">
        <f t="shared" si="9"/>
        <v>385.98895774647889</v>
      </c>
      <c r="K58" s="122">
        <v>1</v>
      </c>
      <c r="L58" s="109">
        <f>'4 кв 2011 год'!K58</f>
        <v>148</v>
      </c>
      <c r="M58" s="128">
        <f t="shared" si="10"/>
        <v>159.84</v>
      </c>
      <c r="N58" s="135">
        <f t="shared" si="11"/>
        <v>147.23290140845072</v>
      </c>
      <c r="O58" s="129">
        <f t="shared" si="12"/>
        <v>57.888000000000005</v>
      </c>
      <c r="P58" s="138">
        <f t="shared" si="13"/>
        <v>54.854037735849062</v>
      </c>
      <c r="Q58" s="108">
        <f t="shared" si="14"/>
        <v>0</v>
      </c>
      <c r="S58" s="130">
        <f>605726.714568421/1000</f>
        <v>605.72671456842102</v>
      </c>
    </row>
    <row r="59" spans="1:19" s="107" customFormat="1" ht="12.75" hidden="1" customHeight="1">
      <c r="A59" s="28">
        <f>'4 кв 2011 год'!A59</f>
        <v>0</v>
      </c>
      <c r="B59" s="102" t="s">
        <v>153</v>
      </c>
      <c r="C59" s="103" t="s">
        <v>57</v>
      </c>
      <c r="D59" s="104" t="s">
        <v>18</v>
      </c>
      <c r="E59" s="28">
        <f>'4 кв 2011 год'!E59</f>
        <v>0</v>
      </c>
      <c r="F59" s="105">
        <f t="shared" si="7"/>
        <v>390.58772256178582</v>
      </c>
      <c r="G59" s="106">
        <f t="shared" si="3"/>
        <v>0</v>
      </c>
      <c r="H59" s="75">
        <f>'4 кв 2011 год'!H59</f>
        <v>208</v>
      </c>
      <c r="I59" s="128">
        <f t="shared" si="8"/>
        <v>224.64000000000001</v>
      </c>
      <c r="J59" s="135">
        <f t="shared" si="9"/>
        <v>206.92191549295777</v>
      </c>
      <c r="K59" s="122">
        <v>1</v>
      </c>
      <c r="L59" s="109">
        <f>'4 кв 2011 год'!K59</f>
        <v>148</v>
      </c>
      <c r="M59" s="128">
        <f t="shared" si="10"/>
        <v>159.84</v>
      </c>
      <c r="N59" s="135">
        <f t="shared" si="11"/>
        <v>147.23290140845072</v>
      </c>
      <c r="O59" s="129">
        <f t="shared" si="12"/>
        <v>38.448000000000008</v>
      </c>
      <c r="P59" s="138">
        <f t="shared" si="13"/>
        <v>36.432905660377365</v>
      </c>
      <c r="Q59" s="108">
        <f t="shared" si="14"/>
        <v>0</v>
      </c>
    </row>
    <row r="60" spans="1:19" s="107" customFormat="1" hidden="1">
      <c r="A60" s="28">
        <f>'4 кв 2011 год'!A60</f>
        <v>0</v>
      </c>
      <c r="B60" s="102" t="s">
        <v>153</v>
      </c>
      <c r="C60" s="103" t="s">
        <v>58</v>
      </c>
      <c r="D60" s="104" t="s">
        <v>18</v>
      </c>
      <c r="E60" s="28">
        <f>'4 кв 2011 год'!E60</f>
        <v>0</v>
      </c>
      <c r="F60" s="105">
        <f t="shared" si="7"/>
        <v>556.2583576933298</v>
      </c>
      <c r="G60" s="106">
        <f t="shared" si="3"/>
        <v>0</v>
      </c>
      <c r="H60" s="35">
        <f>'4 кв 2011 год'!H60</f>
        <v>388</v>
      </c>
      <c r="I60" s="128">
        <f t="shared" si="8"/>
        <v>419.04</v>
      </c>
      <c r="J60" s="135">
        <f t="shared" si="9"/>
        <v>385.98895774647889</v>
      </c>
      <c r="K60" s="122">
        <v>1</v>
      </c>
      <c r="L60" s="109">
        <f>'4 кв 2011 год'!K60</f>
        <v>119</v>
      </c>
      <c r="M60" s="128">
        <f t="shared" si="10"/>
        <v>128.52000000000001</v>
      </c>
      <c r="N60" s="135">
        <f t="shared" si="11"/>
        <v>118.38321126760565</v>
      </c>
      <c r="O60" s="129">
        <f t="shared" si="12"/>
        <v>54.756000000000007</v>
      </c>
      <c r="P60" s="138">
        <f t="shared" si="13"/>
        <v>51.886188679245294</v>
      </c>
      <c r="Q60" s="108">
        <f t="shared" si="14"/>
        <v>0</v>
      </c>
      <c r="S60" s="107">
        <f>605726.714568421/1000</f>
        <v>605.72671456842102</v>
      </c>
    </row>
    <row r="61" spans="1:19" s="107" customFormat="1" ht="12.75" hidden="1" customHeight="1">
      <c r="A61" s="28">
        <f>'4 кв 2011 год'!A61</f>
        <v>0</v>
      </c>
      <c r="B61" s="102" t="s">
        <v>153</v>
      </c>
      <c r="C61" s="103" t="s">
        <v>140</v>
      </c>
      <c r="D61" s="104" t="s">
        <v>18</v>
      </c>
      <c r="E61" s="28">
        <f>'4 кв 2011 год'!E61</f>
        <v>0</v>
      </c>
      <c r="F61" s="105">
        <f t="shared" si="7"/>
        <v>875.76808948923747</v>
      </c>
      <c r="G61" s="106">
        <f t="shared" si="3"/>
        <v>0</v>
      </c>
      <c r="H61" s="35">
        <f>'4 кв 2011 год'!H61</f>
        <v>608.21618000000001</v>
      </c>
      <c r="I61" s="128">
        <f t="shared" si="8"/>
        <v>656.87347440000008</v>
      </c>
      <c r="J61" s="135">
        <f t="shared" si="9"/>
        <v>605.0637355740846</v>
      </c>
      <c r="K61" s="122">
        <v>2</v>
      </c>
      <c r="L61" s="109">
        <f>'4 кв 2011 год'!K61</f>
        <v>95</v>
      </c>
      <c r="M61" s="128">
        <f t="shared" si="10"/>
        <v>205.20000000000002</v>
      </c>
      <c r="N61" s="135">
        <f t="shared" si="11"/>
        <v>189.01521126760565</v>
      </c>
      <c r="O61" s="129">
        <f t="shared" si="12"/>
        <v>86.207347440000021</v>
      </c>
      <c r="P61" s="138">
        <f t="shared" si="13"/>
        <v>81.689142647547186</v>
      </c>
      <c r="Q61" s="108">
        <f t="shared" si="14"/>
        <v>0</v>
      </c>
    </row>
    <row r="62" spans="1:19" s="107" customFormat="1" ht="12.75" hidden="1" customHeight="1">
      <c r="A62" s="28">
        <f>'4 кв 2011 год'!A62</f>
        <v>0</v>
      </c>
      <c r="B62" s="102" t="s">
        <v>153</v>
      </c>
      <c r="C62" s="103" t="s">
        <v>141</v>
      </c>
      <c r="D62" s="104" t="s">
        <v>18</v>
      </c>
      <c r="E62" s="28">
        <f>'4 кв 2011 год'!E62</f>
        <v>0</v>
      </c>
      <c r="F62" s="105">
        <f t="shared" si="7"/>
        <v>829.45033218177002</v>
      </c>
      <c r="G62" s="106">
        <f t="shared" si="3"/>
        <v>0</v>
      </c>
      <c r="H62" s="35">
        <f>'4 кв 2011 год'!H62</f>
        <v>566</v>
      </c>
      <c r="I62" s="128">
        <f t="shared" si="8"/>
        <v>611.28000000000009</v>
      </c>
      <c r="J62" s="135">
        <f t="shared" si="9"/>
        <v>563.06636619718324</v>
      </c>
      <c r="K62" s="122">
        <v>2</v>
      </c>
      <c r="L62" s="109">
        <f>'4 кв 2011 год'!K62</f>
        <v>95</v>
      </c>
      <c r="M62" s="128">
        <f t="shared" si="10"/>
        <v>205.20000000000002</v>
      </c>
      <c r="N62" s="135">
        <f t="shared" si="11"/>
        <v>189.01521126760565</v>
      </c>
      <c r="O62" s="129">
        <f t="shared" si="12"/>
        <v>81.648000000000025</v>
      </c>
      <c r="P62" s="138">
        <f t="shared" si="13"/>
        <v>77.368754716981144</v>
      </c>
      <c r="Q62" s="108">
        <f t="shared" si="14"/>
        <v>0</v>
      </c>
    </row>
    <row r="63" spans="1:19" s="107" customFormat="1" ht="12.75" hidden="1" customHeight="1">
      <c r="A63" s="28">
        <f>'4 кв 2011 год'!A63</f>
        <v>0</v>
      </c>
      <c r="B63" s="102" t="s">
        <v>153</v>
      </c>
      <c r="C63" s="103" t="s">
        <v>59</v>
      </c>
      <c r="D63" s="104" t="s">
        <v>18</v>
      </c>
      <c r="E63" s="28">
        <f>'4 кв 2011 год'!E63</f>
        <v>0</v>
      </c>
      <c r="F63" s="105">
        <f t="shared" si="7"/>
        <v>882.11384533616808</v>
      </c>
      <c r="G63" s="106">
        <f t="shared" ref="G63:G83" si="15">ROUND(F63*E63,3)</f>
        <v>0</v>
      </c>
      <c r="H63" s="35">
        <f>'4 кв 2011 год'!H63</f>
        <v>566</v>
      </c>
      <c r="I63" s="128">
        <f t="shared" si="8"/>
        <v>611.28000000000009</v>
      </c>
      <c r="J63" s="135">
        <f t="shared" si="9"/>
        <v>563.06636619718324</v>
      </c>
      <c r="K63" s="122">
        <v>2</v>
      </c>
      <c r="L63" s="109">
        <f>'4 кв 2011 год'!K63</f>
        <v>119</v>
      </c>
      <c r="M63" s="128">
        <f t="shared" si="10"/>
        <v>257.04000000000002</v>
      </c>
      <c r="N63" s="135">
        <f t="shared" si="11"/>
        <v>236.76642253521129</v>
      </c>
      <c r="O63" s="129">
        <f t="shared" si="12"/>
        <v>86.832000000000022</v>
      </c>
      <c r="P63" s="138">
        <f t="shared" si="13"/>
        <v>82.281056603773592</v>
      </c>
      <c r="Q63" s="108">
        <f t="shared" si="14"/>
        <v>0</v>
      </c>
    </row>
    <row r="64" spans="1:19" s="107" customFormat="1" ht="12.75" hidden="1" customHeight="1">
      <c r="A64" s="28">
        <f>'4 кв 2011 год'!A64</f>
        <v>0</v>
      </c>
      <c r="B64" s="102" t="s">
        <v>153</v>
      </c>
      <c r="C64" s="103" t="s">
        <v>186</v>
      </c>
      <c r="D64" s="104" t="s">
        <v>18</v>
      </c>
      <c r="E64" s="28">
        <f>'4 кв 2011 год'!E64</f>
        <v>0</v>
      </c>
      <c r="F64" s="105">
        <f t="shared" si="7"/>
        <v>948.78205682806276</v>
      </c>
      <c r="G64" s="106">
        <f t="shared" si="15"/>
        <v>0</v>
      </c>
      <c r="H64" s="35">
        <f>'4 кв 2011 год'!H64</f>
        <v>568.76454000000001</v>
      </c>
      <c r="I64" s="128">
        <f t="shared" si="8"/>
        <v>614.26570320000008</v>
      </c>
      <c r="J64" s="135">
        <f t="shared" si="9"/>
        <v>565.8165773138029</v>
      </c>
      <c r="K64" s="122">
        <v>2</v>
      </c>
      <c r="L64" s="109">
        <f>'4 кв 2011 год'!K64</f>
        <v>148</v>
      </c>
      <c r="M64" s="128">
        <f t="shared" si="10"/>
        <v>319.68</v>
      </c>
      <c r="N64" s="135">
        <f t="shared" si="11"/>
        <v>294.46580281690143</v>
      </c>
      <c r="O64" s="129">
        <f t="shared" si="12"/>
        <v>93.394570320000014</v>
      </c>
      <c r="P64" s="138">
        <f t="shared" si="13"/>
        <v>88.499676697358495</v>
      </c>
      <c r="Q64" s="108">
        <f t="shared" si="14"/>
        <v>0</v>
      </c>
    </row>
    <row r="65" spans="1:20" s="107" customFormat="1" ht="15.75" hidden="1" customHeight="1">
      <c r="A65" s="28">
        <f>'4 кв 2011 год'!A65</f>
        <v>0</v>
      </c>
      <c r="B65" s="102" t="s">
        <v>153</v>
      </c>
      <c r="C65" s="103" t="s">
        <v>60</v>
      </c>
      <c r="D65" s="104" t="s">
        <v>18</v>
      </c>
      <c r="E65" s="28">
        <f>'4 кв 2011 год'!E65</f>
        <v>0</v>
      </c>
      <c r="F65" s="105">
        <f t="shared" si="7"/>
        <v>994.35459250969973</v>
      </c>
      <c r="G65" s="106">
        <f t="shared" si="15"/>
        <v>0</v>
      </c>
      <c r="H65" s="35">
        <f>'4 кв 2011 год'!H65</f>
        <v>610.30148999999994</v>
      </c>
      <c r="I65" s="128">
        <f t="shared" si="8"/>
        <v>659.12560919999999</v>
      </c>
      <c r="J65" s="135">
        <f t="shared" si="9"/>
        <v>607.13823720676066</v>
      </c>
      <c r="K65" s="122">
        <v>2</v>
      </c>
      <c r="L65" s="109">
        <f>'4 кв 2011 год'!K65</f>
        <v>148</v>
      </c>
      <c r="M65" s="128">
        <f t="shared" si="10"/>
        <v>319.68</v>
      </c>
      <c r="N65" s="135">
        <f t="shared" si="11"/>
        <v>294.46580281690143</v>
      </c>
      <c r="O65" s="129">
        <f t="shared" si="12"/>
        <v>97.880560919999994</v>
      </c>
      <c r="P65" s="138">
        <f t="shared" si="13"/>
        <v>92.750552486037734</v>
      </c>
      <c r="Q65" s="108">
        <f t="shared" si="14"/>
        <v>0</v>
      </c>
    </row>
    <row r="66" spans="1:20" s="35" customFormat="1" ht="12.75" hidden="1" customHeight="1">
      <c r="A66" s="28">
        <f>'4 кв 2011 год'!A66</f>
        <v>0</v>
      </c>
      <c r="B66" s="29" t="s">
        <v>21</v>
      </c>
      <c r="C66" s="30" t="s">
        <v>61</v>
      </c>
      <c r="D66" s="31" t="s">
        <v>18</v>
      </c>
      <c r="E66" s="28">
        <f>'4 кв 2011 год'!E66</f>
        <v>0</v>
      </c>
      <c r="F66" s="42">
        <f t="shared" si="7"/>
        <v>827.25601913367007</v>
      </c>
      <c r="G66" s="33">
        <f t="shared" si="15"/>
        <v>0</v>
      </c>
      <c r="H66" s="35">
        <f>'4 кв 2011 год'!H66</f>
        <v>566</v>
      </c>
      <c r="I66" s="139">
        <f t="shared" si="8"/>
        <v>611.28000000000009</v>
      </c>
      <c r="J66" s="140">
        <f t="shared" si="9"/>
        <v>563.06636619718324</v>
      </c>
      <c r="K66" s="35">
        <v>2</v>
      </c>
      <c r="L66" s="109">
        <f>'4 кв 2011 год'!K66</f>
        <v>94</v>
      </c>
      <c r="M66" s="139">
        <f t="shared" si="10"/>
        <v>203.04000000000002</v>
      </c>
      <c r="N66" s="140">
        <f t="shared" si="11"/>
        <v>187.02557746478877</v>
      </c>
      <c r="O66" s="129">
        <f t="shared" si="12"/>
        <v>81.432000000000016</v>
      </c>
      <c r="P66" s="141">
        <f t="shared" si="13"/>
        <v>77.164075471698126</v>
      </c>
      <c r="Q66" s="75">
        <f t="shared" si="14"/>
        <v>0</v>
      </c>
    </row>
    <row r="67" spans="1:20" s="35" customFormat="1" ht="12.75" hidden="1" customHeight="1">
      <c r="A67" s="28">
        <f>'4 кв 2011 год'!A67</f>
        <v>0</v>
      </c>
      <c r="B67" s="86" t="s">
        <v>148</v>
      </c>
      <c r="C67" s="30" t="s">
        <v>168</v>
      </c>
      <c r="D67" s="31" t="s">
        <v>18</v>
      </c>
      <c r="E67" s="28">
        <f>'4 кв 2011 год'!E67</f>
        <v>0</v>
      </c>
      <c r="F67" s="42">
        <f t="shared" si="7"/>
        <v>667.30834991974496</v>
      </c>
      <c r="G67" s="33">
        <f t="shared" si="15"/>
        <v>0</v>
      </c>
      <c r="H67" s="75">
        <f>'4 кв 2011 год'!H67</f>
        <v>608.21618000000001</v>
      </c>
      <c r="I67" s="139">
        <f t="shared" si="8"/>
        <v>656.87347440000008</v>
      </c>
      <c r="J67" s="140">
        <f t="shared" si="9"/>
        <v>605.0637355740846</v>
      </c>
      <c r="K67" s="45"/>
      <c r="L67" s="109">
        <f>'4 кв 2011 год'!K67</f>
        <v>0</v>
      </c>
      <c r="M67" s="139">
        <f t="shared" si="10"/>
        <v>0</v>
      </c>
      <c r="N67" s="140">
        <f t="shared" si="11"/>
        <v>0</v>
      </c>
      <c r="O67" s="129">
        <f t="shared" si="12"/>
        <v>65.687347440000011</v>
      </c>
      <c r="P67" s="141">
        <f t="shared" si="13"/>
        <v>62.244614345660388</v>
      </c>
      <c r="Q67" s="75">
        <f t="shared" si="14"/>
        <v>0</v>
      </c>
    </row>
    <row r="68" spans="1:20" s="35" customFormat="1" ht="12.75" hidden="1" customHeight="1">
      <c r="A68" s="28">
        <f>'4 кв 2011 год'!A68</f>
        <v>0</v>
      </c>
      <c r="B68" s="29" t="s">
        <v>21</v>
      </c>
      <c r="C68" s="30" t="s">
        <v>62</v>
      </c>
      <c r="D68" s="31" t="s">
        <v>18</v>
      </c>
      <c r="E68" s="28">
        <f>'4 кв 2011 год'!E68</f>
        <v>0</v>
      </c>
      <c r="F68" s="42">
        <f t="shared" si="7"/>
        <v>849.43633291203844</v>
      </c>
      <c r="G68" s="33">
        <f t="shared" si="15"/>
        <v>0</v>
      </c>
      <c r="H68" s="35">
        <f>'4 кв 2011 год'!H68</f>
        <v>608.21618000000001</v>
      </c>
      <c r="I68" s="139">
        <f t="shared" si="8"/>
        <v>656.87347440000008</v>
      </c>
      <c r="J68" s="140">
        <f t="shared" si="9"/>
        <v>605.0637355740846</v>
      </c>
      <c r="K68" s="42">
        <v>2</v>
      </c>
      <c r="L68" s="109">
        <f>'4 кв 2011 год'!K68</f>
        <v>83</v>
      </c>
      <c r="M68" s="139">
        <f t="shared" si="10"/>
        <v>179.28</v>
      </c>
      <c r="N68" s="140">
        <f>M68/3.55*3.27</f>
        <v>165.13960563380283</v>
      </c>
      <c r="O68" s="129">
        <f t="shared" si="12"/>
        <v>83.615347440000008</v>
      </c>
      <c r="P68" s="141">
        <f t="shared" si="13"/>
        <v>79.232991704150962</v>
      </c>
      <c r="Q68" s="75">
        <f t="shared" si="14"/>
        <v>0</v>
      </c>
    </row>
    <row r="69" spans="1:20" s="35" customFormat="1" ht="12" hidden="1" customHeight="1">
      <c r="A69" s="28">
        <f>'4 кв 2011 год'!A69</f>
        <v>0</v>
      </c>
      <c r="B69" s="86" t="s">
        <v>150</v>
      </c>
      <c r="C69" s="30" t="s">
        <v>152</v>
      </c>
      <c r="D69" s="31" t="s">
        <v>18</v>
      </c>
      <c r="E69" s="28">
        <f>'4 кв 2011 год'!E69</f>
        <v>0</v>
      </c>
      <c r="F69" s="42">
        <f t="shared" si="7"/>
        <v>1337.603434187085</v>
      </c>
      <c r="G69" s="33">
        <f t="shared" si="15"/>
        <v>0</v>
      </c>
      <c r="H69" s="35">
        <f>'4 кв 2011 год'!H69</f>
        <v>631.15461000000005</v>
      </c>
      <c r="I69" s="139">
        <f t="shared" si="8"/>
        <v>681.64697880000006</v>
      </c>
      <c r="J69" s="140">
        <f t="shared" si="9"/>
        <v>627.88327342985929</v>
      </c>
      <c r="K69" s="45">
        <v>2</v>
      </c>
      <c r="L69" s="109">
        <f>'4 кв 2011 год'!K69</f>
        <v>294</v>
      </c>
      <c r="M69" s="139">
        <f t="shared" si="10"/>
        <v>635.04000000000008</v>
      </c>
      <c r="N69" s="140">
        <f t="shared" si="11"/>
        <v>584.95233802816915</v>
      </c>
      <c r="O69" s="129">
        <f t="shared" si="12"/>
        <v>131.66869788000002</v>
      </c>
      <c r="P69" s="141">
        <f t="shared" si="13"/>
        <v>124.76782272905663</v>
      </c>
      <c r="Q69" s="75">
        <f t="shared" si="14"/>
        <v>0</v>
      </c>
    </row>
    <row r="70" spans="1:20" s="107" customFormat="1" ht="12.75" hidden="1" customHeight="1">
      <c r="A70" s="28">
        <f>'4 кв 2011 год'!A70</f>
        <v>0</v>
      </c>
      <c r="B70" s="102" t="s">
        <v>153</v>
      </c>
      <c r="C70" s="103" t="s">
        <v>165</v>
      </c>
      <c r="D70" s="104" t="s">
        <v>18</v>
      </c>
      <c r="E70" s="28">
        <f>'4 кв 2011 год'!E70</f>
        <v>0</v>
      </c>
      <c r="F70" s="105">
        <f t="shared" si="7"/>
        <v>1375.544675722562</v>
      </c>
      <c r="G70" s="106">
        <f t="shared" si="15"/>
        <v>0</v>
      </c>
      <c r="H70" s="35">
        <f>'4 кв 2011 год'!H70</f>
        <v>665.73604</v>
      </c>
      <c r="I70" s="128">
        <f t="shared" si="8"/>
        <v>718.99492320000002</v>
      </c>
      <c r="J70" s="135">
        <f t="shared" si="9"/>
        <v>662.28546446873247</v>
      </c>
      <c r="K70" s="109">
        <v>2</v>
      </c>
      <c r="L70" s="109">
        <f>'4 кв 2011 год'!K70</f>
        <v>294</v>
      </c>
      <c r="M70" s="128">
        <f t="shared" si="10"/>
        <v>635.04000000000008</v>
      </c>
      <c r="N70" s="135">
        <f t="shared" si="11"/>
        <v>584.95233802816915</v>
      </c>
      <c r="O70" s="129">
        <f t="shared" si="12"/>
        <v>135.40349232000003</v>
      </c>
      <c r="P70" s="138">
        <f t="shared" si="13"/>
        <v>128.30687322566041</v>
      </c>
      <c r="Q70" s="108">
        <f t="shared" si="14"/>
        <v>0</v>
      </c>
    </row>
    <row r="71" spans="1:20" s="35" customFormat="1" ht="12.75" hidden="1" customHeight="1">
      <c r="A71" s="28">
        <f>'4 кв 2011 год'!A71</f>
        <v>0</v>
      </c>
      <c r="B71" s="86" t="s">
        <v>150</v>
      </c>
      <c r="C71" s="30" t="s">
        <v>63</v>
      </c>
      <c r="D71" s="31" t="s">
        <v>18</v>
      </c>
      <c r="E71" s="28">
        <f>'4 кв 2011 год'!E71</f>
        <v>0</v>
      </c>
      <c r="F71" s="42">
        <f t="shared" si="7"/>
        <v>285.91899016741962</v>
      </c>
      <c r="G71" s="33">
        <f t="shared" si="15"/>
        <v>0</v>
      </c>
      <c r="H71" s="105">
        <f>'4 кв 2011 год'!H71</f>
        <v>185</v>
      </c>
      <c r="I71" s="139">
        <f t="shared" si="8"/>
        <v>199.8</v>
      </c>
      <c r="J71" s="140">
        <f t="shared" si="9"/>
        <v>184.0411267605634</v>
      </c>
      <c r="K71" s="120">
        <v>1</v>
      </c>
      <c r="L71" s="109">
        <f>'4 кв 2011 год'!K71</f>
        <v>75.599999999999994</v>
      </c>
      <c r="M71" s="139">
        <f t="shared" si="10"/>
        <v>81.647999999999996</v>
      </c>
      <c r="N71" s="140">
        <f t="shared" si="11"/>
        <v>75.208157746478875</v>
      </c>
      <c r="O71" s="129">
        <f t="shared" si="12"/>
        <v>28.1448</v>
      </c>
      <c r="P71" s="141">
        <f t="shared" si="13"/>
        <v>26.66970566037736</v>
      </c>
      <c r="Q71" s="75">
        <f t="shared" si="14"/>
        <v>0</v>
      </c>
      <c r="S71" s="35">
        <f>368175.1038/1000</f>
        <v>368.17510379999999</v>
      </c>
    </row>
    <row r="72" spans="1:20" s="35" customFormat="1" ht="12.75" hidden="1" customHeight="1">
      <c r="A72" s="28">
        <f>'4 кв 2011 год'!A72</f>
        <v>0</v>
      </c>
      <c r="B72" s="86" t="s">
        <v>150</v>
      </c>
      <c r="C72" s="30" t="s">
        <v>64</v>
      </c>
      <c r="D72" s="31" t="s">
        <v>18</v>
      </c>
      <c r="E72" s="28">
        <f>'4 кв 2011 год'!E72</f>
        <v>0</v>
      </c>
      <c r="F72" s="42">
        <f t="shared" si="7"/>
        <v>282.23254424661178</v>
      </c>
      <c r="G72" s="33">
        <f t="shared" si="15"/>
        <v>0</v>
      </c>
      <c r="H72" s="105">
        <f>'4 кв 2011 год'!H72</f>
        <v>185</v>
      </c>
      <c r="I72" s="139">
        <f t="shared" si="8"/>
        <v>199.8</v>
      </c>
      <c r="J72" s="140">
        <f t="shared" si="9"/>
        <v>184.0411267605634</v>
      </c>
      <c r="K72" s="120">
        <v>1</v>
      </c>
      <c r="L72" s="109">
        <f>'4 кв 2011 год'!K72</f>
        <v>72.239999999999995</v>
      </c>
      <c r="M72" s="139">
        <f t="shared" si="10"/>
        <v>78.019199999999998</v>
      </c>
      <c r="N72" s="140">
        <f t="shared" si="11"/>
        <v>71.86557295774648</v>
      </c>
      <c r="O72" s="129">
        <f t="shared" si="12"/>
        <v>27.781920000000003</v>
      </c>
      <c r="P72" s="141">
        <f t="shared" si="13"/>
        <v>26.325844528301889</v>
      </c>
      <c r="Q72" s="75">
        <f t="shared" si="14"/>
        <v>0</v>
      </c>
    </row>
    <row r="73" spans="1:20" s="107" customFormat="1" ht="12.75" hidden="1" customHeight="1">
      <c r="A73" s="28">
        <f>'4 кв 2011 год'!A73</f>
        <v>0</v>
      </c>
      <c r="B73" s="102" t="s">
        <v>153</v>
      </c>
      <c r="C73" s="103" t="s">
        <v>65</v>
      </c>
      <c r="D73" s="104" t="s">
        <v>18</v>
      </c>
      <c r="E73" s="28">
        <f>'4 кв 2011 год'!E73</f>
        <v>0</v>
      </c>
      <c r="F73" s="105">
        <f t="shared" si="7"/>
        <v>659.39107095402608</v>
      </c>
      <c r="G73" s="106">
        <f t="shared" si="15"/>
        <v>0</v>
      </c>
      <c r="H73" s="105">
        <f>'4 кв 2011 год'!H73</f>
        <v>405</v>
      </c>
      <c r="I73" s="128">
        <f t="shared" si="8"/>
        <v>437.40000000000003</v>
      </c>
      <c r="J73" s="135">
        <f t="shared" si="9"/>
        <v>402.90084507042258</v>
      </c>
      <c r="K73" s="122">
        <v>1</v>
      </c>
      <c r="L73" s="109">
        <f>'4 кв 2011 год'!K73</f>
        <v>196</v>
      </c>
      <c r="M73" s="128">
        <f t="shared" si="10"/>
        <v>211.68</v>
      </c>
      <c r="N73" s="135">
        <f t="shared" si="11"/>
        <v>194.98411267605636</v>
      </c>
      <c r="O73" s="129">
        <f t="shared" si="12"/>
        <v>64.908000000000001</v>
      </c>
      <c r="P73" s="138">
        <f t="shared" si="13"/>
        <v>61.506113207547173</v>
      </c>
      <c r="Q73" s="108">
        <f t="shared" si="14"/>
        <v>0</v>
      </c>
      <c r="S73" s="108">
        <f>[1]реестры!$U$14925</f>
        <v>767640.2267</v>
      </c>
      <c r="T73" s="107">
        <f>AVERAGE(F73:F74)/1.075</f>
        <v>527.14543690400421</v>
      </c>
    </row>
    <row r="74" spans="1:20" s="107" customFormat="1" ht="12.75" hidden="1" customHeight="1">
      <c r="A74" s="28">
        <f>'4 кв 2011 год'!A74</f>
        <v>0</v>
      </c>
      <c r="B74" s="102" t="s">
        <v>153</v>
      </c>
      <c r="C74" s="103" t="s">
        <v>66</v>
      </c>
      <c r="D74" s="104" t="s">
        <v>18</v>
      </c>
      <c r="E74" s="28">
        <f>'4 кв 2011 год'!E74</f>
        <v>0</v>
      </c>
      <c r="F74" s="105">
        <f t="shared" si="7"/>
        <v>473.97161838958283</v>
      </c>
      <c r="G74" s="106">
        <f t="shared" si="15"/>
        <v>0</v>
      </c>
      <c r="H74" s="105">
        <f>'4 кв 2011 год'!H74</f>
        <v>236</v>
      </c>
      <c r="I74" s="128">
        <f t="shared" si="8"/>
        <v>254.88000000000002</v>
      </c>
      <c r="J74" s="135">
        <f t="shared" si="9"/>
        <v>234.77678873239441</v>
      </c>
      <c r="K74" s="122">
        <v>1</v>
      </c>
      <c r="L74" s="109">
        <f>'4 кв 2011 год'!K74</f>
        <v>196</v>
      </c>
      <c r="M74" s="128">
        <f t="shared" si="10"/>
        <v>211.68</v>
      </c>
      <c r="N74" s="135">
        <f t="shared" si="11"/>
        <v>194.98411267605636</v>
      </c>
      <c r="O74" s="129">
        <f t="shared" si="12"/>
        <v>46.656000000000006</v>
      </c>
      <c r="P74" s="138">
        <f t="shared" si="13"/>
        <v>44.21071698113208</v>
      </c>
      <c r="Q74" s="108">
        <f t="shared" si="14"/>
        <v>0</v>
      </c>
      <c r="S74" s="108">
        <f>[1]реестры!$U$14925</f>
        <v>767640.2267</v>
      </c>
    </row>
    <row r="75" spans="1:20" s="107" customFormat="1" ht="12.75" hidden="1" customHeight="1">
      <c r="A75" s="28">
        <f>'4 кв 2011 год'!A75</f>
        <v>0</v>
      </c>
      <c r="B75" s="102" t="s">
        <v>153</v>
      </c>
      <c r="C75" s="103" t="s">
        <v>67</v>
      </c>
      <c r="D75" s="104" t="s">
        <v>18</v>
      </c>
      <c r="E75" s="28">
        <f>'4 кв 2011 год'!E75</f>
        <v>0</v>
      </c>
      <c r="F75" s="105">
        <f t="shared" si="7"/>
        <v>294.03794844538936</v>
      </c>
      <c r="G75" s="106">
        <f t="shared" si="15"/>
        <v>0</v>
      </c>
      <c r="H75" s="105">
        <f>'4 кв 2011 год'!H75</f>
        <v>185</v>
      </c>
      <c r="I75" s="128">
        <f t="shared" si="8"/>
        <v>199.8</v>
      </c>
      <c r="J75" s="135">
        <f t="shared" si="9"/>
        <v>184.0411267605634</v>
      </c>
      <c r="K75" s="122">
        <v>1</v>
      </c>
      <c r="L75" s="109">
        <f>'4 кв 2011 год'!K75</f>
        <v>83</v>
      </c>
      <c r="M75" s="128">
        <f t="shared" si="10"/>
        <v>89.64</v>
      </c>
      <c r="N75" s="135">
        <f t="shared" si="11"/>
        <v>82.569802816901415</v>
      </c>
      <c r="O75" s="129">
        <f t="shared" si="12"/>
        <v>28.944000000000003</v>
      </c>
      <c r="P75" s="138">
        <f t="shared" si="13"/>
        <v>27.427018867924531</v>
      </c>
      <c r="Q75" s="108">
        <f t="shared" si="14"/>
        <v>0</v>
      </c>
    </row>
    <row r="76" spans="1:20" s="107" customFormat="1" ht="12.75" hidden="1" customHeight="1">
      <c r="A76" s="28">
        <f>'4 кв 2011 год'!A76</f>
        <v>0</v>
      </c>
      <c r="B76" s="102" t="s">
        <v>153</v>
      </c>
      <c r="C76" s="103" t="s">
        <v>68</v>
      </c>
      <c r="D76" s="104" t="s">
        <v>18</v>
      </c>
      <c r="E76" s="28">
        <f>'4 кв 2011 год'!E76</f>
        <v>0</v>
      </c>
      <c r="F76" s="105">
        <f t="shared" si="7"/>
        <v>800.92426255647104</v>
      </c>
      <c r="G76" s="106">
        <f t="shared" si="15"/>
        <v>0</v>
      </c>
      <c r="H76" s="105">
        <f>'4 кв 2011 год'!H76</f>
        <v>436</v>
      </c>
      <c r="I76" s="128">
        <f t="shared" si="8"/>
        <v>470.88000000000005</v>
      </c>
      <c r="J76" s="135">
        <f t="shared" si="9"/>
        <v>433.74016901408459</v>
      </c>
      <c r="K76" s="122">
        <v>1</v>
      </c>
      <c r="L76" s="109">
        <f>'4 кв 2011 год'!K76</f>
        <v>294</v>
      </c>
      <c r="M76" s="128">
        <f t="shared" si="10"/>
        <v>317.52000000000004</v>
      </c>
      <c r="N76" s="135">
        <f t="shared" si="11"/>
        <v>292.47616901408458</v>
      </c>
      <c r="O76" s="129">
        <f t="shared" si="12"/>
        <v>78.840000000000018</v>
      </c>
      <c r="P76" s="138">
        <f t="shared" si="13"/>
        <v>74.707924528301902</v>
      </c>
      <c r="Q76" s="108">
        <f t="shared" si="14"/>
        <v>0</v>
      </c>
    </row>
    <row r="77" spans="1:20" s="107" customFormat="1" ht="12.75" hidden="1" customHeight="1">
      <c r="A77" s="28">
        <f>'4 кв 2011 год'!A77</f>
        <v>0</v>
      </c>
      <c r="B77" s="102" t="s">
        <v>153</v>
      </c>
      <c r="C77" s="103" t="s">
        <v>69</v>
      </c>
      <c r="D77" s="104" t="s">
        <v>18</v>
      </c>
      <c r="E77" s="28">
        <f>'4 кв 2011 год'!E77</f>
        <v>0</v>
      </c>
      <c r="F77" s="105">
        <f t="shared" si="7"/>
        <v>920.51432367791676</v>
      </c>
      <c r="G77" s="106">
        <f t="shared" si="15"/>
        <v>0</v>
      </c>
      <c r="H77" s="105">
        <f>'4 кв 2011 год'!H77</f>
        <v>545</v>
      </c>
      <c r="I77" s="128">
        <f t="shared" si="8"/>
        <v>588.6</v>
      </c>
      <c r="J77" s="135">
        <f t="shared" si="9"/>
        <v>542.17521126760573</v>
      </c>
      <c r="K77" s="122">
        <v>1</v>
      </c>
      <c r="L77" s="109">
        <f>'4 кв 2011 год'!K77</f>
        <v>294</v>
      </c>
      <c r="M77" s="128">
        <f t="shared" si="10"/>
        <v>317.52000000000004</v>
      </c>
      <c r="N77" s="135">
        <f t="shared" si="11"/>
        <v>292.47616901408458</v>
      </c>
      <c r="O77" s="129">
        <f t="shared" si="12"/>
        <v>90.612000000000023</v>
      </c>
      <c r="P77" s="138">
        <f t="shared" si="13"/>
        <v>85.862943396226427</v>
      </c>
      <c r="Q77" s="108">
        <f t="shared" si="14"/>
        <v>0</v>
      </c>
    </row>
    <row r="78" spans="1:20" s="107" customFormat="1" ht="12.75" hidden="1" customHeight="1">
      <c r="A78" s="28">
        <f>'4 кв 2011 год'!A78</f>
        <v>0</v>
      </c>
      <c r="B78" s="102" t="s">
        <v>153</v>
      </c>
      <c r="C78" s="103" t="s">
        <v>146</v>
      </c>
      <c r="D78" s="104" t="s">
        <v>18</v>
      </c>
      <c r="E78" s="28">
        <f>'4 кв 2011 год'!E78</f>
        <v>0</v>
      </c>
      <c r="F78" s="105">
        <f t="shared" si="7"/>
        <v>803.11857560457099</v>
      </c>
      <c r="G78" s="106">
        <f t="shared" si="15"/>
        <v>0</v>
      </c>
      <c r="H78" s="105">
        <f>'4 кв 2011 год'!H78</f>
        <v>566</v>
      </c>
      <c r="I78" s="128">
        <f t="shared" si="8"/>
        <v>611.28000000000009</v>
      </c>
      <c r="J78" s="135">
        <f t="shared" si="9"/>
        <v>563.06636619718324</v>
      </c>
      <c r="K78" s="122">
        <v>2</v>
      </c>
      <c r="L78" s="109">
        <f>'4 кв 2011 год'!K78</f>
        <v>83</v>
      </c>
      <c r="M78" s="128">
        <f t="shared" si="10"/>
        <v>179.28</v>
      </c>
      <c r="N78" s="135">
        <f t="shared" si="11"/>
        <v>165.13960563380283</v>
      </c>
      <c r="O78" s="129">
        <f t="shared" si="12"/>
        <v>79.056000000000012</v>
      </c>
      <c r="P78" s="138">
        <f t="shared" si="13"/>
        <v>74.91260377358492</v>
      </c>
      <c r="Q78" s="108">
        <f t="shared" si="14"/>
        <v>0</v>
      </c>
    </row>
    <row r="79" spans="1:20" s="107" customFormat="1" ht="12.75" hidden="1" customHeight="1">
      <c r="A79" s="28">
        <f>'4 кв 2011 год'!A79</f>
        <v>0</v>
      </c>
      <c r="B79" s="102" t="s">
        <v>153</v>
      </c>
      <c r="C79" s="103" t="s">
        <v>70</v>
      </c>
      <c r="D79" s="104" t="s">
        <v>18</v>
      </c>
      <c r="E79" s="28">
        <f>'4 кв 2011 год'!E79</f>
        <v>0</v>
      </c>
      <c r="F79" s="105">
        <f t="shared" si="7"/>
        <v>2184.0200631979806</v>
      </c>
      <c r="G79" s="106">
        <f t="shared" si="15"/>
        <v>0</v>
      </c>
      <c r="H79" s="105">
        <f>'4 кв 2011 год'!H79</f>
        <v>1090.6184900000001</v>
      </c>
      <c r="I79" s="128">
        <f t="shared" si="8"/>
        <v>1177.8679692000001</v>
      </c>
      <c r="J79" s="135">
        <f t="shared" si="9"/>
        <v>1084.9657068405634</v>
      </c>
      <c r="K79" s="122">
        <v>2</v>
      </c>
      <c r="L79" s="109">
        <f>'4 кв 2011 год'!K79</f>
        <v>450</v>
      </c>
      <c r="M79" s="128">
        <f t="shared" si="10"/>
        <v>972.00000000000011</v>
      </c>
      <c r="N79" s="135">
        <f t="shared" si="11"/>
        <v>895.33521126760581</v>
      </c>
      <c r="O79" s="129">
        <f>(I79+M79)*0.1</f>
        <v>214.98679692000002</v>
      </c>
      <c r="P79" s="138">
        <f>O79/4.77*4.52</f>
        <v>203.71914508981135</v>
      </c>
      <c r="Q79" s="108">
        <f t="shared" si="14"/>
        <v>0</v>
      </c>
    </row>
    <row r="80" spans="1:20" s="107" customFormat="1" ht="12.75" hidden="1" customHeight="1">
      <c r="A80" s="28">
        <f>'4 кв 2011 год'!A80</f>
        <v>0</v>
      </c>
      <c r="B80" s="102" t="s">
        <v>153</v>
      </c>
      <c r="C80" s="103" t="s">
        <v>164</v>
      </c>
      <c r="D80" s="104" t="s">
        <v>18</v>
      </c>
      <c r="E80" s="28">
        <f>'4 кв 2011 год'!E80</f>
        <v>0</v>
      </c>
      <c r="F80" s="105">
        <f t="shared" si="7"/>
        <v>1205.2559551793784</v>
      </c>
      <c r="G80" s="106">
        <f t="shared" si="15"/>
        <v>0</v>
      </c>
      <c r="H80" s="105">
        <f>'4 кв 2011 год'!H80</f>
        <v>706.52689999999996</v>
      </c>
      <c r="I80" s="128">
        <f t="shared" si="8"/>
        <v>763.04905199999996</v>
      </c>
      <c r="J80" s="135">
        <f t="shared" si="9"/>
        <v>702.86490141971831</v>
      </c>
      <c r="K80" s="122">
        <v>2</v>
      </c>
      <c r="L80" s="109">
        <f>'4 кв 2011 год'!K80</f>
        <v>196</v>
      </c>
      <c r="M80" s="128">
        <f t="shared" si="10"/>
        <v>423.36</v>
      </c>
      <c r="N80" s="135">
        <f t="shared" si="11"/>
        <v>389.96822535211271</v>
      </c>
      <c r="O80" s="129">
        <f t="shared" si="12"/>
        <v>118.64090520000001</v>
      </c>
      <c r="P80" s="138">
        <f t="shared" si="13"/>
        <v>112.42282840754719</v>
      </c>
      <c r="Q80" s="108">
        <f t="shared" si="14"/>
        <v>0</v>
      </c>
      <c r="S80" s="108">
        <f>[1]реестры!$H$12026</f>
        <v>4634316.2823999999</v>
      </c>
    </row>
    <row r="81" spans="1:20" s="107" customFormat="1" ht="12.75" hidden="1" customHeight="1">
      <c r="A81" s="28">
        <f>'4 кв 2011 год'!A81</f>
        <v>0</v>
      </c>
      <c r="B81" s="102" t="s">
        <v>153</v>
      </c>
      <c r="C81" s="103" t="s">
        <v>71</v>
      </c>
      <c r="D81" s="104" t="s">
        <v>18</v>
      </c>
      <c r="E81" s="28">
        <f>'4 кв 2011 год'!E81</f>
        <v>0</v>
      </c>
      <c r="F81" s="105">
        <f t="shared" si="7"/>
        <v>995.68920662024993</v>
      </c>
      <c r="G81" s="106">
        <f t="shared" si="15"/>
        <v>0</v>
      </c>
      <c r="H81" s="105">
        <f>'4 кв 2011 год'!H81</f>
        <v>611.51792</v>
      </c>
      <c r="I81" s="128">
        <f t="shared" si="8"/>
        <v>660.4393536</v>
      </c>
      <c r="J81" s="135">
        <f t="shared" si="9"/>
        <v>608.34836233014096</v>
      </c>
      <c r="K81" s="122">
        <v>2</v>
      </c>
      <c r="L81" s="109">
        <f>'4 кв 2011 год'!K81</f>
        <v>148</v>
      </c>
      <c r="M81" s="128">
        <f t="shared" si="10"/>
        <v>319.68</v>
      </c>
      <c r="N81" s="135">
        <f t="shared" si="11"/>
        <v>294.46580281690143</v>
      </c>
      <c r="O81" s="129">
        <f t="shared" si="12"/>
        <v>98.01193536000001</v>
      </c>
      <c r="P81" s="138">
        <f t="shared" si="13"/>
        <v>92.875041473207546</v>
      </c>
      <c r="Q81" s="108">
        <f t="shared" si="14"/>
        <v>0</v>
      </c>
    </row>
    <row r="82" spans="1:20" s="107" customFormat="1" ht="12.75" hidden="1" customHeight="1">
      <c r="A82" s="28">
        <f>'4 кв 2011 год'!A82</f>
        <v>0</v>
      </c>
      <c r="B82" s="102" t="s">
        <v>153</v>
      </c>
      <c r="C82" s="103" t="s">
        <v>72</v>
      </c>
      <c r="D82" s="104" t="s">
        <v>18</v>
      </c>
      <c r="E82" s="28">
        <f>'4 кв 2011 год'!E82</f>
        <v>0</v>
      </c>
      <c r="F82" s="105">
        <f t="shared" si="7"/>
        <v>606.72755779962802</v>
      </c>
      <c r="G82" s="106">
        <f t="shared" si="15"/>
        <v>0</v>
      </c>
      <c r="H82" s="105">
        <f>'4 кв 2011 год'!H82</f>
        <v>405</v>
      </c>
      <c r="I82" s="128">
        <f t="shared" si="8"/>
        <v>437.40000000000003</v>
      </c>
      <c r="J82" s="135">
        <f t="shared" si="9"/>
        <v>402.90084507042258</v>
      </c>
      <c r="K82" s="122">
        <v>1</v>
      </c>
      <c r="L82" s="109">
        <f>'4 кв 2011 год'!K82</f>
        <v>148</v>
      </c>
      <c r="M82" s="128">
        <f t="shared" si="10"/>
        <v>159.84</v>
      </c>
      <c r="N82" s="135">
        <f t="shared" si="11"/>
        <v>147.23290140845072</v>
      </c>
      <c r="O82" s="129">
        <f t="shared" si="12"/>
        <v>59.724000000000004</v>
      </c>
      <c r="P82" s="138">
        <f t="shared" si="13"/>
        <v>56.593811320754725</v>
      </c>
      <c r="Q82" s="108">
        <f t="shared" si="14"/>
        <v>0</v>
      </c>
    </row>
    <row r="83" spans="1:20" s="35" customFormat="1" hidden="1">
      <c r="A83" s="28">
        <f>'4 кв 2011 год'!A83</f>
        <v>0</v>
      </c>
      <c r="B83" s="43" t="s">
        <v>149</v>
      </c>
      <c r="C83" s="30" t="s">
        <v>196</v>
      </c>
      <c r="D83" s="31" t="s">
        <v>18</v>
      </c>
      <c r="E83" s="28">
        <f>'4 кв 2011 год'!E83</f>
        <v>0</v>
      </c>
      <c r="F83" s="89">
        <f>J83+N83+P83</f>
        <v>4186.7492957746481</v>
      </c>
      <c r="G83" s="33">
        <f t="shared" si="15"/>
        <v>0</v>
      </c>
      <c r="H83" s="42">
        <v>3520</v>
      </c>
      <c r="I83" s="124">
        <f>H83*1.08</f>
        <v>3801.6000000000004</v>
      </c>
      <c r="J83" s="135">
        <f t="shared" si="9"/>
        <v>3501.7554929577468</v>
      </c>
      <c r="K83" s="120">
        <v>2</v>
      </c>
      <c r="L83" s="124">
        <v>148</v>
      </c>
      <c r="M83" s="128">
        <f t="shared" si="10"/>
        <v>319.68</v>
      </c>
      <c r="N83" s="135">
        <f t="shared" ref="N83" si="16">M83/3.55*3.27</f>
        <v>294.46580281690143</v>
      </c>
      <c r="O83" s="129">
        <f t="shared" ref="O83" si="17">(I83+M83)*0.1</f>
        <v>412.1280000000001</v>
      </c>
      <c r="P83" s="138">
        <f t="shared" ref="P83" si="18">O83/4.77*4.52</f>
        <v>390.52800000000013</v>
      </c>
      <c r="Q83" s="160">
        <f>(I83+L83)*E83</f>
        <v>0</v>
      </c>
    </row>
    <row r="84" spans="1:20" s="84" customFormat="1" ht="25.5" hidden="1" customHeight="1">
      <c r="A84" s="28">
        <f>'4 кв 2011 год'!A84</f>
        <v>0</v>
      </c>
      <c r="B84" s="29" t="s">
        <v>21</v>
      </c>
      <c r="C84" s="30" t="s">
        <v>174</v>
      </c>
      <c r="D84" s="31" t="s">
        <v>18</v>
      </c>
      <c r="E84" s="28">
        <f>'4 кв 2011 год'!E84</f>
        <v>0</v>
      </c>
      <c r="F84" s="32">
        <f>1227.23*5.65*1.18/1000/4.77*4.52</f>
        <v>7.7531194325366872</v>
      </c>
      <c r="G84" s="33">
        <f>E84*F84</f>
        <v>0</v>
      </c>
      <c r="H84" s="105">
        <f>'4 кв 2011 год'!H84</f>
        <v>0</v>
      </c>
      <c r="I84" s="145">
        <f t="shared" si="8"/>
        <v>0</v>
      </c>
      <c r="J84" s="124"/>
      <c r="K84" s="117"/>
      <c r="L84" s="109">
        <f>'4 кв 2011 год'!K84</f>
        <v>0</v>
      </c>
      <c r="M84" s="124">
        <f t="shared" si="10"/>
        <v>0</v>
      </c>
      <c r="N84" s="124"/>
      <c r="O84" s="129">
        <f t="shared" si="12"/>
        <v>0</v>
      </c>
      <c r="P84" s="142">
        <f>O84/4.77*4.52</f>
        <v>0</v>
      </c>
      <c r="Q84" s="35"/>
      <c r="R84" s="35"/>
      <c r="S84" s="35"/>
      <c r="T84" s="35"/>
    </row>
    <row r="85" spans="1:20" s="35" customFormat="1" hidden="1">
      <c r="A85" s="28">
        <f>'4 кв 2011 год'!A85</f>
        <v>0</v>
      </c>
      <c r="B85" s="43" t="s">
        <v>149</v>
      </c>
      <c r="C85" s="30" t="s">
        <v>170</v>
      </c>
      <c r="D85" s="31" t="s">
        <v>18</v>
      </c>
      <c r="E85" s="28">
        <f>'4 кв 2011 год'!E85</f>
        <v>0</v>
      </c>
      <c r="F85" s="42">
        <f t="shared" ref="F85:F95" si="19">(J85+N85)+P85</f>
        <v>4186.7492957746481</v>
      </c>
      <c r="G85" s="33">
        <f t="shared" ref="G85:G95" si="20">ROUND(F85*E85,3)</f>
        <v>0</v>
      </c>
      <c r="H85" s="105">
        <f>'4 кв 2011 год'!H85</f>
        <v>3520</v>
      </c>
      <c r="I85" s="139">
        <f t="shared" si="8"/>
        <v>3801.6000000000004</v>
      </c>
      <c r="J85" s="140">
        <f t="shared" ref="J85:J95" si="21">I85/3.55*3.27</f>
        <v>3501.7554929577468</v>
      </c>
      <c r="K85" s="120">
        <v>2</v>
      </c>
      <c r="L85" s="109">
        <f>'4 кв 2011 год'!K85</f>
        <v>148</v>
      </c>
      <c r="M85" s="139">
        <f t="shared" si="10"/>
        <v>319.68</v>
      </c>
      <c r="N85" s="140">
        <f t="shared" ref="N85:N95" si="22">M85/3.55*3.27</f>
        <v>294.46580281690143</v>
      </c>
      <c r="O85" s="129">
        <f t="shared" si="12"/>
        <v>412.1280000000001</v>
      </c>
      <c r="P85" s="141">
        <f t="shared" ref="P85:P125" si="23">O85/4.77*4.52</f>
        <v>390.52800000000013</v>
      </c>
      <c r="Q85" s="75">
        <f t="shared" si="14"/>
        <v>0</v>
      </c>
    </row>
    <row r="86" spans="1:20" s="35" customFormat="1" ht="12.75" hidden="1" customHeight="1">
      <c r="A86" s="28">
        <f>'4 кв 2011 год'!A86</f>
        <v>0</v>
      </c>
      <c r="B86" s="43" t="s">
        <v>19</v>
      </c>
      <c r="C86" s="30" t="s">
        <v>171</v>
      </c>
      <c r="D86" s="31" t="s">
        <v>18</v>
      </c>
      <c r="E86" s="28">
        <f>'4 кв 2011 год'!E86</f>
        <v>0</v>
      </c>
      <c r="F86" s="42">
        <f t="shared" si="19"/>
        <v>5225.7565240499598</v>
      </c>
      <c r="G86" s="33">
        <f t="shared" si="20"/>
        <v>0</v>
      </c>
      <c r="H86" s="105">
        <f>'4 кв 2011 год'!H86</f>
        <v>4371</v>
      </c>
      <c r="I86" s="139">
        <f t="shared" si="8"/>
        <v>4720.68</v>
      </c>
      <c r="J86" s="140">
        <f t="shared" si="21"/>
        <v>4348.3446760563384</v>
      </c>
      <c r="K86" s="120">
        <v>2</v>
      </c>
      <c r="L86" s="109">
        <f>'4 кв 2011 год'!K86</f>
        <v>196</v>
      </c>
      <c r="M86" s="139">
        <f t="shared" si="10"/>
        <v>423.36</v>
      </c>
      <c r="N86" s="140">
        <f t="shared" si="22"/>
        <v>389.96822535211271</v>
      </c>
      <c r="O86" s="129">
        <f t="shared" si="12"/>
        <v>514.404</v>
      </c>
      <c r="P86" s="141">
        <f t="shared" si="23"/>
        <v>487.44362264150942</v>
      </c>
      <c r="Q86" s="75">
        <f t="shared" si="14"/>
        <v>0</v>
      </c>
    </row>
    <row r="87" spans="1:20" s="35" customFormat="1" ht="12.75" hidden="1" customHeight="1">
      <c r="A87" s="28">
        <f>'4 кв 2011 год'!A87</f>
        <v>0</v>
      </c>
      <c r="B87" s="43" t="s">
        <v>20</v>
      </c>
      <c r="C87" s="30" t="s">
        <v>172</v>
      </c>
      <c r="D87" s="31" t="s">
        <v>18</v>
      </c>
      <c r="E87" s="28">
        <f>'4 кв 2011 год'!E87</f>
        <v>0</v>
      </c>
      <c r="F87" s="42">
        <f t="shared" si="19"/>
        <v>5527.4745681636996</v>
      </c>
      <c r="G87" s="33">
        <f t="shared" si="20"/>
        <v>0</v>
      </c>
      <c r="H87" s="105">
        <f>'4 кв 2011 год'!H87</f>
        <v>4450</v>
      </c>
      <c r="I87" s="139">
        <f t="shared" si="8"/>
        <v>4806</v>
      </c>
      <c r="J87" s="140">
        <f t="shared" si="21"/>
        <v>4426.9352112676061</v>
      </c>
      <c r="K87" s="120">
        <v>2</v>
      </c>
      <c r="L87" s="109">
        <f>'4 кв 2011 год'!K87</f>
        <v>294</v>
      </c>
      <c r="M87" s="139">
        <f t="shared" si="10"/>
        <v>635.04000000000008</v>
      </c>
      <c r="N87" s="140">
        <f t="shared" si="22"/>
        <v>584.95233802816915</v>
      </c>
      <c r="O87" s="129">
        <f t="shared" si="12"/>
        <v>544.10400000000004</v>
      </c>
      <c r="P87" s="141">
        <f t="shared" si="23"/>
        <v>515.5870188679246</v>
      </c>
      <c r="Q87" s="75">
        <f t="shared" si="14"/>
        <v>0</v>
      </c>
    </row>
    <row r="88" spans="1:20" s="35" customFormat="1" ht="12.75" hidden="1" customHeight="1">
      <c r="A88" s="28">
        <f>'4 кв 2011 год'!A88</f>
        <v>0</v>
      </c>
      <c r="B88" s="115" t="s">
        <v>150</v>
      </c>
      <c r="C88" s="30" t="s">
        <v>173</v>
      </c>
      <c r="D88" s="31" t="s">
        <v>18</v>
      </c>
      <c r="E88" s="28">
        <f>'4 кв 2011 год'!E88</f>
        <v>0</v>
      </c>
      <c r="F88" s="42">
        <f>(J88+N88)+P88</f>
        <v>8283.5317565772002</v>
      </c>
      <c r="G88" s="33">
        <f t="shared" si="20"/>
        <v>0</v>
      </c>
      <c r="H88" s="105">
        <f>'4 кв 2011 год'!H88</f>
        <v>6650</v>
      </c>
      <c r="I88" s="139">
        <f t="shared" si="8"/>
        <v>7182.0000000000009</v>
      </c>
      <c r="J88" s="140">
        <f t="shared" si="21"/>
        <v>6615.5323943661979</v>
      </c>
      <c r="K88" s="120">
        <v>2</v>
      </c>
      <c r="L88" s="109">
        <f>'4 кв 2011 год'!K88</f>
        <v>450</v>
      </c>
      <c r="M88" s="139">
        <f>L88*1.08*K88</f>
        <v>972.00000000000011</v>
      </c>
      <c r="N88" s="140">
        <f>M88/3.55*3.27</f>
        <v>895.33521126760581</v>
      </c>
      <c r="O88" s="129">
        <f t="shared" si="12"/>
        <v>815.40000000000009</v>
      </c>
      <c r="P88" s="141">
        <f t="shared" si="23"/>
        <v>772.66415094339629</v>
      </c>
      <c r="Q88" s="75">
        <f t="shared" si="14"/>
        <v>0</v>
      </c>
    </row>
    <row r="89" spans="1:20" s="35" customFormat="1" ht="12.75" hidden="1" customHeight="1">
      <c r="A89" s="28">
        <f>'4 кв 2011 год'!A89</f>
        <v>0</v>
      </c>
      <c r="B89" s="29" t="s">
        <v>17</v>
      </c>
      <c r="C89" s="30" t="s">
        <v>73</v>
      </c>
      <c r="D89" s="31" t="s">
        <v>18</v>
      </c>
      <c r="E89" s="28">
        <f>'4 кв 2011 год'!E89</f>
        <v>0</v>
      </c>
      <c r="F89" s="42">
        <f t="shared" si="19"/>
        <v>6144.0765346797771</v>
      </c>
      <c r="G89" s="33">
        <f t="shared" si="20"/>
        <v>0</v>
      </c>
      <c r="H89" s="105">
        <f>'4 кв 2011 год'!H89</f>
        <v>4700</v>
      </c>
      <c r="I89" s="139">
        <f t="shared" si="8"/>
        <v>5076</v>
      </c>
      <c r="J89" s="140">
        <f t="shared" si="21"/>
        <v>4675.6394366197183</v>
      </c>
      <c r="K89" s="120">
        <v>2</v>
      </c>
      <c r="L89" s="109">
        <f>'4 кв 2011 год'!K89</f>
        <v>450</v>
      </c>
      <c r="M89" s="139">
        <f t="shared" si="10"/>
        <v>972.00000000000011</v>
      </c>
      <c r="N89" s="140">
        <f t="shared" si="22"/>
        <v>895.33521126760581</v>
      </c>
      <c r="O89" s="129">
        <f t="shared" si="12"/>
        <v>604.80000000000007</v>
      </c>
      <c r="P89" s="141">
        <f t="shared" si="23"/>
        <v>573.10188679245289</v>
      </c>
      <c r="Q89" s="75">
        <f t="shared" si="14"/>
        <v>0</v>
      </c>
    </row>
    <row r="90" spans="1:20" s="35" customFormat="1" ht="12.75" hidden="1" customHeight="1">
      <c r="A90" s="28">
        <f>'4 кв 2011 год'!A90</f>
        <v>0</v>
      </c>
      <c r="B90" s="29" t="s">
        <v>74</v>
      </c>
      <c r="C90" s="30" t="s">
        <v>75</v>
      </c>
      <c r="D90" s="31" t="s">
        <v>18</v>
      </c>
      <c r="E90" s="28">
        <f>'4 кв 2011 год'!E90</f>
        <v>0</v>
      </c>
      <c r="F90" s="42">
        <f t="shared" si="19"/>
        <v>12343.010895562051</v>
      </c>
      <c r="G90" s="33">
        <f t="shared" si="20"/>
        <v>0</v>
      </c>
      <c r="H90" s="105">
        <f>'4 кв 2011 год'!H90</f>
        <v>10125</v>
      </c>
      <c r="I90" s="139">
        <f t="shared" si="8"/>
        <v>10935</v>
      </c>
      <c r="J90" s="140">
        <f t="shared" si="21"/>
        <v>10072.521126760563</v>
      </c>
      <c r="K90" s="120">
        <v>2</v>
      </c>
      <c r="L90" s="109">
        <f>'4 кв 2011 год'!K90</f>
        <v>562.5</v>
      </c>
      <c r="M90" s="139">
        <f t="shared" si="10"/>
        <v>1215</v>
      </c>
      <c r="N90" s="140">
        <f t="shared" si="22"/>
        <v>1119.1690140845071</v>
      </c>
      <c r="O90" s="129">
        <f t="shared" si="12"/>
        <v>1215</v>
      </c>
      <c r="P90" s="141">
        <f>O90/4.77*4.52</f>
        <v>1151.3207547169811</v>
      </c>
      <c r="Q90" s="75">
        <f t="shared" si="14"/>
        <v>0</v>
      </c>
    </row>
    <row r="91" spans="1:20" s="35" customFormat="1" ht="25.5" hidden="1" customHeight="1">
      <c r="A91" s="28">
        <f>'4 кв 2011 год'!A91</f>
        <v>0</v>
      </c>
      <c r="B91" s="29" t="s">
        <v>142</v>
      </c>
      <c r="C91" s="30" t="s">
        <v>143</v>
      </c>
      <c r="D91" s="31" t="s">
        <v>18</v>
      </c>
      <c r="E91" s="28">
        <f>'4 кв 2011 год'!E91</f>
        <v>0</v>
      </c>
      <c r="F91" s="42">
        <f t="shared" si="19"/>
        <v>3451.6544246611747</v>
      </c>
      <c r="G91" s="33">
        <f t="shared" si="20"/>
        <v>0</v>
      </c>
      <c r="H91" s="105">
        <f>'4 кв 2011 год'!H91</f>
        <v>2850</v>
      </c>
      <c r="I91" s="139">
        <f t="shared" si="8"/>
        <v>3078</v>
      </c>
      <c r="J91" s="140">
        <f t="shared" si="21"/>
        <v>2835.2281690140844</v>
      </c>
      <c r="K91" s="120">
        <v>2</v>
      </c>
      <c r="L91" s="109">
        <f>'4 кв 2011 год'!K91</f>
        <v>148</v>
      </c>
      <c r="M91" s="139">
        <f t="shared" si="10"/>
        <v>319.68</v>
      </c>
      <c r="N91" s="140">
        <f t="shared" si="22"/>
        <v>294.46580281690143</v>
      </c>
      <c r="O91" s="129">
        <f t="shared" si="12"/>
        <v>339.76800000000003</v>
      </c>
      <c r="P91" s="141">
        <f t="shared" si="23"/>
        <v>321.96045283018873</v>
      </c>
      <c r="Q91" s="75">
        <f t="shared" si="14"/>
        <v>0</v>
      </c>
    </row>
    <row r="92" spans="1:20" s="35" customFormat="1" ht="25.5" hidden="1" customHeight="1">
      <c r="A92" s="28">
        <f>'4 кв 2011 год'!A92</f>
        <v>0</v>
      </c>
      <c r="B92" s="29" t="s">
        <v>17</v>
      </c>
      <c r="C92" s="30" t="s">
        <v>76</v>
      </c>
      <c r="D92" s="31" t="s">
        <v>18</v>
      </c>
      <c r="E92" s="28">
        <f>'4 кв 2011 год'!E92</f>
        <v>0</v>
      </c>
      <c r="F92" s="42">
        <f t="shared" si="19"/>
        <v>3908.0715386659585</v>
      </c>
      <c r="G92" s="33">
        <f t="shared" si="20"/>
        <v>0</v>
      </c>
      <c r="H92" s="105">
        <f>'4 кв 2011 год'!H92</f>
        <v>3170</v>
      </c>
      <c r="I92" s="139">
        <f t="shared" si="8"/>
        <v>3423.6000000000004</v>
      </c>
      <c r="J92" s="140">
        <f t="shared" si="21"/>
        <v>3153.5695774647893</v>
      </c>
      <c r="K92" s="120">
        <v>2</v>
      </c>
      <c r="L92" s="109">
        <f>'4 кв 2011 год'!K92</f>
        <v>196</v>
      </c>
      <c r="M92" s="139">
        <f t="shared" si="10"/>
        <v>423.36</v>
      </c>
      <c r="N92" s="140">
        <f t="shared" si="22"/>
        <v>389.96822535211271</v>
      </c>
      <c r="O92" s="129">
        <f t="shared" si="12"/>
        <v>384.69600000000008</v>
      </c>
      <c r="P92" s="141">
        <f t="shared" si="23"/>
        <v>364.53373584905671</v>
      </c>
      <c r="Q92" s="75">
        <f t="shared" si="14"/>
        <v>0</v>
      </c>
    </row>
    <row r="93" spans="1:20" s="35" customFormat="1" ht="25.5" hidden="1" customHeight="1">
      <c r="A93" s="28">
        <f>'4 кв 2011 год'!A93</f>
        <v>0</v>
      </c>
      <c r="B93" s="73" t="s">
        <v>77</v>
      </c>
      <c r="C93" s="30" t="s">
        <v>78</v>
      </c>
      <c r="D93" s="31" t="s">
        <v>18</v>
      </c>
      <c r="E93" s="28">
        <f>'4 кв 2011 год'!E93</f>
        <v>0</v>
      </c>
      <c r="F93" s="42">
        <f>(J93+N93)+P93</f>
        <v>4869.1806537337234</v>
      </c>
      <c r="G93" s="33">
        <f t="shared" si="20"/>
        <v>0</v>
      </c>
      <c r="H93" s="105">
        <f>'4 кв 2011 год'!H93</f>
        <v>3850</v>
      </c>
      <c r="I93" s="139">
        <f t="shared" si="8"/>
        <v>4158</v>
      </c>
      <c r="J93" s="140">
        <f t="shared" si="21"/>
        <v>3830.0450704225359</v>
      </c>
      <c r="K93" s="120">
        <v>2</v>
      </c>
      <c r="L93" s="109">
        <f>'4 кв 2011 год'!K93</f>
        <v>294</v>
      </c>
      <c r="M93" s="139">
        <f t="shared" si="10"/>
        <v>635.04000000000008</v>
      </c>
      <c r="N93" s="140">
        <f t="shared" si="22"/>
        <v>584.95233802816915</v>
      </c>
      <c r="O93" s="129">
        <f t="shared" si="12"/>
        <v>479.30400000000003</v>
      </c>
      <c r="P93" s="141">
        <f>O93/4.77*4.52</f>
        <v>454.18324528301889</v>
      </c>
      <c r="Q93" s="75">
        <f t="shared" si="14"/>
        <v>0</v>
      </c>
    </row>
    <row r="94" spans="1:20" s="35" customFormat="1" ht="25.5" hidden="1" customHeight="1">
      <c r="A94" s="28">
        <f>'4 кв 2011 год'!A94</f>
        <v>0</v>
      </c>
      <c r="B94" s="29" t="s">
        <v>17</v>
      </c>
      <c r="C94" s="30" t="s">
        <v>79</v>
      </c>
      <c r="D94" s="31" t="s">
        <v>18</v>
      </c>
      <c r="E94" s="28">
        <f>'4 кв 2011 год'!E94</f>
        <v>0</v>
      </c>
      <c r="F94" s="42">
        <f>(J94+N94)+P94</f>
        <v>4484.3221511908032</v>
      </c>
      <c r="G94" s="33">
        <f t="shared" si="20"/>
        <v>0</v>
      </c>
      <c r="H94" s="105">
        <f>'4 кв 2011 год'!H94</f>
        <v>3791.2218802816906</v>
      </c>
      <c r="I94" s="139">
        <f t="shared" si="8"/>
        <v>4094.5196307042261</v>
      </c>
      <c r="J94" s="140">
        <f t="shared" si="21"/>
        <v>3771.5716034937523</v>
      </c>
      <c r="K94" s="120">
        <v>2</v>
      </c>
      <c r="L94" s="109">
        <f>'4 кв 2011 год'!K94</f>
        <v>148</v>
      </c>
      <c r="M94" s="139">
        <f t="shared" si="10"/>
        <v>319.68</v>
      </c>
      <c r="N94" s="140">
        <f t="shared" si="22"/>
        <v>294.46580281690143</v>
      </c>
      <c r="O94" s="129">
        <f t="shared" si="12"/>
        <v>441.41996307042268</v>
      </c>
      <c r="P94" s="141">
        <f>O94/4.77*4.52</f>
        <v>418.28474488014899</v>
      </c>
      <c r="Q94" s="75">
        <f t="shared" si="14"/>
        <v>0</v>
      </c>
    </row>
    <row r="95" spans="1:20" s="35" customFormat="1" ht="25.5" hidden="1" customHeight="1">
      <c r="A95" s="28">
        <f>'4 кв 2011 год'!A95</f>
        <v>0</v>
      </c>
      <c r="B95" s="29" t="s">
        <v>17</v>
      </c>
      <c r="C95" s="30" t="s">
        <v>80</v>
      </c>
      <c r="D95" s="31" t="s">
        <v>18</v>
      </c>
      <c r="E95" s="28">
        <f>'4 кв 2011 год'!E95</f>
        <v>0</v>
      </c>
      <c r="F95" s="42">
        <f t="shared" si="19"/>
        <v>5605.4488410322156</v>
      </c>
      <c r="G95" s="33">
        <f t="shared" si="20"/>
        <v>0</v>
      </c>
      <c r="H95" s="105">
        <f>'4 кв 2011 год'!H95</f>
        <v>4717.0694154929579</v>
      </c>
      <c r="I95" s="139">
        <f t="shared" si="8"/>
        <v>5094.4349687323947</v>
      </c>
      <c r="J95" s="140">
        <f t="shared" si="21"/>
        <v>4692.6203796492764</v>
      </c>
      <c r="K95" s="120">
        <v>2</v>
      </c>
      <c r="L95" s="109">
        <f>'4 кв 2011 год'!K95</f>
        <v>196</v>
      </c>
      <c r="M95" s="139">
        <f t="shared" si="10"/>
        <v>423.36</v>
      </c>
      <c r="N95" s="140">
        <f t="shared" si="22"/>
        <v>389.96822535211271</v>
      </c>
      <c r="O95" s="129">
        <f>(I95+M95)*0.1</f>
        <v>551.77949687323951</v>
      </c>
      <c r="P95" s="141">
        <f t="shared" si="23"/>
        <v>522.86023603082651</v>
      </c>
      <c r="Q95" s="75">
        <f t="shared" si="14"/>
        <v>0</v>
      </c>
    </row>
    <row r="96" spans="1:20" s="35" customFormat="1" ht="25.5" hidden="1" customHeight="1">
      <c r="A96" s="28">
        <f>'4 кв 2011 год'!A96</f>
        <v>0</v>
      </c>
      <c r="B96" s="29" t="s">
        <v>21</v>
      </c>
      <c r="C96" s="30" t="s">
        <v>81</v>
      </c>
      <c r="D96" s="31" t="s">
        <v>18</v>
      </c>
      <c r="E96" s="28">
        <f>'4 кв 2011 год'!E96</f>
        <v>0</v>
      </c>
      <c r="F96" s="32">
        <f>I96+P96</f>
        <v>733.59050019287213</v>
      </c>
      <c r="G96" s="33">
        <f>E96*F96</f>
        <v>0</v>
      </c>
      <c r="H96" s="105">
        <f>'4 кв 2011 год'!H96</f>
        <v>0</v>
      </c>
      <c r="I96" s="164"/>
      <c r="J96" s="46"/>
      <c r="K96" s="46"/>
      <c r="L96" s="46"/>
      <c r="M96" s="46"/>
      <c r="N96" s="46"/>
      <c r="O96" s="42">
        <f>774.165196</f>
        <v>774.16519600000004</v>
      </c>
      <c r="P96" s="142">
        <f>O96/4.77*4.52</f>
        <v>733.59050019287213</v>
      </c>
      <c r="Q96" s="35">
        <f>H96*E96</f>
        <v>0</v>
      </c>
    </row>
    <row r="97" spans="1:20" s="35" customFormat="1" ht="25.5" hidden="1" customHeight="1">
      <c r="A97" s="28">
        <f>'4 кв 2011 год'!A97</f>
        <v>0</v>
      </c>
      <c r="B97" s="29" t="s">
        <v>21</v>
      </c>
      <c r="C97" s="30" t="s">
        <v>82</v>
      </c>
      <c r="D97" s="31" t="s">
        <v>18</v>
      </c>
      <c r="E97" s="28">
        <f>'4 кв 2011 год'!E97</f>
        <v>0</v>
      </c>
      <c r="F97" s="32">
        <f t="shared" ref="F97:F125" si="24">I97+P97</f>
        <v>14.025011337164942</v>
      </c>
      <c r="G97" s="33">
        <f>ROUND(F97*E97,3)</f>
        <v>0</v>
      </c>
      <c r="H97" s="105" t="str">
        <f>'4 кв 2011 год'!H97</f>
        <v>Делала расчет на монтаж светильников 1,5 м - 63 шт, 2,5 м - 132 шт. двухрожковые</v>
      </c>
      <c r="I97" s="141"/>
      <c r="J97" s="49"/>
      <c r="K97" s="49"/>
      <c r="L97" s="49"/>
      <c r="M97" s="49"/>
      <c r="N97" s="49"/>
      <c r="O97" s="32">
        <f>14.8007309907692</f>
        <v>14.8007309907692</v>
      </c>
      <c r="P97" s="142">
        <f t="shared" si="23"/>
        <v>14.025011337164942</v>
      </c>
    </row>
    <row r="98" spans="1:20" s="35" customFormat="1" ht="12.75" hidden="1" customHeight="1">
      <c r="A98" s="28">
        <f>'4 кв 2011 год'!A98</f>
        <v>0</v>
      </c>
      <c r="B98" s="36" t="s">
        <v>21</v>
      </c>
      <c r="C98" s="37" t="s">
        <v>82</v>
      </c>
      <c r="D98" s="38" t="s">
        <v>49</v>
      </c>
      <c r="E98" s="28">
        <f>'4 кв 2011 год'!E98</f>
        <v>0</v>
      </c>
      <c r="F98" s="32">
        <f>I98+P98</f>
        <v>45.148966058494587</v>
      </c>
      <c r="G98" s="40">
        <f>ROUND(F98*E98,3)</f>
        <v>0</v>
      </c>
      <c r="H98" s="105">
        <f>'4 кв 2011 год'!H98</f>
        <v>0</v>
      </c>
      <c r="I98" s="146"/>
      <c r="J98" s="41"/>
      <c r="K98" s="41"/>
      <c r="L98" s="41"/>
      <c r="M98" s="41"/>
      <c r="N98" s="41"/>
      <c r="O98" s="39">
        <f>42.6113889202797*1.18/4.77*4.52</f>
        <v>47.64614338473875</v>
      </c>
      <c r="P98" s="142">
        <f>O98/4.77*4.52</f>
        <v>45.148966058494587</v>
      </c>
      <c r="Q98" s="41"/>
      <c r="R98" s="41"/>
      <c r="S98" s="41"/>
      <c r="T98" s="41"/>
    </row>
    <row r="99" spans="1:20" s="35" customFormat="1" ht="12.75" hidden="1" customHeight="1">
      <c r="A99" s="28">
        <f>'4 кв 2011 год'!A99</f>
        <v>0</v>
      </c>
      <c r="B99" s="29" t="s">
        <v>21</v>
      </c>
      <c r="C99" s="30" t="s">
        <v>84</v>
      </c>
      <c r="D99" s="31" t="s">
        <v>18</v>
      </c>
      <c r="E99" s="28">
        <f>'4 кв 2011 год'!E99</f>
        <v>0</v>
      </c>
      <c r="F99" s="32">
        <f t="shared" si="24"/>
        <v>1.2710970549502465</v>
      </c>
      <c r="G99" s="33">
        <f>E99*F99</f>
        <v>0</v>
      </c>
      <c r="H99" s="105">
        <f>'4 кв 2011 год'!H99</f>
        <v>0.42</v>
      </c>
      <c r="I99" s="141">
        <f t="shared" ref="I99:I100" si="25">H99/3.55*3.27</f>
        <v>0.38687323943661972</v>
      </c>
      <c r="J99" s="46"/>
      <c r="K99" s="46"/>
      <c r="L99" s="46"/>
      <c r="M99" s="46"/>
      <c r="N99" s="46"/>
      <c r="O99" s="35">
        <f>0.93313</f>
        <v>0.93313000000000001</v>
      </c>
      <c r="P99" s="142">
        <f t="shared" si="23"/>
        <v>0.88422381551362683</v>
      </c>
      <c r="Q99" s="35">
        <f t="shared" ref="Q99:Q110" si="26">H99*E99</f>
        <v>0</v>
      </c>
    </row>
    <row r="100" spans="1:20" s="35" customFormat="1" ht="25.5" hidden="1" customHeight="1">
      <c r="A100" s="28">
        <f>'4 кв 2011 год'!A100</f>
        <v>0</v>
      </c>
      <c r="B100" s="29" t="s">
        <v>21</v>
      </c>
      <c r="C100" s="30" t="s">
        <v>85</v>
      </c>
      <c r="D100" s="31" t="s">
        <v>18</v>
      </c>
      <c r="E100" s="28">
        <f>'4 кв 2011 год'!E100</f>
        <v>0</v>
      </c>
      <c r="F100" s="32">
        <f t="shared" si="24"/>
        <v>2.5054069141051762</v>
      </c>
      <c r="G100" s="33">
        <f>E100*F100</f>
        <v>0</v>
      </c>
      <c r="H100" s="105">
        <f>'4 кв 2011 год'!H100</f>
        <v>1.76</v>
      </c>
      <c r="I100" s="141">
        <f t="shared" si="25"/>
        <v>1.6211830985915494</v>
      </c>
      <c r="J100" s="46"/>
      <c r="K100" s="46"/>
      <c r="L100" s="46"/>
      <c r="M100" s="46"/>
      <c r="N100" s="46"/>
      <c r="O100" s="35">
        <f>0.93313</f>
        <v>0.93313000000000001</v>
      </c>
      <c r="P100" s="142">
        <f t="shared" si="23"/>
        <v>0.88422381551362683</v>
      </c>
      <c r="Q100" s="35">
        <f t="shared" si="26"/>
        <v>0</v>
      </c>
    </row>
    <row r="101" spans="1:20" s="35" customFormat="1" ht="27.75" hidden="1" customHeight="1">
      <c r="A101" s="28">
        <f>'4 кв 2011 год'!A101</f>
        <v>0</v>
      </c>
      <c r="B101" s="29" t="s">
        <v>21</v>
      </c>
      <c r="C101" s="30" t="s">
        <v>87</v>
      </c>
      <c r="D101" s="31" t="s">
        <v>18</v>
      </c>
      <c r="E101" s="28">
        <f>'4 кв 2011 год'!E101</f>
        <v>0</v>
      </c>
      <c r="F101" s="32">
        <f t="shared" si="24"/>
        <v>120.17893501048219</v>
      </c>
      <c r="G101" s="50">
        <f>E101*F101</f>
        <v>0</v>
      </c>
      <c r="H101" s="105">
        <f>'4 кв 2011 год'!H101</f>
        <v>0</v>
      </c>
      <c r="I101" s="136"/>
      <c r="J101" s="46"/>
      <c r="K101" s="46"/>
      <c r="L101" s="46"/>
      <c r="M101" s="46"/>
      <c r="N101" s="46"/>
      <c r="O101" s="42">
        <f>12682.6/100</f>
        <v>126.82600000000001</v>
      </c>
      <c r="P101" s="142">
        <f t="shared" si="23"/>
        <v>120.17893501048219</v>
      </c>
      <c r="Q101" s="35">
        <f t="shared" si="26"/>
        <v>0</v>
      </c>
    </row>
    <row r="102" spans="1:20" s="35" customFormat="1" ht="28.5" hidden="1" customHeight="1">
      <c r="A102" s="28">
        <f>'4 кв 2011 год'!A102</f>
        <v>0</v>
      </c>
      <c r="B102" s="43" t="s">
        <v>89</v>
      </c>
      <c r="C102" s="30" t="s">
        <v>90</v>
      </c>
      <c r="D102" s="31" t="s">
        <v>18</v>
      </c>
      <c r="E102" s="28">
        <f>'4 кв 2011 год'!E102</f>
        <v>0</v>
      </c>
      <c r="F102" s="32">
        <f t="shared" si="24"/>
        <v>14663.57281654397</v>
      </c>
      <c r="G102" s="50">
        <f t="shared" ref="G102:G113" si="27">ROUND(F102*E102,3)</f>
        <v>0</v>
      </c>
      <c r="H102" s="105">
        <f>'4 кв 2011 год'!H102</f>
        <v>15896.392083935998</v>
      </c>
      <c r="I102" s="141">
        <f t="shared" ref="I102:I125" si="28">H102/3.55*3.27</f>
        <v>14642.592144921329</v>
      </c>
      <c r="J102" s="49"/>
      <c r="K102" s="49"/>
      <c r="L102" s="49"/>
      <c r="M102" s="49"/>
      <c r="N102" s="49"/>
      <c r="O102" s="35">
        <f>(3.321*5.65*1.18)</f>
        <v>22.141107000000002</v>
      </c>
      <c r="P102" s="142">
        <f t="shared" si="23"/>
        <v>20.980671622641513</v>
      </c>
      <c r="Q102" s="35">
        <f t="shared" si="26"/>
        <v>0</v>
      </c>
    </row>
    <row r="103" spans="1:20" s="35" customFormat="1" ht="12.75" hidden="1" customHeight="1">
      <c r="A103" s="28">
        <f>'4 кв 2011 год'!A103</f>
        <v>0</v>
      </c>
      <c r="B103" s="29" t="s">
        <v>17</v>
      </c>
      <c r="C103" s="30" t="s">
        <v>91</v>
      </c>
      <c r="D103" s="31" t="s">
        <v>18</v>
      </c>
      <c r="E103" s="28">
        <f>'4 кв 2011 год'!E103</f>
        <v>0</v>
      </c>
      <c r="F103" s="32">
        <f>J103+N103+P103</f>
        <v>134.95025245814509</v>
      </c>
      <c r="G103" s="33">
        <f t="shared" si="27"/>
        <v>0</v>
      </c>
      <c r="H103" s="105">
        <f>'4 кв 2011 год'!H103</f>
        <v>65</v>
      </c>
      <c r="I103" s="139">
        <f t="shared" ref="I103" si="29">H103*1.08</f>
        <v>70.2</v>
      </c>
      <c r="J103" s="140">
        <f t="shared" ref="J103" si="30">I103/3.55*3.27</f>
        <v>64.6630985915493</v>
      </c>
      <c r="K103" s="120">
        <v>1</v>
      </c>
      <c r="L103" s="109">
        <f>'4 кв 2011 год'!K103</f>
        <v>58</v>
      </c>
      <c r="M103" s="139">
        <f t="shared" ref="M103" si="31">L103*1.08*K103</f>
        <v>62.64</v>
      </c>
      <c r="N103" s="140">
        <f t="shared" ref="N103" si="32">M103/3.55*3.27</f>
        <v>57.699380281690146</v>
      </c>
      <c r="O103" s="129">
        <f t="shared" ref="O103" si="33">(I103+M103)*0.1</f>
        <v>13.284000000000001</v>
      </c>
      <c r="P103" s="141">
        <f>O103/4.77*4.52</f>
        <v>12.58777358490566</v>
      </c>
      <c r="Q103" s="35">
        <f t="shared" si="26"/>
        <v>0</v>
      </c>
    </row>
    <row r="104" spans="1:20" s="35" customFormat="1" ht="12.75" hidden="1" customHeight="1">
      <c r="A104" s="28">
        <f>'4 кв 2011 год'!A104</f>
        <v>0</v>
      </c>
      <c r="B104" s="29" t="s">
        <v>92</v>
      </c>
      <c r="C104" s="30" t="s">
        <v>93</v>
      </c>
      <c r="D104" s="31" t="s">
        <v>18</v>
      </c>
      <c r="E104" s="28">
        <f>'4 кв 2011 год'!E104</f>
        <v>0</v>
      </c>
      <c r="F104" s="32">
        <f>J104+N104+P104</f>
        <v>144.82466117459475</v>
      </c>
      <c r="G104" s="33">
        <f t="shared" si="27"/>
        <v>0</v>
      </c>
      <c r="H104" s="105">
        <f>'4 кв 2011 год'!H104</f>
        <v>66</v>
      </c>
      <c r="I104" s="139">
        <f t="shared" ref="I104:I105" si="34">H104*1.08</f>
        <v>71.28</v>
      </c>
      <c r="J104" s="140">
        <f t="shared" ref="J104:J105" si="35">I104/3.55*3.27</f>
        <v>65.657915492957756</v>
      </c>
      <c r="K104" s="120">
        <v>1</v>
      </c>
      <c r="L104" s="109">
        <f>'4 кв 2011 год'!K104</f>
        <v>66</v>
      </c>
      <c r="M104" s="139">
        <f t="shared" ref="M104:M105" si="36">L104*1.08*K104</f>
        <v>71.28</v>
      </c>
      <c r="N104" s="140">
        <f t="shared" ref="N104:N105" si="37">M104/3.55*3.27</f>
        <v>65.657915492957756</v>
      </c>
      <c r="O104" s="129">
        <f t="shared" ref="O104:O105" si="38">(I104+M104)*0.1</f>
        <v>14.256</v>
      </c>
      <c r="P104" s="141">
        <f t="shared" ref="P104:P105" si="39">O104/4.77*4.52</f>
        <v>13.508830188679244</v>
      </c>
      <c r="Q104" s="35">
        <f t="shared" si="26"/>
        <v>0</v>
      </c>
    </row>
    <row r="105" spans="1:20" s="35" customFormat="1" ht="12.75" hidden="1" customHeight="1">
      <c r="A105" s="28">
        <f>'4 кв 2011 год'!A105</f>
        <v>0</v>
      </c>
      <c r="B105" s="29" t="s">
        <v>145</v>
      </c>
      <c r="C105" s="30" t="s">
        <v>144</v>
      </c>
      <c r="D105" s="31" t="s">
        <v>18</v>
      </c>
      <c r="E105" s="28">
        <f>'4 кв 2011 год'!E105</f>
        <v>0</v>
      </c>
      <c r="F105" s="32">
        <f>J105+N105+P105</f>
        <v>164.57347860749405</v>
      </c>
      <c r="G105" s="33">
        <f t="shared" si="27"/>
        <v>0</v>
      </c>
      <c r="H105" s="105">
        <f>'4 кв 2011 год'!H105</f>
        <v>72</v>
      </c>
      <c r="I105" s="139">
        <f t="shared" si="34"/>
        <v>77.760000000000005</v>
      </c>
      <c r="J105" s="140">
        <f t="shared" si="35"/>
        <v>71.626816901408461</v>
      </c>
      <c r="K105" s="120">
        <v>1</v>
      </c>
      <c r="L105" s="109">
        <f>'4 кв 2011 год'!K105</f>
        <v>78</v>
      </c>
      <c r="M105" s="139">
        <f t="shared" si="36"/>
        <v>84.240000000000009</v>
      </c>
      <c r="N105" s="140">
        <f t="shared" si="37"/>
        <v>77.595718309859166</v>
      </c>
      <c r="O105" s="129">
        <f t="shared" si="38"/>
        <v>16.2</v>
      </c>
      <c r="P105" s="141">
        <f t="shared" si="39"/>
        <v>15.350943396226414</v>
      </c>
      <c r="Q105" s="35">
        <f t="shared" si="26"/>
        <v>0</v>
      </c>
    </row>
    <row r="106" spans="1:20" s="35" customFormat="1" ht="12.75" hidden="1" customHeight="1">
      <c r="A106" s="28">
        <f>'4 кв 2011 год'!A106</f>
        <v>0</v>
      </c>
      <c r="B106" s="29" t="s">
        <v>17</v>
      </c>
      <c r="C106" s="30" t="s">
        <v>94</v>
      </c>
      <c r="D106" s="31" t="s">
        <v>18</v>
      </c>
      <c r="E106" s="28">
        <f>'4 кв 2011 год'!E106</f>
        <v>0</v>
      </c>
      <c r="F106" s="32">
        <f t="shared" si="24"/>
        <v>307.55363061977738</v>
      </c>
      <c r="G106" s="33">
        <f t="shared" si="27"/>
        <v>0</v>
      </c>
      <c r="H106" s="105">
        <f>'4 кв 2011 год'!H106</f>
        <v>303.36499999999995</v>
      </c>
      <c r="I106" s="141">
        <f t="shared" si="28"/>
        <v>279.43761971830986</v>
      </c>
      <c r="J106" s="45"/>
      <c r="K106" s="45"/>
      <c r="L106" s="45"/>
      <c r="M106" s="45"/>
      <c r="N106" s="45"/>
      <c r="O106" s="35">
        <f>(25.145)*1.18</f>
        <v>29.671099999999999</v>
      </c>
      <c r="P106" s="142">
        <f t="shared" si="23"/>
        <v>28.116010901467504</v>
      </c>
      <c r="Q106" s="35">
        <f t="shared" si="26"/>
        <v>0</v>
      </c>
    </row>
    <row r="107" spans="1:20" s="35" customFormat="1" ht="12.75" hidden="1" customHeight="1">
      <c r="A107" s="28">
        <f>'4 кв 2011 год'!A107</f>
        <v>0</v>
      </c>
      <c r="B107" s="29" t="s">
        <v>17</v>
      </c>
      <c r="C107" s="30" t="s">
        <v>95</v>
      </c>
      <c r="D107" s="31" t="s">
        <v>18</v>
      </c>
      <c r="E107" s="28">
        <f>'4 кв 2011 год'!E107</f>
        <v>0</v>
      </c>
      <c r="F107" s="32">
        <f t="shared" si="24"/>
        <v>457.37259540850982</v>
      </c>
      <c r="G107" s="33">
        <f t="shared" si="27"/>
        <v>0</v>
      </c>
      <c r="H107" s="105">
        <f>'4 кв 2011 год'!H107</f>
        <v>466.01249999999999</v>
      </c>
      <c r="I107" s="141">
        <f t="shared" si="28"/>
        <v>429.25658450704231</v>
      </c>
      <c r="J107" s="45"/>
      <c r="K107" s="45"/>
      <c r="L107" s="45"/>
      <c r="M107" s="45"/>
      <c r="N107" s="45"/>
      <c r="O107" s="35">
        <f>(25.145)*1.18</f>
        <v>29.671099999999999</v>
      </c>
      <c r="P107" s="142">
        <f t="shared" si="23"/>
        <v>28.116010901467504</v>
      </c>
      <c r="Q107" s="35">
        <f t="shared" si="26"/>
        <v>0</v>
      </c>
    </row>
    <row r="108" spans="1:20" s="35" customFormat="1" ht="25.5" hidden="1" customHeight="1">
      <c r="A108" s="28">
        <f>'4 кв 2011 год'!A108</f>
        <v>0</v>
      </c>
      <c r="B108" s="43" t="s">
        <v>41</v>
      </c>
      <c r="C108" s="30" t="s">
        <v>96</v>
      </c>
      <c r="D108" s="31" t="s">
        <v>18</v>
      </c>
      <c r="E108" s="28">
        <f>'4 кв 2011 год'!E108</f>
        <v>0</v>
      </c>
      <c r="F108" s="32">
        <f t="shared" si="24"/>
        <v>138.7398911998612</v>
      </c>
      <c r="G108" s="33">
        <f t="shared" si="27"/>
        <v>0</v>
      </c>
      <c r="H108" s="105">
        <f>'4 кв 2011 год'!H108</f>
        <v>147.22084149999998</v>
      </c>
      <c r="I108" s="141">
        <f t="shared" si="28"/>
        <v>135.60905681830985</v>
      </c>
      <c r="J108" s="44"/>
      <c r="K108" s="44"/>
      <c r="L108" s="44"/>
      <c r="M108" s="44"/>
      <c r="N108" s="44"/>
      <c r="O108" s="35">
        <f>(2.8)*1.18</f>
        <v>3.3039999999999998</v>
      </c>
      <c r="P108" s="142">
        <f t="shared" si="23"/>
        <v>3.1308343815513622</v>
      </c>
      <c r="Q108" s="35">
        <f t="shared" si="26"/>
        <v>0</v>
      </c>
    </row>
    <row r="109" spans="1:20" s="35" customFormat="1" ht="12.75" hidden="1" customHeight="1">
      <c r="A109" s="28">
        <f>'4 кв 2011 год'!A109</f>
        <v>0</v>
      </c>
      <c r="B109" s="43" t="s">
        <v>28</v>
      </c>
      <c r="C109" s="30" t="s">
        <v>97</v>
      </c>
      <c r="D109" s="31" t="s">
        <v>18</v>
      </c>
      <c r="E109" s="28">
        <f>'4 кв 2011 год'!E109</f>
        <v>0</v>
      </c>
      <c r="F109" s="32">
        <f t="shared" si="24"/>
        <v>142.35156797310066</v>
      </c>
      <c r="G109" s="33">
        <f t="shared" si="27"/>
        <v>0</v>
      </c>
      <c r="H109" s="105">
        <f>'4 кв 2011 год'!H109</f>
        <v>151.141775</v>
      </c>
      <c r="I109" s="141">
        <f t="shared" si="28"/>
        <v>139.2207335915493</v>
      </c>
      <c r="J109" s="44"/>
      <c r="K109" s="44"/>
      <c r="L109" s="44"/>
      <c r="M109" s="44"/>
      <c r="N109" s="44"/>
      <c r="O109" s="35">
        <f>(2.8)*1.18</f>
        <v>3.3039999999999998</v>
      </c>
      <c r="P109" s="142">
        <f t="shared" si="23"/>
        <v>3.1308343815513622</v>
      </c>
      <c r="Q109" s="35">
        <f t="shared" si="26"/>
        <v>0</v>
      </c>
    </row>
    <row r="110" spans="1:20" s="35" customFormat="1" ht="12.75" hidden="1" customHeight="1">
      <c r="A110" s="28">
        <f>'4 кв 2011 год'!A110</f>
        <v>0</v>
      </c>
      <c r="B110" s="43" t="s">
        <v>28</v>
      </c>
      <c r="C110" s="30" t="s">
        <v>98</v>
      </c>
      <c r="D110" s="31" t="s">
        <v>18</v>
      </c>
      <c r="E110" s="28">
        <f>'4 кв 2011 год'!E110</f>
        <v>0</v>
      </c>
      <c r="F110" s="32">
        <f t="shared" si="24"/>
        <v>33.231795141524195</v>
      </c>
      <c r="G110" s="33">
        <f t="shared" si="27"/>
        <v>0</v>
      </c>
      <c r="H110" s="105">
        <f>'4 кв 2011 год'!H110</f>
        <v>31.027509999999996</v>
      </c>
      <c r="I110" s="141">
        <f t="shared" si="28"/>
        <v>28.580269774647885</v>
      </c>
      <c r="J110" s="44"/>
      <c r="K110" s="44"/>
      <c r="L110" s="44"/>
      <c r="M110" s="44"/>
      <c r="N110" s="44"/>
      <c r="O110" s="35">
        <f>(1.36+2.8)*1.18</f>
        <v>4.9088000000000003</v>
      </c>
      <c r="P110" s="142">
        <f t="shared" si="23"/>
        <v>4.6515253668763101</v>
      </c>
      <c r="Q110" s="35">
        <f t="shared" si="26"/>
        <v>0</v>
      </c>
    </row>
    <row r="111" spans="1:20" s="35" customFormat="1" ht="12.75" customHeight="1">
      <c r="A111" s="28">
        <f>'4 кв 2011 год'!A111</f>
        <v>2</v>
      </c>
      <c r="B111" s="43" t="s">
        <v>99</v>
      </c>
      <c r="C111" s="30" t="s">
        <v>100</v>
      </c>
      <c r="D111" s="31" t="s">
        <v>18</v>
      </c>
      <c r="E111" s="28">
        <f>'4 кв 2011 год'!E111</f>
        <v>1</v>
      </c>
      <c r="F111" s="32">
        <f t="shared" si="24"/>
        <v>115.74863930551865</v>
      </c>
      <c r="G111" s="33">
        <f t="shared" si="27"/>
        <v>115.749</v>
      </c>
      <c r="H111" s="105">
        <f>'4 кв 2011 год'!H111</f>
        <v>119.316</v>
      </c>
      <c r="I111" s="141">
        <f t="shared" si="28"/>
        <v>109.90516056338029</v>
      </c>
      <c r="O111" s="35">
        <f>5.226*1.18</f>
        <v>6.1666799999999995</v>
      </c>
      <c r="P111" s="142">
        <f t="shared" si="23"/>
        <v>5.8434787421383643</v>
      </c>
    </row>
    <row r="112" spans="1:20" s="35" customFormat="1" ht="12.75" hidden="1" customHeight="1">
      <c r="A112" s="28">
        <f>'4 кв 2011 год'!A112</f>
        <v>0</v>
      </c>
      <c r="B112" s="29" t="s">
        <v>31</v>
      </c>
      <c r="C112" s="30" t="s">
        <v>102</v>
      </c>
      <c r="D112" s="31" t="s">
        <v>18</v>
      </c>
      <c r="E112" s="28">
        <f>'4 кв 2011 год'!E112</f>
        <v>0</v>
      </c>
      <c r="F112" s="32">
        <f t="shared" si="24"/>
        <v>4.3974885782986384</v>
      </c>
      <c r="G112" s="33">
        <f t="shared" si="27"/>
        <v>0</v>
      </c>
      <c r="H112" s="105">
        <f>'4 кв 2011 год'!H112</f>
        <v>3.7904499999999994</v>
      </c>
      <c r="I112" s="141">
        <f t="shared" si="28"/>
        <v>3.4914849295774646</v>
      </c>
      <c r="J112" s="34"/>
      <c r="K112" s="34"/>
      <c r="L112" s="34"/>
      <c r="M112" s="34"/>
      <c r="N112" s="34"/>
      <c r="O112" s="35">
        <f>(143.41*5.65/1000)*1.18</f>
        <v>0.95611447000000005</v>
      </c>
      <c r="P112" s="142">
        <f t="shared" si="23"/>
        <v>0.90600364872117412</v>
      </c>
    </row>
    <row r="113" spans="1:19" s="35" customFormat="1" ht="12.75" hidden="1" customHeight="1">
      <c r="A113" s="28">
        <f>'4 кв 2011 год'!A113</f>
        <v>0</v>
      </c>
      <c r="B113" s="29" t="s">
        <v>31</v>
      </c>
      <c r="C113" s="30" t="s">
        <v>101</v>
      </c>
      <c r="D113" s="31" t="s">
        <v>18</v>
      </c>
      <c r="E113" s="28">
        <f>'4 кв 2011 год'!E113</f>
        <v>0</v>
      </c>
      <c r="F113" s="32">
        <f t="shared" si="24"/>
        <v>41.329843774470724</v>
      </c>
      <c r="G113" s="33">
        <f t="shared" si="27"/>
        <v>0</v>
      </c>
      <c r="H113" s="105">
        <f>'4 кв 2011 год'!H113</f>
        <v>39.16225</v>
      </c>
      <c r="I113" s="141">
        <f t="shared" si="28"/>
        <v>36.073396478873242</v>
      </c>
      <c r="J113" s="34"/>
      <c r="K113" s="34"/>
      <c r="L113" s="34"/>
      <c r="M113" s="34"/>
      <c r="N113" s="34"/>
      <c r="O113" s="35">
        <f>4.701*1.18</f>
        <v>5.5471799999999991</v>
      </c>
      <c r="P113" s="142">
        <f t="shared" si="23"/>
        <v>5.256447295597483</v>
      </c>
    </row>
    <row r="114" spans="1:19" s="35" customFormat="1" ht="25.5" hidden="1" customHeight="1">
      <c r="A114" s="28">
        <f>'4 кв 2011 год'!A114</f>
        <v>0</v>
      </c>
      <c r="B114" s="29" t="s">
        <v>21</v>
      </c>
      <c r="C114" s="30" t="s">
        <v>103</v>
      </c>
      <c r="D114" s="31" t="s">
        <v>18</v>
      </c>
      <c r="E114" s="28">
        <f>'4 кв 2011 год'!E114</f>
        <v>0</v>
      </c>
      <c r="F114" s="32">
        <f t="shared" si="24"/>
        <v>48.90332143620634</v>
      </c>
      <c r="G114" s="33">
        <f>E114*F114</f>
        <v>0</v>
      </c>
      <c r="H114" s="105">
        <f>'4 кв 2011 год'!H114</f>
        <v>48.774999999999999</v>
      </c>
      <c r="I114" s="141">
        <f t="shared" si="28"/>
        <v>44.927957746478874</v>
      </c>
      <c r="J114" s="46"/>
      <c r="K114" s="46"/>
      <c r="L114" s="46"/>
      <c r="M114" s="46"/>
      <c r="N114" s="46"/>
      <c r="O114" s="35">
        <f>4.19524</f>
        <v>4.1952400000000001</v>
      </c>
      <c r="P114" s="142">
        <f t="shared" si="23"/>
        <v>3.9753636897274633</v>
      </c>
      <c r="Q114" s="35">
        <f>H114*E114</f>
        <v>0</v>
      </c>
    </row>
    <row r="115" spans="1:19" s="35" customFormat="1" ht="25.5" hidden="1" customHeight="1">
      <c r="A115" s="28">
        <f>'4 кв 2011 год'!A115</f>
        <v>0</v>
      </c>
      <c r="B115" s="43" t="s">
        <v>21</v>
      </c>
      <c r="C115" s="30" t="s">
        <v>104</v>
      </c>
      <c r="D115" s="31" t="s">
        <v>18</v>
      </c>
      <c r="E115" s="28">
        <f>'4 кв 2011 год'!E115</f>
        <v>0</v>
      </c>
      <c r="F115" s="32">
        <f t="shared" si="24"/>
        <v>7.9618189641881463</v>
      </c>
      <c r="G115" s="33">
        <f>ROUND(F115*E115,3)</f>
        <v>0</v>
      </c>
      <c r="H115" s="105">
        <f>'4 кв 2011 год'!H115</f>
        <v>7.553469999999999</v>
      </c>
      <c r="I115" s="141">
        <f t="shared" si="28"/>
        <v>6.9577033521126745</v>
      </c>
      <c r="J115" s="44"/>
      <c r="K115" s="44"/>
      <c r="L115" s="44"/>
      <c r="M115" s="44"/>
      <c r="N115" s="44"/>
      <c r="O115" s="35">
        <f>(0.15894*5.65*1.18)</f>
        <v>1.0596529799999999</v>
      </c>
      <c r="P115" s="142">
        <f t="shared" si="23"/>
        <v>1.0041156120754715</v>
      </c>
    </row>
    <row r="116" spans="1:19" s="35" customFormat="1" ht="25.5" hidden="1" customHeight="1">
      <c r="A116" s="28">
        <f>'4 кв 2011 год'!A116</f>
        <v>0</v>
      </c>
      <c r="B116" s="43" t="s">
        <v>21</v>
      </c>
      <c r="C116" s="30" t="s">
        <v>105</v>
      </c>
      <c r="D116" s="31" t="s">
        <v>18</v>
      </c>
      <c r="E116" s="28">
        <f>'4 кв 2011 год'!E116</f>
        <v>0</v>
      </c>
      <c r="F116" s="32">
        <f t="shared" si="24"/>
        <v>10.666403724751529</v>
      </c>
      <c r="G116" s="33">
        <f>ROUND(F116*E116,3)</f>
        <v>0</v>
      </c>
      <c r="H116" s="105">
        <f>'4 кв 2011 год'!H116</f>
        <v>10.48964</v>
      </c>
      <c r="I116" s="141">
        <f t="shared" si="28"/>
        <v>9.6622881126760571</v>
      </c>
      <c r="J116" s="44"/>
      <c r="K116" s="44"/>
      <c r="L116" s="44"/>
      <c r="M116" s="44"/>
      <c r="N116" s="44"/>
      <c r="O116" s="35">
        <f>(0.15894*5.65*1.18)</f>
        <v>1.0596529799999999</v>
      </c>
      <c r="P116" s="142">
        <f t="shared" si="23"/>
        <v>1.0041156120754715</v>
      </c>
    </row>
    <row r="117" spans="1:19" s="35" customFormat="1" ht="12.75" hidden="1" customHeight="1">
      <c r="A117" s="28">
        <f>'4 кв 2011 год'!A117</f>
        <v>0</v>
      </c>
      <c r="B117" s="43" t="s">
        <v>28</v>
      </c>
      <c r="C117" s="30" t="s">
        <v>106</v>
      </c>
      <c r="D117" s="31" t="s">
        <v>18</v>
      </c>
      <c r="E117" s="28">
        <f>'4 кв 2011 год'!E117</f>
        <v>0</v>
      </c>
      <c r="F117" s="32">
        <f t="shared" si="24"/>
        <v>52.470424609354239</v>
      </c>
      <c r="G117" s="33">
        <f>ROUND(F117*E117,3)</f>
        <v>0</v>
      </c>
      <c r="H117" s="105">
        <f>'4 кв 2011 год'!H117</f>
        <v>53.467274999999994</v>
      </c>
      <c r="I117" s="141">
        <f t="shared" si="28"/>
        <v>49.250137816901407</v>
      </c>
      <c r="J117" s="44"/>
      <c r="K117" s="44"/>
      <c r="L117" s="44"/>
      <c r="M117" s="44"/>
      <c r="N117" s="44"/>
      <c r="O117" s="35">
        <f>(2.88)*1.18</f>
        <v>3.3983999999999996</v>
      </c>
      <c r="P117" s="142">
        <f t="shared" si="23"/>
        <v>3.2202867924528298</v>
      </c>
      <c r="Q117" s="35">
        <f>H117*E117</f>
        <v>0</v>
      </c>
    </row>
    <row r="118" spans="1:19" s="35" customFormat="1" ht="25.5" hidden="1" customHeight="1">
      <c r="A118" s="28">
        <f>'4 кв 2011 год'!A118</f>
        <v>0</v>
      </c>
      <c r="B118" s="43" t="s">
        <v>21</v>
      </c>
      <c r="C118" s="30" t="s">
        <v>107</v>
      </c>
      <c r="D118" s="31" t="s">
        <v>18</v>
      </c>
      <c r="E118" s="28">
        <f>'4 кв 2011 год'!E118</f>
        <v>0</v>
      </c>
      <c r="F118" s="32">
        <f t="shared" si="24"/>
        <v>45.760732402554694</v>
      </c>
      <c r="G118" s="33">
        <f>ROUND(F118*E118,3)</f>
        <v>0</v>
      </c>
      <c r="H118" s="105">
        <f>'4 кв 2011 год'!H118</f>
        <v>44.5</v>
      </c>
      <c r="I118" s="141">
        <f t="shared" si="28"/>
        <v>40.990140845070421</v>
      </c>
      <c r="O118" s="35">
        <f>(755.13*5.65/1000)*1.18</f>
        <v>5.0344517100000008</v>
      </c>
      <c r="P118" s="142">
        <f t="shared" si="23"/>
        <v>4.770591557484277</v>
      </c>
    </row>
    <row r="119" spans="1:19" s="35" customFormat="1" ht="12.75" hidden="1" customHeight="1">
      <c r="A119" s="28">
        <f>'4 кв 2011 год'!A119</f>
        <v>0</v>
      </c>
      <c r="B119" s="29" t="s">
        <v>21</v>
      </c>
      <c r="C119" s="30" t="s">
        <v>108</v>
      </c>
      <c r="D119" s="31" t="s">
        <v>18</v>
      </c>
      <c r="E119" s="28">
        <f>'4 кв 2011 год'!E119</f>
        <v>0</v>
      </c>
      <c r="F119" s="32">
        <f t="shared" si="24"/>
        <v>310.17838309859155</v>
      </c>
      <c r="G119" s="33">
        <f>E119*F119</f>
        <v>0</v>
      </c>
      <c r="H119" s="105">
        <f>'4 кв 2011 год'!H119</f>
        <v>336.738</v>
      </c>
      <c r="I119" s="141">
        <f t="shared" si="28"/>
        <v>310.17838309859155</v>
      </c>
      <c r="P119" s="142">
        <f t="shared" si="23"/>
        <v>0</v>
      </c>
    </row>
    <row r="120" spans="1:19" s="35" customFormat="1" ht="12.75" hidden="1" customHeight="1">
      <c r="A120" s="28">
        <f>'4 кв 2011 год'!A120</f>
        <v>0</v>
      </c>
      <c r="B120" s="29" t="s">
        <v>109</v>
      </c>
      <c r="C120" s="30" t="s">
        <v>110</v>
      </c>
      <c r="D120" s="31" t="s">
        <v>18</v>
      </c>
      <c r="E120" s="28">
        <f>'4 кв 2011 год'!E120</f>
        <v>0</v>
      </c>
      <c r="F120" s="32">
        <f t="shared" si="24"/>
        <v>16.230776428986928</v>
      </c>
      <c r="G120" s="33">
        <f>E120*F120</f>
        <v>0</v>
      </c>
      <c r="H120" s="105">
        <f>'4 кв 2011 год'!H120</f>
        <v>15.254237288135593</v>
      </c>
      <c r="I120" s="141">
        <f t="shared" si="28"/>
        <v>14.051086178085463</v>
      </c>
      <c r="O120" s="35">
        <f>(345.02*1.18*5.65/1000)</f>
        <v>2.30024834</v>
      </c>
      <c r="P120" s="142">
        <f t="shared" si="23"/>
        <v>2.1796902509014675</v>
      </c>
    </row>
    <row r="121" spans="1:19" s="35" customFormat="1" ht="12.75" hidden="1" customHeight="1">
      <c r="A121" s="28">
        <f>'4 кв 2011 год'!A121</f>
        <v>0</v>
      </c>
      <c r="B121" s="43" t="s">
        <v>111</v>
      </c>
      <c r="C121" s="30" t="s">
        <v>112</v>
      </c>
      <c r="D121" s="31" t="s">
        <v>18</v>
      </c>
      <c r="E121" s="28">
        <f>'4 кв 2011 год'!E121</f>
        <v>0</v>
      </c>
      <c r="F121" s="32">
        <f t="shared" si="24"/>
        <v>69.350109459946253</v>
      </c>
      <c r="G121" s="33">
        <f>ROUND(F121*E121,3)</f>
        <v>0</v>
      </c>
      <c r="H121" s="105">
        <f>'4 кв 2011 год'!H121</f>
        <v>62.908999999999999</v>
      </c>
      <c r="I121" s="141">
        <f t="shared" si="28"/>
        <v>57.947163380281687</v>
      </c>
      <c r="J121" s="44"/>
      <c r="K121" s="44"/>
      <c r="L121" s="44"/>
      <c r="M121" s="44"/>
      <c r="N121" s="44"/>
      <c r="O121" s="35">
        <f>(2.594+7.604)*1.18</f>
        <v>12.03364</v>
      </c>
      <c r="P121" s="142">
        <f t="shared" si="23"/>
        <v>11.40294607966457</v>
      </c>
      <c r="Q121" s="35">
        <f>H121*E121</f>
        <v>0</v>
      </c>
      <c r="S121" s="46" t="s">
        <v>113</v>
      </c>
    </row>
    <row r="122" spans="1:19" s="35" customFormat="1" ht="12.75" hidden="1" customHeight="1">
      <c r="A122" s="28">
        <f>'4 кв 2011 год'!A122</f>
        <v>0</v>
      </c>
      <c r="B122" s="43" t="s">
        <v>111</v>
      </c>
      <c r="C122" s="30" t="s">
        <v>114</v>
      </c>
      <c r="D122" s="31" t="s">
        <v>18</v>
      </c>
      <c r="E122" s="28">
        <f>'4 кв 2011 год'!E122</f>
        <v>0</v>
      </c>
      <c r="F122" s="32">
        <f t="shared" si="24"/>
        <v>51.217532840818492</v>
      </c>
      <c r="G122" s="33">
        <f>ROUND(F122*E122,3)</f>
        <v>0</v>
      </c>
      <c r="H122" s="105">
        <f>'4 кв 2011 год'!H122</f>
        <v>43.137599999999999</v>
      </c>
      <c r="I122" s="141">
        <f t="shared" si="28"/>
        <v>39.735197746478875</v>
      </c>
      <c r="J122" s="44"/>
      <c r="K122" s="44"/>
      <c r="L122" s="44"/>
      <c r="M122" s="44"/>
      <c r="N122" s="44"/>
      <c r="O122" s="35">
        <f>(2.627+7.642)*1.18</f>
        <v>12.117419999999999</v>
      </c>
      <c r="P122" s="142">
        <f t="shared" si="23"/>
        <v>11.482335094339621</v>
      </c>
      <c r="Q122" s="35">
        <f>H122*E122</f>
        <v>0</v>
      </c>
      <c r="S122" s="46" t="s">
        <v>115</v>
      </c>
    </row>
    <row r="123" spans="1:19" s="35" customFormat="1" ht="12.75" hidden="1" customHeight="1">
      <c r="A123" s="28">
        <f>'4 кв 2011 год'!A123</f>
        <v>0</v>
      </c>
      <c r="B123" s="43" t="s">
        <v>111</v>
      </c>
      <c r="C123" s="30" t="s">
        <v>116</v>
      </c>
      <c r="D123" s="31" t="s">
        <v>18</v>
      </c>
      <c r="E123" s="28">
        <f>'4 кв 2011 год'!E123</f>
        <v>0</v>
      </c>
      <c r="F123" s="32">
        <f t="shared" si="24"/>
        <v>71.419651009242031</v>
      </c>
      <c r="G123" s="33">
        <f>ROUND(F123*E123,3)</f>
        <v>0</v>
      </c>
      <c r="H123" s="105">
        <f>'4 кв 2011 год'!H123</f>
        <v>65.155749999999998</v>
      </c>
      <c r="I123" s="141">
        <f t="shared" si="28"/>
        <v>60.016704929577465</v>
      </c>
      <c r="J123" s="44"/>
      <c r="K123" s="44"/>
      <c r="L123" s="44"/>
      <c r="M123" s="44"/>
      <c r="N123" s="44"/>
      <c r="O123" s="35">
        <f>(2.594+7.604)*1.18</f>
        <v>12.03364</v>
      </c>
      <c r="P123" s="142">
        <f t="shared" si="23"/>
        <v>11.40294607966457</v>
      </c>
      <c r="Q123" s="35">
        <f>H123*E123</f>
        <v>0</v>
      </c>
    </row>
    <row r="124" spans="1:19" s="35" customFormat="1" ht="12.75" hidden="1" customHeight="1">
      <c r="A124" s="28">
        <f>'4 кв 2011 год'!A124</f>
        <v>0</v>
      </c>
      <c r="B124" s="43" t="s">
        <v>117</v>
      </c>
      <c r="C124" s="30" t="s">
        <v>118</v>
      </c>
      <c r="D124" s="31" t="s">
        <v>18</v>
      </c>
      <c r="E124" s="28">
        <f>'4 кв 2011 год'!E124</f>
        <v>0</v>
      </c>
      <c r="F124" s="32">
        <f t="shared" si="24"/>
        <v>270.09563974163638</v>
      </c>
      <c r="G124" s="33">
        <f>ROUND(F124*E124,3)</f>
        <v>0</v>
      </c>
      <c r="H124" s="105">
        <f>'4 кв 2011 год'!H124</f>
        <v>280.84375</v>
      </c>
      <c r="I124" s="141">
        <f t="shared" si="28"/>
        <v>258.69269366197182</v>
      </c>
      <c r="J124" s="44"/>
      <c r="K124" s="44"/>
      <c r="L124" s="44"/>
      <c r="M124" s="44"/>
      <c r="N124" s="44"/>
      <c r="O124" s="35">
        <f>(2.594+7.604)*1.18</f>
        <v>12.03364</v>
      </c>
      <c r="P124" s="142">
        <f t="shared" si="23"/>
        <v>11.40294607966457</v>
      </c>
      <c r="Q124" s="35">
        <f>H124*E124</f>
        <v>0</v>
      </c>
    </row>
    <row r="125" spans="1:19" s="35" customFormat="1" ht="12.75" hidden="1" customHeight="1">
      <c r="A125" s="28">
        <f>'4 кв 2011 год'!A125</f>
        <v>0</v>
      </c>
      <c r="B125" s="43" t="s">
        <v>119</v>
      </c>
      <c r="C125" s="30" t="s">
        <v>120</v>
      </c>
      <c r="D125" s="31" t="s">
        <v>18</v>
      </c>
      <c r="E125" s="28">
        <f>'4 кв 2011 год'!E125</f>
        <v>0</v>
      </c>
      <c r="F125" s="32">
        <f t="shared" si="24"/>
        <v>402.43701302152544</v>
      </c>
      <c r="G125" s="33">
        <f>ROUND(F125*E125,3)</f>
        <v>0</v>
      </c>
      <c r="H125" s="105">
        <f>'4 кв 2011 год'!H125</f>
        <v>396.14400000000006</v>
      </c>
      <c r="I125" s="141">
        <f t="shared" si="28"/>
        <v>364.89883943661977</v>
      </c>
      <c r="J125" s="49"/>
      <c r="K125" s="49"/>
      <c r="L125" s="49"/>
      <c r="M125" s="49"/>
      <c r="N125" s="49"/>
      <c r="O125" s="35">
        <f>H125*0.1</f>
        <v>39.61440000000001</v>
      </c>
      <c r="P125" s="142">
        <f t="shared" si="23"/>
        <v>37.538173584905671</v>
      </c>
      <c r="Q125" s="35">
        <f>H125*E125</f>
        <v>0</v>
      </c>
    </row>
    <row r="126" spans="1:19" s="35" customFormat="1">
      <c r="A126" s="28"/>
      <c r="B126" s="29"/>
      <c r="C126" s="30"/>
      <c r="D126" s="31"/>
      <c r="E126" s="28"/>
      <c r="F126" s="32"/>
      <c r="G126" s="33"/>
      <c r="I126" s="136"/>
      <c r="J126" s="136"/>
      <c r="N126" s="136"/>
      <c r="P126" s="136"/>
    </row>
    <row r="127" spans="1:19" s="35" customFormat="1">
      <c r="A127" s="28">
        <f>'4 кв 2011 год'!A127</f>
        <v>3</v>
      </c>
      <c r="B127" s="51" t="s">
        <v>121</v>
      </c>
      <c r="C127" s="30" t="s">
        <v>122</v>
      </c>
      <c r="D127" s="31" t="s">
        <v>18</v>
      </c>
      <c r="E127" s="28">
        <f>'4 кв 2011 год'!E127</f>
        <v>1</v>
      </c>
      <c r="F127" s="32"/>
      <c r="G127" s="33">
        <f>ROUND((G49+G48+G47+G46+G45+G44+G25+G24+G23+G22+G21)*0.01,3)</f>
        <v>0.51500000000000001</v>
      </c>
      <c r="H127" s="46" t="s">
        <v>123</v>
      </c>
      <c r="I127" s="136"/>
      <c r="J127" s="136"/>
      <c r="K127" s="46"/>
      <c r="L127" s="46"/>
      <c r="M127" s="46"/>
      <c r="N127" s="136"/>
      <c r="P127" s="136"/>
    </row>
    <row r="128" spans="1:19" s="35" customFormat="1">
      <c r="A128" s="28"/>
      <c r="B128" s="29"/>
      <c r="C128" s="30"/>
      <c r="D128" s="31"/>
      <c r="E128" s="28"/>
      <c r="F128" s="52"/>
      <c r="G128" s="33"/>
      <c r="I128" s="136"/>
      <c r="J128" s="136"/>
      <c r="N128" s="136"/>
      <c r="P128" s="136"/>
    </row>
    <row r="129" spans="1:17">
      <c r="A129" s="53"/>
      <c r="B129" s="54"/>
      <c r="C129" s="179" t="s">
        <v>124</v>
      </c>
      <c r="D129" s="180"/>
      <c r="E129" s="181"/>
      <c r="F129" s="55"/>
      <c r="G129" s="55">
        <f>SUM(G20:G125)+IF(E127=0,0,G127)</f>
        <v>167.79899999999998</v>
      </c>
      <c r="H129" s="56" t="s">
        <v>125</v>
      </c>
      <c r="K129" s="56"/>
      <c r="L129" s="56"/>
      <c r="M129" s="56"/>
      <c r="Q129" s="76">
        <f>Q57</f>
        <v>0</v>
      </c>
    </row>
    <row r="130" spans="1:17" ht="12.75" customHeight="1">
      <c r="A130" s="182" t="s">
        <v>126</v>
      </c>
      <c r="B130" s="183"/>
      <c r="C130" s="183"/>
      <c r="D130" s="183"/>
      <c r="E130" s="110"/>
      <c r="F130" s="55"/>
      <c r="G130" s="55"/>
    </row>
    <row r="131" spans="1:17" ht="25.5">
      <c r="A131" s="57">
        <f>'4 кв 2011 год'!A131</f>
        <v>4</v>
      </c>
      <c r="B131" s="58" t="s">
        <v>127</v>
      </c>
      <c r="C131" s="59" t="s">
        <v>128</v>
      </c>
      <c r="D131" s="60"/>
      <c r="E131" s="61"/>
      <c r="F131" s="55"/>
      <c r="G131" s="62">
        <f>'4 кв 2011 год'!G131/6.95*6.03</f>
        <v>0</v>
      </c>
      <c r="H131" s="56" t="s">
        <v>129</v>
      </c>
      <c r="K131" s="56"/>
      <c r="L131" s="56"/>
      <c r="M131" s="56"/>
    </row>
    <row r="132" spans="1:17">
      <c r="A132" s="57">
        <f>A131+1</f>
        <v>5</v>
      </c>
      <c r="B132" s="51" t="s">
        <v>121</v>
      </c>
      <c r="C132" s="179" t="s">
        <v>130</v>
      </c>
      <c r="D132" s="180"/>
      <c r="E132" s="180"/>
      <c r="F132" s="52"/>
      <c r="G132" s="52">
        <f>'4 кв 2011 год'!G132/3.31*3.13</f>
        <v>11.943172205438067</v>
      </c>
      <c r="H132" t="s">
        <v>131</v>
      </c>
    </row>
    <row r="133" spans="1:17" ht="41.25" customHeight="1">
      <c r="A133" s="57">
        <f>A132+1</f>
        <v>6</v>
      </c>
      <c r="B133" s="51" t="s">
        <v>132</v>
      </c>
      <c r="C133" s="179" t="s">
        <v>133</v>
      </c>
      <c r="D133" s="180"/>
      <c r="E133" s="180"/>
      <c r="F133" s="63"/>
      <c r="G133" s="52">
        <f>ROUND(G129*0.01,3)</f>
        <v>1.6779999999999999</v>
      </c>
      <c r="H133" t="s">
        <v>134</v>
      </c>
    </row>
    <row r="134" spans="1:17">
      <c r="A134" s="64"/>
      <c r="B134" s="65"/>
      <c r="C134" s="179" t="s">
        <v>135</v>
      </c>
      <c r="D134" s="180"/>
      <c r="E134" s="181"/>
      <c r="F134" s="52"/>
      <c r="G134" s="52">
        <f>SUM(G131:G133)</f>
        <v>13.621172205438068</v>
      </c>
    </row>
    <row r="135" spans="1:17" s="35" customFormat="1">
      <c r="A135" s="28"/>
      <c r="B135" s="29"/>
      <c r="C135" s="184"/>
      <c r="D135" s="185"/>
      <c r="E135" s="186"/>
      <c r="F135" s="52"/>
      <c r="G135" s="33"/>
      <c r="I135" s="136"/>
      <c r="J135" s="136"/>
      <c r="N135" s="136"/>
      <c r="P135" s="136"/>
    </row>
    <row r="136" spans="1:17">
      <c r="A136" s="173" t="s">
        <v>136</v>
      </c>
      <c r="B136" s="174"/>
      <c r="C136" s="174"/>
      <c r="D136" s="174"/>
      <c r="E136" s="174"/>
      <c r="F136" s="66"/>
      <c r="G136" s="67">
        <f>G134+G129</f>
        <v>181.42017220543804</v>
      </c>
    </row>
    <row r="137" spans="1:17">
      <c r="A137" s="64">
        <f>A133+1</f>
        <v>7</v>
      </c>
      <c r="B137" s="51" t="s">
        <v>132</v>
      </c>
      <c r="C137" s="179" t="s">
        <v>137</v>
      </c>
      <c r="D137" s="180"/>
      <c r="E137" s="180"/>
      <c r="F137" s="63"/>
      <c r="G137" s="52">
        <f>ROUND(G136*0.03,3)</f>
        <v>5.4429999999999996</v>
      </c>
    </row>
    <row r="138" spans="1:17">
      <c r="A138" s="64"/>
      <c r="B138" s="65"/>
      <c r="C138" s="179"/>
      <c r="D138" s="180"/>
      <c r="E138" s="181"/>
      <c r="F138" s="52"/>
      <c r="G138" s="52"/>
    </row>
    <row r="139" spans="1:17">
      <c r="A139" s="173" t="s">
        <v>138</v>
      </c>
      <c r="B139" s="174"/>
      <c r="C139" s="174"/>
      <c r="D139" s="174"/>
      <c r="E139" s="174"/>
      <c r="F139" s="66"/>
      <c r="G139" s="67">
        <f>G136+G137</f>
        <v>186.86317220543805</v>
      </c>
      <c r="H139" s="67"/>
      <c r="I139" s="137"/>
      <c r="J139" s="137"/>
      <c r="K139" s="123"/>
      <c r="L139" s="123"/>
      <c r="M139" s="123"/>
      <c r="N139" s="137"/>
    </row>
    <row r="140" spans="1:17" ht="52.5" customHeight="1">
      <c r="A140" s="68"/>
      <c r="B140" s="69"/>
      <c r="C140" s="92"/>
      <c r="D140" s="92"/>
      <c r="E140" s="92"/>
      <c r="F140" s="93"/>
      <c r="G140" s="70"/>
    </row>
    <row r="141" spans="1:17" ht="15.75">
      <c r="A141" s="68"/>
      <c r="B141" s="158"/>
      <c r="C141" s="94" t="s">
        <v>139</v>
      </c>
      <c r="D141" s="94"/>
      <c r="E141" s="94"/>
      <c r="F141" s="94" t="s">
        <v>199</v>
      </c>
      <c r="G141" s="72"/>
      <c r="I141" s="125"/>
      <c r="J141"/>
      <c r="N141"/>
      <c r="P141"/>
    </row>
    <row r="142" spans="1:17" ht="15.75">
      <c r="A142" s="68"/>
      <c r="B142" s="69"/>
      <c r="C142" s="71"/>
      <c r="D142" s="71"/>
      <c r="E142" s="71"/>
      <c r="F142" s="71"/>
      <c r="G142" s="12"/>
    </row>
    <row r="145" spans="1:7">
      <c r="A145"/>
      <c r="B145"/>
      <c r="C145"/>
      <c r="D145"/>
      <c r="E145"/>
      <c r="F145"/>
      <c r="G145" s="32"/>
    </row>
  </sheetData>
  <autoFilter ref="A19:T125">
    <filterColumn colId="0"/>
    <filterColumn colId="4">
      <filters>
        <filter val="0,03"/>
        <filter val="1"/>
      </filters>
    </filterColumn>
    <filterColumn colId="8"/>
    <filterColumn colId="9"/>
    <filterColumn colId="10"/>
    <filterColumn colId="11"/>
    <filterColumn colId="12"/>
    <filterColumn colId="13"/>
    <filterColumn colId="15"/>
    <sortState ref="A20:M124">
      <sortCondition ref="C19:C124"/>
    </sortState>
  </autoFilter>
  <mergeCells count="29">
    <mergeCell ref="D3:G3"/>
    <mergeCell ref="V1:Z1"/>
    <mergeCell ref="AA1:AA2"/>
    <mergeCell ref="D1:G1"/>
    <mergeCell ref="M1:M2"/>
    <mergeCell ref="O1:T1"/>
    <mergeCell ref="U1:U2"/>
    <mergeCell ref="D2:G2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A139:E139"/>
    <mergeCell ref="C17:D17"/>
    <mergeCell ref="A18:D18"/>
    <mergeCell ref="C129:E129"/>
    <mergeCell ref="A130:D130"/>
    <mergeCell ref="C132:E132"/>
    <mergeCell ref="C133:E133"/>
    <mergeCell ref="C134:E134"/>
    <mergeCell ref="C135:E135"/>
    <mergeCell ref="A136:E136"/>
    <mergeCell ref="C137:E137"/>
    <mergeCell ref="C138:E138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4 кв 2011 год</vt:lpstr>
      <vt:lpstr>4 кв 2010 год </vt:lpstr>
      <vt:lpstr>'4 кв 2010 год '!Заголовки_для_печати</vt:lpstr>
      <vt:lpstr>'4 кв 2011 год'!Заголовки_для_печати</vt:lpstr>
      <vt:lpstr>'4 кв 2010 год '!Область_печати</vt:lpstr>
      <vt:lpstr>'4 кв 2011 год'!Область_печати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romanenko.ov</cp:lastModifiedBy>
  <cp:lastPrinted>2012-04-13T16:56:55Z</cp:lastPrinted>
  <dcterms:created xsi:type="dcterms:W3CDTF">2012-01-12T09:52:39Z</dcterms:created>
  <dcterms:modified xsi:type="dcterms:W3CDTF">2012-05-11T11:54:15Z</dcterms:modified>
</cp:coreProperties>
</file>