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1340" windowHeight="9105" tabRatio="940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4">Исходные!$B$1:$C$64</definedName>
    <definedName name="_xlnm.Print_Area" localSheetId="3">РОС!$A$6:$F$37</definedName>
    <definedName name="_xlnm.Print_Area" localSheetId="0">Свод!$A$1:$H$47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B27" i="20" l="1"/>
  <c r="D27" i="20" s="1"/>
  <c r="F27" i="20" s="1"/>
  <c r="F26" i="20" s="1"/>
  <c r="B25" i="20"/>
  <c r="D25" i="20" s="1"/>
  <c r="F25" i="20" s="1"/>
  <c r="F23" i="20" s="1"/>
  <c r="B12" i="20"/>
  <c r="D12" i="20" s="1"/>
  <c r="F12" i="20" s="1"/>
  <c r="D30" i="20" l="1"/>
  <c r="F30" i="20" s="1"/>
  <c r="F29" i="20" l="1"/>
  <c r="B6" i="19" l="1"/>
  <c r="B21" i="20" l="1"/>
  <c r="B25" i="23" s="1"/>
  <c r="B26" i="21"/>
  <c r="B19" i="21"/>
  <c r="E43" i="23"/>
  <c r="E42" i="23"/>
  <c r="E41" i="23"/>
  <c r="E24" i="23"/>
  <c r="E23" i="23"/>
  <c r="E10" i="23"/>
  <c r="E9" i="23"/>
  <c r="E8" i="23"/>
  <c r="E7" i="23"/>
  <c r="B35" i="21"/>
  <c r="B34" i="21"/>
  <c r="B27" i="21"/>
  <c r="B25" i="21"/>
  <c r="B16" i="21"/>
  <c r="B32" i="19"/>
  <c r="D32" i="19" s="1"/>
  <c r="F32" i="19" s="1"/>
  <c r="F30" i="19" s="1"/>
  <c r="C47" i="23"/>
  <c r="D23" i="19"/>
  <c r="F23" i="19" s="1"/>
  <c r="B6" i="21"/>
  <c r="B6" i="20"/>
  <c r="B6" i="23"/>
  <c r="E46" i="23"/>
  <c r="E45" i="23"/>
  <c r="E44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2" i="23"/>
  <c r="E21" i="23"/>
  <c r="E20" i="23"/>
  <c r="E18" i="23"/>
  <c r="E17" i="23"/>
  <c r="E16" i="23"/>
  <c r="E15" i="23"/>
  <c r="E14" i="23"/>
  <c r="E13" i="23"/>
  <c r="E12" i="23"/>
  <c r="E11" i="23"/>
  <c r="E6" i="23"/>
  <c r="C46" i="23"/>
  <c r="C45" i="23"/>
  <c r="C44" i="23"/>
  <c r="C43" i="23"/>
  <c r="C42" i="23"/>
  <c r="C41" i="23"/>
  <c r="C40" i="23"/>
  <c r="C38" i="23"/>
  <c r="C39" i="23"/>
  <c r="C35" i="23"/>
  <c r="C36" i="23"/>
  <c r="C37" i="23"/>
  <c r="C34" i="23"/>
  <c r="C33" i="23"/>
  <c r="B33" i="23"/>
  <c r="C31" i="23"/>
  <c r="C30" i="23"/>
  <c r="C29" i="23"/>
  <c r="B29" i="23"/>
  <c r="C28" i="23"/>
  <c r="C27" i="23"/>
  <c r="C26" i="23"/>
  <c r="C25" i="23"/>
  <c r="C24" i="23"/>
  <c r="C23" i="23"/>
  <c r="C22" i="23"/>
  <c r="C21" i="23"/>
  <c r="C20" i="23"/>
  <c r="C18" i="23"/>
  <c r="C17" i="23"/>
  <c r="C16" i="23"/>
  <c r="C15" i="23"/>
  <c r="B15" i="23"/>
  <c r="C14" i="23"/>
  <c r="B14" i="23"/>
  <c r="C13" i="23"/>
  <c r="B13" i="23"/>
  <c r="C12" i="23"/>
  <c r="B12" i="23"/>
  <c r="C11" i="23"/>
  <c r="B11" i="23"/>
  <c r="B8" i="23"/>
  <c r="C8" i="23"/>
  <c r="C9" i="23"/>
  <c r="C10" i="23"/>
  <c r="C7" i="23"/>
  <c r="C6" i="23"/>
  <c r="B18" i="19"/>
  <c r="B10" i="23" s="1"/>
  <c r="B17" i="19"/>
  <c r="B9" i="23" s="1"/>
  <c r="B15" i="19"/>
  <c r="B7" i="23" s="1"/>
  <c r="D7" i="23" s="1"/>
  <c r="D12" i="19"/>
  <c r="F12" i="19" s="1"/>
  <c r="D10" i="21"/>
  <c r="F10" i="21" s="1"/>
  <c r="D34" i="20"/>
  <c r="F34" i="20" s="1"/>
  <c r="D28" i="19"/>
  <c r="F28" i="19" s="1"/>
  <c r="D26" i="19"/>
  <c r="F26" i="19" s="1"/>
  <c r="D24" i="19"/>
  <c r="F24" i="19" s="1"/>
  <c r="D22" i="19"/>
  <c r="F22" i="19" s="1"/>
  <c r="B15" i="21"/>
  <c r="B13" i="20"/>
  <c r="D13" i="20" s="1"/>
  <c r="F13" i="20" s="1"/>
  <c r="F10" i="20" s="1"/>
  <c r="B23" i="21"/>
  <c r="B17" i="20"/>
  <c r="D17" i="20" s="1"/>
  <c r="F17" i="20" s="1"/>
  <c r="D21" i="20"/>
  <c r="F21" i="20" s="1"/>
  <c r="B26" i="23"/>
  <c r="D26" i="23" l="1"/>
  <c r="B30" i="21"/>
  <c r="D30" i="21" s="1"/>
  <c r="F30" i="21" s="1"/>
  <c r="F29" i="21" s="1"/>
  <c r="D11" i="23"/>
  <c r="B19" i="20"/>
  <c r="B23" i="23" s="1"/>
  <c r="D8" i="23"/>
  <c r="D12" i="23"/>
  <c r="D14" i="23"/>
  <c r="D15" i="23"/>
  <c r="D33" i="23"/>
  <c r="D29" i="23"/>
  <c r="B40" i="23"/>
  <c r="D40" i="23" s="1"/>
  <c r="D23" i="21"/>
  <c r="F23" i="21" s="1"/>
  <c r="D26" i="21"/>
  <c r="F26" i="21" s="1"/>
  <c r="B42" i="23"/>
  <c r="D42" i="23" s="1"/>
  <c r="D25" i="21"/>
  <c r="F25" i="21" s="1"/>
  <c r="B41" i="23"/>
  <c r="D41" i="23" s="1"/>
  <c r="D19" i="21"/>
  <c r="F19" i="21" s="1"/>
  <c r="B39" i="23"/>
  <c r="B27" i="23"/>
  <c r="D27" i="23" s="1"/>
  <c r="B20" i="20"/>
  <c r="D20" i="20" s="1"/>
  <c r="F20" i="20" s="1"/>
  <c r="B22" i="23"/>
  <c r="D22" i="23" s="1"/>
  <c r="B36" i="19"/>
  <c r="B13" i="19"/>
  <c r="D13" i="19" s="1"/>
  <c r="F13" i="19" s="1"/>
  <c r="F10" i="19" s="1"/>
  <c r="D9" i="23"/>
  <c r="D25" i="23"/>
  <c r="D13" i="23"/>
  <c r="F20" i="19"/>
  <c r="D10" i="23"/>
  <c r="B16" i="23"/>
  <c r="D16" i="23" s="1"/>
  <c r="B35" i="19"/>
  <c r="B17" i="23" s="1"/>
  <c r="D17" i="23" s="1"/>
  <c r="B35" i="23"/>
  <c r="D35" i="23" s="1"/>
  <c r="D15" i="21"/>
  <c r="F15" i="21" s="1"/>
  <c r="D16" i="21"/>
  <c r="F16" i="21" s="1"/>
  <c r="B36" i="23"/>
  <c r="D36" i="23" s="1"/>
  <c r="B43" i="23"/>
  <c r="D43" i="23" s="1"/>
  <c r="D27" i="21"/>
  <c r="F27" i="21" s="1"/>
  <c r="D35" i="21"/>
  <c r="B46" i="23"/>
  <c r="B21" i="23"/>
  <c r="D21" i="23" s="1"/>
  <c r="D34" i="21"/>
  <c r="B45" i="23"/>
  <c r="F32" i="21"/>
  <c r="D39" i="23"/>
  <c r="D23" i="23"/>
  <c r="D6" i="23"/>
  <c r="D19" i="20" l="1"/>
  <c r="F19" i="20" s="1"/>
  <c r="F18" i="20" s="1"/>
  <c r="F15" i="20" s="1"/>
  <c r="B44" i="23"/>
  <c r="D44" i="23" s="1"/>
  <c r="B24" i="23"/>
  <c r="D24" i="23" s="1"/>
  <c r="D35" i="19"/>
  <c r="F35" i="19" s="1"/>
  <c r="F24" i="21"/>
  <c r="F21" i="21" s="1"/>
  <c r="B20" i="23"/>
  <c r="D20" i="23" s="1"/>
  <c r="D36" i="19"/>
  <c r="F36" i="19" s="1"/>
  <c r="B18" i="23"/>
  <c r="D18" i="23" s="1"/>
  <c r="B35" i="20"/>
  <c r="B28" i="23"/>
  <c r="D28" i="23" s="1"/>
  <c r="F33" i="19" l="1"/>
  <c r="F37" i="19" s="1"/>
  <c r="B5" i="23" s="1"/>
  <c r="D35" i="20"/>
  <c r="F35" i="20" s="1"/>
  <c r="F32" i="20" s="1"/>
  <c r="B30" i="23"/>
  <c r="D30" i="23" s="1"/>
  <c r="B37" i="20"/>
  <c r="D5" i="23" l="1"/>
  <c r="B14" i="21"/>
  <c r="B31" i="23"/>
  <c r="D31" i="23" s="1"/>
  <c r="D37" i="20"/>
  <c r="F37" i="20" s="1"/>
  <c r="F36" i="20" s="1"/>
  <c r="F38" i="20" s="1"/>
  <c r="B19" i="23" l="1"/>
  <c r="B18" i="21"/>
  <c r="B17" i="21"/>
  <c r="B34" i="23"/>
  <c r="D34" i="23" s="1"/>
  <c r="D14" i="21"/>
  <c r="F14" i="21" s="1"/>
  <c r="D19" i="23" l="1"/>
  <c r="B38" i="23"/>
  <c r="D38" i="23" s="1"/>
  <c r="D18" i="21"/>
  <c r="F18" i="21" s="1"/>
  <c r="D17" i="21"/>
  <c r="F17" i="21" s="1"/>
  <c r="B37" i="23"/>
  <c r="D37" i="23" s="1"/>
  <c r="F12" i="21" l="1"/>
  <c r="F37" i="21" s="1"/>
  <c r="B32" i="23" s="1"/>
  <c r="D32" i="23" l="1"/>
  <c r="B47" i="23"/>
  <c r="D47" i="23"/>
</calcChain>
</file>

<file path=xl/sharedStrings.xml><?xml version="1.0" encoding="utf-8"?>
<sst xmlns="http://schemas.openxmlformats.org/spreadsheetml/2006/main" count="367" uniqueCount="177">
  <si>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</si>
  <si>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</si>
  <si>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</si>
  <si>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</si>
  <si>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</si>
  <si>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</si>
  <si>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</si>
  <si>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</si>
  <si>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</si>
  <si>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</si>
  <si>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</si>
  <si>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</si>
  <si>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</si>
  <si>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</si>
  <si>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</si>
  <si>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</si>
  <si>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</si>
  <si>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</si>
  <si>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</si>
  <si>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</si>
  <si>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</si>
  <si>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</si>
  <si>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</si>
  <si>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</si>
  <si>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</si>
  <si>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</si>
  <si>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</si>
  <si>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</si>
  <si>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</si>
  <si>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</si>
  <si>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</si>
  <si>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</si>
  <si>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</si>
  <si>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</si>
  <si>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</si>
  <si>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</si>
  <si>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</si>
  <si>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</si>
  <si>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</si>
  <si>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</si>
  <si>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</si>
  <si>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</si>
  <si>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</si>
  <si>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</si>
  <si>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</si>
  <si>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</si>
  <si>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</si>
  <si>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</si>
  <si>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</si>
  <si>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</si>
  <si>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</si>
  <si>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</si>
  <si>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</si>
  <si>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</si>
  <si>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</si>
  <si>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</si>
  <si>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</si>
  <si>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</si>
  <si>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</si>
  <si>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</si>
  <si>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</si>
  <si>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</si>
  <si>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</si>
  <si>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</si>
  <si>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</si>
  <si>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</si>
  <si>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</si>
  <si>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</si>
  <si>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</si>
  <si>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</si>
  <si>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</si>
  <si>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</si>
  <si>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</si>
  <si>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</si>
  <si>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</si>
  <si>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</si>
  <si>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</si>
  <si>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</si>
  <si>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</si>
  <si>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</si>
  <si>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</si>
  <si>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</si>
  <si>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</si>
  <si>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</si>
  <si>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</si>
  <si>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</si>
  <si>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</si>
  <si>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</si>
  <si>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</si>
  <si>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</si>
  <si>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</si>
  <si>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</si>
  <si>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</si>
  <si>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</si>
  <si>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</si>
  <si>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</si>
  <si>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</si>
  <si>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</si>
  <si>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</si>
  <si>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</si>
  <si>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</si>
  <si>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</si>
  <si>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</si>
  <si>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</si>
  <si>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</si>
  <si>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</si>
  <si>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</si>
  <si>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</si>
  <si>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</si>
  <si>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</si>
  <si>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</si>
  <si>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</si>
  <si>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</si>
  <si>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</si>
  <si>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</si>
  <si>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</si>
  <si>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</si>
  <si>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</si>
  <si>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</si>
  <si>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</si>
  <si>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</si>
  <si>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</si>
  <si>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</si>
  <si>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</si>
  <si>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</si>
  <si>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</si>
  <si>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</si>
  <si>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</si>
  <si>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</si>
  <si>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</si>
  <si>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</si>
  <si>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</si>
  <si>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</si>
  <si>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</si>
  <si>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</si>
  <si>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</si>
  <si>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</si>
  <si>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</si>
  <si>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</si>
  <si>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</si>
  <si>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</si>
  <si>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</si>
  <si>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</si>
  <si>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</si>
  <si>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</si>
  <si>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</si>
  <si>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</si>
  <si>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</si>
  <si>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</si>
  <si>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</si>
  <si>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</si>
  <si>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</si>
  <si>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</si>
  <si>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</si>
  <si>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</si>
  <si>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</si>
  <si>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</si>
  <si>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</si>
  <si>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</si>
  <si>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</si>
  <si>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</si>
  <si>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</si>
  <si>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</si>
  <si>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</si>
  <si>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</si>
  <si>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</si>
  <si>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</si>
  <si>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</si>
  <si>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</si>
  <si>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</si>
  <si>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заявкам (за исключением ТП и передачи э/э), дн.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</si>
  <si>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</si>
  <si>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</si>
  <si>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</si>
  <si>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>Костромаэнерго</t>
  </si>
  <si>
    <t>2.1. Наличие единого телефонного номера для приема обращений потребителей услуг  (наличие – 1, отсутствие – 0)</t>
  </si>
  <si>
    <t>Приложение 2. Форма отчета о фактических значениях параметров показателя качества оказываемых услуг за 12 месяцев 2013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</si>
</sst>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</numFmts>
  <fonts count="32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165" fontId="1" fillId="0" borderId="0">
      <protection locked="0"/>
    </xf>
    <xf numFmtId="0" fontId="1" fillId="0" borderId="0"/>
    <xf numFmtId="0" fontId="29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1" fillId="0" borderId="0" xfId="0" applyFont="1"/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</xf>
    <xf numFmtId="0" fontId="3" fillId="0" borderId="12" xfId="0" applyNumberFormat="1" applyFont="1" applyBorder="1" applyAlignment="1" applyProtection="1">
      <alignment vertical="center"/>
    </xf>
    <xf numFmtId="0" fontId="0" fillId="0" borderId="0" xfId="0" applyFont="1"/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justify" vertical="top" wrapText="1"/>
    </xf>
    <xf numFmtId="0" fontId="23" fillId="0" borderId="14" xfId="0" applyFont="1" applyBorder="1" applyAlignment="1" applyProtection="1">
      <alignment horizontal="justify" vertical="top" wrapText="1"/>
    </xf>
    <xf numFmtId="0" fontId="3" fillId="0" borderId="14" xfId="0" applyFont="1" applyBorder="1" applyAlignment="1" applyProtection="1">
      <alignment horizontal="justify" wrapText="1"/>
    </xf>
    <xf numFmtId="167" fontId="3" fillId="0" borderId="12" xfId="0" applyNumberFormat="1" applyFont="1" applyBorder="1" applyAlignment="1"/>
    <xf numFmtId="0" fontId="2" fillId="0" borderId="11" xfId="0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 wrapText="1"/>
    </xf>
    <xf numFmtId="167" fontId="2" fillId="0" borderId="12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left"/>
    </xf>
    <xf numFmtId="0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7" fontId="3" fillId="0" borderId="0" xfId="0" applyNumberFormat="1" applyFont="1"/>
    <xf numFmtId="0" fontId="23" fillId="0" borderId="14" xfId="0" applyFont="1" applyFill="1" applyBorder="1" applyAlignment="1" applyProtection="1">
      <alignment horizontal="justify" vertical="top" wrapText="1"/>
    </xf>
    <xf numFmtId="0" fontId="2" fillId="0" borderId="11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1" xfId="0" applyBorder="1" applyAlignment="1">
      <alignment wrapText="1"/>
    </xf>
    <xf numFmtId="0" fontId="0" fillId="24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3" fillId="26" borderId="14" xfId="36" applyFont="1" applyFill="1" applyBorder="1" applyAlignment="1" applyProtection="1">
      <alignment horizontal="center" vertical="top" wrapText="1"/>
    </xf>
    <xf numFmtId="166" fontId="2" fillId="26" borderId="11" xfId="36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left" vertical="top" wrapText="1"/>
    </xf>
    <xf numFmtId="1" fontId="30" fillId="0" borderId="11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top" wrapText="1"/>
    </xf>
    <xf numFmtId="2" fontId="30" fillId="0" borderId="11" xfId="0" applyNumberFormat="1" applyFont="1" applyBorder="1" applyAlignment="1">
      <alignment horizontal="center" vertical="center"/>
    </xf>
    <xf numFmtId="165" fontId="23" fillId="26" borderId="14" xfId="36" applyFont="1" applyFill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wrapText="1"/>
    </xf>
    <xf numFmtId="0" fontId="30" fillId="0" borderId="11" xfId="0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9" fontId="2" fillId="26" borderId="12" xfId="42" applyFont="1" applyFill="1" applyBorder="1" applyAlignment="1" applyProtection="1">
      <alignment horizontal="center" vertical="center" wrapText="1"/>
    </xf>
    <xf numFmtId="9" fontId="30" fillId="0" borderId="11" xfId="42" applyFont="1" applyBorder="1" applyAlignment="1">
      <alignment horizontal="center" vertical="center"/>
    </xf>
    <xf numFmtId="9" fontId="31" fillId="0" borderId="11" xfId="42" applyFont="1" applyBorder="1" applyAlignment="1">
      <alignment horizontal="center" vertical="center"/>
    </xf>
    <xf numFmtId="9" fontId="28" fillId="26" borderId="12" xfId="42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2" fontId="2" fillId="0" borderId="13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21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Border="1" applyAlignment="1" applyProtection="1">
      <alignment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0" fillId="25" borderId="11" xfId="0" applyFont="1" applyFill="1" applyBorder="1" applyAlignment="1">
      <alignment wrapText="1"/>
    </xf>
    <xf numFmtId="168" fontId="2" fillId="26" borderId="11" xfId="36" applyNumberFormat="1" applyFont="1" applyFill="1" applyBorder="1" applyAlignment="1" applyProtection="1">
      <alignment horizontal="center" vertical="center" wrapText="1"/>
    </xf>
    <xf numFmtId="164" fontId="30" fillId="0" borderId="11" xfId="0" applyNumberFormat="1" applyFont="1" applyBorder="1" applyAlignment="1">
      <alignment horizontal="center" vertical="center"/>
    </xf>
    <xf numFmtId="169" fontId="2" fillId="26" borderId="12" xfId="42" applyNumberFormat="1" applyFont="1" applyFill="1" applyBorder="1" applyAlignment="1" applyProtection="1">
      <alignment horizontal="center" vertical="center" wrapText="1"/>
    </xf>
    <xf numFmtId="9" fontId="2" fillId="0" borderId="11" xfId="42" applyFont="1" applyBorder="1" applyAlignment="1" applyProtection="1">
      <alignment horizontal="center" vertical="center" wrapText="1"/>
    </xf>
    <xf numFmtId="166" fontId="2" fillId="0" borderId="12" xfId="0" applyNumberFormat="1" applyFont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11" xfId="0" applyNumberFormat="1" applyFont="1" applyFill="1" applyBorder="1" applyAlignment="1"/>
    <xf numFmtId="0" fontId="3" fillId="0" borderId="11" xfId="0" applyFont="1" applyFill="1" applyBorder="1" applyAlignment="1"/>
    <xf numFmtId="167" fontId="3" fillId="0" borderId="12" xfId="0" applyNumberFormat="1" applyFont="1" applyFill="1" applyBorder="1" applyAlignment="1"/>
    <xf numFmtId="16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>
      <alignment horizontal="center" wrapText="1"/>
    </xf>
    <xf numFmtId="167" fontId="2" fillId="0" borderId="12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166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166" fontId="22" fillId="0" borderId="26" xfId="0" applyNumberFormat="1" applyFont="1" applyFill="1" applyBorder="1" applyAlignment="1" applyProtection="1">
      <alignment horizontal="center" vertical="center" wrapText="1"/>
    </xf>
    <xf numFmtId="9" fontId="2" fillId="0" borderId="11" xfId="42" applyFont="1" applyBorder="1" applyAlignment="1">
      <alignment horizontal="center" vertical="center"/>
    </xf>
    <xf numFmtId="166" fontId="3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/>
    <xf numFmtId="0" fontId="0" fillId="25" borderId="11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" fontId="0" fillId="27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0" fillId="25" borderId="11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65" fontId="3" fillId="26" borderId="21" xfId="36" applyFont="1" applyFill="1" applyBorder="1" applyAlignment="1" applyProtection="1">
      <alignment horizontal="center" vertical="center" wrapText="1"/>
    </xf>
    <xf numFmtId="165" fontId="3" fillId="26" borderId="12" xfId="36" applyFont="1" applyFill="1" applyBorder="1" applyAlignment="1" applyProtection="1">
      <alignment horizontal="center" vertical="center" wrapText="1"/>
    </xf>
    <xf numFmtId="165" fontId="3" fillId="26" borderId="13" xfId="36" applyFont="1" applyFill="1" applyBorder="1" applyAlignment="1" applyProtection="1">
      <alignment horizontal="center" vertical="top" wrapText="1"/>
    </xf>
    <xf numFmtId="165" fontId="3" fillId="26" borderId="12" xfId="36" applyFont="1" applyFill="1" applyBorder="1" applyAlignment="1" applyProtection="1">
      <alignment horizontal="center" vertical="top" wrapText="1"/>
    </xf>
    <xf numFmtId="0" fontId="3" fillId="26" borderId="13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4" xfId="0" applyFont="1" applyFill="1" applyBorder="1" applyAlignment="1" applyProtection="1">
      <alignment horizontal="center" vertical="top" wrapText="1"/>
    </xf>
    <xf numFmtId="0" fontId="2" fillId="26" borderId="11" xfId="0" applyFont="1" applyFill="1" applyBorder="1" applyAlignment="1" applyProtection="1">
      <alignment horizontal="center" vertical="top" wrapText="1"/>
    </xf>
    <xf numFmtId="0" fontId="2" fillId="26" borderId="12" xfId="0" applyFont="1" applyFill="1" applyBorder="1" applyAlignment="1" applyProtection="1">
      <alignment horizontal="center" vertical="top" wrapText="1"/>
    </xf>
    <xf numFmtId="0" fontId="3" fillId="26" borderId="15" xfId="0" applyFont="1" applyFill="1" applyBorder="1" applyAlignment="1" applyProtection="1">
      <alignment horizontal="center" vertical="top" wrapText="1"/>
    </xf>
    <xf numFmtId="0" fontId="3" fillId="26" borderId="18" xfId="0" applyFont="1" applyFill="1" applyBorder="1" applyAlignment="1" applyProtection="1">
      <alignment horizontal="center" vertical="top" wrapText="1"/>
    </xf>
    <xf numFmtId="0" fontId="3" fillId="26" borderId="19" xfId="0" applyFont="1" applyFill="1" applyBorder="1" applyAlignment="1" applyProtection="1">
      <alignment horizontal="center" vertical="top" wrapText="1"/>
    </xf>
    <xf numFmtId="0" fontId="2" fillId="26" borderId="19" xfId="0" applyFont="1" applyFill="1" applyBorder="1" applyAlignment="1" applyProtection="1">
      <alignment horizontal="center" vertical="top" wrapText="1"/>
    </xf>
    <xf numFmtId="0" fontId="2" fillId="26" borderId="20" xfId="0" applyFont="1" applyFill="1" applyBorder="1" applyAlignment="1" applyProtection="1">
      <alignment horizontal="center" vertical="top" wrapText="1"/>
    </xf>
    <xf numFmtId="1" fontId="3" fillId="28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28" borderId="11" xfId="0" applyNumberFormat="1" applyFont="1" applyFill="1" applyBorder="1" applyAlignment="1">
      <alignment horizontal="center" vertical="center" wrapText="1"/>
    </xf>
    <xf numFmtId="0" fontId="3" fillId="28" borderId="11" xfId="0" applyNumberFormat="1" applyFont="1" applyFill="1" applyBorder="1" applyAlignment="1" applyProtection="1">
      <alignment horizontal="center" vertical="center" wrapText="1"/>
    </xf>
    <xf numFmtId="0" fontId="3" fillId="28" borderId="13" xfId="0" applyFont="1" applyFill="1" applyBorder="1" applyAlignment="1" applyProtection="1">
      <alignment horizontal="center" vertical="center" wrapText="1"/>
      <protection locked="0"/>
    </xf>
    <xf numFmtId="164" fontId="3" fillId="28" borderId="11" xfId="0" applyNumberFormat="1" applyFont="1" applyFill="1" applyBorder="1" applyAlignment="1" applyProtection="1">
      <alignment horizontal="center" vertical="center" wrapText="1"/>
    </xf>
    <xf numFmtId="2" fontId="3" fillId="28" borderId="11" xfId="0" applyNumberFormat="1" applyFont="1" applyFill="1" applyBorder="1" applyAlignment="1" applyProtection="1">
      <alignment horizontal="center" vertical="center" wrapText="1"/>
    </xf>
    <xf numFmtId="1" fontId="3" fillId="28" borderId="11" xfId="0" applyNumberFormat="1" applyFont="1" applyFill="1" applyBorder="1" applyAlignment="1" applyProtection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2" fontId="2" fillId="28" borderId="11" xfId="0" applyNumberFormat="1" applyFont="1" applyFill="1" applyBorder="1" applyAlignment="1">
      <alignment horizontal="center" vertical="center" wrapText="1"/>
    </xf>
    <xf numFmtId="0" fontId="2" fillId="28" borderId="13" xfId="0" applyFont="1" applyFill="1" applyBorder="1" applyAlignment="1" applyProtection="1">
      <alignment horizontal="center" vertical="center" wrapText="1"/>
      <protection locked="0"/>
    </xf>
    <xf numFmtId="168" fontId="2" fillId="28" borderId="11" xfId="0" applyNumberFormat="1" applyFont="1" applyFill="1" applyBorder="1" applyAlignment="1">
      <alignment horizontal="center" vertical="center" wrapText="1"/>
    </xf>
    <xf numFmtId="166" fontId="2" fillId="28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top" wrapText="1"/>
    </xf>
    <xf numFmtId="9" fontId="30" fillId="0" borderId="11" xfId="42" applyFont="1" applyFill="1" applyBorder="1" applyAlignment="1">
      <alignment horizontal="center" vertical="center"/>
    </xf>
    <xf numFmtId="0" fontId="27" fillId="0" borderId="0" xfId="0" applyFont="1" applyAlignment="1"/>
    <xf numFmtId="1" fontId="2" fillId="0" borderId="10" xfId="0" applyNumberFormat="1" applyFont="1" applyBorder="1" applyAlignment="1" applyProtection="1">
      <alignment horizontal="center" vertical="center" wrapText="1"/>
    </xf>
    <xf numFmtId="165" fontId="3" fillId="26" borderId="20" xfId="36" applyFont="1" applyFill="1" applyBorder="1" applyAlignment="1" applyProtection="1">
      <alignment horizontal="center" vertical="center" wrapText="1"/>
    </xf>
    <xf numFmtId="165" fontId="3" fillId="26" borderId="28" xfId="36" applyFont="1" applyFill="1" applyBorder="1" applyAlignment="1" applyProtection="1">
      <alignment horizontal="center" vertical="center" wrapText="1"/>
    </xf>
    <xf numFmtId="165" fontId="3" fillId="26" borderId="29" xfId="36" applyFont="1" applyFill="1" applyBorder="1" applyAlignment="1" applyProtection="1">
      <alignment horizontal="center" vertical="center" wrapText="1"/>
    </xf>
    <xf numFmtId="165" fontId="25" fillId="26" borderId="30" xfId="36" applyFont="1" applyFill="1" applyBorder="1" applyAlignment="1" applyProtection="1">
      <alignment horizontal="center"/>
    </xf>
    <xf numFmtId="165" fontId="25" fillId="26" borderId="31" xfId="36" applyFont="1" applyFill="1" applyBorder="1" applyAlignment="1" applyProtection="1">
      <alignment horizontal="center"/>
    </xf>
    <xf numFmtId="0" fontId="27" fillId="0" borderId="0" xfId="0" applyFont="1" applyAlignment="1">
      <alignment horizontal="center" vertical="center" wrapText="1"/>
    </xf>
    <xf numFmtId="0" fontId="3" fillId="26" borderId="12" xfId="0" applyFont="1" applyFill="1" applyBorder="1" applyAlignment="1" applyProtection="1">
      <alignment horizontal="center" vertical="center" wrapText="1"/>
    </xf>
    <xf numFmtId="0" fontId="3" fillId="26" borderId="14" xfId="0" applyFont="1" applyFill="1" applyBorder="1" applyAlignment="1" applyProtection="1">
      <alignment horizontal="center" vertical="center" wrapText="1"/>
    </xf>
    <xf numFmtId="0" fontId="25" fillId="26" borderId="16" xfId="0" applyFont="1" applyFill="1" applyBorder="1" applyAlignment="1">
      <alignment horizontal="center"/>
    </xf>
    <xf numFmtId="0" fontId="25" fillId="26" borderId="17" xfId="0" applyFont="1" applyFill="1" applyBorder="1" applyAlignment="1">
      <alignment horizontal="center"/>
    </xf>
    <xf numFmtId="0" fontId="25" fillId="26" borderId="10" xfId="0" applyFont="1" applyFill="1" applyBorder="1" applyAlignment="1">
      <alignment horizontal="center"/>
    </xf>
    <xf numFmtId="0" fontId="3" fillId="26" borderId="13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center" wrapText="1"/>
    </xf>
    <xf numFmtId="0" fontId="24" fillId="26" borderId="11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9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6" workbookViewId="0">
      <selection activeCell="A50" sqref="A50:XFD59"/>
    </sheetView>
  </sheetViews>
  <sheetFormatPr defaultRowHeight="12.75"/>
  <cols>
    <col min="1" max="1" width="56.5703125" style="45" customWidth="1"/>
    <col min="2" max="2" width="11.140625" style="45" customWidth="1"/>
    <col min="3" max="3" width="10.42578125" style="45" customWidth="1"/>
    <col min="4" max="4" width="9.7109375" style="45" customWidth="1"/>
    <col min="5" max="5" width="11.140625" style="45" customWidth="1"/>
    <col min="6" max="16384" width="9.140625" style="45"/>
  </cols>
  <sheetData>
    <row r="1" spans="1:9" ht="24.75" customHeight="1" thickBot="1">
      <c r="A1" s="160" t="s">
        <v>176</v>
      </c>
      <c r="B1" s="160"/>
      <c r="C1" s="160"/>
      <c r="D1" s="160"/>
      <c r="E1" s="160"/>
      <c r="F1" s="153"/>
      <c r="G1" s="153"/>
      <c r="H1" s="153"/>
      <c r="I1" s="153"/>
    </row>
    <row r="2" spans="1:9" ht="14.25" customHeight="1">
      <c r="A2" s="155" t="s">
        <v>11</v>
      </c>
      <c r="B2" s="158" t="s">
        <v>174</v>
      </c>
      <c r="C2" s="159"/>
      <c r="D2" s="155" t="s">
        <v>153</v>
      </c>
      <c r="E2" s="155" t="s">
        <v>26</v>
      </c>
    </row>
    <row r="3" spans="1:9" ht="24" customHeight="1">
      <c r="A3" s="156"/>
      <c r="B3" s="125" t="s">
        <v>150</v>
      </c>
      <c r="C3" s="126" t="s">
        <v>152</v>
      </c>
      <c r="D3" s="156"/>
      <c r="E3" s="156"/>
    </row>
    <row r="4" spans="1:9" ht="12" customHeight="1">
      <c r="A4" s="157"/>
      <c r="B4" s="127" t="s">
        <v>151</v>
      </c>
      <c r="C4" s="128" t="s">
        <v>137</v>
      </c>
      <c r="D4" s="157"/>
      <c r="E4" s="157"/>
    </row>
    <row r="5" spans="1:9" ht="15.75" customHeight="1">
      <c r="A5" s="46" t="s">
        <v>138</v>
      </c>
      <c r="B5" s="47">
        <f>ИНФ!F37</f>
        <v>1.5833333333333333</v>
      </c>
      <c r="C5" s="47">
        <v>2</v>
      </c>
      <c r="D5" s="56">
        <f>B5/C5</f>
        <v>0.79166666666666663</v>
      </c>
      <c r="E5" s="56"/>
    </row>
    <row r="6" spans="1:9" ht="38.25" customHeight="1">
      <c r="A6" s="48" t="s">
        <v>28</v>
      </c>
      <c r="B6" s="49">
        <f>ИНФ!B12</f>
        <v>43</v>
      </c>
      <c r="C6" s="49">
        <f>ИНФ!C12</f>
        <v>38</v>
      </c>
      <c r="D6" s="57">
        <f t="shared" ref="D6:D41" si="0">B6/C6</f>
        <v>1.131578947368421</v>
      </c>
      <c r="E6" s="58" t="str">
        <f>ИНФ!E12</f>
        <v>прямая</v>
      </c>
    </row>
    <row r="7" spans="1:9" ht="25.5" customHeight="1">
      <c r="A7" s="50" t="s">
        <v>139</v>
      </c>
      <c r="B7" s="49">
        <f>ИНФ!B15</f>
        <v>15</v>
      </c>
      <c r="C7" s="49">
        <f>ИНФ!C15</f>
        <v>5</v>
      </c>
      <c r="D7" s="57">
        <f t="shared" si="0"/>
        <v>3</v>
      </c>
      <c r="E7" s="58" t="str">
        <f>ИНФ!E13</f>
        <v>прямая</v>
      </c>
    </row>
    <row r="8" spans="1:9" ht="26.25" customHeight="1">
      <c r="A8" s="50" t="s">
        <v>140</v>
      </c>
      <c r="B8" s="49">
        <f>ИНФ!B16</f>
        <v>1</v>
      </c>
      <c r="C8" s="49">
        <f>ИНФ!C16</f>
        <v>1</v>
      </c>
      <c r="D8" s="57">
        <f t="shared" si="0"/>
        <v>1</v>
      </c>
      <c r="E8" s="58" t="str">
        <f>ИНФ!E13</f>
        <v>прямая</v>
      </c>
    </row>
    <row r="9" spans="1:9" ht="24.75" customHeight="1">
      <c r="A9" s="50" t="s">
        <v>141</v>
      </c>
      <c r="B9" s="49">
        <f>ИНФ!B17</f>
        <v>36</v>
      </c>
      <c r="C9" s="49">
        <f>ИНФ!C17</f>
        <v>18</v>
      </c>
      <c r="D9" s="57">
        <f t="shared" si="0"/>
        <v>2</v>
      </c>
      <c r="E9" s="58" t="str">
        <f>ИНФ!E13</f>
        <v>прямая</v>
      </c>
    </row>
    <row r="10" spans="1:9" ht="37.5" customHeight="1">
      <c r="A10" s="50" t="s">
        <v>142</v>
      </c>
      <c r="B10" s="49">
        <f>ИНФ!B18</f>
        <v>46</v>
      </c>
      <c r="C10" s="49">
        <f>ИНФ!C18</f>
        <v>18</v>
      </c>
      <c r="D10" s="152">
        <f t="shared" si="0"/>
        <v>2.5555555555555554</v>
      </c>
      <c r="E10" s="58" t="str">
        <f>ИНФ!E13</f>
        <v>прямая</v>
      </c>
    </row>
    <row r="11" spans="1:9" ht="26.25" customHeight="1">
      <c r="A11" s="50" t="s">
        <v>175</v>
      </c>
      <c r="B11" s="49">
        <f>ИНФ!B22</f>
        <v>1</v>
      </c>
      <c r="C11" s="49">
        <f>ИНФ!C22</f>
        <v>1</v>
      </c>
      <c r="D11" s="57">
        <f t="shared" si="0"/>
        <v>1</v>
      </c>
      <c r="E11" s="58" t="str">
        <f>ИНФ!E22</f>
        <v>прямая</v>
      </c>
    </row>
    <row r="12" spans="1:9" ht="26.25" customHeight="1">
      <c r="A12" s="48" t="s">
        <v>35</v>
      </c>
      <c r="B12" s="49">
        <f>ИНФ!B23</f>
        <v>1</v>
      </c>
      <c r="C12" s="49">
        <f>ИНФ!C23</f>
        <v>0</v>
      </c>
      <c r="D12" s="75">
        <f>IF(C12=0, IF(B12=0,1, 1.2), B12/C12)</f>
        <v>1.2</v>
      </c>
      <c r="E12" s="58" t="str">
        <f>ИНФ!E23</f>
        <v>прямая</v>
      </c>
    </row>
    <row r="13" spans="1:9" ht="38.25" customHeight="1">
      <c r="A13" s="48" t="s">
        <v>36</v>
      </c>
      <c r="B13" s="49">
        <f>ИНФ!B24</f>
        <v>0</v>
      </c>
      <c r="C13" s="49">
        <f>ИНФ!C24</f>
        <v>0</v>
      </c>
      <c r="D13" s="75">
        <f>IF(C13=0, IF(B13=0,1, 1.2), B13/C13)</f>
        <v>1</v>
      </c>
      <c r="E13" s="58" t="str">
        <f>ИНФ!E24</f>
        <v>прямая</v>
      </c>
    </row>
    <row r="14" spans="1:9" ht="39" customHeight="1">
      <c r="A14" s="50" t="s">
        <v>37</v>
      </c>
      <c r="B14" s="49">
        <f>ИНФ!B26</f>
        <v>1</v>
      </c>
      <c r="C14" s="49">
        <f>ИНФ!C26</f>
        <v>1</v>
      </c>
      <c r="D14" s="57">
        <f t="shared" si="0"/>
        <v>1</v>
      </c>
      <c r="E14" s="58" t="str">
        <f>ИНФ!E26</f>
        <v>прямая</v>
      </c>
    </row>
    <row r="15" spans="1:9" ht="51" customHeight="1">
      <c r="A15" s="50" t="s">
        <v>38</v>
      </c>
      <c r="B15" s="49">
        <f>ИНФ!B28</f>
        <v>1</v>
      </c>
      <c r="C15" s="49">
        <f>ИНФ!C28</f>
        <v>1</v>
      </c>
      <c r="D15" s="57">
        <f t="shared" si="0"/>
        <v>1</v>
      </c>
      <c r="E15" s="58" t="str">
        <f>ИНФ!E28</f>
        <v>прямая</v>
      </c>
    </row>
    <row r="16" spans="1:9" ht="51.75" customHeight="1">
      <c r="A16" s="48" t="s">
        <v>10</v>
      </c>
      <c r="B16" s="51">
        <f>ИНФ!B32</f>
        <v>0</v>
      </c>
      <c r="C16" s="73">
        <f>ИНФ!C32</f>
        <v>0.55300000000000005</v>
      </c>
      <c r="D16" s="57">
        <f t="shared" si="0"/>
        <v>0</v>
      </c>
      <c r="E16" s="58" t="str">
        <f>ИНФ!E32</f>
        <v>обратная</v>
      </c>
    </row>
    <row r="17" spans="1:5" ht="50.25" customHeight="1">
      <c r="A17" s="48" t="s">
        <v>41</v>
      </c>
      <c r="B17" s="51">
        <f>ИНФ!B35</f>
        <v>27.405451580337036</v>
      </c>
      <c r="C17" s="51">
        <f>ИНФ!C35</f>
        <v>45.16</v>
      </c>
      <c r="D17" s="57">
        <f t="shared" si="0"/>
        <v>0.60685233791711779</v>
      </c>
      <c r="E17" s="58" t="str">
        <f>ИНФ!E35</f>
        <v>обратная</v>
      </c>
    </row>
    <row r="18" spans="1:5" ht="63.75" customHeight="1">
      <c r="A18" s="48" t="s">
        <v>42</v>
      </c>
      <c r="B18" s="49">
        <f>ИНФ!B36</f>
        <v>0</v>
      </c>
      <c r="C18" s="49">
        <f>ИНФ!C36</f>
        <v>2.8999999999999998E-3</v>
      </c>
      <c r="D18" s="75">
        <f>IF(C18=0, IF(B18=0,1, 1.2), B18/C18)</f>
        <v>0</v>
      </c>
      <c r="E18" s="58" t="str">
        <f>ИНФ!E36</f>
        <v>обратная</v>
      </c>
    </row>
    <row r="19" spans="1:5" ht="15" customHeight="1">
      <c r="A19" s="52" t="s">
        <v>143</v>
      </c>
      <c r="B19" s="47">
        <f>ИСП!F38</f>
        <v>0.377</v>
      </c>
      <c r="C19" s="47">
        <v>0.58599999999999997</v>
      </c>
      <c r="D19" s="56">
        <f t="shared" si="0"/>
        <v>0.64334470989761094</v>
      </c>
      <c r="E19" s="59"/>
    </row>
    <row r="20" spans="1:5" ht="27" customHeight="1">
      <c r="A20" s="48" t="s">
        <v>47</v>
      </c>
      <c r="B20" s="49">
        <f>ИСП!B12</f>
        <v>16.911536805854499</v>
      </c>
      <c r="C20" s="49">
        <f>ИСП!C12</f>
        <v>35</v>
      </c>
      <c r="D20" s="57">
        <f t="shared" si="0"/>
        <v>0.48318676588155712</v>
      </c>
      <c r="E20" s="58" t="str">
        <f>ИСП!E12</f>
        <v>обратная</v>
      </c>
    </row>
    <row r="21" spans="1:5" ht="39.75" customHeight="1">
      <c r="A21" s="48" t="s">
        <v>48</v>
      </c>
      <c r="B21" s="49">
        <f>ИСП!B13</f>
        <v>191.26884103863205</v>
      </c>
      <c r="C21" s="49">
        <f>ИСП!C13</f>
        <v>298</v>
      </c>
      <c r="D21" s="57">
        <f t="shared" si="0"/>
        <v>0.64184174845178543</v>
      </c>
      <c r="E21" s="58" t="str">
        <f>ИСП!E13</f>
        <v>обратная</v>
      </c>
    </row>
    <row r="22" spans="1:5" ht="51" customHeight="1">
      <c r="A22" s="48" t="s">
        <v>50</v>
      </c>
      <c r="B22" s="49">
        <f>ИСП!B17</f>
        <v>26</v>
      </c>
      <c r="C22" s="49">
        <f>ИСП!C17</f>
        <v>23</v>
      </c>
      <c r="D22" s="109">
        <f t="shared" si="0"/>
        <v>1.1304347826086956</v>
      </c>
      <c r="E22" s="58" t="str">
        <f>ИСП!E17</f>
        <v>обратная</v>
      </c>
    </row>
    <row r="23" spans="1:5" ht="37.5" customHeight="1">
      <c r="A23" s="48" t="s">
        <v>144</v>
      </c>
      <c r="B23" s="49">
        <f>ИСП!B19</f>
        <v>33</v>
      </c>
      <c r="C23" s="49">
        <f>ИСП!C19</f>
        <v>40</v>
      </c>
      <c r="D23" s="57">
        <f t="shared" si="0"/>
        <v>0.82499999999999996</v>
      </c>
      <c r="E23" s="58" t="str">
        <f>ИСП!E18</f>
        <v>обратная</v>
      </c>
    </row>
    <row r="24" spans="1:5" ht="12.75" customHeight="1">
      <c r="A24" s="48" t="s">
        <v>145</v>
      </c>
      <c r="B24" s="49">
        <f>ИСП!B20</f>
        <v>34</v>
      </c>
      <c r="C24" s="49">
        <f>ИСП!C20</f>
        <v>42</v>
      </c>
      <c r="D24" s="57">
        <f t="shared" si="0"/>
        <v>0.80952380952380953</v>
      </c>
      <c r="E24" s="58" t="str">
        <f>ИСП!E18</f>
        <v>обратная</v>
      </c>
    </row>
    <row r="25" spans="1:5" ht="63.75" customHeight="1">
      <c r="A25" s="48" t="s">
        <v>53</v>
      </c>
      <c r="B25" s="55">
        <f>ИСП!B21</f>
        <v>0</v>
      </c>
      <c r="C25" s="49">
        <f>ИСП!C21</f>
        <v>1.46</v>
      </c>
      <c r="D25" s="75">
        <f>IF(C25=0, IF(B25=0,1, 1.2), B25/C25)</f>
        <v>0</v>
      </c>
      <c r="E25" s="58" t="str">
        <f>ИСП!E21</f>
        <v>обратная</v>
      </c>
    </row>
    <row r="26" spans="1:5" ht="102" customHeight="1">
      <c r="A26" s="48" t="s">
        <v>54</v>
      </c>
      <c r="B26" s="55">
        <f>ИСП!B25</f>
        <v>0</v>
      </c>
      <c r="C26" s="51">
        <f>ИСП!C25</f>
        <v>0</v>
      </c>
      <c r="D26" s="75">
        <f>IF(C26=0, IF(B26=0,1, 1.2), B26/C26)</f>
        <v>1</v>
      </c>
      <c r="E26" s="58" t="str">
        <f>ИСП!E25</f>
        <v>обратная</v>
      </c>
    </row>
    <row r="27" spans="1:5" ht="75" customHeight="1">
      <c r="A27" s="48" t="s">
        <v>14</v>
      </c>
      <c r="B27" s="49">
        <f>ИСП!B27</f>
        <v>0</v>
      </c>
      <c r="C27" s="49">
        <f>ИСП!C27</f>
        <v>0</v>
      </c>
      <c r="D27" s="75">
        <f>IF(C27=0, IF(B27=0,1, 1.2), B27/C27)</f>
        <v>1</v>
      </c>
      <c r="E27" s="58" t="str">
        <f>ИСП!E27</f>
        <v>обратная</v>
      </c>
    </row>
    <row r="28" spans="1:5" ht="38.25" customHeight="1">
      <c r="A28" s="48" t="s">
        <v>16</v>
      </c>
      <c r="B28" s="51">
        <f>ИСП!B30</f>
        <v>0.33</v>
      </c>
      <c r="C28" s="51">
        <f>ИСП!C30</f>
        <v>2.6</v>
      </c>
      <c r="D28" s="57">
        <f t="shared" si="0"/>
        <v>0.12692307692307692</v>
      </c>
      <c r="E28" s="58" t="str">
        <f>ИСП!E30</f>
        <v>обратная</v>
      </c>
    </row>
    <row r="29" spans="1:5" ht="51" customHeight="1">
      <c r="A29" s="48" t="s">
        <v>56</v>
      </c>
      <c r="B29" s="49">
        <f>ИСП!B34</f>
        <v>1</v>
      </c>
      <c r="C29" s="49">
        <f>ИСП!C34</f>
        <v>1</v>
      </c>
      <c r="D29" s="57">
        <f t="shared" si="0"/>
        <v>1</v>
      </c>
      <c r="E29" s="58" t="str">
        <f>ИСП!E34</f>
        <v>прямая</v>
      </c>
    </row>
    <row r="30" spans="1:5" ht="63.75" customHeight="1">
      <c r="A30" s="48" t="s">
        <v>57</v>
      </c>
      <c r="B30" s="49">
        <f>ИСП!B35</f>
        <v>0</v>
      </c>
      <c r="C30" s="49">
        <f>ИСП!C35</f>
        <v>2.8999999999999998E-3</v>
      </c>
      <c r="D30" s="75">
        <f>IF(C30=0, IF(B30=0,1, 1.2), B30/C30)</f>
        <v>0</v>
      </c>
      <c r="E30" s="58" t="str">
        <f>ИСП!E35</f>
        <v>обратная</v>
      </c>
    </row>
    <row r="31" spans="1:5" ht="51" customHeight="1">
      <c r="A31" s="48" t="s">
        <v>58</v>
      </c>
      <c r="B31" s="49">
        <f>ИСП!B37</f>
        <v>0</v>
      </c>
      <c r="C31" s="49">
        <f>ИСП!C37</f>
        <v>0</v>
      </c>
      <c r="D31" s="75">
        <f>IF(C31=0, IF(B31=0,1, 1.2), B31/C31)</f>
        <v>1</v>
      </c>
      <c r="E31" s="58" t="str">
        <f>ИСП!E37</f>
        <v>обратная</v>
      </c>
    </row>
    <row r="32" spans="1:5" ht="13.5" customHeight="1">
      <c r="A32" s="52" t="s">
        <v>146</v>
      </c>
      <c r="B32" s="47">
        <f>РОС!F37</f>
        <v>1.8333333333333333</v>
      </c>
      <c r="C32" s="47">
        <v>2</v>
      </c>
      <c r="D32" s="56">
        <f t="shared" si="0"/>
        <v>0.91666666666666663</v>
      </c>
      <c r="E32" s="59"/>
    </row>
    <row r="33" spans="1:5" ht="39" customHeight="1">
      <c r="A33" s="53" t="s">
        <v>60</v>
      </c>
      <c r="B33" s="54">
        <f>РОС!B10</f>
        <v>1</v>
      </c>
      <c r="C33" s="54">
        <f>РОС!C10</f>
        <v>1</v>
      </c>
      <c r="D33" s="57">
        <f t="shared" si="0"/>
        <v>1</v>
      </c>
      <c r="E33" s="58" t="str">
        <f>РОС!E10</f>
        <v>прямая</v>
      </c>
    </row>
    <row r="34" spans="1:5" ht="53.25" customHeight="1">
      <c r="A34" s="53" t="s">
        <v>61</v>
      </c>
      <c r="B34" s="73">
        <f>РОС!B14</f>
        <v>0.70280344800807637</v>
      </c>
      <c r="C34" s="51">
        <f>РОС!C14</f>
        <v>4.8</v>
      </c>
      <c r="D34" s="57">
        <f t="shared" si="0"/>
        <v>0.14641738500168258</v>
      </c>
      <c r="E34" s="58" t="str">
        <f>РОС!E14</f>
        <v>обратная</v>
      </c>
    </row>
    <row r="35" spans="1:5" ht="54" customHeight="1">
      <c r="A35" s="53" t="s">
        <v>62</v>
      </c>
      <c r="B35" s="49">
        <f>РОС!B15</f>
        <v>98.895027624309392</v>
      </c>
      <c r="C35" s="51">
        <f>РОС!C15</f>
        <v>100</v>
      </c>
      <c r="D35" s="57">
        <f t="shared" si="0"/>
        <v>0.98895027624309395</v>
      </c>
      <c r="E35" s="58" t="str">
        <f>РОС!E15</f>
        <v>прямая</v>
      </c>
    </row>
    <row r="36" spans="1:5" ht="63" customHeight="1">
      <c r="A36" s="53" t="s">
        <v>63</v>
      </c>
      <c r="B36" s="51">
        <f>РОС!B16</f>
        <v>0</v>
      </c>
      <c r="C36" s="51">
        <f>РОС!C16</f>
        <v>9.4600000000000009</v>
      </c>
      <c r="D36" s="57">
        <f t="shared" si="0"/>
        <v>0</v>
      </c>
      <c r="E36" s="58" t="str">
        <f>РОС!E16</f>
        <v>обратная</v>
      </c>
    </row>
    <row r="37" spans="1:5" ht="64.5" customHeight="1">
      <c r="A37" s="53" t="s">
        <v>64</v>
      </c>
      <c r="B37" s="55">
        <f>РОС!B17</f>
        <v>0</v>
      </c>
      <c r="C37" s="55">
        <f>РОС!C17</f>
        <v>0</v>
      </c>
      <c r="D37" s="75">
        <f>IF(C37=0, IF(B37=0,1, 1.2), B37/C37)</f>
        <v>1</v>
      </c>
      <c r="E37" s="58" t="str">
        <f>РОС!E17</f>
        <v>обратная</v>
      </c>
    </row>
    <row r="38" spans="1:5" ht="40.5" customHeight="1">
      <c r="A38" s="53" t="s">
        <v>65</v>
      </c>
      <c r="B38" s="51">
        <f>РОС!B18</f>
        <v>0.71056923196396671</v>
      </c>
      <c r="C38" s="51">
        <f>РОС!C18</f>
        <v>6.9000000000000006E-2</v>
      </c>
      <c r="D38" s="57">
        <f t="shared" si="0"/>
        <v>10.29810481107198</v>
      </c>
      <c r="E38" s="58" t="str">
        <f>РОС!E18</f>
        <v>прямая</v>
      </c>
    </row>
    <row r="39" spans="1:5" ht="41.25" customHeight="1">
      <c r="A39" s="53" t="s">
        <v>66</v>
      </c>
      <c r="B39" s="49">
        <f>РОС!B19</f>
        <v>11</v>
      </c>
      <c r="C39" s="49">
        <f>РОС!C19</f>
        <v>7</v>
      </c>
      <c r="D39" s="152">
        <f t="shared" si="0"/>
        <v>1.5714285714285714</v>
      </c>
      <c r="E39" s="58" t="str">
        <f>РОС!E19</f>
        <v>прямая</v>
      </c>
    </row>
    <row r="40" spans="1:5" ht="28.5" customHeight="1">
      <c r="A40" s="53" t="s">
        <v>68</v>
      </c>
      <c r="B40" s="49">
        <f>РОС!B23</f>
        <v>4.9811354979140212</v>
      </c>
      <c r="C40" s="49">
        <f>РОС!C23</f>
        <v>10</v>
      </c>
      <c r="D40" s="57">
        <f t="shared" si="0"/>
        <v>0.4981135497914021</v>
      </c>
      <c r="E40" s="58" t="str">
        <f>РОС!E23</f>
        <v>обратная</v>
      </c>
    </row>
    <row r="41" spans="1:5" ht="28.5" customHeight="1">
      <c r="A41" s="53" t="s">
        <v>147</v>
      </c>
      <c r="B41" s="51">
        <f>РОС!B25</f>
        <v>1.1503288023159952</v>
      </c>
      <c r="C41" s="55">
        <f>РОС!C25</f>
        <v>1.49</v>
      </c>
      <c r="D41" s="57">
        <f t="shared" si="0"/>
        <v>0.77203275323221154</v>
      </c>
      <c r="E41" s="58" t="str">
        <f>РОС!E24</f>
        <v>прямая</v>
      </c>
    </row>
    <row r="42" spans="1:5" ht="36" customHeight="1">
      <c r="A42" s="53" t="s">
        <v>148</v>
      </c>
      <c r="B42" s="55">
        <f>РОС!B26</f>
        <v>0</v>
      </c>
      <c r="C42" s="55">
        <f>РОС!C26</f>
        <v>1.49</v>
      </c>
      <c r="D42" s="75">
        <f>IF(C42=0, IF(B42=0,1, 1.2), B42/C42)</f>
        <v>0</v>
      </c>
      <c r="E42" s="58" t="str">
        <f>РОС!E24</f>
        <v>прямая</v>
      </c>
    </row>
    <row r="43" spans="1:5" ht="21.75" customHeight="1">
      <c r="A43" s="53" t="s">
        <v>149</v>
      </c>
      <c r="B43" s="49">
        <f>РОС!B27</f>
        <v>0</v>
      </c>
      <c r="C43" s="110">
        <f>РОС!C27</f>
        <v>1.49</v>
      </c>
      <c r="D43" s="75">
        <f>IF(C43=0, IF(B43=0,1, 1.2), B43/C43)</f>
        <v>0</v>
      </c>
      <c r="E43" s="58" t="str">
        <f>РОС!E24</f>
        <v>прямая</v>
      </c>
    </row>
    <row r="44" spans="1:5" ht="41.25" customHeight="1">
      <c r="A44" s="53" t="s">
        <v>3</v>
      </c>
      <c r="B44" s="49">
        <f>РОС!B30</f>
        <v>0.21767522855898999</v>
      </c>
      <c r="C44" s="49">
        <f>РОС!C30</f>
        <v>0</v>
      </c>
      <c r="D44" s="75">
        <f>IF(C44=0, IF(B44=0,1, 1.2), B44/C44)</f>
        <v>1.2</v>
      </c>
      <c r="E44" s="58" t="str">
        <f>РОС!E30</f>
        <v>обратная</v>
      </c>
    </row>
    <row r="45" spans="1:5" ht="37.5" customHeight="1">
      <c r="A45" s="53" t="s">
        <v>71</v>
      </c>
      <c r="B45" s="49" t="str">
        <f>РОС!B34</f>
        <v>-</v>
      </c>
      <c r="C45" s="49">
        <f>РОС!C34</f>
        <v>0.97</v>
      </c>
      <c r="D45" s="75" t="s">
        <v>1</v>
      </c>
      <c r="E45" s="58" t="str">
        <f>РОС!E34</f>
        <v>обратная</v>
      </c>
    </row>
    <row r="46" spans="1:5" ht="68.25" customHeight="1">
      <c r="A46" s="53" t="s">
        <v>72</v>
      </c>
      <c r="B46" s="49" t="str">
        <f>РОС!B35</f>
        <v>-</v>
      </c>
      <c r="C46" s="49">
        <f>РОС!C35</f>
        <v>94</v>
      </c>
      <c r="D46" s="109" t="s">
        <v>1</v>
      </c>
      <c r="E46" s="58" t="str">
        <f>РОС!E35</f>
        <v>прямая</v>
      </c>
    </row>
    <row r="47" spans="1:5" ht="15.75" customHeight="1">
      <c r="A47" s="52" t="s">
        <v>154</v>
      </c>
      <c r="B47" s="47">
        <f>0.1*B5+0.7*B19+0.2*B32</f>
        <v>0.78889999999999993</v>
      </c>
      <c r="C47" s="72">
        <f>0.1*C5+0.7*C19+0.2*C32</f>
        <v>1.0102</v>
      </c>
      <c r="D47" s="74">
        <f>B47/C47</f>
        <v>0.78093446842209457</v>
      </c>
      <c r="E47" s="59"/>
    </row>
    <row r="48" spans="1:5" ht="14.25" customHeight="1"/>
    <row r="49" ht="29.25" customHeight="1"/>
  </sheetData>
  <sheetProtection selectLockedCells="1" selectUnlockedCells="1"/>
  <protectedRanges>
    <protectedRange sqref="B5:B17 C6:C17" name="Диапазон1_1"/>
  </protectedRanges>
  <mergeCells count="5">
    <mergeCell ref="A2:A4"/>
    <mergeCell ref="B2:C2"/>
    <mergeCell ref="D2:D4"/>
    <mergeCell ref="E2:E4"/>
    <mergeCell ref="A1:E1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28" zoomScaleNormal="100" zoomScaleSheetLayoutView="100" workbookViewId="0">
      <pane xSplit="1" topLeftCell="B1" activePane="topRight" state="frozen"/>
      <selection pane="topRight" activeCell="F37" sqref="F37"/>
    </sheetView>
  </sheetViews>
  <sheetFormatPr defaultRowHeight="12.75"/>
  <cols>
    <col min="1" max="1" width="77.7109375" style="10" customWidth="1"/>
    <col min="2" max="3" width="8.28515625" style="10" customWidth="1"/>
    <col min="4" max="6" width="8.28515625" customWidth="1"/>
  </cols>
  <sheetData>
    <row r="2" spans="1:7" s="1" customFormat="1" ht="14.25">
      <c r="A2" s="2"/>
      <c r="B2" s="65"/>
      <c r="C2" s="66"/>
      <c r="D2" s="66"/>
      <c r="E2" s="66"/>
      <c r="F2" s="66"/>
    </row>
    <row r="3" spans="1:7" s="1" customFormat="1">
      <c r="A3" s="2"/>
      <c r="B3" s="66"/>
      <c r="C3" s="66"/>
      <c r="D3" s="66"/>
      <c r="E3" s="66"/>
      <c r="F3" s="66"/>
      <c r="G3" s="32"/>
    </row>
    <row r="4" spans="1:7" s="1" customFormat="1">
      <c r="A4" s="2"/>
      <c r="B4" s="66"/>
      <c r="C4" s="66"/>
      <c r="D4" s="66"/>
      <c r="E4" s="66"/>
      <c r="F4" s="66"/>
    </row>
    <row r="5" spans="1:7" s="1" customFormat="1" ht="13.5" thickBot="1">
      <c r="A5" s="2"/>
    </row>
    <row r="6" spans="1:7">
      <c r="A6" s="162" t="s">
        <v>11</v>
      </c>
      <c r="B6" s="163" t="str">
        <f>Свод!B2</f>
        <v>Костромаэнерго</v>
      </c>
      <c r="C6" s="164"/>
      <c r="D6" s="164"/>
      <c r="E6" s="164"/>
      <c r="F6" s="165"/>
    </row>
    <row r="7" spans="1:7">
      <c r="A7" s="162"/>
      <c r="B7" s="166" t="s">
        <v>4</v>
      </c>
      <c r="C7" s="167"/>
      <c r="D7" s="168" t="s">
        <v>25</v>
      </c>
      <c r="E7" s="168" t="s">
        <v>26</v>
      </c>
      <c r="F7" s="161" t="s">
        <v>2</v>
      </c>
    </row>
    <row r="8" spans="1:7">
      <c r="A8" s="162"/>
      <c r="B8" s="129" t="s">
        <v>44</v>
      </c>
      <c r="C8" s="130" t="s">
        <v>45</v>
      </c>
      <c r="D8" s="169"/>
      <c r="E8" s="168"/>
      <c r="F8" s="161"/>
    </row>
    <row r="9" spans="1:7" ht="15.75">
      <c r="A9" s="131">
        <v>1</v>
      </c>
      <c r="B9" s="129">
        <v>2</v>
      </c>
      <c r="C9" s="130">
        <v>3</v>
      </c>
      <c r="D9" s="132">
        <v>4</v>
      </c>
      <c r="E9" s="132">
        <v>5</v>
      </c>
      <c r="F9" s="133">
        <v>6</v>
      </c>
    </row>
    <row r="10" spans="1:7" ht="25.5">
      <c r="A10" s="12" t="s">
        <v>27</v>
      </c>
      <c r="B10" s="11" t="s">
        <v>1</v>
      </c>
      <c r="C10" s="30" t="s">
        <v>1</v>
      </c>
      <c r="D10" s="5" t="s">
        <v>1</v>
      </c>
      <c r="E10" s="5" t="s">
        <v>1</v>
      </c>
      <c r="F10" s="6">
        <f>AVERAGE(F12:F13)</f>
        <v>1.5</v>
      </c>
    </row>
    <row r="11" spans="1:7" ht="15.75">
      <c r="A11" s="12" t="s">
        <v>5</v>
      </c>
      <c r="B11" s="11"/>
      <c r="C11" s="30"/>
      <c r="D11" s="5"/>
      <c r="E11" s="5"/>
      <c r="F11" s="6"/>
    </row>
    <row r="12" spans="1:7" ht="25.5">
      <c r="A12" s="13" t="s">
        <v>28</v>
      </c>
      <c r="B12" s="139">
        <v>43</v>
      </c>
      <c r="C12" s="140">
        <v>38</v>
      </c>
      <c r="D12" s="7">
        <f>IF(C12=0, IF(B12=0,100, 120), B12/C12*100)</f>
        <v>113.1578947368421</v>
      </c>
      <c r="E12" s="7" t="s">
        <v>23</v>
      </c>
      <c r="F12" s="6">
        <f>IF(OR(AND(D12&lt;80,E12="прямая"),AND(D12&gt;120,E12="обратная")),3,IF(OR(AND(D12&gt;120,E12="прямая"),AND(D12&lt;80,E12="обратная")),1,2))</f>
        <v>2</v>
      </c>
    </row>
    <row r="13" spans="1:7" ht="38.25">
      <c r="A13" s="13" t="s">
        <v>29</v>
      </c>
      <c r="B13" s="64">
        <f>SUM(B15:B18)</f>
        <v>98</v>
      </c>
      <c r="C13" s="140">
        <v>60</v>
      </c>
      <c r="D13" s="63">
        <f>IF(C13=0, IF(B13=0,100, 120), B13/C13*100)</f>
        <v>163.33333333333334</v>
      </c>
      <c r="E13" s="7" t="s">
        <v>23</v>
      </c>
      <c r="F13" s="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 t="s">
        <v>30</v>
      </c>
      <c r="B14" s="8"/>
      <c r="C14" s="69"/>
      <c r="D14" s="7"/>
      <c r="E14" s="7"/>
      <c r="F14" s="9"/>
    </row>
    <row r="15" spans="1:7" ht="25.5">
      <c r="A15" s="12" t="s">
        <v>31</v>
      </c>
      <c r="B15" s="42">
        <f>Исходные!C5</f>
        <v>15</v>
      </c>
      <c r="C15" s="140">
        <v>5</v>
      </c>
      <c r="D15" s="7"/>
      <c r="E15" s="7" t="s">
        <v>1</v>
      </c>
      <c r="F15" s="31" t="s">
        <v>1</v>
      </c>
    </row>
    <row r="16" spans="1:7" ht="38.25">
      <c r="A16" s="12" t="s">
        <v>32</v>
      </c>
      <c r="B16" s="42">
        <v>1</v>
      </c>
      <c r="C16" s="140">
        <v>1</v>
      </c>
      <c r="D16" s="7"/>
      <c r="E16" s="7" t="s">
        <v>1</v>
      </c>
      <c r="F16" s="31" t="s">
        <v>1</v>
      </c>
    </row>
    <row r="17" spans="1:6" ht="25.5">
      <c r="A17" s="12" t="s">
        <v>6</v>
      </c>
      <c r="B17" s="42">
        <f>Исходные!C6</f>
        <v>36</v>
      </c>
      <c r="C17" s="140">
        <v>18</v>
      </c>
      <c r="D17" s="7"/>
      <c r="E17" s="7" t="s">
        <v>1</v>
      </c>
      <c r="F17" s="31" t="s">
        <v>1</v>
      </c>
    </row>
    <row r="18" spans="1:6" ht="25.5">
      <c r="A18" s="12" t="s">
        <v>7</v>
      </c>
      <c r="B18" s="42">
        <f>Исходные!C7</f>
        <v>46</v>
      </c>
      <c r="C18" s="140">
        <v>18</v>
      </c>
      <c r="D18" s="7"/>
      <c r="E18" s="7" t="s">
        <v>1</v>
      </c>
      <c r="F18" s="31" t="s">
        <v>1</v>
      </c>
    </row>
    <row r="19" spans="1:6" ht="15.75">
      <c r="A19" s="13"/>
      <c r="B19" s="8"/>
      <c r="C19" s="69"/>
      <c r="D19" s="7"/>
      <c r="E19" s="7"/>
      <c r="F19" s="9"/>
    </row>
    <row r="20" spans="1:6" ht="25.5">
      <c r="A20" s="12" t="s">
        <v>33</v>
      </c>
      <c r="B20" s="11" t="s">
        <v>1</v>
      </c>
      <c r="C20" s="70" t="s">
        <v>1</v>
      </c>
      <c r="D20" s="5" t="s">
        <v>1</v>
      </c>
      <c r="E20" s="5" t="s">
        <v>1</v>
      </c>
      <c r="F20" s="76">
        <f>AVERAGE(F22:F24)</f>
        <v>2</v>
      </c>
    </row>
    <row r="21" spans="1:6" ht="15.75">
      <c r="A21" s="12" t="s">
        <v>8</v>
      </c>
      <c r="B21" s="8"/>
      <c r="C21" s="69"/>
      <c r="D21" s="7"/>
      <c r="E21" s="7"/>
      <c r="F21" s="9"/>
    </row>
    <row r="22" spans="1:6" ht="25.5">
      <c r="A22" s="12" t="s">
        <v>34</v>
      </c>
      <c r="B22" s="42">
        <v>1</v>
      </c>
      <c r="C22" s="140">
        <v>1</v>
      </c>
      <c r="D22" s="35">
        <f t="shared" ref="D22:D28" si="0">IF(C22=0, IF(B22=0,100, 120), B22/C22*100)</f>
        <v>100</v>
      </c>
      <c r="E22" s="35" t="s">
        <v>23</v>
      </c>
      <c r="F22" s="85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13" t="s">
        <v>35</v>
      </c>
      <c r="B23" s="42">
        <v>1</v>
      </c>
      <c r="C23" s="140">
        <v>0</v>
      </c>
      <c r="D23" s="35">
        <f t="shared" si="0"/>
        <v>120</v>
      </c>
      <c r="E23" s="35" t="s">
        <v>23</v>
      </c>
      <c r="F23" s="85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13" t="s">
        <v>36</v>
      </c>
      <c r="B24" s="142">
        <v>0</v>
      </c>
      <c r="C24" s="141">
        <v>0</v>
      </c>
      <c r="D24" s="35">
        <f t="shared" si="0"/>
        <v>100</v>
      </c>
      <c r="E24" s="35" t="s">
        <v>23</v>
      </c>
      <c r="F24" s="85">
        <f>IF(OR(AND(D24&lt;80,E24="прямая"),AND(D24&gt;120,E24="обратная")),3,IF(OR(AND(D24&gt;120,E24="прямая"),AND(D24&lt;80,E24="обратная")),1,2))</f>
        <v>2</v>
      </c>
    </row>
    <row r="25" spans="1:6" ht="15.75">
      <c r="A25" s="12"/>
      <c r="B25" s="99"/>
      <c r="C25" s="98"/>
      <c r="D25" s="35"/>
      <c r="E25" s="35"/>
      <c r="F25" s="85"/>
    </row>
    <row r="26" spans="1:6" ht="38.25">
      <c r="A26" s="12" t="s">
        <v>37</v>
      </c>
      <c r="B26" s="42">
        <v>1</v>
      </c>
      <c r="C26" s="140">
        <v>1</v>
      </c>
      <c r="D26" s="35">
        <f t="shared" si="0"/>
        <v>100</v>
      </c>
      <c r="E26" s="35" t="s">
        <v>23</v>
      </c>
      <c r="F26" s="85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12"/>
      <c r="B27" s="99"/>
      <c r="C27" s="98"/>
      <c r="D27" s="35"/>
      <c r="E27" s="35"/>
      <c r="F27" s="85"/>
    </row>
    <row r="28" spans="1:6" ht="38.25">
      <c r="A28" s="12" t="s">
        <v>38</v>
      </c>
      <c r="B28" s="42">
        <v>1</v>
      </c>
      <c r="C28" s="140">
        <v>1</v>
      </c>
      <c r="D28" s="35">
        <f t="shared" si="0"/>
        <v>100</v>
      </c>
      <c r="E28" s="35" t="s">
        <v>23</v>
      </c>
      <c r="F28" s="85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12"/>
      <c r="B29" s="100"/>
      <c r="C29" s="101"/>
      <c r="D29" s="35"/>
      <c r="E29" s="35"/>
      <c r="F29" s="85"/>
    </row>
    <row r="30" spans="1:6" ht="25.5">
      <c r="A30" s="12" t="s">
        <v>9</v>
      </c>
      <c r="B30" s="99" t="s">
        <v>1</v>
      </c>
      <c r="C30" s="98" t="s">
        <v>1</v>
      </c>
      <c r="D30" s="35" t="s">
        <v>1</v>
      </c>
      <c r="E30" s="35" t="s">
        <v>1</v>
      </c>
      <c r="F30" s="85">
        <f>F32/1</f>
        <v>1</v>
      </c>
    </row>
    <row r="31" spans="1:6" ht="15.75">
      <c r="A31" s="12" t="s">
        <v>39</v>
      </c>
      <c r="B31" s="100"/>
      <c r="C31" s="101"/>
      <c r="D31" s="35"/>
      <c r="E31" s="35"/>
      <c r="F31" s="102"/>
    </row>
    <row r="32" spans="1:6" ht="38.25">
      <c r="A32" s="13" t="s">
        <v>10</v>
      </c>
      <c r="B32" s="103">
        <f>100*Исходные!C8/Исходные!C9</f>
        <v>0</v>
      </c>
      <c r="C32" s="143">
        <v>0.55300000000000005</v>
      </c>
      <c r="D32" s="35">
        <f>IF(C32=0, IF(B32=0,100, 120), B32/C32*100)</f>
        <v>0</v>
      </c>
      <c r="E32" s="35" t="s">
        <v>24</v>
      </c>
      <c r="F32" s="85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12" t="s">
        <v>40</v>
      </c>
      <c r="B33" s="99" t="s">
        <v>1</v>
      </c>
      <c r="C33" s="98" t="s">
        <v>1</v>
      </c>
      <c r="D33" s="104" t="s">
        <v>1</v>
      </c>
      <c r="E33" s="104" t="s">
        <v>1</v>
      </c>
      <c r="F33" s="85">
        <f>AVERAGE(F35:F36)</f>
        <v>1</v>
      </c>
    </row>
    <row r="34" spans="1:6" ht="15.75">
      <c r="A34" s="12" t="s">
        <v>5</v>
      </c>
      <c r="B34" s="99"/>
      <c r="C34" s="98"/>
      <c r="D34" s="35"/>
      <c r="E34" s="35"/>
      <c r="F34" s="85"/>
    </row>
    <row r="35" spans="1:6" ht="38.25">
      <c r="A35" s="13" t="s">
        <v>41</v>
      </c>
      <c r="B35" s="103">
        <f>100*Исходные!C13/Исходные!C14</f>
        <v>27.405451580337036</v>
      </c>
      <c r="C35" s="144">
        <v>45.16</v>
      </c>
      <c r="D35" s="35">
        <f>IF(C35=0, IF(B35=0,100, 120), B35/C35*100)</f>
        <v>60.685233791711781</v>
      </c>
      <c r="E35" s="35" t="s">
        <v>24</v>
      </c>
      <c r="F35" s="85">
        <f>IF(OR(AND(D35&lt;80,E35="прямая"),AND(D35&gt;120,E35="обратная")),3,IF(OR(AND(D35&gt;120,E35="прямая"),AND(D35&lt;80,E35="обратная")),1,2))</f>
        <v>1</v>
      </c>
    </row>
    <row r="36" spans="1:6" ht="51">
      <c r="A36" s="13" t="s">
        <v>42</v>
      </c>
      <c r="B36" s="42">
        <f>100*Исходные!C15/Исходные!C16</f>
        <v>0</v>
      </c>
      <c r="C36" s="145">
        <v>2.8999999999999998E-3</v>
      </c>
      <c r="D36" s="35">
        <f>IF(C36=0, IF(B36=0,100, 120), B36/C36*100)</f>
        <v>0</v>
      </c>
      <c r="E36" s="35" t="s">
        <v>24</v>
      </c>
      <c r="F36" s="85">
        <f>IF(OR(AND(D36&lt;80,E36="прямая"),AND(D36&gt;120,E36="обратная")),3,IF(OR(AND(D36&gt;120,E36="прямая"),AND(D36&lt;80,E36="обратная")),1,2))</f>
        <v>1</v>
      </c>
    </row>
    <row r="37" spans="1:6" ht="16.5" thickBot="1">
      <c r="A37" s="14" t="s">
        <v>43</v>
      </c>
      <c r="B37" s="105" t="s">
        <v>1</v>
      </c>
      <c r="C37" s="106" t="s">
        <v>1</v>
      </c>
      <c r="D37" s="107" t="s">
        <v>1</v>
      </c>
      <c r="E37" s="107" t="s">
        <v>1</v>
      </c>
      <c r="F37" s="108">
        <f>AVERAGE(F10,F20,F26,F28,F30,F33)</f>
        <v>1.5833333333333333</v>
      </c>
    </row>
  </sheetData>
  <sheetProtection selectLockedCells="1" selectUnlockedCells="1"/>
  <protectedRanges>
    <protectedRange sqref="B12:B36" name="Диапазон1"/>
    <protectedRange sqref="C12:C36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view="pageBreakPreview" zoomScaleNormal="80" zoomScaleSheetLayoutView="100" workbookViewId="0">
      <selection activeCell="A15" sqref="A15"/>
    </sheetView>
  </sheetViews>
  <sheetFormatPr defaultRowHeight="12.75"/>
  <cols>
    <col min="1" max="1" width="76.5703125" style="10" customWidth="1"/>
    <col min="2" max="2" width="11" style="10" customWidth="1"/>
    <col min="3" max="3" width="8.28515625" style="10" customWidth="1"/>
    <col min="4" max="4" width="8.5703125" customWidth="1"/>
    <col min="5" max="6" width="8.28515625" customWidth="1"/>
  </cols>
  <sheetData>
    <row r="2" spans="1:7" s="1" customFormat="1" ht="14.25">
      <c r="A2" s="2"/>
      <c r="B2" s="3"/>
    </row>
    <row r="3" spans="1:7" s="1" customFormat="1">
      <c r="A3" s="2"/>
      <c r="D3" s="67"/>
      <c r="E3" s="67"/>
      <c r="F3" s="67"/>
      <c r="G3" s="32"/>
    </row>
    <row r="4" spans="1:7" s="1" customFormat="1">
      <c r="A4" s="2"/>
      <c r="D4" s="67"/>
      <c r="E4" s="67"/>
      <c r="F4" s="67"/>
    </row>
    <row r="5" spans="1:7" s="1" customFormat="1" ht="13.5" thickBot="1">
      <c r="A5" s="2"/>
    </row>
    <row r="6" spans="1:7">
      <c r="A6" s="162" t="s">
        <v>11</v>
      </c>
      <c r="B6" s="163" t="str">
        <f>ИНФ!B6</f>
        <v>Костромаэнерго</v>
      </c>
      <c r="C6" s="164"/>
      <c r="D6" s="164"/>
      <c r="E6" s="164"/>
      <c r="F6" s="165"/>
    </row>
    <row r="7" spans="1:7">
      <c r="A7" s="162"/>
      <c r="B7" s="166" t="s">
        <v>4</v>
      </c>
      <c r="C7" s="167"/>
      <c r="D7" s="168" t="s">
        <v>25</v>
      </c>
      <c r="E7" s="168" t="s">
        <v>26</v>
      </c>
      <c r="F7" s="161" t="s">
        <v>2</v>
      </c>
    </row>
    <row r="8" spans="1:7">
      <c r="A8" s="162"/>
      <c r="B8" s="129" t="s">
        <v>44</v>
      </c>
      <c r="C8" s="130" t="s">
        <v>45</v>
      </c>
      <c r="D8" s="169"/>
      <c r="E8" s="168"/>
      <c r="F8" s="161"/>
    </row>
    <row r="9" spans="1:7" ht="16.5" thickBot="1">
      <c r="A9" s="134">
        <v>1</v>
      </c>
      <c r="B9" s="135">
        <v>2</v>
      </c>
      <c r="C9" s="136">
        <v>3</v>
      </c>
      <c r="D9" s="137">
        <v>4</v>
      </c>
      <c r="E9" s="137">
        <v>5</v>
      </c>
      <c r="F9" s="138">
        <v>6</v>
      </c>
    </row>
    <row r="10" spans="1:7" ht="51">
      <c r="A10" s="13" t="s">
        <v>46</v>
      </c>
      <c r="B10" s="22" t="s">
        <v>1</v>
      </c>
      <c r="C10" s="23" t="s">
        <v>1</v>
      </c>
      <c r="D10" s="24" t="s">
        <v>1</v>
      </c>
      <c r="E10" s="23" t="s">
        <v>1</v>
      </c>
      <c r="F10" s="4">
        <f>AVERAGE(F12:F13)</f>
        <v>1</v>
      </c>
    </row>
    <row r="11" spans="1:7" ht="13.5" thickBot="1">
      <c r="A11" s="13" t="s">
        <v>5</v>
      </c>
      <c r="B11" s="25"/>
      <c r="C11" s="20"/>
      <c r="D11" s="21"/>
      <c r="E11" s="20"/>
      <c r="F11" s="15"/>
    </row>
    <row r="12" spans="1:7" ht="32.25" thickBot="1">
      <c r="A12" s="13" t="s">
        <v>47</v>
      </c>
      <c r="B12" s="68">
        <f>Исходные!C17/Исходные!C18</f>
        <v>16.911536805854499</v>
      </c>
      <c r="C12" s="140">
        <v>35</v>
      </c>
      <c r="D12" s="154">
        <f>IF(C12=0,IF(B12=0,100,120),B12/C12*100)</f>
        <v>48.318676588155711</v>
      </c>
      <c r="E12" s="34" t="s">
        <v>24</v>
      </c>
      <c r="F12" s="4">
        <f>IF(OR(AND(D12&lt;80,E12="прямая"),AND(D12&gt;120,E12="обратная")),3,IF(OR(AND(D12&gt;120,E12="прямая"),AND(D12&lt;80,E12="обратная")),1,2))</f>
        <v>1</v>
      </c>
    </row>
    <row r="13" spans="1:7" s="36" customFormat="1" ht="38.25">
      <c r="A13" s="33" t="s">
        <v>48</v>
      </c>
      <c r="B13" s="68">
        <f>Исходные!C19/Исходные!C20</f>
        <v>191.26884103863205</v>
      </c>
      <c r="C13" s="140">
        <v>298</v>
      </c>
      <c r="D13" s="154">
        <f>IF(C13=0, IF(B13=0,100, 120), B13/C13*100)</f>
        <v>64.184174845178546</v>
      </c>
      <c r="E13" s="34" t="s">
        <v>24</v>
      </c>
      <c r="F13" s="4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/>
      <c r="B14" s="60"/>
      <c r="C14" s="34"/>
      <c r="D14" s="34"/>
      <c r="E14" s="34"/>
      <c r="F14" s="89"/>
    </row>
    <row r="15" spans="1:7" ht="25.5">
      <c r="A15" s="33" t="s">
        <v>49</v>
      </c>
      <c r="B15" s="60" t="s">
        <v>1</v>
      </c>
      <c r="C15" s="34" t="s">
        <v>1</v>
      </c>
      <c r="D15" s="34" t="s">
        <v>1</v>
      </c>
      <c r="E15" s="34" t="s">
        <v>1</v>
      </c>
      <c r="F15" s="85">
        <f>IF(B17="-", AVERAGE(F18,F21), AVERAGE(F17,F18,F21))</f>
        <v>0.41666666666666669</v>
      </c>
    </row>
    <row r="16" spans="1:7">
      <c r="A16" s="13" t="s">
        <v>5</v>
      </c>
      <c r="B16" s="79"/>
      <c r="C16" s="80"/>
      <c r="D16" s="80"/>
      <c r="E16" s="80"/>
      <c r="F16" s="83"/>
    </row>
    <row r="17" spans="1:6" ht="38.25">
      <c r="A17" s="13" t="s">
        <v>50</v>
      </c>
      <c r="B17" s="27">
        <f>IF(Исходные!C21=0, "-", Исходные!C21/Исходные!C22)</f>
        <v>26</v>
      </c>
      <c r="C17" s="146">
        <v>23</v>
      </c>
      <c r="D17" s="35">
        <f>IF(C17=0, IF(B17=0,100, 120), B17/C17*100)</f>
        <v>113.04347826086956</v>
      </c>
      <c r="E17" s="34" t="s">
        <v>24</v>
      </c>
      <c r="F17" s="85">
        <f>IF(OR(AND(D17&lt;80,E17="прямая"),AND(D17&gt;120,E17="обратная")),0.75,IF(OR(AND(D17&gt;120,E17="прямая"),AND(D17&lt;80,E17="обратная")),0.25,0.5))</f>
        <v>0.5</v>
      </c>
    </row>
    <row r="18" spans="1:6" ht="31.5">
      <c r="A18" s="13" t="s">
        <v>51</v>
      </c>
      <c r="B18" s="60" t="s">
        <v>1</v>
      </c>
      <c r="C18" s="34" t="s">
        <v>1</v>
      </c>
      <c r="D18" s="35" t="s">
        <v>1</v>
      </c>
      <c r="E18" s="34" t="s">
        <v>24</v>
      </c>
      <c r="F18" s="85">
        <f>AVERAGE(F19:F20)</f>
        <v>0.5</v>
      </c>
    </row>
    <row r="19" spans="1:6" ht="31.5">
      <c r="A19" s="13" t="s">
        <v>52</v>
      </c>
      <c r="B19" s="68">
        <f>Исходные!C23/Исходные!C24</f>
        <v>33</v>
      </c>
      <c r="C19" s="146">
        <v>40</v>
      </c>
      <c r="D19" s="35">
        <f>IF(C19=0, IF(B19=0,100, 120), B19/C19*100)</f>
        <v>82.5</v>
      </c>
      <c r="E19" s="34" t="s">
        <v>24</v>
      </c>
      <c r="F19" s="85">
        <f>IF(OR(AND(D19&lt;80,E19="прямая"),AND(D19&gt;120,E19="обратная")),0.75,IF(OR(AND(D19&gt;120,E19="прямая"),AND(D19&lt;80,E19="обратная")),0.25,0.5))</f>
        <v>0.5</v>
      </c>
    </row>
    <row r="20" spans="1:6" ht="31.5">
      <c r="A20" s="13" t="s">
        <v>12</v>
      </c>
      <c r="B20" s="68">
        <f>Исходные!C25/Исходные!C26</f>
        <v>34</v>
      </c>
      <c r="C20" s="146">
        <v>42</v>
      </c>
      <c r="D20" s="35">
        <f>IF(C20=0, IF(B20=0,100, 120), B20/C20*100)</f>
        <v>80.952380952380949</v>
      </c>
      <c r="E20" s="34" t="s">
        <v>24</v>
      </c>
      <c r="F20" s="85">
        <f>IF(OR(AND(D20&lt;80,E20="прямая"),AND(D20&gt;120,E20="обратная")),0.75,IF(OR(AND(D20&gt;120,E20="прямая"),AND(D20&lt;80,E20="обратная")),0.25,0.5))</f>
        <v>0.5</v>
      </c>
    </row>
    <row r="21" spans="1:6" ht="51">
      <c r="A21" s="13" t="s">
        <v>53</v>
      </c>
      <c r="B21" s="84">
        <f>Исходные!C27/(Исходные!C28+Исходные!C29)*100</f>
        <v>0</v>
      </c>
      <c r="C21" s="140">
        <v>1.46</v>
      </c>
      <c r="D21" s="35">
        <f>IF(C21=0, IF(B21=0,100, 120), B21/C21*100)</f>
        <v>0</v>
      </c>
      <c r="E21" s="34" t="s">
        <v>24</v>
      </c>
      <c r="F21" s="85">
        <f>IF(OR(AND(D21&lt;80,E21="прямая"),AND(D21&gt;120,E21="обратная")),0.75,IF(OR(AND(D21&gt;120,E21="прямая"),AND(D21&lt;80,E21="обратная")),0.25,0.5))</f>
        <v>0.25</v>
      </c>
    </row>
    <row r="22" spans="1:6">
      <c r="A22" s="13"/>
      <c r="B22" s="79"/>
      <c r="C22" s="80"/>
      <c r="D22" s="80"/>
      <c r="E22" s="80"/>
      <c r="F22" s="83"/>
    </row>
    <row r="23" spans="1:6" ht="25.5">
      <c r="A23" s="13" t="s">
        <v>13</v>
      </c>
      <c r="B23" s="60" t="s">
        <v>1</v>
      </c>
      <c r="C23" s="34" t="s">
        <v>1</v>
      </c>
      <c r="D23" s="34" t="s">
        <v>1</v>
      </c>
      <c r="E23" s="34" t="s">
        <v>1</v>
      </c>
      <c r="F23" s="85">
        <f>F25</f>
        <v>0.2</v>
      </c>
    </row>
    <row r="24" spans="1:6">
      <c r="A24" s="13" t="s">
        <v>39</v>
      </c>
      <c r="B24" s="79"/>
      <c r="C24" s="80"/>
      <c r="D24" s="80"/>
      <c r="E24" s="80"/>
      <c r="F24" s="83"/>
    </row>
    <row r="25" spans="1:6" ht="76.5">
      <c r="A25" s="13" t="s">
        <v>54</v>
      </c>
      <c r="B25" s="87">
        <f>100*Исходные!C30/Исходные!C31</f>
        <v>0</v>
      </c>
      <c r="C25" s="146">
        <v>0</v>
      </c>
      <c r="D25" s="35">
        <f>IF(C25=0, IF(B25=0,100, 120), B25/C25*100)</f>
        <v>100</v>
      </c>
      <c r="E25" s="34" t="s">
        <v>24</v>
      </c>
      <c r="F25" s="85">
        <f>IF(OR(AND(D25&lt;80,E25="прямая"),AND(D25&gt;120,E25="обратная")),0.3,IF(OR(AND(D25&gt;120,E25="прямая"),AND(D25&lt;80,E25="обратная")),0.1,0.2))</f>
        <v>0.2</v>
      </c>
    </row>
    <row r="26" spans="1:6" ht="25.5">
      <c r="A26" s="13" t="s">
        <v>55</v>
      </c>
      <c r="B26" s="60" t="s">
        <v>1</v>
      </c>
      <c r="C26" s="34" t="s">
        <v>1</v>
      </c>
      <c r="D26" s="34" t="s">
        <v>1</v>
      </c>
      <c r="E26" s="34" t="s">
        <v>1</v>
      </c>
      <c r="F26" s="85">
        <f>F27</f>
        <v>0.2</v>
      </c>
    </row>
    <row r="27" spans="1:6" ht="51">
      <c r="A27" s="13" t="s">
        <v>14</v>
      </c>
      <c r="B27" s="27">
        <f>100*Исходные!C32/Исходные!C33</f>
        <v>0</v>
      </c>
      <c r="C27" s="140">
        <v>0</v>
      </c>
      <c r="D27" s="35">
        <f>IF(C27=0, IF(B27=0,100, 120), B27/C27*100)</f>
        <v>100</v>
      </c>
      <c r="E27" s="34" t="s">
        <v>24</v>
      </c>
      <c r="F27" s="85">
        <f>IF(OR(AND(D27&lt;80,E27="прямая"),AND(D27&gt;120,E27="обратная")),0.3,IF(OR(AND(D27&gt;120,E27="прямая"),AND(D27&lt;80,E27="обратная")),0.1,0.2))</f>
        <v>0.2</v>
      </c>
    </row>
    <row r="28" spans="1:6" ht="15.75">
      <c r="A28" s="13"/>
      <c r="B28" s="27"/>
      <c r="C28" s="34"/>
      <c r="D28" s="77"/>
      <c r="E28" s="34"/>
      <c r="F28" s="89"/>
    </row>
    <row r="29" spans="1:6" ht="25.5">
      <c r="A29" s="33" t="s">
        <v>15</v>
      </c>
      <c r="B29" s="60" t="s">
        <v>1</v>
      </c>
      <c r="C29" s="34" t="s">
        <v>1</v>
      </c>
      <c r="D29" s="34" t="s">
        <v>1</v>
      </c>
      <c r="E29" s="34" t="s">
        <v>1</v>
      </c>
      <c r="F29" s="85">
        <f>F30</f>
        <v>0.25</v>
      </c>
    </row>
    <row r="30" spans="1:6" ht="31.5">
      <c r="A30" s="13" t="s">
        <v>16</v>
      </c>
      <c r="B30" s="87">
        <v>0.33</v>
      </c>
      <c r="C30" s="147">
        <v>2.6</v>
      </c>
      <c r="D30" s="35">
        <f>IF(C30=0, IF(B30=0,100, 120), B30/C30*100)</f>
        <v>12.692307692307692</v>
      </c>
      <c r="E30" s="34" t="s">
        <v>24</v>
      </c>
      <c r="F30" s="85">
        <f>IF(OR(AND(D30&lt;80,E30="прямая"),AND(D30&gt;120,E30="обратная")),0.75,IF(AND(D30&gt;80,D30&lt;120),0.5,0.25))</f>
        <v>0.25</v>
      </c>
    </row>
    <row r="31" spans="1:6" ht="15.75">
      <c r="A31" s="13"/>
      <c r="B31" s="27"/>
      <c r="C31" s="34"/>
      <c r="D31" s="77"/>
      <c r="E31" s="34"/>
      <c r="F31" s="89"/>
    </row>
    <row r="32" spans="1:6" ht="25.5">
      <c r="A32" s="33" t="s">
        <v>17</v>
      </c>
      <c r="B32" s="27" t="s">
        <v>1</v>
      </c>
      <c r="C32" s="34" t="s">
        <v>1</v>
      </c>
      <c r="D32" s="77" t="s">
        <v>1</v>
      </c>
      <c r="E32" s="34" t="s">
        <v>1</v>
      </c>
      <c r="F32" s="85">
        <f>AVERAGE(F34:F35)</f>
        <v>0.375</v>
      </c>
    </row>
    <row r="33" spans="1:6" ht="15.75">
      <c r="A33" s="13" t="s">
        <v>5</v>
      </c>
      <c r="B33" s="27"/>
      <c r="C33" s="34"/>
      <c r="D33" s="77"/>
      <c r="E33" s="34"/>
      <c r="F33" s="89"/>
    </row>
    <row r="34" spans="1:6" ht="38.25">
      <c r="A34" s="13" t="s">
        <v>56</v>
      </c>
      <c r="B34" s="148">
        <v>1</v>
      </c>
      <c r="C34" s="146">
        <v>1</v>
      </c>
      <c r="D34" s="35">
        <f>IF(C34=0, IF(B34=0,100, 120), B34/C34*100)</f>
        <v>100</v>
      </c>
      <c r="E34" s="34" t="s">
        <v>23</v>
      </c>
      <c r="F34" s="85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13" t="s">
        <v>57</v>
      </c>
      <c r="B35" s="27">
        <f>100*Исходные!C36/Исходные!C37</f>
        <v>0</v>
      </c>
      <c r="C35" s="140">
        <v>2.8999999999999998E-3</v>
      </c>
      <c r="D35" s="35">
        <f>IF(C35=0, IF(B35=0,100, 120), B35/C35*100)</f>
        <v>0</v>
      </c>
      <c r="E35" s="34" t="s">
        <v>24</v>
      </c>
      <c r="F35" s="85">
        <f>IF(OR(AND(D35&lt;80,E35="прямая"),AND(D35&gt;120,E35="обратная")),0.75,IF(OR(AND(D35&gt;120,E35="прямая"),AND(D35&lt;80,E35="обратная")),0.25,0.5))</f>
        <v>0.25</v>
      </c>
    </row>
    <row r="36" spans="1:6" ht="25.5">
      <c r="A36" s="33" t="s">
        <v>18</v>
      </c>
      <c r="B36" s="60" t="s">
        <v>1</v>
      </c>
      <c r="C36" s="34" t="s">
        <v>1</v>
      </c>
      <c r="D36" s="77" t="s">
        <v>1</v>
      </c>
      <c r="E36" s="34" t="s">
        <v>1</v>
      </c>
      <c r="F36" s="85">
        <f>F37</f>
        <v>0.2</v>
      </c>
    </row>
    <row r="37" spans="1:6" ht="38.25">
      <c r="A37" s="13" t="s">
        <v>58</v>
      </c>
      <c r="B37" s="27">
        <f>100*Исходные!C38/Исходные!C39</f>
        <v>0</v>
      </c>
      <c r="C37" s="146">
        <v>0</v>
      </c>
      <c r="D37" s="35">
        <f>IF(C37=0, IF(B37=0,100, 120), B37/C37*100)</f>
        <v>100</v>
      </c>
      <c r="E37" s="34" t="s">
        <v>24</v>
      </c>
      <c r="F37" s="85">
        <f>IF(OR(AND(D37&lt;80,E37="прямая"),AND(D37&gt;120,E37="обратная")),0.3,IF(OR(AND(D37&gt;120,E37="прямая"),AND(D37&lt;80,E37="обратная")),0.1,0.2))</f>
        <v>0.2</v>
      </c>
    </row>
    <row r="38" spans="1:6" ht="16.5" thickBot="1">
      <c r="A38" s="13" t="s">
        <v>59</v>
      </c>
      <c r="B38" s="94" t="s">
        <v>1</v>
      </c>
      <c r="C38" s="95" t="s">
        <v>1</v>
      </c>
      <c r="D38" s="95" t="s">
        <v>1</v>
      </c>
      <c r="E38" s="95" t="s">
        <v>1</v>
      </c>
      <c r="F38" s="97">
        <f>ROUND(AVERAGE(F10,F15,F23,F26,F29,F32,F36),3)</f>
        <v>0.377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28" zoomScaleNormal="70" zoomScaleSheetLayoutView="100" workbookViewId="0">
      <selection activeCell="F37" sqref="F37"/>
    </sheetView>
  </sheetViews>
  <sheetFormatPr defaultRowHeight="12.75"/>
  <cols>
    <col min="1" max="1" width="78.140625" style="10" customWidth="1"/>
    <col min="2" max="2" width="10.140625" style="10" customWidth="1"/>
    <col min="3" max="3" width="8.28515625" style="10" customWidth="1"/>
    <col min="4" max="4" width="8.28515625" customWidth="1"/>
    <col min="5" max="5" width="10" customWidth="1"/>
    <col min="6" max="6" width="11" customWidth="1"/>
  </cols>
  <sheetData>
    <row r="2" spans="1:7" s="1" customFormat="1" ht="14.25">
      <c r="A2" s="29"/>
    </row>
    <row r="3" spans="1:7" s="1" customFormat="1">
      <c r="A3" s="2"/>
      <c r="D3" s="66"/>
      <c r="E3" s="66"/>
      <c r="F3" s="66"/>
      <c r="G3" s="32"/>
    </row>
    <row r="4" spans="1:7" s="1" customFormat="1">
      <c r="A4" s="2"/>
    </row>
    <row r="5" spans="1:7" s="1" customFormat="1" ht="13.5" thickBot="1">
      <c r="A5" s="2"/>
    </row>
    <row r="6" spans="1:7">
      <c r="A6" s="162" t="s">
        <v>11</v>
      </c>
      <c r="B6" s="163" t="str">
        <f>ИНФ!B6</f>
        <v>Костромаэнерго</v>
      </c>
      <c r="C6" s="164"/>
      <c r="D6" s="164"/>
      <c r="E6" s="164"/>
      <c r="F6" s="165"/>
    </row>
    <row r="7" spans="1:7">
      <c r="A7" s="162"/>
      <c r="B7" s="166" t="s">
        <v>4</v>
      </c>
      <c r="C7" s="167"/>
      <c r="D7" s="168" t="s">
        <v>25</v>
      </c>
      <c r="E7" s="168" t="s">
        <v>26</v>
      </c>
      <c r="F7" s="161" t="s">
        <v>2</v>
      </c>
    </row>
    <row r="8" spans="1:7">
      <c r="A8" s="162"/>
      <c r="B8" s="129" t="s">
        <v>44</v>
      </c>
      <c r="C8" s="130" t="s">
        <v>45</v>
      </c>
      <c r="D8" s="169"/>
      <c r="E8" s="168"/>
      <c r="F8" s="161"/>
    </row>
    <row r="9" spans="1:7" ht="16.5" thickBot="1">
      <c r="A9" s="131">
        <v>1</v>
      </c>
      <c r="B9" s="135">
        <v>2</v>
      </c>
      <c r="C9" s="136">
        <v>3</v>
      </c>
      <c r="D9" s="137">
        <v>4</v>
      </c>
      <c r="E9" s="137">
        <v>5</v>
      </c>
      <c r="F9" s="138">
        <v>6</v>
      </c>
    </row>
    <row r="10" spans="1:7" ht="38.25">
      <c r="A10" s="14" t="s">
        <v>60</v>
      </c>
      <c r="B10" s="43">
        <v>1</v>
      </c>
      <c r="C10" s="23">
        <v>1</v>
      </c>
      <c r="D10" s="28">
        <f>IF(C10=0, IF(B10=0,100, 120), B10/C10*100)</f>
        <v>100</v>
      </c>
      <c r="E10" s="28" t="s">
        <v>23</v>
      </c>
      <c r="F10" s="6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4"/>
      <c r="B11" s="26"/>
      <c r="C11" s="19"/>
      <c r="D11" s="17"/>
      <c r="E11" s="16"/>
      <c r="F11" s="18"/>
    </row>
    <row r="12" spans="1:7" ht="15.75">
      <c r="A12" s="14" t="s">
        <v>19</v>
      </c>
      <c r="B12" s="60" t="s">
        <v>1</v>
      </c>
      <c r="C12" s="34" t="s">
        <v>1</v>
      </c>
      <c r="D12" s="77" t="s">
        <v>1</v>
      </c>
      <c r="E12" s="77" t="s">
        <v>1</v>
      </c>
      <c r="F12" s="78">
        <f>AVERAGE(F14:F19)</f>
        <v>1.3333333333333333</v>
      </c>
    </row>
    <row r="13" spans="1:7">
      <c r="A13" s="14" t="s">
        <v>5</v>
      </c>
      <c r="B13" s="79"/>
      <c r="C13" s="80"/>
      <c r="D13" s="81"/>
      <c r="E13" s="82"/>
      <c r="F13" s="83"/>
    </row>
    <row r="14" spans="1:7" ht="38.25">
      <c r="A14" s="14" t="s">
        <v>61</v>
      </c>
      <c r="B14" s="84">
        <f>100*Исходные!C40/Исходные!C41</f>
        <v>0.70280344800807637</v>
      </c>
      <c r="C14" s="147">
        <v>4.8</v>
      </c>
      <c r="D14" s="35">
        <f t="shared" ref="D14:D19" si="0">IF(C14=0, IF(B14=0,100, 120), B14/C14*100)</f>
        <v>14.641738500168259</v>
      </c>
      <c r="E14" s="35" t="s">
        <v>24</v>
      </c>
      <c r="F14" s="85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4" t="s">
        <v>62</v>
      </c>
      <c r="B15" s="86">
        <f>100*Исходные!C42/Исходные!C43</f>
        <v>98.895027624309392</v>
      </c>
      <c r="C15" s="147">
        <v>100</v>
      </c>
      <c r="D15" s="35">
        <f t="shared" si="0"/>
        <v>98.895027624309392</v>
      </c>
      <c r="E15" s="35" t="s">
        <v>23</v>
      </c>
      <c r="F15" s="85">
        <f t="shared" si="1"/>
        <v>2</v>
      </c>
    </row>
    <row r="16" spans="1:7" ht="51">
      <c r="A16" s="14" t="s">
        <v>63</v>
      </c>
      <c r="B16" s="62">
        <f>100*Исходные!C44/Исходные!C45</f>
        <v>0</v>
      </c>
      <c r="C16" s="147">
        <v>9.4600000000000009</v>
      </c>
      <c r="D16" s="35">
        <f t="shared" si="0"/>
        <v>0</v>
      </c>
      <c r="E16" s="35" t="s">
        <v>24</v>
      </c>
      <c r="F16" s="85">
        <f t="shared" si="1"/>
        <v>1</v>
      </c>
    </row>
    <row r="17" spans="1:6" ht="51">
      <c r="A17" s="14" t="s">
        <v>64</v>
      </c>
      <c r="B17" s="27">
        <f>100*Исходные!C46/Исходные!C47</f>
        <v>0</v>
      </c>
      <c r="C17" s="149">
        <v>0</v>
      </c>
      <c r="D17" s="35">
        <f t="shared" si="0"/>
        <v>100</v>
      </c>
      <c r="E17" s="35" t="s">
        <v>24</v>
      </c>
      <c r="F17" s="85">
        <f t="shared" si="1"/>
        <v>2</v>
      </c>
    </row>
    <row r="18" spans="1:6" ht="38.25">
      <c r="A18" s="14" t="s">
        <v>65</v>
      </c>
      <c r="B18" s="87">
        <f>100*Исходные!C48/Исходные!C49</f>
        <v>0.71056923196396671</v>
      </c>
      <c r="C18" s="147">
        <v>6.9000000000000006E-2</v>
      </c>
      <c r="D18" s="35">
        <f t="shared" si="0"/>
        <v>1029.810481107198</v>
      </c>
      <c r="E18" s="35" t="s">
        <v>23</v>
      </c>
      <c r="F18" s="85">
        <f t="shared" si="1"/>
        <v>1</v>
      </c>
    </row>
    <row r="19" spans="1:6" ht="25.5">
      <c r="A19" s="14" t="s">
        <v>66</v>
      </c>
      <c r="B19" s="27">
        <f>Исходные!C50</f>
        <v>11</v>
      </c>
      <c r="C19" s="140">
        <v>7</v>
      </c>
      <c r="D19" s="35">
        <f t="shared" si="0"/>
        <v>157.14285714285714</v>
      </c>
      <c r="E19" s="35" t="s">
        <v>23</v>
      </c>
      <c r="F19" s="85">
        <f t="shared" si="1"/>
        <v>1</v>
      </c>
    </row>
    <row r="20" spans="1:6" ht="15.75">
      <c r="A20" s="14"/>
      <c r="B20" s="60"/>
      <c r="C20" s="34"/>
      <c r="D20" s="81"/>
      <c r="E20" s="88"/>
      <c r="F20" s="89"/>
    </row>
    <row r="21" spans="1:6" ht="15.75">
      <c r="A21" s="14" t="s">
        <v>67</v>
      </c>
      <c r="B21" s="60" t="s">
        <v>1</v>
      </c>
      <c r="C21" s="34" t="s">
        <v>1</v>
      </c>
      <c r="D21" s="34" t="s">
        <v>1</v>
      </c>
      <c r="E21" s="34" t="s">
        <v>1</v>
      </c>
      <c r="F21" s="90">
        <f>AVERAGE(F23:F24)</f>
        <v>2</v>
      </c>
    </row>
    <row r="22" spans="1:6" ht="15.75">
      <c r="A22" s="14" t="s">
        <v>5</v>
      </c>
      <c r="B22" s="60"/>
      <c r="C22" s="34"/>
      <c r="D22" s="81"/>
      <c r="E22" s="88"/>
      <c r="F22" s="89"/>
    </row>
    <row r="23" spans="1:6" ht="25.5">
      <c r="A23" s="12" t="s">
        <v>68</v>
      </c>
      <c r="B23" s="86">
        <f>(Исходные!C51+Исходные!C52)/(Исходные!C53+Исходные!C54)</f>
        <v>4.9811354979140212</v>
      </c>
      <c r="C23" s="140">
        <v>10</v>
      </c>
      <c r="D23" s="35">
        <f>IF(C23=0, IF(B23=0,100, 120), B23/C23*100)</f>
        <v>49.811354979140212</v>
      </c>
      <c r="E23" s="35" t="s">
        <v>24</v>
      </c>
      <c r="F23" s="85">
        <f>IF(OR(AND(D23&lt;80,E23="прямая"),AND(D23&gt;120,E23="обратная")),3,IF(OR(AND(D23&gt;120,E23="прямая"),AND(D23&lt;80,E23="обратная")),1,2))</f>
        <v>1</v>
      </c>
    </row>
    <row r="24" spans="1:6" ht="25.5">
      <c r="A24" s="14" t="s">
        <v>69</v>
      </c>
      <c r="B24" s="60" t="s">
        <v>1</v>
      </c>
      <c r="C24" s="34" t="s">
        <v>1</v>
      </c>
      <c r="D24" s="35" t="s">
        <v>1</v>
      </c>
      <c r="E24" s="35" t="s">
        <v>23</v>
      </c>
      <c r="F24" s="90">
        <f>AVERAGE(F25:F27)</f>
        <v>3</v>
      </c>
    </row>
    <row r="25" spans="1:6" ht="15.75">
      <c r="A25" s="14" t="s">
        <v>20</v>
      </c>
      <c r="B25" s="87">
        <f>Исходные!C55*1000/Исходные!C58</f>
        <v>1.1503288023159952</v>
      </c>
      <c r="C25" s="150">
        <v>1.49</v>
      </c>
      <c r="D25" s="35">
        <f>IF(C25=0, IF(B25=0,100, 120), B25/C25*100)</f>
        <v>77.203275323221149</v>
      </c>
      <c r="E25" s="35" t="s">
        <v>23</v>
      </c>
      <c r="F25" s="85">
        <f>IF(OR(AND(D25&lt;80,E25="прямая"),AND(D25&gt;120,E25="обратная")),3,IF(OR(AND(D25&gt;120,E25="прямая"),AND(D25&lt;80,E25="обратная")),1,2))</f>
        <v>3</v>
      </c>
    </row>
    <row r="26" spans="1:6" ht="15.75">
      <c r="A26" s="14" t="s">
        <v>21</v>
      </c>
      <c r="B26" s="91">
        <f>Исходные!C56*1000/Исходные!C58</f>
        <v>0</v>
      </c>
      <c r="C26" s="150">
        <v>1.49</v>
      </c>
      <c r="D26" s="35">
        <f>IF(C26=0, IF(B26=0,100, 120), B26/C26*100)</f>
        <v>0</v>
      </c>
      <c r="E26" s="35" t="s">
        <v>23</v>
      </c>
      <c r="F26" s="85">
        <f>IF(OR(AND(D26&lt;80,E26="прямая"),AND(D26&gt;120,E26="обратная")),3,IF(OR(AND(D26&gt;120,E26="прямая"),AND(D26&lt;80,E26="обратная")),1,2))</f>
        <v>3</v>
      </c>
    </row>
    <row r="27" spans="1:6" ht="15.75">
      <c r="A27" s="14" t="s">
        <v>70</v>
      </c>
      <c r="B27" s="27">
        <f>Исходные!C57*1000/Исходные!C58</f>
        <v>0</v>
      </c>
      <c r="C27" s="146">
        <v>1.49</v>
      </c>
      <c r="D27" s="35">
        <f>IF(C27=0, IF(B27=0,100, 120), B27/C27*100)</f>
        <v>0</v>
      </c>
      <c r="E27" s="35" t="s">
        <v>23</v>
      </c>
      <c r="F27" s="85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4"/>
      <c r="B28" s="60"/>
      <c r="C28" s="34"/>
      <c r="D28" s="81"/>
      <c r="E28" s="88"/>
      <c r="F28" s="89"/>
    </row>
    <row r="29" spans="1:6" ht="15.75">
      <c r="A29" s="14" t="s">
        <v>22</v>
      </c>
      <c r="B29" s="60" t="s">
        <v>1</v>
      </c>
      <c r="C29" s="34" t="s">
        <v>1</v>
      </c>
      <c r="D29" s="34" t="s">
        <v>1</v>
      </c>
      <c r="E29" s="34" t="s">
        <v>1</v>
      </c>
      <c r="F29" s="85">
        <f>F30</f>
        <v>2</v>
      </c>
    </row>
    <row r="30" spans="1:6" ht="25.5">
      <c r="A30" s="14" t="s">
        <v>3</v>
      </c>
      <c r="B30" s="87">
        <f>Исходные!C59*1000/Исходные!C60</f>
        <v>0.21767522855898999</v>
      </c>
      <c r="C30" s="147">
        <v>0</v>
      </c>
      <c r="D30" s="35">
        <f>IF(C30=0, IF(B30=0,100, 120), B30/C30*100)</f>
        <v>120</v>
      </c>
      <c r="E30" s="35" t="s">
        <v>24</v>
      </c>
      <c r="F30" s="85">
        <f>IF(OR(AND(D30&lt;80,E30="прямая"),AND(D30&gt;120,E30="обратная")),3,IF(OR(AND(D30&gt;120,E30="прямая"),AND(D30&lt;80,E30="обратная")),1,2))</f>
        <v>2</v>
      </c>
    </row>
    <row r="31" spans="1:6" ht="15.75">
      <c r="A31" s="14"/>
      <c r="B31" s="79"/>
      <c r="C31" s="80"/>
      <c r="D31" s="81"/>
      <c r="E31" s="88"/>
      <c r="F31" s="83"/>
    </row>
    <row r="32" spans="1:6" ht="38.25">
      <c r="A32" s="14" t="s">
        <v>0</v>
      </c>
      <c r="B32" s="60" t="s">
        <v>1</v>
      </c>
      <c r="C32" s="34" t="s">
        <v>1</v>
      </c>
      <c r="D32" s="34" t="s">
        <v>1</v>
      </c>
      <c r="E32" s="34" t="s">
        <v>1</v>
      </c>
      <c r="F32" s="85" t="str">
        <f>IF(B34="-", "-", AVERAGE(F34:F35))</f>
        <v>-</v>
      </c>
    </row>
    <row r="33" spans="1:6" ht="15.75">
      <c r="A33" s="14" t="s">
        <v>5</v>
      </c>
      <c r="B33" s="60"/>
      <c r="C33" s="34"/>
      <c r="D33" s="92"/>
      <c r="E33" s="88"/>
      <c r="F33" s="89"/>
    </row>
    <row r="34" spans="1:6" ht="25.5">
      <c r="A34" s="14" t="s">
        <v>71</v>
      </c>
      <c r="B34" s="27" t="str">
        <f>IF(Исходные!C62=0, "-", Исходные!C61/Исходные!C62)</f>
        <v>-</v>
      </c>
      <c r="C34" s="146">
        <v>0.97</v>
      </c>
      <c r="D34" s="35" t="str">
        <f>IF(B34="-","-",IF(C34=0,IF(B34=0,100, 120), B34/C34*100))</f>
        <v>-</v>
      </c>
      <c r="E34" s="35" t="s">
        <v>24</v>
      </c>
      <c r="F34" s="85" t="s">
        <v>1</v>
      </c>
    </row>
    <row r="35" spans="1:6" ht="51">
      <c r="A35" s="14" t="s">
        <v>72</v>
      </c>
      <c r="B35" s="27" t="str">
        <f>IF(Исходные!C63=0, "-", Исходные!C62*100/Исходные!C63)</f>
        <v>-</v>
      </c>
      <c r="C35" s="146">
        <v>94</v>
      </c>
      <c r="D35" s="35" t="str">
        <f>IF(B35="-","-",IF(C35=0,IF(B35=0,100, 120), B35/C35*100))</f>
        <v>-</v>
      </c>
      <c r="E35" s="35" t="s">
        <v>23</v>
      </c>
      <c r="F35" s="85" t="s">
        <v>1</v>
      </c>
    </row>
    <row r="36" spans="1:6" ht="15.75">
      <c r="A36" s="14"/>
      <c r="B36" s="93"/>
      <c r="C36" s="88"/>
      <c r="D36" s="92"/>
      <c r="E36" s="88"/>
      <c r="F36" s="89"/>
    </row>
    <row r="37" spans="1:6" ht="16.5" thickBot="1">
      <c r="A37" s="14" t="s">
        <v>73</v>
      </c>
      <c r="B37" s="94" t="s">
        <v>1</v>
      </c>
      <c r="C37" s="95" t="s">
        <v>1</v>
      </c>
      <c r="D37" s="95" t="s">
        <v>1</v>
      </c>
      <c r="E37" s="95" t="s">
        <v>1</v>
      </c>
      <c r="F37" s="96">
        <f>IF(F32="-", AVERAGE(F10,F12,F21,F29), AVERAGE(F10,F12,F21,F29,F32))</f>
        <v>1.8333333333333333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zoomScale="90" zoomScaleNormal="90" workbookViewId="0">
      <pane xSplit="2" ySplit="2" topLeftCell="C51" activePane="bottomRight" state="frozen"/>
      <selection pane="topRight" activeCell="C1" sqref="C1"/>
      <selection pane="bottomLeft" activeCell="A2" sqref="A2"/>
      <selection pane="bottomRight" activeCell="I56" sqref="I56"/>
    </sheetView>
  </sheetViews>
  <sheetFormatPr defaultRowHeight="12.75"/>
  <cols>
    <col min="1" max="1" width="8" customWidth="1"/>
    <col min="2" max="2" width="57.28515625" customWidth="1"/>
    <col min="3" max="3" width="9.5703125" bestFit="1" customWidth="1"/>
  </cols>
  <sheetData>
    <row r="1" spans="1:3">
      <c r="A1" s="44" t="s">
        <v>136</v>
      </c>
      <c r="B1" s="44"/>
      <c r="C1" s="44"/>
    </row>
    <row r="2" spans="1:3">
      <c r="A2" s="38"/>
      <c r="B2" s="38" t="s">
        <v>135</v>
      </c>
      <c r="C2" s="38" t="s">
        <v>74</v>
      </c>
    </row>
    <row r="3" spans="1:3" ht="25.5">
      <c r="A3" s="170" t="s">
        <v>155</v>
      </c>
      <c r="B3" s="40" t="s">
        <v>75</v>
      </c>
      <c r="C3" s="39">
        <v>39</v>
      </c>
    </row>
    <row r="4" spans="1:3">
      <c r="A4" s="171"/>
      <c r="B4" s="40" t="s">
        <v>76</v>
      </c>
      <c r="C4" s="39">
        <v>91</v>
      </c>
    </row>
    <row r="5" spans="1:3" ht="25.5">
      <c r="A5" s="37" t="s">
        <v>156</v>
      </c>
      <c r="B5" s="40" t="s">
        <v>77</v>
      </c>
      <c r="C5" s="39">
        <v>15</v>
      </c>
    </row>
    <row r="6" spans="1:3" ht="25.5">
      <c r="A6" s="37" t="s">
        <v>157</v>
      </c>
      <c r="B6" s="40" t="s">
        <v>78</v>
      </c>
      <c r="C6" s="39">
        <v>36</v>
      </c>
    </row>
    <row r="7" spans="1:3" ht="25.5">
      <c r="A7" s="37" t="s">
        <v>158</v>
      </c>
      <c r="B7" s="40" t="s">
        <v>79</v>
      </c>
      <c r="C7" s="71">
        <v>46</v>
      </c>
    </row>
    <row r="8" spans="1:3" ht="51">
      <c r="A8" s="170" t="s">
        <v>159</v>
      </c>
      <c r="B8" s="40" t="s">
        <v>165</v>
      </c>
      <c r="C8" s="118">
        <v>0</v>
      </c>
    </row>
    <row r="9" spans="1:3">
      <c r="A9" s="172"/>
      <c r="B9" s="111" t="s">
        <v>160</v>
      </c>
      <c r="C9" s="116">
        <v>25754</v>
      </c>
    </row>
    <row r="10" spans="1:3" ht="25.5">
      <c r="A10" s="172"/>
      <c r="B10" s="111" t="s">
        <v>167</v>
      </c>
      <c r="C10" s="116">
        <v>24146</v>
      </c>
    </row>
    <row r="11" spans="1:3" ht="25.5">
      <c r="A11" s="172"/>
      <c r="B11" s="111" t="s">
        <v>168</v>
      </c>
      <c r="C11" s="116">
        <v>1607</v>
      </c>
    </row>
    <row r="12" spans="1:3">
      <c r="A12" s="171"/>
      <c r="B12" s="111" t="s">
        <v>169</v>
      </c>
      <c r="C12" s="116">
        <v>0</v>
      </c>
    </row>
    <row r="13" spans="1:3" ht="38.25">
      <c r="A13" s="170" t="s">
        <v>161</v>
      </c>
      <c r="B13" s="40" t="s">
        <v>134</v>
      </c>
      <c r="C13" s="41">
        <v>7058</v>
      </c>
    </row>
    <row r="14" spans="1:3">
      <c r="A14" s="171"/>
      <c r="B14" s="61" t="s">
        <v>160</v>
      </c>
      <c r="C14" s="116">
        <v>25754</v>
      </c>
    </row>
    <row r="15" spans="1:3" ht="51">
      <c r="A15" s="170" t="s">
        <v>162</v>
      </c>
      <c r="B15" s="40" t="s">
        <v>80</v>
      </c>
      <c r="C15" s="41">
        <v>0</v>
      </c>
    </row>
    <row r="16" spans="1:3">
      <c r="A16" s="171"/>
      <c r="B16" s="61" t="s">
        <v>160</v>
      </c>
      <c r="C16" s="41">
        <v>25754</v>
      </c>
    </row>
    <row r="17" spans="1:3" ht="38.25">
      <c r="A17" s="175" t="s">
        <v>85</v>
      </c>
      <c r="B17" s="151" t="s">
        <v>81</v>
      </c>
      <c r="C17" s="120">
        <v>78571</v>
      </c>
    </row>
    <row r="18" spans="1:3" ht="25.5">
      <c r="A18" s="176"/>
      <c r="B18" s="151" t="s">
        <v>82</v>
      </c>
      <c r="C18" s="117">
        <v>4646</v>
      </c>
    </row>
    <row r="19" spans="1:3" ht="38.25">
      <c r="A19" s="170" t="s">
        <v>84</v>
      </c>
      <c r="B19" s="40" t="s">
        <v>83</v>
      </c>
      <c r="C19" s="119">
        <v>604027</v>
      </c>
    </row>
    <row r="20" spans="1:3" ht="25.5">
      <c r="A20" s="171"/>
      <c r="B20" s="40" t="s">
        <v>87</v>
      </c>
      <c r="C20" s="119">
        <v>3158</v>
      </c>
    </row>
    <row r="21" spans="1:3" ht="53.25" customHeight="1">
      <c r="A21" s="170" t="s">
        <v>86</v>
      </c>
      <c r="B21" s="40" t="s">
        <v>88</v>
      </c>
      <c r="C21" s="117">
        <v>26</v>
      </c>
    </row>
    <row r="22" spans="1:3" ht="25.5">
      <c r="A22" s="171"/>
      <c r="B22" s="40" t="s">
        <v>89</v>
      </c>
      <c r="C22" s="117">
        <v>1</v>
      </c>
    </row>
    <row r="23" spans="1:3" ht="38.25">
      <c r="A23" s="170" t="s">
        <v>90</v>
      </c>
      <c r="B23" s="40" t="s">
        <v>92</v>
      </c>
      <c r="C23" s="120">
        <v>207867</v>
      </c>
    </row>
    <row r="24" spans="1:3" ht="25.5">
      <c r="A24" s="171"/>
      <c r="B24" s="40" t="s">
        <v>91</v>
      </c>
      <c r="C24" s="120">
        <v>6299</v>
      </c>
    </row>
    <row r="25" spans="1:3" ht="38.25">
      <c r="A25" s="170" t="s">
        <v>95</v>
      </c>
      <c r="B25" s="40" t="s">
        <v>93</v>
      </c>
      <c r="C25" s="120">
        <v>27030</v>
      </c>
    </row>
    <row r="26" spans="1:3" ht="25.5">
      <c r="A26" s="171"/>
      <c r="B26" s="40" t="s">
        <v>94</v>
      </c>
      <c r="C26" s="120">
        <v>795</v>
      </c>
    </row>
    <row r="27" spans="1:3" ht="38.25">
      <c r="A27" s="170" t="s">
        <v>98</v>
      </c>
      <c r="B27" s="40" t="s">
        <v>96</v>
      </c>
      <c r="C27" s="117">
        <v>0</v>
      </c>
    </row>
    <row r="28" spans="1:3" ht="25.5">
      <c r="A28" s="172"/>
      <c r="B28" s="40" t="s">
        <v>164</v>
      </c>
      <c r="C28" s="115">
        <v>6</v>
      </c>
    </row>
    <row r="29" spans="1:3">
      <c r="A29" s="171"/>
      <c r="B29" s="40" t="s">
        <v>97</v>
      </c>
      <c r="C29" s="117">
        <v>2</v>
      </c>
    </row>
    <row r="30" spans="1:3" ht="89.25">
      <c r="A30" s="170" t="s">
        <v>101</v>
      </c>
      <c r="B30" s="40" t="s">
        <v>100</v>
      </c>
      <c r="C30" s="41">
        <v>0</v>
      </c>
    </row>
    <row r="31" spans="1:3" ht="25.5">
      <c r="A31" s="171"/>
      <c r="B31" s="61" t="s">
        <v>99</v>
      </c>
      <c r="C31" s="119">
        <v>4594</v>
      </c>
    </row>
    <row r="32" spans="1:3" ht="51">
      <c r="A32" s="170" t="s">
        <v>103</v>
      </c>
      <c r="B32" s="40" t="s">
        <v>102</v>
      </c>
      <c r="C32" s="41">
        <v>0</v>
      </c>
    </row>
    <row r="33" spans="1:3" ht="25.5">
      <c r="A33" s="171"/>
      <c r="B33" s="61" t="s">
        <v>99</v>
      </c>
      <c r="C33" s="116">
        <v>4594</v>
      </c>
    </row>
    <row r="34" spans="1:3" ht="25.5">
      <c r="A34" s="170" t="s">
        <v>105</v>
      </c>
      <c r="B34" s="40" t="s">
        <v>104</v>
      </c>
      <c r="C34" s="121">
        <v>84</v>
      </c>
    </row>
    <row r="35" spans="1:3">
      <c r="A35" s="171"/>
      <c r="B35" s="61" t="s">
        <v>160</v>
      </c>
      <c r="C35" s="116">
        <v>25754</v>
      </c>
    </row>
    <row r="36" spans="1:3" ht="51">
      <c r="A36" s="170" t="s">
        <v>107</v>
      </c>
      <c r="B36" s="40" t="s">
        <v>106</v>
      </c>
      <c r="C36" s="41">
        <v>0</v>
      </c>
    </row>
    <row r="37" spans="1:3">
      <c r="A37" s="171"/>
      <c r="B37" s="61" t="s">
        <v>160</v>
      </c>
      <c r="C37" s="116">
        <v>25754</v>
      </c>
    </row>
    <row r="38" spans="1:3" ht="38.25">
      <c r="A38" s="170" t="s">
        <v>109</v>
      </c>
      <c r="B38" s="40" t="s">
        <v>108</v>
      </c>
      <c r="C38" s="121">
        <v>0</v>
      </c>
    </row>
    <row r="39" spans="1:3">
      <c r="A39" s="171"/>
      <c r="B39" s="61" t="s">
        <v>160</v>
      </c>
      <c r="C39" s="116">
        <v>25754</v>
      </c>
    </row>
    <row r="40" spans="1:3" ht="38.25">
      <c r="A40" s="170" t="s">
        <v>111</v>
      </c>
      <c r="B40" s="40" t="s">
        <v>110</v>
      </c>
      <c r="C40" s="117">
        <v>181</v>
      </c>
    </row>
    <row r="41" spans="1:3">
      <c r="A41" s="171"/>
      <c r="B41" s="61" t="s">
        <v>160</v>
      </c>
      <c r="C41" s="116">
        <v>25754</v>
      </c>
    </row>
    <row r="42" spans="1:3" ht="51">
      <c r="A42" s="170" t="s">
        <v>113</v>
      </c>
      <c r="B42" s="40" t="s">
        <v>112</v>
      </c>
      <c r="C42" s="117">
        <v>179</v>
      </c>
    </row>
    <row r="43" spans="1:3" ht="38.25">
      <c r="A43" s="171"/>
      <c r="B43" s="61" t="s">
        <v>110</v>
      </c>
      <c r="C43" s="121">
        <v>181</v>
      </c>
    </row>
    <row r="44" spans="1:3" ht="63.75">
      <c r="A44" s="170" t="s">
        <v>114</v>
      </c>
      <c r="B44" s="40" t="s">
        <v>166</v>
      </c>
      <c r="C44" s="121">
        <v>0</v>
      </c>
    </row>
    <row r="45" spans="1:3" ht="51">
      <c r="A45" s="171"/>
      <c r="B45" s="61" t="s">
        <v>112</v>
      </c>
      <c r="C45" s="116">
        <v>179</v>
      </c>
    </row>
    <row r="46" spans="1:3" ht="51">
      <c r="A46" s="170" t="s">
        <v>116</v>
      </c>
      <c r="B46" s="40" t="s">
        <v>115</v>
      </c>
      <c r="C46" s="121">
        <v>0</v>
      </c>
    </row>
    <row r="47" spans="1:3">
      <c r="A47" s="171"/>
      <c r="B47" s="61" t="s">
        <v>160</v>
      </c>
      <c r="C47" s="116">
        <v>25754</v>
      </c>
    </row>
    <row r="48" spans="1:3" ht="38.25">
      <c r="A48" s="170" t="s">
        <v>118</v>
      </c>
      <c r="B48" s="40" t="s">
        <v>117</v>
      </c>
      <c r="C48" s="121">
        <v>183</v>
      </c>
    </row>
    <row r="49" spans="1:3">
      <c r="A49" s="171"/>
      <c r="B49" s="61" t="s">
        <v>160</v>
      </c>
      <c r="C49" s="121">
        <v>25754</v>
      </c>
    </row>
    <row r="50" spans="1:3" ht="38.25">
      <c r="A50" s="41" t="s">
        <v>120</v>
      </c>
      <c r="B50" s="40" t="s">
        <v>119</v>
      </c>
      <c r="C50" s="121">
        <v>11</v>
      </c>
    </row>
    <row r="51" spans="1:3" ht="25.5">
      <c r="A51" s="170" t="s">
        <v>121</v>
      </c>
      <c r="B51" s="40" t="s">
        <v>170</v>
      </c>
      <c r="C51" s="120">
        <v>80493</v>
      </c>
    </row>
    <row r="52" spans="1:3" ht="25.5">
      <c r="A52" s="172"/>
      <c r="B52" s="40" t="s">
        <v>171</v>
      </c>
      <c r="C52" s="120">
        <v>1890</v>
      </c>
    </row>
    <row r="53" spans="1:3" ht="25.5">
      <c r="A53" s="173"/>
      <c r="B53" s="40" t="s">
        <v>173</v>
      </c>
      <c r="C53" s="120">
        <v>14144</v>
      </c>
    </row>
    <row r="54" spans="1:3" ht="25.5">
      <c r="A54" s="174"/>
      <c r="B54" s="40" t="s">
        <v>172</v>
      </c>
      <c r="C54" s="120">
        <v>2395</v>
      </c>
    </row>
    <row r="55" spans="1:3">
      <c r="A55" s="170" t="s">
        <v>126</v>
      </c>
      <c r="B55" s="40" t="s">
        <v>122</v>
      </c>
      <c r="C55" s="122">
        <v>240</v>
      </c>
    </row>
    <row r="56" spans="1:3" ht="25.5">
      <c r="A56" s="172"/>
      <c r="B56" s="40" t="s">
        <v>123</v>
      </c>
      <c r="C56" s="121">
        <v>0</v>
      </c>
    </row>
    <row r="57" spans="1:3" ht="25.5">
      <c r="A57" s="172"/>
      <c r="B57" s="40" t="s">
        <v>124</v>
      </c>
      <c r="C57" s="121">
        <v>0</v>
      </c>
    </row>
    <row r="58" spans="1:3">
      <c r="A58" s="171"/>
      <c r="B58" s="40" t="s">
        <v>125</v>
      </c>
      <c r="C58" s="123">
        <v>208636</v>
      </c>
    </row>
    <row r="59" spans="1:3" ht="51">
      <c r="A59" s="170" t="s">
        <v>127</v>
      </c>
      <c r="B59" s="40" t="s">
        <v>163</v>
      </c>
      <c r="C59" s="41">
        <v>1</v>
      </c>
    </row>
    <row r="60" spans="1:3" ht="25.5">
      <c r="A60" s="171"/>
      <c r="B60" s="61" t="s">
        <v>99</v>
      </c>
      <c r="C60" s="118">
        <v>4594</v>
      </c>
    </row>
    <row r="61" spans="1:3" ht="38.25">
      <c r="A61" s="170" t="s">
        <v>130</v>
      </c>
      <c r="B61" s="40" t="s">
        <v>128</v>
      </c>
      <c r="C61" s="124">
        <v>0</v>
      </c>
    </row>
    <row r="62" spans="1:3" ht="25.5">
      <c r="A62" s="171"/>
      <c r="B62" s="40" t="s">
        <v>129</v>
      </c>
      <c r="C62" s="41">
        <v>0</v>
      </c>
    </row>
    <row r="63" spans="1:3" ht="25.5">
      <c r="A63" s="170" t="s">
        <v>131</v>
      </c>
      <c r="B63" s="40" t="s">
        <v>132</v>
      </c>
      <c r="C63" s="41">
        <v>0</v>
      </c>
    </row>
    <row r="64" spans="1:3" ht="25.5">
      <c r="A64" s="171"/>
      <c r="B64" s="40" t="s">
        <v>133</v>
      </c>
      <c r="C64" s="41">
        <v>0</v>
      </c>
    </row>
    <row r="66" spans="2:2">
      <c r="B66" s="112"/>
    </row>
    <row r="67" spans="2:2">
      <c r="B67" s="113"/>
    </row>
    <row r="83" spans="3:3">
      <c r="C83" s="114"/>
    </row>
  </sheetData>
  <mergeCells count="25"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  <mergeCell ref="A61:A62"/>
    <mergeCell ref="A38:A39"/>
    <mergeCell ref="A63:A64"/>
    <mergeCell ref="A23:A24"/>
    <mergeCell ref="A25:A26"/>
    <mergeCell ref="A27:A29"/>
    <mergeCell ref="A30:A31"/>
    <mergeCell ref="A51:A54"/>
    <mergeCell ref="A55:A58"/>
    <mergeCell ref="A59:A60"/>
    <mergeCell ref="A34:A35"/>
    <mergeCell ref="A48:A49"/>
    <mergeCell ref="A36:A37"/>
    <mergeCell ref="A40:A41"/>
    <mergeCell ref="A42:A43"/>
    <mergeCell ref="A44:A4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Исходные!Область_печати</vt:lpstr>
      <vt:lpstr>РОС!Область_печати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2014-01-16T10:27:23Z</cp:lastPrinted>
  <dcterms:created xsi:type="dcterms:W3CDTF">2009-10-12T18:36:30Z</dcterms:created>
  <dcterms:modified xsi:type="dcterms:W3CDTF">2014-03-03T12:58:03Z</dcterms:modified>
</cp:coreProperties>
</file>