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10" windowWidth="11340" windowHeight="8865" tabRatio="940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4">Исходные!$A$1:$C$64</definedName>
    <definedName name="_xlnm.Print_Area" localSheetId="3">РОС!$A$6:$F$37</definedName>
    <definedName name="_xlnm.Print_Area" localSheetId="0">Свод!$A$1:$J$47</definedName>
    <definedName name="Рсрi">#REF!</definedName>
  </definedNames>
  <calcPr calcId="145621" refMode="R1C1"/>
</workbook>
</file>

<file path=xl/calcChain.xml><?xml version="1.0" encoding="utf-8"?>
<calcChain xmlns="http://schemas.openxmlformats.org/spreadsheetml/2006/main">
  <c r="B12" i="19" l="1"/>
  <c r="D12" i="19" l="1"/>
  <c r="B6" i="19" l="1"/>
  <c r="B21" i="20" l="1"/>
  <c r="B25" i="23" s="1"/>
  <c r="B17" i="20"/>
  <c r="B26" i="21"/>
  <c r="B19" i="21"/>
  <c r="E43" i="23"/>
  <c r="E42" i="23"/>
  <c r="E41" i="23"/>
  <c r="E24" i="23"/>
  <c r="E23" i="23"/>
  <c r="E10" i="23"/>
  <c r="E9" i="23"/>
  <c r="E8" i="23"/>
  <c r="E7" i="23"/>
  <c r="B27" i="21"/>
  <c r="B25" i="21"/>
  <c r="B30" i="21"/>
  <c r="D30" i="21" s="1"/>
  <c r="F30" i="21" s="1"/>
  <c r="F29" i="21" s="1"/>
  <c r="C47" i="23"/>
  <c r="D23" i="19"/>
  <c r="F23" i="19" s="1"/>
  <c r="B6" i="21"/>
  <c r="B6" i="20"/>
  <c r="B6" i="23"/>
  <c r="E46" i="23"/>
  <c r="E45" i="23"/>
  <c r="E44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2" i="23"/>
  <c r="E21" i="23"/>
  <c r="E20" i="23"/>
  <c r="E18" i="23"/>
  <c r="E17" i="23"/>
  <c r="E16" i="23"/>
  <c r="E15" i="23"/>
  <c r="E14" i="23"/>
  <c r="E13" i="23"/>
  <c r="E12" i="23"/>
  <c r="E11" i="23"/>
  <c r="E6" i="23"/>
  <c r="C46" i="23"/>
  <c r="C45" i="23"/>
  <c r="C44" i="23"/>
  <c r="C43" i="23"/>
  <c r="C42" i="23"/>
  <c r="C41" i="23"/>
  <c r="C40" i="23"/>
  <c r="C38" i="23"/>
  <c r="C39" i="23"/>
  <c r="C35" i="23"/>
  <c r="C36" i="23"/>
  <c r="C37" i="23"/>
  <c r="C34" i="23"/>
  <c r="C33" i="23"/>
  <c r="B33" i="23"/>
  <c r="C31" i="23"/>
  <c r="C30" i="23"/>
  <c r="C29" i="23"/>
  <c r="B29" i="23"/>
  <c r="C28" i="23"/>
  <c r="C27" i="23"/>
  <c r="C26" i="23"/>
  <c r="C25" i="23"/>
  <c r="C24" i="23"/>
  <c r="C23" i="23"/>
  <c r="C22" i="23"/>
  <c r="C21" i="23"/>
  <c r="C20" i="23"/>
  <c r="C18" i="23"/>
  <c r="C17" i="23"/>
  <c r="C16" i="23"/>
  <c r="C15" i="23"/>
  <c r="B15" i="23"/>
  <c r="C14" i="23"/>
  <c r="B14" i="23"/>
  <c r="C13" i="23"/>
  <c r="B13" i="23"/>
  <c r="C12" i="23"/>
  <c r="B12" i="23"/>
  <c r="C11" i="23"/>
  <c r="B11" i="23"/>
  <c r="B8" i="23"/>
  <c r="C8" i="23"/>
  <c r="C9" i="23"/>
  <c r="C10" i="23"/>
  <c r="C7" i="23"/>
  <c r="C6" i="23"/>
  <c r="B18" i="19"/>
  <c r="B10" i="23" s="1"/>
  <c r="B17" i="19"/>
  <c r="B9" i="23" s="1"/>
  <c r="B15" i="19"/>
  <c r="B7" i="23" s="1"/>
  <c r="D7" i="23" s="1"/>
  <c r="F12" i="19"/>
  <c r="D10" i="21"/>
  <c r="F10" i="21" s="1"/>
  <c r="D34" i="20"/>
  <c r="F34" i="20" s="1"/>
  <c r="D28" i="19"/>
  <c r="F28" i="19" s="1"/>
  <c r="D26" i="19"/>
  <c r="F26" i="19" s="1"/>
  <c r="D24" i="19"/>
  <c r="F24" i="19" s="1"/>
  <c r="D22" i="19"/>
  <c r="F22" i="19" s="1"/>
  <c r="B19" i="20"/>
  <c r="B23" i="23" s="1"/>
  <c r="B23" i="21"/>
  <c r="B35" i="19" l="1"/>
  <c r="B17" i="23" s="1"/>
  <c r="D17" i="23" s="1"/>
  <c r="D21" i="20"/>
  <c r="F21" i="20" s="1"/>
  <c r="B35" i="21"/>
  <c r="D35" i="21" s="1"/>
  <c r="B34" i="21"/>
  <c r="D34" i="21" s="1"/>
  <c r="B27" i="20"/>
  <c r="D27" i="20" s="1"/>
  <c r="F27" i="20" s="1"/>
  <c r="F26" i="20" s="1"/>
  <c r="B25" i="20"/>
  <c r="B26" i="23" s="1"/>
  <c r="D26" i="23" s="1"/>
  <c r="D11" i="23"/>
  <c r="D33" i="23"/>
  <c r="B13" i="19"/>
  <c r="D13" i="19" s="1"/>
  <c r="F13" i="19" s="1"/>
  <c r="F10" i="19" s="1"/>
  <c r="D8" i="23"/>
  <c r="D12" i="23"/>
  <c r="D17" i="20"/>
  <c r="F17" i="20" s="1"/>
  <c r="B22" i="23"/>
  <c r="D22" i="23" s="1"/>
  <c r="D19" i="20"/>
  <c r="F19" i="20" s="1"/>
  <c r="B32" i="19"/>
  <c r="D32" i="19" s="1"/>
  <c r="F32" i="19" s="1"/>
  <c r="F30" i="19" s="1"/>
  <c r="D14" i="23"/>
  <c r="D29" i="23"/>
  <c r="D15" i="23"/>
  <c r="B15" i="21"/>
  <c r="D15" i="21" s="1"/>
  <c r="F15" i="21" s="1"/>
  <c r="B16" i="21"/>
  <c r="D16" i="21" s="1"/>
  <c r="F16" i="21" s="1"/>
  <c r="B44" i="23"/>
  <c r="D44" i="23" s="1"/>
  <c r="D26" i="21"/>
  <c r="F26" i="21" s="1"/>
  <c r="B42" i="23"/>
  <c r="D42" i="23" s="1"/>
  <c r="D25" i="21"/>
  <c r="F25" i="21" s="1"/>
  <c r="B41" i="23"/>
  <c r="D41" i="23" s="1"/>
  <c r="B39" i="23"/>
  <c r="D39" i="23" s="1"/>
  <c r="D19" i="21"/>
  <c r="F19" i="21" s="1"/>
  <c r="D23" i="21"/>
  <c r="F23" i="21" s="1"/>
  <c r="B40" i="23"/>
  <c r="D40" i="23" s="1"/>
  <c r="B20" i="20"/>
  <c r="B24" i="23" s="1"/>
  <c r="D24" i="23" s="1"/>
  <c r="B12" i="20"/>
  <c r="D12" i="20" s="1"/>
  <c r="F12" i="20" s="1"/>
  <c r="B36" i="19"/>
  <c r="D9" i="23"/>
  <c r="D25" i="23"/>
  <c r="D13" i="23"/>
  <c r="F20" i="19"/>
  <c r="D10" i="23"/>
  <c r="B30" i="20"/>
  <c r="B43" i="23"/>
  <c r="D43" i="23" s="1"/>
  <c r="D27" i="21"/>
  <c r="F27" i="21" s="1"/>
  <c r="D23" i="23"/>
  <c r="D6" i="23"/>
  <c r="D20" i="20" l="1"/>
  <c r="F20" i="20" s="1"/>
  <c r="F18" i="20" s="1"/>
  <c r="F15" i="20" s="1"/>
  <c r="D35" i="19"/>
  <c r="F35" i="19" s="1"/>
  <c r="B16" i="23"/>
  <c r="D16" i="23" s="1"/>
  <c r="B27" i="23"/>
  <c r="D27" i="23" s="1"/>
  <c r="D25" i="20"/>
  <c r="F25" i="20" s="1"/>
  <c r="F23" i="20" s="1"/>
  <c r="B46" i="23"/>
  <c r="B45" i="23"/>
  <c r="F32" i="21"/>
  <c r="B36" i="23"/>
  <c r="D36" i="23" s="1"/>
  <c r="B20" i="23"/>
  <c r="D20" i="23" s="1"/>
  <c r="B35" i="23"/>
  <c r="D35" i="23" s="1"/>
  <c r="F24" i="21"/>
  <c r="F21" i="21" s="1"/>
  <c r="D36" i="19"/>
  <c r="F36" i="19" s="1"/>
  <c r="B18" i="23"/>
  <c r="D18" i="23" s="1"/>
  <c r="B35" i="20"/>
  <c r="D30" i="20"/>
  <c r="F30" i="20" s="1"/>
  <c r="F29" i="20" s="1"/>
  <c r="B28" i="23"/>
  <c r="D28" i="23" s="1"/>
  <c r="F33" i="19" l="1"/>
  <c r="F37" i="19" s="1"/>
  <c r="B5" i="23" s="1"/>
  <c r="D5" i="23" s="1"/>
  <c r="D35" i="20"/>
  <c r="F35" i="20" s="1"/>
  <c r="F32" i="20" s="1"/>
  <c r="B30" i="23"/>
  <c r="D30" i="23" s="1"/>
  <c r="B37" i="20"/>
  <c r="B14" i="21" l="1"/>
  <c r="B31" i="23"/>
  <c r="D31" i="23" s="1"/>
  <c r="D37" i="20"/>
  <c r="F37" i="20" s="1"/>
  <c r="F36" i="20" s="1"/>
  <c r="B18" i="21" l="1"/>
  <c r="B17" i="21"/>
  <c r="B34" i="23"/>
  <c r="D34" i="23" s="1"/>
  <c r="D14" i="21"/>
  <c r="F14" i="21" s="1"/>
  <c r="B38" i="23" l="1"/>
  <c r="D38" i="23" s="1"/>
  <c r="D18" i="21"/>
  <c r="F18" i="21" s="1"/>
  <c r="D17" i="21"/>
  <c r="F17" i="21" s="1"/>
  <c r="B37" i="23"/>
  <c r="D37" i="23" s="1"/>
  <c r="F12" i="21" l="1"/>
  <c r="F37" i="21" s="1"/>
  <c r="B32" i="23" s="1"/>
  <c r="D32" i="23" s="1"/>
  <c r="B13" i="20" l="1"/>
  <c r="D13" i="20" s="1"/>
  <c r="F13" i="20" s="1"/>
  <c r="F10" i="20" s="1"/>
  <c r="F38" i="20" s="1"/>
  <c r="B19" i="23" s="1"/>
  <c r="B21" i="23" l="1"/>
  <c r="D21" i="23" s="1"/>
  <c r="D19" i="23"/>
  <c r="B47" i="23"/>
  <c r="D47" i="23" l="1"/>
</calcChain>
</file>

<file path=xl/sharedStrings.xml><?xml version="1.0" encoding="utf-8"?>
<sst xmlns="http://schemas.openxmlformats.org/spreadsheetml/2006/main" count="367" uniqueCount="176">
  <si>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</si>
  <si>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</si>
  <si>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</si>
  <si>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</si>
  <si>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</si>
  <si>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</si>
  <si>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</si>
  <si>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</si>
  <si>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</si>
  <si>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</si>
  <si>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</si>
  <si>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</si>
  <si>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</si>
  <si>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</si>
  <si>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</si>
  <si>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</si>
  <si>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</si>
  <si>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</si>
  <si>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</si>
  <si>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</si>
  <si>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</si>
  <si>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</si>
  <si>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</si>
  <si>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</si>
  <si>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</si>
  <si>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</si>
  <si>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</si>
  <si>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</si>
  <si>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</si>
  <si>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</si>
  <si>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</si>
  <si>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</si>
  <si>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</si>
  <si>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</si>
  <si>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</si>
  <si>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</si>
  <si>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</si>
  <si>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</si>
  <si>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</si>
  <si>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</si>
  <si>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</si>
  <si>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</si>
  <si>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</si>
  <si>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</si>
  <si>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</si>
  <si>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</si>
  <si>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</si>
  <si>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</si>
  <si>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</si>
  <si>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</si>
  <si>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</si>
  <si>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</si>
  <si>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</si>
  <si>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</si>
  <si>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</si>
  <si>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</si>
  <si>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</si>
  <si>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</si>
  <si>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</si>
  <si>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</si>
  <si>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</si>
  <si>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</si>
  <si>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</si>
  <si>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</si>
  <si>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</si>
  <si>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</si>
  <si>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</si>
  <si>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</si>
  <si>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</si>
  <si>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</si>
  <si>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</si>
  <si>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</si>
  <si>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</si>
  <si>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</si>
  <si>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</si>
  <si>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</si>
  <si>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</si>
  <si>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</si>
  <si>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</si>
  <si>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</si>
  <si>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</si>
  <si>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</si>
  <si>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</si>
  <si>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</si>
  <si>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</si>
  <si>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</si>
  <si>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</si>
  <si>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</si>
  <si>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</si>
  <si>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</si>
  <si>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</si>
  <si>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</si>
  <si>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</si>
  <si>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</si>
  <si>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</si>
  <si>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</si>
  <si>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</si>
  <si>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</si>
  <si>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</si>
  <si>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</si>
  <si>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</si>
  <si>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</si>
  <si>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</si>
  <si>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</si>
  <si>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</si>
  <si>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</si>
  <si>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</si>
  <si>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</si>
  <si>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</si>
  <si>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</si>
  <si>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</si>
  <si>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</si>
  <si>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</si>
  <si>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</si>
  <si>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</si>
  <si>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</si>
  <si>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</si>
  <si>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</si>
  <si>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</si>
  <si>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</si>
  <si>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</si>
  <si>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</si>
  <si>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</si>
  <si>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</si>
  <si>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</si>
  <si>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</si>
  <si>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</si>
  <si>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</si>
  <si>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</si>
  <si>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</si>
  <si>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</si>
  <si>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</si>
  <si>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</si>
  <si>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</si>
  <si>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</si>
  <si>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</si>
  <si>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</si>
  <si>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</si>
  <si>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</si>
  <si>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</si>
  <si>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</si>
  <si>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</si>
  <si>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</si>
  <si>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</si>
  <si>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</si>
  <si>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</si>
  <si>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</si>
  <si>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</si>
  <si>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</si>
  <si>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</si>
  <si>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</si>
  <si>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</si>
  <si>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</si>
  <si>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</si>
  <si>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</si>
  <si>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</si>
  <si>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</si>
  <si>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</si>
  <si>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</si>
  <si>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</si>
  <si>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</si>
  <si>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</si>
  <si>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</si>
  <si>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</si>
  <si>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</si>
  <si>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</si>
  <si>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</si>
  <si>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</si>
  <si>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</si>
  <si>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</si>
  <si>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заявкам (за исключением ТП и передачи э/э), дн.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</si>
  <si>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</si>
  <si>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</si>
  <si>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</si>
  <si>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>Приложение 2. Форма отчета о фактических значениях параметров показателя качества оказываемых услуг за 2013 год.</t>
  </si>
  <si>
    <t>Брянскэнерго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</si>
</sst>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</numFmts>
  <fonts count="3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165" fontId="2" fillId="0" borderId="0">
      <protection locked="0"/>
    </xf>
    <xf numFmtId="0" fontId="2" fillId="0" borderId="0"/>
    <xf numFmtId="0" fontId="30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2" fillId="0" borderId="0" xfId="0" applyFont="1"/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12" xfId="0" applyNumberFormat="1" applyFont="1" applyBorder="1" applyAlignment="1" applyProtection="1">
      <alignment vertical="center"/>
    </xf>
    <xf numFmtId="0" fontId="0" fillId="0" borderId="0" xfId="0" applyFont="1"/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justify" vertical="top" wrapText="1"/>
    </xf>
    <xf numFmtId="0" fontId="24" fillId="0" borderId="14" xfId="0" applyFont="1" applyBorder="1" applyAlignment="1" applyProtection="1">
      <alignment horizontal="justify" vertical="top" wrapText="1"/>
    </xf>
    <xf numFmtId="0" fontId="4" fillId="0" borderId="14" xfId="0" applyFont="1" applyBorder="1" applyAlignment="1" applyProtection="1">
      <alignment horizontal="justify" wrapText="1"/>
    </xf>
    <xf numFmtId="167" fontId="4" fillId="0" borderId="12" xfId="0" applyNumberFormat="1" applyFont="1" applyBorder="1" applyAlignment="1"/>
    <xf numFmtId="0" fontId="3" fillId="0" borderId="11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 vertical="center" wrapText="1"/>
    </xf>
    <xf numFmtId="17" fontId="4" fillId="0" borderId="0" xfId="0" applyNumberFormat="1" applyFont="1"/>
    <xf numFmtId="0" fontId="24" fillId="0" borderId="14" xfId="0" applyFont="1" applyFill="1" applyBorder="1" applyAlignment="1" applyProtection="1">
      <alignment horizontal="justify" vertical="top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24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4" fillId="26" borderId="14" xfId="36" applyFont="1" applyFill="1" applyBorder="1" applyAlignment="1" applyProtection="1">
      <alignment horizontal="center" vertical="top" wrapText="1"/>
    </xf>
    <xf numFmtId="166" fontId="3" fillId="26" borderId="11" xfId="36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left" vertical="top" wrapText="1"/>
    </xf>
    <xf numFmtId="1" fontId="31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</xf>
    <xf numFmtId="2" fontId="31" fillId="0" borderId="11" xfId="0" applyNumberFormat="1" applyFont="1" applyBorder="1" applyAlignment="1">
      <alignment horizontal="center" vertical="center"/>
    </xf>
    <xf numFmtId="165" fontId="24" fillId="26" borderId="14" xfId="36" applyFont="1" applyFill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wrapText="1"/>
    </xf>
    <xf numFmtId="0" fontId="31" fillId="0" borderId="11" xfId="0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9" fontId="3" fillId="26" borderId="12" xfId="42" applyFont="1" applyFill="1" applyBorder="1" applyAlignment="1" applyProtection="1">
      <alignment horizontal="center" vertical="center" wrapText="1"/>
    </xf>
    <xf numFmtId="9" fontId="31" fillId="0" borderId="11" xfId="42" applyFont="1" applyBorder="1" applyAlignment="1">
      <alignment horizontal="center" vertical="center"/>
    </xf>
    <xf numFmtId="9" fontId="32" fillId="0" borderId="11" xfId="42" applyFont="1" applyBorder="1" applyAlignment="1">
      <alignment horizontal="center" vertical="center"/>
    </xf>
    <xf numFmtId="9" fontId="29" fillId="26" borderId="12" xfId="42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11" xfId="0" applyFont="1" applyBorder="1" applyAlignment="1">
      <alignment vertical="top" wrapText="1"/>
    </xf>
    <xf numFmtId="2" fontId="3" fillId="0" borderId="13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22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vertical="center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0" fillId="25" borderId="11" xfId="0" applyFont="1" applyFill="1" applyBorder="1" applyAlignment="1">
      <alignment wrapText="1"/>
    </xf>
    <xf numFmtId="168" fontId="3" fillId="26" borderId="11" xfId="36" applyNumberFormat="1" applyFont="1" applyFill="1" applyBorder="1" applyAlignment="1" applyProtection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169" fontId="3" fillId="26" borderId="12" xfId="42" applyNumberFormat="1" applyFont="1" applyFill="1" applyBorder="1" applyAlignment="1" applyProtection="1">
      <alignment horizontal="center" vertical="center" wrapText="1"/>
    </xf>
    <xf numFmtId="9" fontId="3" fillId="0" borderId="11" xfId="42" applyFont="1" applyBorder="1" applyAlignment="1" applyProtection="1">
      <alignment horizontal="center" vertical="center" wrapText="1"/>
    </xf>
    <xf numFmtId="166" fontId="3" fillId="0" borderId="12" xfId="0" applyNumberFormat="1" applyFont="1" applyBorder="1" applyAlignment="1" applyProtection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4" fillId="0" borderId="11" xfId="0" applyNumberFormat="1" applyFont="1" applyFill="1" applyBorder="1" applyAlignment="1"/>
    <xf numFmtId="0" fontId="4" fillId="0" borderId="11" xfId="0" applyFont="1" applyFill="1" applyBorder="1" applyAlignment="1"/>
    <xf numFmtId="167" fontId="4" fillId="0" borderId="12" xfId="0" applyNumberFormat="1" applyFont="1" applyFill="1" applyBorder="1" applyAlignment="1"/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wrapText="1"/>
    </xf>
    <xf numFmtId="167" fontId="3" fillId="0" borderId="12" xfId="0" applyNumberFormat="1" applyFont="1" applyFill="1" applyBorder="1" applyAlignment="1">
      <alignment horizontal="center" wrapText="1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16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6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166" fontId="23" fillId="0" borderId="26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/>
    </xf>
    <xf numFmtId="9" fontId="3" fillId="0" borderId="11" xfId="42" applyFont="1" applyBorder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/>
    <xf numFmtId="0" fontId="0" fillId="25" borderId="11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" fontId="0" fillId="27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65" fontId="4" fillId="26" borderId="21" xfId="36" applyFont="1" applyFill="1" applyBorder="1" applyAlignment="1" applyProtection="1">
      <alignment horizontal="center" vertical="center" wrapText="1"/>
    </xf>
    <xf numFmtId="165" fontId="4" fillId="26" borderId="12" xfId="36" applyFont="1" applyFill="1" applyBorder="1" applyAlignment="1" applyProtection="1">
      <alignment horizontal="center" vertical="center" wrapText="1"/>
    </xf>
    <xf numFmtId="165" fontId="4" fillId="26" borderId="13" xfId="36" applyFont="1" applyFill="1" applyBorder="1" applyAlignment="1" applyProtection="1">
      <alignment horizontal="center" vertical="top" wrapText="1"/>
    </xf>
    <xf numFmtId="165" fontId="4" fillId="26" borderId="12" xfId="36" applyFont="1" applyFill="1" applyBorder="1" applyAlignment="1" applyProtection="1">
      <alignment horizontal="center" vertical="top" wrapText="1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4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2" xfId="0" applyFont="1" applyFill="1" applyBorder="1" applyAlignment="1" applyProtection="1">
      <alignment horizontal="center" vertical="top" wrapText="1"/>
    </xf>
    <xf numFmtId="0" fontId="4" fillId="26" borderId="15" xfId="0" applyFont="1" applyFill="1" applyBorder="1" applyAlignment="1" applyProtection="1">
      <alignment horizontal="center" vertical="top" wrapText="1"/>
    </xf>
    <xf numFmtId="0" fontId="4" fillId="26" borderId="18" xfId="0" applyFont="1" applyFill="1" applyBorder="1" applyAlignment="1" applyProtection="1">
      <alignment horizontal="center" vertical="top" wrapText="1"/>
    </xf>
    <xf numFmtId="0" fontId="4" fillId="26" borderId="19" xfId="0" applyFont="1" applyFill="1" applyBorder="1" applyAlignment="1" applyProtection="1">
      <alignment horizontal="center" vertical="top" wrapText="1"/>
    </xf>
    <xf numFmtId="0" fontId="3" fillId="26" borderId="19" xfId="0" applyFont="1" applyFill="1" applyBorder="1" applyAlignment="1" applyProtection="1">
      <alignment horizontal="center" vertical="top" wrapText="1"/>
    </xf>
    <xf numFmtId="0" fontId="3" fillId="26" borderId="20" xfId="0" applyFont="1" applyFill="1" applyBorder="1" applyAlignment="1" applyProtection="1">
      <alignment horizontal="center" vertical="top" wrapText="1"/>
    </xf>
    <xf numFmtId="1" fontId="4" fillId="28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8" borderId="11" xfId="0" applyNumberFormat="1" applyFont="1" applyFill="1" applyBorder="1" applyAlignment="1">
      <alignment horizontal="center" vertical="center" wrapText="1"/>
    </xf>
    <xf numFmtId="0" fontId="4" fillId="28" borderId="11" xfId="0" applyNumberFormat="1" applyFont="1" applyFill="1" applyBorder="1" applyAlignment="1" applyProtection="1">
      <alignment horizontal="center" vertical="center" wrapText="1"/>
    </xf>
    <xf numFmtId="0" fontId="4" fillId="28" borderId="13" xfId="0" applyFont="1" applyFill="1" applyBorder="1" applyAlignment="1" applyProtection="1">
      <alignment horizontal="center" vertical="center" wrapText="1"/>
      <protection locked="0"/>
    </xf>
    <xf numFmtId="164" fontId="4" fillId="28" borderId="11" xfId="0" applyNumberFormat="1" applyFont="1" applyFill="1" applyBorder="1" applyAlignment="1" applyProtection="1">
      <alignment horizontal="center" vertical="center" wrapText="1"/>
    </xf>
    <xf numFmtId="2" fontId="4" fillId="28" borderId="11" xfId="0" applyNumberFormat="1" applyFont="1" applyFill="1" applyBorder="1" applyAlignment="1" applyProtection="1">
      <alignment horizontal="center" vertical="center" wrapText="1"/>
    </xf>
    <xf numFmtId="1" fontId="4" fillId="28" borderId="11" xfId="0" applyNumberFormat="1" applyFont="1" applyFill="1" applyBorder="1" applyAlignment="1" applyProtection="1">
      <alignment horizontal="center" vertical="center" wrapText="1"/>
    </xf>
    <xf numFmtId="0" fontId="3" fillId="28" borderId="11" xfId="0" applyFont="1" applyFill="1" applyBorder="1" applyAlignment="1">
      <alignment horizontal="center" vertical="center" wrapText="1"/>
    </xf>
    <xf numFmtId="2" fontId="3" fillId="28" borderId="11" xfId="0" applyNumberFormat="1" applyFont="1" applyFill="1" applyBorder="1" applyAlignment="1">
      <alignment horizontal="center" vertical="center" wrapText="1"/>
    </xf>
    <xf numFmtId="0" fontId="3" fillId="28" borderId="13" xfId="0" applyFont="1" applyFill="1" applyBorder="1" applyAlignment="1" applyProtection="1">
      <alignment horizontal="center" vertical="center" wrapText="1"/>
      <protection locked="0"/>
    </xf>
    <xf numFmtId="168" fontId="3" fillId="28" borderId="11" xfId="0" applyNumberFormat="1" applyFont="1" applyFill="1" applyBorder="1" applyAlignment="1">
      <alignment horizontal="center" vertical="center" wrapText="1"/>
    </xf>
    <xf numFmtId="166" fontId="3" fillId="28" borderId="11" xfId="0" applyNumberFormat="1" applyFont="1" applyFill="1" applyBorder="1" applyAlignment="1">
      <alignment horizontal="center" vertical="center" wrapText="1"/>
    </xf>
    <xf numFmtId="0" fontId="0" fillId="29" borderId="0" xfId="0" applyFill="1"/>
    <xf numFmtId="0" fontId="0" fillId="0" borderId="11" xfId="0" applyFill="1" applyBorder="1" applyAlignment="1">
      <alignment vertical="top" wrapText="1"/>
    </xf>
    <xf numFmtId="0" fontId="4" fillId="0" borderId="14" xfId="0" applyFont="1" applyFill="1" applyBorder="1" applyAlignment="1" applyProtection="1">
      <alignment horizontal="justify" wrapText="1"/>
    </xf>
    <xf numFmtId="165" fontId="4" fillId="26" borderId="20" xfId="36" applyFont="1" applyFill="1" applyBorder="1" applyAlignment="1" applyProtection="1">
      <alignment horizontal="center" vertical="center" wrapText="1"/>
    </xf>
    <xf numFmtId="165" fontId="4" fillId="26" borderId="28" xfId="36" applyFont="1" applyFill="1" applyBorder="1" applyAlignment="1" applyProtection="1">
      <alignment horizontal="center" vertical="center" wrapText="1"/>
    </xf>
    <xf numFmtId="165" fontId="4" fillId="26" borderId="29" xfId="36" applyFont="1" applyFill="1" applyBorder="1" applyAlignment="1" applyProtection="1">
      <alignment horizontal="center" vertical="center" wrapText="1"/>
    </xf>
    <xf numFmtId="165" fontId="26" fillId="26" borderId="30" xfId="36" applyFont="1" applyFill="1" applyBorder="1" applyAlignment="1" applyProtection="1">
      <alignment horizontal="center"/>
    </xf>
    <xf numFmtId="165" fontId="26" fillId="26" borderId="31" xfId="36" applyFont="1" applyFill="1" applyBorder="1" applyAlignment="1" applyProtection="1">
      <alignment horizontal="center"/>
    </xf>
    <xf numFmtId="0" fontId="4" fillId="26" borderId="12" xfId="0" applyFont="1" applyFill="1" applyBorder="1" applyAlignment="1" applyProtection="1">
      <alignment horizontal="center" vertical="center" wrapText="1"/>
    </xf>
    <xf numFmtId="0" fontId="4" fillId="26" borderId="14" xfId="0" applyFont="1" applyFill="1" applyBorder="1" applyAlignment="1" applyProtection="1">
      <alignment horizontal="center" vertical="center" wrapText="1"/>
    </xf>
    <xf numFmtId="0" fontId="26" fillId="26" borderId="16" xfId="0" applyFont="1" applyFill="1" applyBorder="1" applyAlignment="1">
      <alignment horizontal="center"/>
    </xf>
    <xf numFmtId="0" fontId="26" fillId="26" borderId="17" xfId="0" applyFont="1" applyFill="1" applyBorder="1" applyAlignment="1">
      <alignment horizontal="center"/>
    </xf>
    <xf numFmtId="0" fontId="26" fillId="26" borderId="10" xfId="0" applyFont="1" applyFill="1" applyBorder="1" applyAlignment="1">
      <alignment horizontal="center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center" wrapText="1"/>
    </xf>
    <xf numFmtId="0" fontId="25" fillId="26" borderId="11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3" xfId="0" applyBorder="1" applyAlignment="1">
      <alignment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5" xfId="38"/>
    <cellStyle name="Обычный 5 2" xfId="47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Процентный 2 2" xfId="48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A52" sqref="A52:XFD64"/>
    </sheetView>
  </sheetViews>
  <sheetFormatPr defaultRowHeight="12.75"/>
  <cols>
    <col min="1" max="1" width="48.7109375" style="44" customWidth="1"/>
    <col min="2" max="2" width="13.85546875" style="44" customWidth="1"/>
    <col min="3" max="5" width="11" style="44" customWidth="1"/>
    <col min="6" max="7" width="9.140625" style="44"/>
    <col min="8" max="8" width="9.42578125" style="44" customWidth="1"/>
    <col min="9" max="16384" width="9.140625" style="44"/>
  </cols>
  <sheetData>
    <row r="1" spans="1:5" ht="13.5" thickBot="1">
      <c r="A1" s="109" t="s">
        <v>174</v>
      </c>
      <c r="B1" s="60"/>
      <c r="C1" s="60"/>
      <c r="D1" s="60"/>
      <c r="E1" s="60"/>
    </row>
    <row r="2" spans="1:5">
      <c r="A2" s="155" t="s">
        <v>11</v>
      </c>
      <c r="B2" s="158" t="s">
        <v>175</v>
      </c>
      <c r="C2" s="159"/>
      <c r="D2" s="155" t="s">
        <v>153</v>
      </c>
      <c r="E2" s="155" t="s">
        <v>26</v>
      </c>
    </row>
    <row r="3" spans="1:5" ht="28.5" customHeight="1">
      <c r="A3" s="156"/>
      <c r="B3" s="126" t="s">
        <v>150</v>
      </c>
      <c r="C3" s="127" t="s">
        <v>152</v>
      </c>
      <c r="D3" s="156"/>
      <c r="E3" s="156"/>
    </row>
    <row r="4" spans="1:5" ht="25.5">
      <c r="A4" s="157"/>
      <c r="B4" s="128" t="s">
        <v>151</v>
      </c>
      <c r="C4" s="129" t="s">
        <v>137</v>
      </c>
      <c r="D4" s="157"/>
      <c r="E4" s="157"/>
    </row>
    <row r="5" spans="1:5" ht="15.75">
      <c r="A5" s="45" t="s">
        <v>138</v>
      </c>
      <c r="B5" s="46">
        <f>ИНФ!F37</f>
        <v>1.75</v>
      </c>
      <c r="C5" s="46">
        <v>2</v>
      </c>
      <c r="D5" s="55">
        <f>B5/C5</f>
        <v>0.875</v>
      </c>
      <c r="E5" s="55"/>
    </row>
    <row r="6" spans="1:5" ht="49.5" customHeight="1">
      <c r="A6" s="47" t="s">
        <v>28</v>
      </c>
      <c r="B6" s="48">
        <f>ИНФ!B12</f>
        <v>21.276595744680851</v>
      </c>
      <c r="C6" s="48">
        <f>ИНФ!C12</f>
        <v>20</v>
      </c>
      <c r="D6" s="56">
        <f t="shared" ref="D6:D41" si="0">B6/C6</f>
        <v>1.0638297872340425</v>
      </c>
      <c r="E6" s="57" t="str">
        <f>ИНФ!E12</f>
        <v>прямая</v>
      </c>
    </row>
    <row r="7" spans="1:5" ht="26.25" customHeight="1">
      <c r="A7" s="49" t="s">
        <v>139</v>
      </c>
      <c r="B7" s="48">
        <f>ИНФ!B15</f>
        <v>12</v>
      </c>
      <c r="C7" s="48">
        <f>ИНФ!C15</f>
        <v>7</v>
      </c>
      <c r="D7" s="56">
        <f t="shared" si="0"/>
        <v>1.7142857142857142</v>
      </c>
      <c r="E7" s="57" t="str">
        <f>ИНФ!E13</f>
        <v>прямая</v>
      </c>
    </row>
    <row r="8" spans="1:5" ht="37.5" customHeight="1">
      <c r="A8" s="49" t="s">
        <v>140</v>
      </c>
      <c r="B8" s="48">
        <f>ИНФ!B16</f>
        <v>1</v>
      </c>
      <c r="C8" s="48">
        <f>ИНФ!C16</f>
        <v>1</v>
      </c>
      <c r="D8" s="56">
        <f t="shared" si="0"/>
        <v>1</v>
      </c>
      <c r="E8" s="57" t="str">
        <f>ИНФ!E13</f>
        <v>прямая</v>
      </c>
    </row>
    <row r="9" spans="1:5" ht="27" customHeight="1">
      <c r="A9" s="49" t="s">
        <v>141</v>
      </c>
      <c r="B9" s="48">
        <f>ИНФ!B17</f>
        <v>12</v>
      </c>
      <c r="C9" s="48">
        <f>ИНФ!C17</f>
        <v>7</v>
      </c>
      <c r="D9" s="56">
        <f t="shared" si="0"/>
        <v>1.7142857142857142</v>
      </c>
      <c r="E9" s="57" t="str">
        <f>ИНФ!E13</f>
        <v>прямая</v>
      </c>
    </row>
    <row r="10" spans="1:5" ht="36.75" customHeight="1">
      <c r="A10" s="49" t="s">
        <v>142</v>
      </c>
      <c r="B10" s="48">
        <f>ИНФ!B18</f>
        <v>46</v>
      </c>
      <c r="C10" s="48">
        <f>ИНФ!C18</f>
        <v>18</v>
      </c>
      <c r="D10" s="56">
        <f t="shared" si="0"/>
        <v>2.5555555555555554</v>
      </c>
      <c r="E10" s="57" t="str">
        <f>ИНФ!E13</f>
        <v>прямая</v>
      </c>
    </row>
    <row r="11" spans="1:5" ht="38.25">
      <c r="A11" s="49" t="s">
        <v>34</v>
      </c>
      <c r="B11" s="48">
        <f>ИНФ!B22</f>
        <v>1</v>
      </c>
      <c r="C11" s="48">
        <f>ИНФ!C22</f>
        <v>1</v>
      </c>
      <c r="D11" s="56">
        <f t="shared" si="0"/>
        <v>1</v>
      </c>
      <c r="E11" s="57" t="str">
        <f>ИНФ!E22</f>
        <v>прямая</v>
      </c>
    </row>
    <row r="12" spans="1:5" ht="40.5" customHeight="1">
      <c r="A12" s="47" t="s">
        <v>35</v>
      </c>
      <c r="B12" s="48">
        <f>ИНФ!B23</f>
        <v>1</v>
      </c>
      <c r="C12" s="48">
        <f>ИНФ!C23</f>
        <v>1</v>
      </c>
      <c r="D12" s="75">
        <f>IF(C12=0, IF(B12=0,1, 1.2), B12/C12)</f>
        <v>1</v>
      </c>
      <c r="E12" s="57" t="str">
        <f>ИНФ!E23</f>
        <v>прямая</v>
      </c>
    </row>
    <row r="13" spans="1:5" ht="39.75" customHeight="1">
      <c r="A13" s="47" t="s">
        <v>36</v>
      </c>
      <c r="B13" s="48">
        <f>ИНФ!B24</f>
        <v>1</v>
      </c>
      <c r="C13" s="48">
        <f>ИНФ!C24</f>
        <v>1</v>
      </c>
      <c r="D13" s="75">
        <f>IF(C13=0, IF(B13=0,1, 1.2), B13/C13)</f>
        <v>1</v>
      </c>
      <c r="E13" s="57" t="str">
        <f>ИНФ!E24</f>
        <v>прямая</v>
      </c>
    </row>
    <row r="14" spans="1:5" ht="52.5" customHeight="1">
      <c r="A14" s="49" t="s">
        <v>37</v>
      </c>
      <c r="B14" s="48">
        <f>ИНФ!B26</f>
        <v>1</v>
      </c>
      <c r="C14" s="48">
        <f>ИНФ!C26</f>
        <v>1</v>
      </c>
      <c r="D14" s="56">
        <f t="shared" si="0"/>
        <v>1</v>
      </c>
      <c r="E14" s="57" t="str">
        <f>ИНФ!E26</f>
        <v>прямая</v>
      </c>
    </row>
    <row r="15" spans="1:5" ht="64.5" customHeight="1">
      <c r="A15" s="49" t="s">
        <v>38</v>
      </c>
      <c r="B15" s="48">
        <f>ИНФ!B28</f>
        <v>1</v>
      </c>
      <c r="C15" s="48">
        <f>ИНФ!C28</f>
        <v>1</v>
      </c>
      <c r="D15" s="56">
        <f t="shared" si="0"/>
        <v>1</v>
      </c>
      <c r="E15" s="57" t="str">
        <f>ИНФ!E28</f>
        <v>прямая</v>
      </c>
    </row>
    <row r="16" spans="1:5" ht="64.5" customHeight="1">
      <c r="A16" s="47" t="s">
        <v>10</v>
      </c>
      <c r="B16" s="50">
        <f>ИНФ!B32</f>
        <v>0.19131525216636389</v>
      </c>
      <c r="C16" s="73">
        <f>ИНФ!C32</f>
        <v>3.55</v>
      </c>
      <c r="D16" s="56">
        <f t="shared" si="0"/>
        <v>5.3891620328553207E-2</v>
      </c>
      <c r="E16" s="57" t="str">
        <f>ИНФ!E32</f>
        <v>обратная</v>
      </c>
    </row>
    <row r="17" spans="1:5" ht="55.5" customHeight="1">
      <c r="A17" s="47" t="s">
        <v>41</v>
      </c>
      <c r="B17" s="50">
        <f>ИНФ!B35</f>
        <v>16.663719232809761</v>
      </c>
      <c r="C17" s="50">
        <f>ИНФ!C35</f>
        <v>7.22</v>
      </c>
      <c r="D17" s="56">
        <f t="shared" si="0"/>
        <v>2.3079943535747591</v>
      </c>
      <c r="E17" s="57" t="str">
        <f>ИНФ!E35</f>
        <v>обратная</v>
      </c>
    </row>
    <row r="18" spans="1:5" ht="75.75" customHeight="1">
      <c r="A18" s="47" t="s">
        <v>42</v>
      </c>
      <c r="B18" s="48">
        <f>ИНФ!B36</f>
        <v>0</v>
      </c>
      <c r="C18" s="48">
        <f>ИНФ!C36</f>
        <v>4.8999999999999998E-3</v>
      </c>
      <c r="D18" s="75">
        <f>IF(C18=0, IF(B18=0,1, 1.2), B18/C18)</f>
        <v>0</v>
      </c>
      <c r="E18" s="57" t="str">
        <f>ИНФ!E36</f>
        <v>обратная</v>
      </c>
    </row>
    <row r="19" spans="1:5" ht="15.75">
      <c r="A19" s="51" t="s">
        <v>143</v>
      </c>
      <c r="B19" s="46">
        <f>ИСП!F38</f>
        <v>0.379</v>
      </c>
      <c r="C19" s="46">
        <v>0.58599999999999997</v>
      </c>
      <c r="D19" s="55">
        <f t="shared" si="0"/>
        <v>0.64675767918088745</v>
      </c>
      <c r="E19" s="58"/>
    </row>
    <row r="20" spans="1:5" ht="37.5" customHeight="1">
      <c r="A20" s="47" t="s">
        <v>47</v>
      </c>
      <c r="B20" s="48">
        <f>ИСП!B12</f>
        <v>17.314199395770391</v>
      </c>
      <c r="C20" s="48">
        <f>ИСП!C12</f>
        <v>38</v>
      </c>
      <c r="D20" s="56">
        <f t="shared" si="0"/>
        <v>0.45563682620448398</v>
      </c>
      <c r="E20" s="57" t="str">
        <f>ИСП!E12</f>
        <v>обратная</v>
      </c>
    </row>
    <row r="21" spans="1:5" ht="51" customHeight="1">
      <c r="A21" s="47" t="s">
        <v>48</v>
      </c>
      <c r="B21" s="48">
        <f>ИСП!B13</f>
        <v>159.49005847953217</v>
      </c>
      <c r="C21" s="48">
        <f>ИСП!C13</f>
        <v>411</v>
      </c>
      <c r="D21" s="56">
        <f t="shared" si="0"/>
        <v>0.38805367026650162</v>
      </c>
      <c r="E21" s="57" t="str">
        <f>ИСП!E13</f>
        <v>обратная</v>
      </c>
    </row>
    <row r="22" spans="1:5" ht="50.25" customHeight="1">
      <c r="A22" s="47" t="s">
        <v>50</v>
      </c>
      <c r="B22" s="48" t="str">
        <f>ИСП!B17</f>
        <v>-</v>
      </c>
      <c r="C22" s="48">
        <f>ИСП!C17</f>
        <v>30</v>
      </c>
      <c r="D22" s="110" t="e">
        <f t="shared" si="0"/>
        <v>#VALUE!</v>
      </c>
      <c r="E22" s="57" t="str">
        <f>ИСП!E17</f>
        <v>обратная</v>
      </c>
    </row>
    <row r="23" spans="1:5" ht="38.25" customHeight="1">
      <c r="A23" s="47" t="s">
        <v>144</v>
      </c>
      <c r="B23" s="48">
        <f>ИСП!B19</f>
        <v>29.959557753855105</v>
      </c>
      <c r="C23" s="48">
        <f>ИСП!C19</f>
        <v>24</v>
      </c>
      <c r="D23" s="56">
        <f t="shared" si="0"/>
        <v>1.2483149064106294</v>
      </c>
      <c r="E23" s="57" t="str">
        <f>ИСП!E18</f>
        <v>обратная</v>
      </c>
    </row>
    <row r="24" spans="1:5" ht="14.25" customHeight="1">
      <c r="A24" s="47" t="s">
        <v>145</v>
      </c>
      <c r="B24" s="48">
        <f>ИСП!B20</f>
        <v>60.960616438356162</v>
      </c>
      <c r="C24" s="48">
        <f>ИСП!C20</f>
        <v>42</v>
      </c>
      <c r="D24" s="56">
        <f t="shared" si="0"/>
        <v>1.4514432485322897</v>
      </c>
      <c r="E24" s="57" t="str">
        <f>ИСП!E18</f>
        <v>обратная</v>
      </c>
    </row>
    <row r="25" spans="1:5" ht="79.5" customHeight="1">
      <c r="A25" s="47" t="s">
        <v>53</v>
      </c>
      <c r="B25" s="54">
        <f>ИСП!B21</f>
        <v>0</v>
      </c>
      <c r="C25" s="48">
        <f>ИСП!C21</f>
        <v>0</v>
      </c>
      <c r="D25" s="75">
        <f>IF(C25=0, IF(B25=0,1, 1.2), B25/C25)</f>
        <v>1</v>
      </c>
      <c r="E25" s="57" t="str">
        <f>ИСП!E21</f>
        <v>обратная</v>
      </c>
    </row>
    <row r="26" spans="1:5" ht="116.25" customHeight="1">
      <c r="A26" s="47" t="s">
        <v>54</v>
      </c>
      <c r="B26" s="54">
        <f>ИСП!B25</f>
        <v>0</v>
      </c>
      <c r="C26" s="50">
        <f>ИСП!C25</f>
        <v>0.19900000000000001</v>
      </c>
      <c r="D26" s="75">
        <f>IF(C26=0, IF(B26=0,1, 1.2), B26/C26)</f>
        <v>0</v>
      </c>
      <c r="E26" s="57" t="str">
        <f>ИСП!E25</f>
        <v>обратная</v>
      </c>
    </row>
    <row r="27" spans="1:5" ht="77.25" customHeight="1">
      <c r="A27" s="47" t="s">
        <v>14</v>
      </c>
      <c r="B27" s="48">
        <f>ИСП!B27</f>
        <v>0</v>
      </c>
      <c r="C27" s="48">
        <f>ИСП!C27</f>
        <v>0</v>
      </c>
      <c r="D27" s="75">
        <f>IF(C27=0, IF(B27=0,1, 1.2), B27/C27)</f>
        <v>1</v>
      </c>
      <c r="E27" s="57" t="str">
        <f>ИСП!E27</f>
        <v>обратная</v>
      </c>
    </row>
    <row r="28" spans="1:5" ht="51" customHeight="1">
      <c r="A28" s="47" t="s">
        <v>16</v>
      </c>
      <c r="B28" s="50">
        <f>ИСП!B30</f>
        <v>0.27330750309480556</v>
      </c>
      <c r="C28" s="50">
        <f>ИСП!C30</f>
        <v>0.68</v>
      </c>
      <c r="D28" s="56">
        <f t="shared" si="0"/>
        <v>0.40192279866883168</v>
      </c>
      <c r="E28" s="57" t="str">
        <f>ИСП!E30</f>
        <v>обратная</v>
      </c>
    </row>
    <row r="29" spans="1:5" ht="50.25" customHeight="1">
      <c r="A29" s="47" t="s">
        <v>56</v>
      </c>
      <c r="B29" s="48">
        <f>ИСП!B34</f>
        <v>1</v>
      </c>
      <c r="C29" s="48">
        <f>ИСП!C34</f>
        <v>1</v>
      </c>
      <c r="D29" s="56">
        <f t="shared" si="0"/>
        <v>1</v>
      </c>
      <c r="E29" s="57" t="str">
        <f>ИСП!E34</f>
        <v>прямая</v>
      </c>
    </row>
    <row r="30" spans="1:5" ht="78" customHeight="1">
      <c r="A30" s="47" t="s">
        <v>57</v>
      </c>
      <c r="B30" s="48">
        <f>ИСП!B35</f>
        <v>0</v>
      </c>
      <c r="C30" s="48">
        <f>ИСП!C35</f>
        <v>4.8999999999999998E-3</v>
      </c>
      <c r="D30" s="75">
        <f>IF(C30=0, IF(B30=0,1, 1.2), B30/C30)</f>
        <v>0</v>
      </c>
      <c r="E30" s="57" t="str">
        <f>ИСП!E35</f>
        <v>обратная</v>
      </c>
    </row>
    <row r="31" spans="1:5" ht="52.5" customHeight="1">
      <c r="A31" s="47" t="s">
        <v>58</v>
      </c>
      <c r="B31" s="48">
        <f>ИСП!B37</f>
        <v>0</v>
      </c>
      <c r="C31" s="48">
        <f>ИСП!C37</f>
        <v>4.8999999999999998E-3</v>
      </c>
      <c r="D31" s="75">
        <f>IF(C31=0, IF(B31=0,1, 1.2), B31/C31)</f>
        <v>0</v>
      </c>
      <c r="E31" s="57" t="str">
        <f>ИСП!E37</f>
        <v>обратная</v>
      </c>
    </row>
    <row r="32" spans="1:5" ht="15.75">
      <c r="A32" s="51" t="s">
        <v>146</v>
      </c>
      <c r="B32" s="46">
        <f>РОС!F37</f>
        <v>2</v>
      </c>
      <c r="C32" s="46">
        <v>2</v>
      </c>
      <c r="D32" s="55">
        <f t="shared" si="0"/>
        <v>1</v>
      </c>
      <c r="E32" s="58"/>
    </row>
    <row r="33" spans="1:5" ht="51" customHeight="1">
      <c r="A33" s="52" t="s">
        <v>60</v>
      </c>
      <c r="B33" s="53">
        <f>РОС!B10</f>
        <v>1</v>
      </c>
      <c r="C33" s="53">
        <f>РОС!C10</f>
        <v>1</v>
      </c>
      <c r="D33" s="56">
        <f t="shared" si="0"/>
        <v>1</v>
      </c>
      <c r="E33" s="57" t="str">
        <f>РОС!E10</f>
        <v>прямая</v>
      </c>
    </row>
    <row r="34" spans="1:5" ht="50.25" customHeight="1">
      <c r="A34" s="52" t="s">
        <v>61</v>
      </c>
      <c r="B34" s="73">
        <f>РОС!B14</f>
        <v>1.2427452934840275</v>
      </c>
      <c r="C34" s="50">
        <f>РОС!C14</f>
        <v>21.77</v>
      </c>
      <c r="D34" s="56">
        <f t="shared" si="0"/>
        <v>5.7085222484337506E-2</v>
      </c>
      <c r="E34" s="57" t="str">
        <f>РОС!E14</f>
        <v>обратная</v>
      </c>
    </row>
    <row r="35" spans="1:5" ht="65.25" customHeight="1">
      <c r="A35" s="52" t="s">
        <v>62</v>
      </c>
      <c r="B35" s="48">
        <f>РОС!B15</f>
        <v>92.88486416558861</v>
      </c>
      <c r="C35" s="50">
        <f>РОС!C15</f>
        <v>100</v>
      </c>
      <c r="D35" s="56">
        <f t="shared" si="0"/>
        <v>0.9288486416558861</v>
      </c>
      <c r="E35" s="57" t="str">
        <f>РОС!E15</f>
        <v>прямая</v>
      </c>
    </row>
    <row r="36" spans="1:5" ht="77.25" customHeight="1">
      <c r="A36" s="52" t="s">
        <v>63</v>
      </c>
      <c r="B36" s="50">
        <f>РОС!B16</f>
        <v>0.1392757660167131</v>
      </c>
      <c r="C36" s="50">
        <f>РОС!C16</f>
        <v>3.54</v>
      </c>
      <c r="D36" s="56">
        <f t="shared" si="0"/>
        <v>3.9343436727885053E-2</v>
      </c>
      <c r="E36" s="57" t="str">
        <f>РОС!E16</f>
        <v>обратная</v>
      </c>
    </row>
    <row r="37" spans="1:5" ht="75.75" customHeight="1">
      <c r="A37" s="52" t="s">
        <v>64</v>
      </c>
      <c r="B37" s="54">
        <f>РОС!B17</f>
        <v>0</v>
      </c>
      <c r="C37" s="54">
        <f>РОС!C17</f>
        <v>1.0699999999999999E-2</v>
      </c>
      <c r="D37" s="75">
        <f>IF(C37=0, IF(B37=0,1, 1.2), B37/C37)</f>
        <v>0</v>
      </c>
      <c r="E37" s="57" t="str">
        <f>РОС!E17</f>
        <v>обратная</v>
      </c>
    </row>
    <row r="38" spans="1:5" ht="52.5" customHeight="1">
      <c r="A38" s="52" t="s">
        <v>65</v>
      </c>
      <c r="B38" s="50">
        <f>РОС!B18</f>
        <v>2.0787447147151976</v>
      </c>
      <c r="C38" s="50">
        <f>РОС!C18</f>
        <v>1.68</v>
      </c>
      <c r="D38" s="56">
        <f t="shared" si="0"/>
        <v>1.237348044473332</v>
      </c>
      <c r="E38" s="57" t="str">
        <f>РОС!E18</f>
        <v>прямая</v>
      </c>
    </row>
    <row r="39" spans="1:5" ht="39" customHeight="1">
      <c r="A39" s="52" t="s">
        <v>66</v>
      </c>
      <c r="B39" s="48">
        <f>РОС!B19</f>
        <v>20</v>
      </c>
      <c r="C39" s="48">
        <f>РОС!C19</f>
        <v>9</v>
      </c>
      <c r="D39" s="56">
        <f t="shared" si="0"/>
        <v>2.2222222222222223</v>
      </c>
      <c r="E39" s="57" t="str">
        <f>РОС!E19</f>
        <v>прямая</v>
      </c>
    </row>
    <row r="40" spans="1:5" ht="25.5" customHeight="1">
      <c r="A40" s="52" t="s">
        <v>68</v>
      </c>
      <c r="B40" s="48">
        <f>РОС!B23</f>
        <v>21.167314889557495</v>
      </c>
      <c r="C40" s="48">
        <f>РОС!C23</f>
        <v>18</v>
      </c>
      <c r="D40" s="56">
        <f t="shared" si="0"/>
        <v>1.1759619383087498</v>
      </c>
      <c r="E40" s="57" t="str">
        <f>РОС!E23</f>
        <v>обратная</v>
      </c>
    </row>
    <row r="41" spans="1:5" ht="15" customHeight="1">
      <c r="A41" s="52" t="s">
        <v>147</v>
      </c>
      <c r="B41" s="50">
        <f>РОС!B25</f>
        <v>4.4033997873873325</v>
      </c>
      <c r="C41" s="54">
        <f>РОС!C25</f>
        <v>1.64</v>
      </c>
      <c r="D41" s="56">
        <f t="shared" si="0"/>
        <v>2.6849998703581299</v>
      </c>
      <c r="E41" s="57" t="str">
        <f>РОС!E24</f>
        <v>прямая</v>
      </c>
    </row>
    <row r="42" spans="1:5" ht="25.5">
      <c r="A42" s="52" t="s">
        <v>148</v>
      </c>
      <c r="B42" s="54">
        <f>РОС!B26</f>
        <v>0.48870684139195802</v>
      </c>
      <c r="C42" s="54">
        <f>РОС!C26</f>
        <v>0.17499999999999999</v>
      </c>
      <c r="D42" s="75">
        <f>IF(C42=0, IF(B42=0,1, 1.2), B42/C42)</f>
        <v>2.7926105222397601</v>
      </c>
      <c r="E42" s="57" t="str">
        <f>РОС!E24</f>
        <v>прямая</v>
      </c>
    </row>
    <row r="43" spans="1:5" ht="25.5">
      <c r="A43" s="52" t="s">
        <v>149</v>
      </c>
      <c r="B43" s="48">
        <f>РОС!B27</f>
        <v>0</v>
      </c>
      <c r="C43" s="111">
        <f>РОС!C27</f>
        <v>0.17499999999999999</v>
      </c>
      <c r="D43" s="75">
        <f>IF(C43=0, IF(B43=0,1, 1.2), B43/C43)</f>
        <v>0</v>
      </c>
      <c r="E43" s="57" t="str">
        <f>РОС!E24</f>
        <v>прямая</v>
      </c>
    </row>
    <row r="44" spans="1:5" ht="39" customHeight="1">
      <c r="A44" s="52" t="s">
        <v>3</v>
      </c>
      <c r="B44" s="48">
        <f>РОС!B30</f>
        <v>10.666666666666666</v>
      </c>
      <c r="C44" s="48">
        <f>РОС!C30</f>
        <v>3.74</v>
      </c>
      <c r="D44" s="75">
        <f>IF(C44=0, IF(B44=0,1, 1.2), B44/C44)</f>
        <v>2.8520499108734398</v>
      </c>
      <c r="E44" s="57" t="str">
        <f>РОС!E30</f>
        <v>обратная</v>
      </c>
    </row>
    <row r="45" spans="1:5" ht="38.25" customHeight="1">
      <c r="A45" s="52" t="s">
        <v>71</v>
      </c>
      <c r="B45" s="48" t="str">
        <f>РОС!B34</f>
        <v>-</v>
      </c>
      <c r="C45" s="48">
        <f>РОС!C34</f>
        <v>0</v>
      </c>
      <c r="D45" s="75" t="s">
        <v>1</v>
      </c>
      <c r="E45" s="57" t="str">
        <f>РОС!E34</f>
        <v>обратная</v>
      </c>
    </row>
    <row r="46" spans="1:5" ht="75" customHeight="1">
      <c r="A46" s="52" t="s">
        <v>72</v>
      </c>
      <c r="B46" s="48" t="str">
        <f>РОС!B35</f>
        <v>-</v>
      </c>
      <c r="C46" s="48">
        <f>РОС!C35</f>
        <v>0</v>
      </c>
      <c r="D46" s="110" t="s">
        <v>1</v>
      </c>
      <c r="E46" s="57" t="str">
        <f>РОС!E35</f>
        <v>прямая</v>
      </c>
    </row>
    <row r="47" spans="1:5" ht="15.75">
      <c r="A47" s="51" t="s">
        <v>154</v>
      </c>
      <c r="B47" s="46">
        <f>0.1*B5+0.7*B19+0.2*B32</f>
        <v>0.84030000000000005</v>
      </c>
      <c r="C47" s="72">
        <f>0.1*C5+0.7*C19+0.2*C32</f>
        <v>1.0102</v>
      </c>
      <c r="D47" s="74">
        <f>B47/C47</f>
        <v>0.83181548208275591</v>
      </c>
      <c r="E47" s="58"/>
    </row>
  </sheetData>
  <sheetProtection selectLockedCells="1" selectUnlockedCells="1"/>
  <protectedRanges>
    <protectedRange sqref="B5:B17 C6:C17" name="Диапазон1_1"/>
  </protectedRanges>
  <mergeCells count="4">
    <mergeCell ref="A2:A4"/>
    <mergeCell ref="B2:C2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25" zoomScaleNormal="100" zoomScaleSheetLayoutView="100" workbookViewId="0">
      <pane xSplit="1" topLeftCell="B1" activePane="topRight" state="frozen"/>
      <selection pane="topRight" activeCell="B32" sqref="B32"/>
    </sheetView>
  </sheetViews>
  <sheetFormatPr defaultRowHeight="12.75"/>
  <cols>
    <col min="1" max="1" width="77.7109375" style="10" customWidth="1"/>
    <col min="2" max="3" width="8.28515625" style="10" customWidth="1"/>
    <col min="4" max="4" width="8.28515625" customWidth="1"/>
    <col min="5" max="5" width="11.28515625" bestFit="1" customWidth="1"/>
    <col min="6" max="6" width="8.28515625" customWidth="1"/>
  </cols>
  <sheetData>
    <row r="2" spans="1:7" s="1" customFormat="1" ht="14.25">
      <c r="A2" s="2"/>
      <c r="B2" s="65"/>
      <c r="C2" s="66"/>
      <c r="D2" s="66"/>
      <c r="E2" s="66"/>
      <c r="F2" s="66"/>
    </row>
    <row r="3" spans="1:7" s="1" customFormat="1">
      <c r="A3" s="2"/>
      <c r="B3" s="66"/>
      <c r="C3" s="66"/>
      <c r="D3" s="66"/>
      <c r="E3" s="66"/>
      <c r="F3" s="66"/>
      <c r="G3" s="32"/>
    </row>
    <row r="4" spans="1:7" s="1" customFormat="1">
      <c r="A4" s="2"/>
      <c r="B4" s="66"/>
      <c r="C4" s="66"/>
      <c r="D4" s="66"/>
      <c r="E4" s="66"/>
      <c r="F4" s="66"/>
    </row>
    <row r="5" spans="1:7" s="1" customFormat="1" ht="13.5" thickBot="1">
      <c r="A5" s="2"/>
    </row>
    <row r="6" spans="1:7">
      <c r="A6" s="161" t="s">
        <v>11</v>
      </c>
      <c r="B6" s="162" t="str">
        <f>Свод!B2</f>
        <v>Брянскэнерго</v>
      </c>
      <c r="C6" s="163"/>
      <c r="D6" s="163"/>
      <c r="E6" s="163"/>
      <c r="F6" s="164"/>
    </row>
    <row r="7" spans="1:7">
      <c r="A7" s="161"/>
      <c r="B7" s="165" t="s">
        <v>4</v>
      </c>
      <c r="C7" s="166"/>
      <c r="D7" s="167" t="s">
        <v>25</v>
      </c>
      <c r="E7" s="167" t="s">
        <v>26</v>
      </c>
      <c r="F7" s="160" t="s">
        <v>2</v>
      </c>
    </row>
    <row r="8" spans="1:7">
      <c r="A8" s="161"/>
      <c r="B8" s="130" t="s">
        <v>44</v>
      </c>
      <c r="C8" s="131" t="s">
        <v>45</v>
      </c>
      <c r="D8" s="168"/>
      <c r="E8" s="167"/>
      <c r="F8" s="160"/>
    </row>
    <row r="9" spans="1:7" ht="15.75">
      <c r="A9" s="132">
        <v>1</v>
      </c>
      <c r="B9" s="130">
        <v>2</v>
      </c>
      <c r="C9" s="131">
        <v>3</v>
      </c>
      <c r="D9" s="133">
        <v>4</v>
      </c>
      <c r="E9" s="133">
        <v>5</v>
      </c>
      <c r="F9" s="134">
        <v>6</v>
      </c>
    </row>
    <row r="10" spans="1:7" ht="25.5">
      <c r="A10" s="12" t="s">
        <v>27</v>
      </c>
      <c r="B10" s="11" t="s">
        <v>1</v>
      </c>
      <c r="C10" s="30" t="s">
        <v>1</v>
      </c>
      <c r="D10" s="5" t="s">
        <v>1</v>
      </c>
      <c r="E10" s="5" t="s">
        <v>1</v>
      </c>
      <c r="F10" s="6">
        <f>AVERAGE(F12:F13)</f>
        <v>1.5</v>
      </c>
    </row>
    <row r="11" spans="1:7" ht="15.75">
      <c r="A11" s="12" t="s">
        <v>5</v>
      </c>
      <c r="B11" s="11"/>
      <c r="C11" s="30"/>
      <c r="D11" s="5"/>
      <c r="E11" s="5"/>
      <c r="F11" s="6"/>
    </row>
    <row r="12" spans="1:7" ht="25.5">
      <c r="A12" s="13" t="s">
        <v>28</v>
      </c>
      <c r="B12" s="140">
        <f>Исходные!C3/Исходные!C4*100</f>
        <v>21.276595744680851</v>
      </c>
      <c r="C12" s="141">
        <v>20</v>
      </c>
      <c r="D12" s="7">
        <f>IF(C12=0, IF(B12=0,100, 120), B12/C12*100)</f>
        <v>106.38297872340425</v>
      </c>
      <c r="E12" s="7" t="s">
        <v>23</v>
      </c>
      <c r="F12" s="6">
        <f>IF(OR(AND(D12&lt;80,E12="прямая"),AND(D12&gt;120,E12="обратная")),3,IF(OR(AND(D12&gt;120,E12="прямая"),AND(D12&lt;80,E12="обратная")),1,2))</f>
        <v>2</v>
      </c>
    </row>
    <row r="13" spans="1:7" ht="38.25">
      <c r="A13" s="13" t="s">
        <v>29</v>
      </c>
      <c r="B13" s="64">
        <f>SUM(B15:B18)</f>
        <v>71</v>
      </c>
      <c r="C13" s="141">
        <v>33</v>
      </c>
      <c r="D13" s="63">
        <f>IF(C13=0, IF(B13=0,100, 120), B13/C13*100)</f>
        <v>215.15151515151513</v>
      </c>
      <c r="E13" s="7" t="s">
        <v>23</v>
      </c>
      <c r="F13" s="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 t="s">
        <v>30</v>
      </c>
      <c r="B14" s="8"/>
      <c r="C14" s="69"/>
      <c r="D14" s="7"/>
      <c r="E14" s="7"/>
      <c r="F14" s="9"/>
    </row>
    <row r="15" spans="1:7" ht="25.5">
      <c r="A15" s="12" t="s">
        <v>31</v>
      </c>
      <c r="B15" s="41">
        <f>Исходные!C5</f>
        <v>12</v>
      </c>
      <c r="C15" s="141">
        <v>7</v>
      </c>
      <c r="D15" s="7"/>
      <c r="E15" s="7" t="s">
        <v>1</v>
      </c>
      <c r="F15" s="31" t="s">
        <v>1</v>
      </c>
    </row>
    <row r="16" spans="1:7" ht="38.25">
      <c r="A16" s="12" t="s">
        <v>32</v>
      </c>
      <c r="B16" s="41">
        <v>1</v>
      </c>
      <c r="C16" s="141">
        <v>1</v>
      </c>
      <c r="D16" s="7"/>
      <c r="E16" s="7" t="s">
        <v>1</v>
      </c>
      <c r="F16" s="31" t="s">
        <v>1</v>
      </c>
    </row>
    <row r="17" spans="1:6" ht="25.5">
      <c r="A17" s="12" t="s">
        <v>6</v>
      </c>
      <c r="B17" s="41">
        <f>Исходные!C6</f>
        <v>12</v>
      </c>
      <c r="C17" s="141">
        <v>7</v>
      </c>
      <c r="D17" s="7"/>
      <c r="E17" s="7" t="s">
        <v>1</v>
      </c>
      <c r="F17" s="31" t="s">
        <v>1</v>
      </c>
    </row>
    <row r="18" spans="1:6" ht="25.5">
      <c r="A18" s="12" t="s">
        <v>7</v>
      </c>
      <c r="B18" s="41">
        <f>Исходные!C7</f>
        <v>46</v>
      </c>
      <c r="C18" s="141">
        <v>18</v>
      </c>
      <c r="D18" s="7"/>
      <c r="E18" s="7" t="s">
        <v>1</v>
      </c>
      <c r="F18" s="31" t="s">
        <v>1</v>
      </c>
    </row>
    <row r="19" spans="1:6" ht="15.75">
      <c r="A19" s="13"/>
      <c r="B19" s="8"/>
      <c r="C19" s="69"/>
      <c r="D19" s="7"/>
      <c r="E19" s="7"/>
      <c r="F19" s="9"/>
    </row>
    <row r="20" spans="1:6" ht="25.5">
      <c r="A20" s="12" t="s">
        <v>33</v>
      </c>
      <c r="B20" s="11" t="s">
        <v>1</v>
      </c>
      <c r="C20" s="70" t="s">
        <v>1</v>
      </c>
      <c r="D20" s="5" t="s">
        <v>1</v>
      </c>
      <c r="E20" s="5" t="s">
        <v>1</v>
      </c>
      <c r="F20" s="76">
        <f>AVERAGE(F22:F24)</f>
        <v>2</v>
      </c>
    </row>
    <row r="21" spans="1:6" ht="15.75">
      <c r="A21" s="12" t="s">
        <v>8</v>
      </c>
      <c r="B21" s="8"/>
      <c r="C21" s="69"/>
      <c r="D21" s="7"/>
      <c r="E21" s="7"/>
      <c r="F21" s="9"/>
    </row>
    <row r="22" spans="1:6" ht="25.5">
      <c r="A22" s="12" t="s">
        <v>34</v>
      </c>
      <c r="B22" s="41">
        <v>1</v>
      </c>
      <c r="C22" s="141">
        <v>1</v>
      </c>
      <c r="D22" s="35">
        <f t="shared" ref="D22:D28" si="0">IF(C22=0, IF(B22=0,100, 120), B22/C22*100)</f>
        <v>100</v>
      </c>
      <c r="E22" s="35" t="s">
        <v>23</v>
      </c>
      <c r="F22" s="85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13" t="s">
        <v>35</v>
      </c>
      <c r="B23" s="41">
        <v>1</v>
      </c>
      <c r="C23" s="141">
        <v>1</v>
      </c>
      <c r="D23" s="35">
        <f t="shared" si="0"/>
        <v>100</v>
      </c>
      <c r="E23" s="35" t="s">
        <v>23</v>
      </c>
      <c r="F23" s="85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13" t="s">
        <v>36</v>
      </c>
      <c r="B24" s="143">
        <v>1</v>
      </c>
      <c r="C24" s="142">
        <v>1</v>
      </c>
      <c r="D24" s="35">
        <f t="shared" si="0"/>
        <v>100</v>
      </c>
      <c r="E24" s="35" t="s">
        <v>23</v>
      </c>
      <c r="F24" s="85">
        <f>IF(OR(AND(D24&lt;80,E24="прямая"),AND(D24&gt;120,E24="обратная")),3,IF(OR(AND(D24&gt;120,E24="прямая"),AND(D24&lt;80,E24="обратная")),1,2))</f>
        <v>2</v>
      </c>
    </row>
    <row r="25" spans="1:6" ht="15.75">
      <c r="A25" s="12"/>
      <c r="B25" s="99"/>
      <c r="C25" s="98"/>
      <c r="D25" s="35"/>
      <c r="E25" s="35"/>
      <c r="F25" s="85"/>
    </row>
    <row r="26" spans="1:6" ht="38.25">
      <c r="A26" s="12" t="s">
        <v>37</v>
      </c>
      <c r="B26" s="41">
        <v>1</v>
      </c>
      <c r="C26" s="141">
        <v>1</v>
      </c>
      <c r="D26" s="35">
        <f t="shared" si="0"/>
        <v>100</v>
      </c>
      <c r="E26" s="35" t="s">
        <v>23</v>
      </c>
      <c r="F26" s="85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12"/>
      <c r="B27" s="99"/>
      <c r="C27" s="98"/>
      <c r="D27" s="35"/>
      <c r="E27" s="35"/>
      <c r="F27" s="85"/>
    </row>
    <row r="28" spans="1:6" ht="38.25">
      <c r="A28" s="12" t="s">
        <v>38</v>
      </c>
      <c r="B28" s="41">
        <v>1</v>
      </c>
      <c r="C28" s="141">
        <v>1</v>
      </c>
      <c r="D28" s="35">
        <f t="shared" si="0"/>
        <v>100</v>
      </c>
      <c r="E28" s="35" t="s">
        <v>23</v>
      </c>
      <c r="F28" s="85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12"/>
      <c r="B29" s="100"/>
      <c r="C29" s="101"/>
      <c r="D29" s="35"/>
      <c r="E29" s="35"/>
      <c r="F29" s="85"/>
    </row>
    <row r="30" spans="1:6" ht="25.5">
      <c r="A30" s="12" t="s">
        <v>9</v>
      </c>
      <c r="B30" s="99" t="s">
        <v>1</v>
      </c>
      <c r="C30" s="98" t="s">
        <v>1</v>
      </c>
      <c r="D30" s="35" t="s">
        <v>1</v>
      </c>
      <c r="E30" s="35" t="s">
        <v>1</v>
      </c>
      <c r="F30" s="85">
        <f>F32/1</f>
        <v>1</v>
      </c>
    </row>
    <row r="31" spans="1:6" ht="15.75">
      <c r="A31" s="12" t="s">
        <v>39</v>
      </c>
      <c r="B31" s="100"/>
      <c r="C31" s="101"/>
      <c r="D31" s="35"/>
      <c r="E31" s="35"/>
      <c r="F31" s="102"/>
    </row>
    <row r="32" spans="1:6" ht="38.25">
      <c r="A32" s="13" t="s">
        <v>10</v>
      </c>
      <c r="B32" s="103">
        <f>100*Исходные!C8/Исходные!C9</f>
        <v>0.19131525216636389</v>
      </c>
      <c r="C32" s="144">
        <v>3.55</v>
      </c>
      <c r="D32" s="35">
        <f>IF(C32=0, IF(B32=0,100, 120), B32/C32*100)</f>
        <v>5.3891620328553209</v>
      </c>
      <c r="E32" s="35" t="s">
        <v>24</v>
      </c>
      <c r="F32" s="85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12" t="s">
        <v>40</v>
      </c>
      <c r="B33" s="99" t="s">
        <v>1</v>
      </c>
      <c r="C33" s="98" t="s">
        <v>1</v>
      </c>
      <c r="D33" s="104" t="s">
        <v>1</v>
      </c>
      <c r="E33" s="104" t="s">
        <v>1</v>
      </c>
      <c r="F33" s="85">
        <f>AVERAGE(F35:F36)</f>
        <v>2</v>
      </c>
    </row>
    <row r="34" spans="1:6" ht="15.75">
      <c r="A34" s="12" t="s">
        <v>5</v>
      </c>
      <c r="B34" s="99"/>
      <c r="C34" s="98"/>
      <c r="D34" s="35"/>
      <c r="E34" s="35"/>
      <c r="F34" s="85"/>
    </row>
    <row r="35" spans="1:6" ht="38.25">
      <c r="A35" s="13" t="s">
        <v>41</v>
      </c>
      <c r="B35" s="103">
        <f>100*Исходные!C13/Исходные!C14</f>
        <v>16.663719232809761</v>
      </c>
      <c r="C35" s="145">
        <v>7.22</v>
      </c>
      <c r="D35" s="35">
        <f>IF(C35=0, IF(B35=0,100, 120), B35/C35*100)</f>
        <v>230.79943535747591</v>
      </c>
      <c r="E35" s="35" t="s">
        <v>24</v>
      </c>
      <c r="F35" s="85">
        <f>IF(OR(AND(D35&lt;80,E35="прямая"),AND(D35&gt;120,E35="обратная")),3,IF(OR(AND(D35&gt;120,E35="прямая"),AND(D35&lt;80,E35="обратная")),1,2))</f>
        <v>3</v>
      </c>
    </row>
    <row r="36" spans="1:6" ht="51">
      <c r="A36" s="13" t="s">
        <v>42</v>
      </c>
      <c r="B36" s="41">
        <f>100*Исходные!C15/Исходные!C16</f>
        <v>0</v>
      </c>
      <c r="C36" s="146">
        <v>4.8999999999999998E-3</v>
      </c>
      <c r="D36" s="35">
        <f>IF(C36=0, IF(B36=0,100, 120), B36/C36*100)</f>
        <v>0</v>
      </c>
      <c r="E36" s="35" t="s">
        <v>24</v>
      </c>
      <c r="F36" s="85">
        <f>IF(OR(AND(D36&lt;80,E36="прямая"),AND(D36&gt;120,E36="обратная")),3,IF(OR(AND(D36&gt;120,E36="прямая"),AND(D36&lt;80,E36="обратная")),1,2))</f>
        <v>1</v>
      </c>
    </row>
    <row r="37" spans="1:6" ht="16.5" thickBot="1">
      <c r="A37" s="14" t="s">
        <v>43</v>
      </c>
      <c r="B37" s="105" t="s">
        <v>1</v>
      </c>
      <c r="C37" s="106" t="s">
        <v>1</v>
      </c>
      <c r="D37" s="107" t="s">
        <v>1</v>
      </c>
      <c r="E37" s="107" t="s">
        <v>1</v>
      </c>
      <c r="F37" s="108">
        <f>AVERAGE(F10,F20,F26,F28,F30,F33)</f>
        <v>1.75</v>
      </c>
    </row>
  </sheetData>
  <sheetProtection selectLockedCells="1" selectUnlockedCells="1"/>
  <protectedRanges>
    <protectedRange sqref="B12:B36" name="Диапазон1"/>
    <protectedRange sqref="C12 C14:C36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view="pageBreakPreview" topLeftCell="A25" zoomScaleNormal="80" zoomScaleSheetLayoutView="100" workbookViewId="0">
      <selection activeCell="A34" sqref="A34"/>
    </sheetView>
  </sheetViews>
  <sheetFormatPr defaultRowHeight="12.75"/>
  <cols>
    <col min="1" max="1" width="76.5703125" style="10" customWidth="1"/>
    <col min="2" max="2" width="11" style="10" customWidth="1"/>
    <col min="3" max="3" width="8.28515625" style="10" customWidth="1"/>
    <col min="4" max="4" width="8.28515625" customWidth="1"/>
    <col min="5" max="5" width="9.42578125" customWidth="1"/>
    <col min="6" max="6" width="8.28515625" customWidth="1"/>
  </cols>
  <sheetData>
    <row r="2" spans="1:7" s="1" customFormat="1" ht="14.25">
      <c r="A2" s="2"/>
      <c r="B2" s="3"/>
    </row>
    <row r="3" spans="1:7" s="1" customFormat="1">
      <c r="A3" s="2"/>
      <c r="D3" s="67"/>
      <c r="E3" s="67"/>
      <c r="F3" s="67"/>
      <c r="G3" s="32"/>
    </row>
    <row r="4" spans="1:7" s="1" customFormat="1">
      <c r="A4" s="2"/>
      <c r="D4" s="67"/>
      <c r="E4" s="67"/>
      <c r="F4" s="67"/>
    </row>
    <row r="5" spans="1:7" s="1" customFormat="1" ht="13.5" thickBot="1">
      <c r="A5" s="2"/>
    </row>
    <row r="6" spans="1:7">
      <c r="A6" s="161" t="s">
        <v>11</v>
      </c>
      <c r="B6" s="162" t="str">
        <f>ИНФ!B6</f>
        <v>Брянскэнерго</v>
      </c>
      <c r="C6" s="163"/>
      <c r="D6" s="163"/>
      <c r="E6" s="163"/>
      <c r="F6" s="164"/>
    </row>
    <row r="7" spans="1:7">
      <c r="A7" s="161"/>
      <c r="B7" s="165" t="s">
        <v>4</v>
      </c>
      <c r="C7" s="166"/>
      <c r="D7" s="167" t="s">
        <v>25</v>
      </c>
      <c r="E7" s="167" t="s">
        <v>26</v>
      </c>
      <c r="F7" s="160" t="s">
        <v>2</v>
      </c>
    </row>
    <row r="8" spans="1:7">
      <c r="A8" s="161"/>
      <c r="B8" s="130" t="s">
        <v>44</v>
      </c>
      <c r="C8" s="131" t="s">
        <v>45</v>
      </c>
      <c r="D8" s="168"/>
      <c r="E8" s="167"/>
      <c r="F8" s="160"/>
    </row>
    <row r="9" spans="1:7" ht="16.5" thickBot="1">
      <c r="A9" s="135">
        <v>1</v>
      </c>
      <c r="B9" s="136">
        <v>2</v>
      </c>
      <c r="C9" s="137">
        <v>3</v>
      </c>
      <c r="D9" s="138">
        <v>4</v>
      </c>
      <c r="E9" s="138">
        <v>5</v>
      </c>
      <c r="F9" s="139">
        <v>6</v>
      </c>
    </row>
    <row r="10" spans="1:7" ht="51">
      <c r="A10" s="13" t="s">
        <v>46</v>
      </c>
      <c r="B10" s="22" t="s">
        <v>1</v>
      </c>
      <c r="C10" s="23" t="s">
        <v>1</v>
      </c>
      <c r="D10" s="24" t="s">
        <v>1</v>
      </c>
      <c r="E10" s="23" t="s">
        <v>1</v>
      </c>
      <c r="F10" s="4">
        <f>AVERAGE(F12:F13)</f>
        <v>1</v>
      </c>
    </row>
    <row r="11" spans="1:7">
      <c r="A11" s="13" t="s">
        <v>5</v>
      </c>
      <c r="B11" s="25"/>
      <c r="C11" s="20"/>
      <c r="D11" s="21"/>
      <c r="E11" s="20"/>
      <c r="F11" s="15"/>
    </row>
    <row r="12" spans="1:7" ht="31.5">
      <c r="A12" s="13" t="s">
        <v>47</v>
      </c>
      <c r="B12" s="68">
        <f>Исходные!C17/Исходные!C18</f>
        <v>17.314199395770391</v>
      </c>
      <c r="C12" s="141">
        <v>38</v>
      </c>
      <c r="D12" s="35">
        <f>IF(C12=0, IF(B12=0,100, 120), B12/C12*100)</f>
        <v>45.563682620448397</v>
      </c>
      <c r="E12" s="34" t="s">
        <v>24</v>
      </c>
      <c r="F12" s="85">
        <f>IF(OR(AND(D12&lt;80,E12="прямая"),AND(D12&gt;120,E12="обратная")),3,IF(OR(AND(D12&gt;120,E12="прямая"),AND(D12&lt;80,E12="обратная")),1,2))</f>
        <v>1</v>
      </c>
    </row>
    <row r="13" spans="1:7" s="36" customFormat="1" ht="38.25">
      <c r="A13" s="33" t="s">
        <v>48</v>
      </c>
      <c r="B13" s="68">
        <f>Исходные!C19/Исходные!C20</f>
        <v>159.49005847953217</v>
      </c>
      <c r="C13" s="141">
        <v>411</v>
      </c>
      <c r="D13" s="35">
        <f>IF(C13=0, IF(B13=0,100, 120), B13/C13*100)</f>
        <v>38.80536702665016</v>
      </c>
      <c r="E13" s="34" t="s">
        <v>24</v>
      </c>
      <c r="F13" s="85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/>
      <c r="B14" s="59"/>
      <c r="C14" s="34"/>
      <c r="D14" s="34"/>
      <c r="E14" s="34"/>
      <c r="F14" s="89"/>
    </row>
    <row r="15" spans="1:7" ht="25.5">
      <c r="A15" s="13" t="s">
        <v>49</v>
      </c>
      <c r="B15" s="59" t="s">
        <v>1</v>
      </c>
      <c r="C15" s="34" t="s">
        <v>1</v>
      </c>
      <c r="D15" s="34" t="s">
        <v>1</v>
      </c>
      <c r="E15" s="34" t="s">
        <v>1</v>
      </c>
      <c r="F15" s="85">
        <f>IF(B17="-", AVERAGE(F18,F21), AVERAGE(F17,F18,F21))</f>
        <v>0.625</v>
      </c>
    </row>
    <row r="16" spans="1:7">
      <c r="A16" s="13" t="s">
        <v>5</v>
      </c>
      <c r="B16" s="79"/>
      <c r="C16" s="80"/>
      <c r="D16" s="80"/>
      <c r="E16" s="80"/>
      <c r="F16" s="83"/>
    </row>
    <row r="17" spans="1:6" ht="38.25">
      <c r="A17" s="13" t="s">
        <v>50</v>
      </c>
      <c r="B17" s="27" t="str">
        <f>IF(Исходные!C21=0,"-", Исходные!C21/Исходные!C22)</f>
        <v>-</v>
      </c>
      <c r="C17" s="147">
        <v>30</v>
      </c>
      <c r="D17" s="35" t="e">
        <f>IF(C17=0, IF(B17=0,100, 120), B17/C17*100)</f>
        <v>#VALUE!</v>
      </c>
      <c r="E17" s="34" t="s">
        <v>24</v>
      </c>
      <c r="F17" s="85" t="e">
        <f>IF(OR(AND(D17&lt;80,E17="прямая"),AND(D17&gt;120,E17="обратная")),0.75,IF(OR(AND(D17&gt;120,E17="прямая"),AND(D17&lt;80,E17="обратная")),0.25,0.5))</f>
        <v>#VALUE!</v>
      </c>
    </row>
    <row r="18" spans="1:6" ht="31.5">
      <c r="A18" s="13" t="s">
        <v>51</v>
      </c>
      <c r="B18" s="59" t="s">
        <v>1</v>
      </c>
      <c r="C18" s="34" t="s">
        <v>1</v>
      </c>
      <c r="D18" s="35" t="s">
        <v>1</v>
      </c>
      <c r="E18" s="34" t="s">
        <v>24</v>
      </c>
      <c r="F18" s="85">
        <f>AVERAGE(F19:F20)</f>
        <v>0.75</v>
      </c>
    </row>
    <row r="19" spans="1:6" ht="31.5">
      <c r="A19" s="13" t="s">
        <v>52</v>
      </c>
      <c r="B19" s="68">
        <f>Исходные!C23/Исходные!C24</f>
        <v>29.959557753855105</v>
      </c>
      <c r="C19" s="147">
        <v>24</v>
      </c>
      <c r="D19" s="35">
        <f>IF(C19=0, IF(B19=0,100, 120), B19/C19*100)</f>
        <v>124.83149064106294</v>
      </c>
      <c r="E19" s="34" t="s">
        <v>24</v>
      </c>
      <c r="F19" s="85">
        <f>IF(OR(AND(D19&lt;80,E19="прямая"),AND(D19&gt;120,E19="обратная")),0.75,IF(OR(AND(D19&gt;120,E19="прямая"),AND(D19&lt;80,E19="обратная")),0.25,0.5))</f>
        <v>0.75</v>
      </c>
    </row>
    <row r="20" spans="1:6" ht="31.5">
      <c r="A20" s="13" t="s">
        <v>12</v>
      </c>
      <c r="B20" s="68">
        <f>Исходные!C25/Исходные!C26</f>
        <v>60.960616438356162</v>
      </c>
      <c r="C20" s="147">
        <v>42</v>
      </c>
      <c r="D20" s="35">
        <f>IF(C20=0, IF(B20=0,100, 120), B20/C20*100)</f>
        <v>145.14432485322897</v>
      </c>
      <c r="E20" s="34" t="s">
        <v>24</v>
      </c>
      <c r="F20" s="85">
        <f>IF(OR(AND(D20&lt;80,E20="прямая"),AND(D20&gt;120,E20="обратная")),0.75,IF(OR(AND(D20&gt;120,E20="прямая"),AND(D20&lt;80,E20="обратная")),0.25,0.5))</f>
        <v>0.75</v>
      </c>
    </row>
    <row r="21" spans="1:6" ht="51">
      <c r="A21" s="13" t="s">
        <v>53</v>
      </c>
      <c r="B21" s="84">
        <f>Исходные!C27/(Исходные!C28+Исходные!C29)*100</f>
        <v>0</v>
      </c>
      <c r="C21" s="141">
        <v>0</v>
      </c>
      <c r="D21" s="35">
        <f>IF(C21=0, IF(B21=0,100, 120), B21/C21*100)</f>
        <v>100</v>
      </c>
      <c r="E21" s="34" t="s">
        <v>24</v>
      </c>
      <c r="F21" s="85">
        <f>IF(OR(AND(D21&lt;80,E21="прямая"),AND(D21&gt;120,E21="обратная")),0.75,IF(OR(AND(D21&gt;120,E21="прямая"),AND(D21&lt;80,E21="обратная")),0.25,0.5))</f>
        <v>0.5</v>
      </c>
    </row>
    <row r="22" spans="1:6">
      <c r="A22" s="13"/>
      <c r="B22" s="79"/>
      <c r="C22" s="80"/>
      <c r="D22" s="80"/>
      <c r="E22" s="80"/>
      <c r="F22" s="83"/>
    </row>
    <row r="23" spans="1:6" ht="25.5">
      <c r="A23" s="13" t="s">
        <v>13</v>
      </c>
      <c r="B23" s="59" t="s">
        <v>1</v>
      </c>
      <c r="C23" s="34" t="s">
        <v>1</v>
      </c>
      <c r="D23" s="34" t="s">
        <v>1</v>
      </c>
      <c r="E23" s="34" t="s">
        <v>1</v>
      </c>
      <c r="F23" s="85">
        <f>F25</f>
        <v>0.1</v>
      </c>
    </row>
    <row r="24" spans="1:6">
      <c r="A24" s="13" t="s">
        <v>39</v>
      </c>
      <c r="B24" s="79"/>
      <c r="C24" s="80"/>
      <c r="D24" s="80"/>
      <c r="E24" s="80"/>
      <c r="F24" s="83"/>
    </row>
    <row r="25" spans="1:6" ht="76.5">
      <c r="A25" s="13" t="s">
        <v>54</v>
      </c>
      <c r="B25" s="87">
        <f>100*Исходные!C30/Исходные!C31</f>
        <v>0</v>
      </c>
      <c r="C25" s="147">
        <v>0.19900000000000001</v>
      </c>
      <c r="D25" s="35">
        <f>IF(C25=0, IF(B25=0,100, 120), B25/C25*100)</f>
        <v>0</v>
      </c>
      <c r="E25" s="34" t="s">
        <v>24</v>
      </c>
      <c r="F25" s="85">
        <f>IF(OR(AND(D25&lt;80,E25="прямая"),AND(D25&gt;120,E25="обратная")),0.3,IF(OR(AND(D25&gt;120,E25="прямая"),AND(D25&lt;80,E25="обратная")),0.1,0.2))</f>
        <v>0.1</v>
      </c>
    </row>
    <row r="26" spans="1:6" ht="25.5">
      <c r="A26" s="13" t="s">
        <v>55</v>
      </c>
      <c r="B26" s="59" t="s">
        <v>1</v>
      </c>
      <c r="C26" s="34" t="s">
        <v>1</v>
      </c>
      <c r="D26" s="34" t="s">
        <v>1</v>
      </c>
      <c r="E26" s="34" t="s">
        <v>1</v>
      </c>
      <c r="F26" s="85">
        <f>F27</f>
        <v>0.2</v>
      </c>
    </row>
    <row r="27" spans="1:6" ht="51">
      <c r="A27" s="13" t="s">
        <v>14</v>
      </c>
      <c r="B27" s="27">
        <f>100*Исходные!C32/Исходные!C33</f>
        <v>0</v>
      </c>
      <c r="C27" s="141">
        <v>0</v>
      </c>
      <c r="D27" s="35">
        <f>IF(C27=0, IF(B27=0,100, 120), B27/C27*100)</f>
        <v>100</v>
      </c>
      <c r="E27" s="34" t="s">
        <v>24</v>
      </c>
      <c r="F27" s="85">
        <f>IF(OR(AND(D27&lt;80,E27="прямая"),AND(D27&gt;120,E27="обратная")),0.3,IF(OR(AND(D27&gt;120,E27="прямая"),AND(D27&lt;80,E27="обратная")),0.1,0.2))</f>
        <v>0.2</v>
      </c>
    </row>
    <row r="28" spans="1:6" ht="15.75">
      <c r="A28" s="13"/>
      <c r="B28" s="27"/>
      <c r="C28" s="34"/>
      <c r="D28" s="77"/>
      <c r="E28" s="34"/>
      <c r="F28" s="89"/>
    </row>
    <row r="29" spans="1:6" ht="25.5">
      <c r="A29" s="13" t="s">
        <v>15</v>
      </c>
      <c r="B29" s="59" t="s">
        <v>1</v>
      </c>
      <c r="C29" s="34" t="s">
        <v>1</v>
      </c>
      <c r="D29" s="34" t="s">
        <v>1</v>
      </c>
      <c r="E29" s="34" t="s">
        <v>1</v>
      </c>
      <c r="F29" s="85">
        <f>F30</f>
        <v>0.25</v>
      </c>
    </row>
    <row r="30" spans="1:6" ht="31.5">
      <c r="A30" s="13" t="s">
        <v>16</v>
      </c>
      <c r="B30" s="87">
        <f>100*Исходные!C34/Исходные!C35</f>
        <v>0.27330750309480556</v>
      </c>
      <c r="C30" s="148">
        <v>0.68</v>
      </c>
      <c r="D30" s="35">
        <f>IF(C30=0, IF(B30=0,100, 120), B30/C30*100)</f>
        <v>40.192279866883169</v>
      </c>
      <c r="E30" s="34" t="s">
        <v>24</v>
      </c>
      <c r="F30" s="85">
        <f>IF(OR(AND(D30&lt;80,E30="прямая"),AND(D30&gt;120,E30="обратная")),0.75,IF(AND(D30&gt;80,D30&lt;120),0.5,0.25))</f>
        <v>0.25</v>
      </c>
    </row>
    <row r="31" spans="1:6" ht="15.75">
      <c r="A31" s="13"/>
      <c r="B31" s="27"/>
      <c r="C31" s="34"/>
      <c r="D31" s="77"/>
      <c r="E31" s="34"/>
      <c r="F31" s="89"/>
    </row>
    <row r="32" spans="1:6" ht="25.5">
      <c r="A32" s="13" t="s">
        <v>17</v>
      </c>
      <c r="B32" s="27" t="s">
        <v>1</v>
      </c>
      <c r="C32" s="34" t="s">
        <v>1</v>
      </c>
      <c r="D32" s="77" t="s">
        <v>1</v>
      </c>
      <c r="E32" s="34" t="s">
        <v>1</v>
      </c>
      <c r="F32" s="85">
        <f>AVERAGE(F34:F35)</f>
        <v>0.375</v>
      </c>
    </row>
    <row r="33" spans="1:6" ht="15.75">
      <c r="A33" s="13" t="s">
        <v>5</v>
      </c>
      <c r="B33" s="27"/>
      <c r="C33" s="34"/>
      <c r="D33" s="77"/>
      <c r="E33" s="34"/>
      <c r="F33" s="89"/>
    </row>
    <row r="34" spans="1:6" ht="38.25">
      <c r="A34" s="13" t="s">
        <v>56</v>
      </c>
      <c r="B34" s="149">
        <v>1</v>
      </c>
      <c r="C34" s="147">
        <v>1</v>
      </c>
      <c r="D34" s="35">
        <f>IF(C34=0, IF(B34=0,100, 120), B34/C34*100)</f>
        <v>100</v>
      </c>
      <c r="E34" s="34" t="s">
        <v>23</v>
      </c>
      <c r="F34" s="85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13" t="s">
        <v>57</v>
      </c>
      <c r="B35" s="27">
        <f>100*Исходные!C36/Исходные!C37</f>
        <v>0</v>
      </c>
      <c r="C35" s="141">
        <v>4.8999999999999998E-3</v>
      </c>
      <c r="D35" s="35">
        <f>IF(C35=0, IF(B35=0,100, 120), B35/C35*100)</f>
        <v>0</v>
      </c>
      <c r="E35" s="34" t="s">
        <v>24</v>
      </c>
      <c r="F35" s="85">
        <f>IF(OR(AND(D35&lt;80,E35="прямая"),AND(D35&gt;120,E35="обратная")),0.75,IF(OR(AND(D35&gt;120,E35="прямая"),AND(D35&lt;80,E35="обратная")),0.25,0.5))</f>
        <v>0.25</v>
      </c>
    </row>
    <row r="36" spans="1:6" ht="25.5">
      <c r="A36" s="13" t="s">
        <v>18</v>
      </c>
      <c r="B36" s="59" t="s">
        <v>1</v>
      </c>
      <c r="C36" s="34" t="s">
        <v>1</v>
      </c>
      <c r="D36" s="77" t="s">
        <v>1</v>
      </c>
      <c r="E36" s="34" t="s">
        <v>1</v>
      </c>
      <c r="F36" s="85">
        <f>F37</f>
        <v>0.1</v>
      </c>
    </row>
    <row r="37" spans="1:6" ht="38.25">
      <c r="A37" s="13" t="s">
        <v>58</v>
      </c>
      <c r="B37" s="27">
        <f>100*Исходные!C38/Исходные!C39</f>
        <v>0</v>
      </c>
      <c r="C37" s="147">
        <v>4.8999999999999998E-3</v>
      </c>
      <c r="D37" s="35">
        <f>IF(C37=0, IF(B37=0,100, 120), B37/C37*100)</f>
        <v>0</v>
      </c>
      <c r="E37" s="34" t="s">
        <v>24</v>
      </c>
      <c r="F37" s="85">
        <f>IF(OR(AND(D37&lt;80,E37="прямая"),AND(D37&gt;120,E37="обратная")),0.3,IF(OR(AND(D37&gt;120,E37="прямая"),AND(D37&lt;80,E37="обратная")),0.1,0.2))</f>
        <v>0.1</v>
      </c>
    </row>
    <row r="38" spans="1:6" ht="16.5" thickBot="1">
      <c r="A38" s="13" t="s">
        <v>59</v>
      </c>
      <c r="B38" s="94" t="s">
        <v>1</v>
      </c>
      <c r="C38" s="95" t="s">
        <v>1</v>
      </c>
      <c r="D38" s="95" t="s">
        <v>1</v>
      </c>
      <c r="E38" s="95" t="s">
        <v>1</v>
      </c>
      <c r="F38" s="97">
        <f>ROUND(AVERAGE(F10,F15,F23,F26,F29,F32,F36),3)</f>
        <v>0.379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zoomScaleNormal="70" zoomScaleSheetLayoutView="100" workbookViewId="0">
      <selection activeCell="B10" sqref="B10"/>
    </sheetView>
  </sheetViews>
  <sheetFormatPr defaultRowHeight="12.75"/>
  <cols>
    <col min="1" max="1" width="78.140625" style="10" customWidth="1"/>
    <col min="2" max="2" width="10.140625" style="10" customWidth="1"/>
    <col min="3" max="3" width="8.28515625" style="10" customWidth="1"/>
    <col min="4" max="4" width="8.28515625" customWidth="1"/>
    <col min="5" max="5" width="10" customWidth="1"/>
    <col min="6" max="6" width="11.7109375" customWidth="1"/>
  </cols>
  <sheetData>
    <row r="2" spans="1:7" s="1" customFormat="1" ht="14.25">
      <c r="A2" s="29"/>
    </row>
    <row r="3" spans="1:7" s="1" customFormat="1">
      <c r="A3" s="2"/>
      <c r="D3" s="66"/>
      <c r="E3" s="66"/>
      <c r="F3" s="66"/>
      <c r="G3" s="32"/>
    </row>
    <row r="4" spans="1:7" s="1" customFormat="1">
      <c r="A4" s="2"/>
    </row>
    <row r="5" spans="1:7" s="1" customFormat="1" ht="13.5" thickBot="1">
      <c r="A5" s="2"/>
    </row>
    <row r="6" spans="1:7">
      <c r="A6" s="161" t="s">
        <v>11</v>
      </c>
      <c r="B6" s="162" t="str">
        <f>ИНФ!B6</f>
        <v>Брянскэнерго</v>
      </c>
      <c r="C6" s="163"/>
      <c r="D6" s="163"/>
      <c r="E6" s="163"/>
      <c r="F6" s="164"/>
    </row>
    <row r="7" spans="1:7">
      <c r="A7" s="161"/>
      <c r="B7" s="165" t="s">
        <v>4</v>
      </c>
      <c r="C7" s="166"/>
      <c r="D7" s="167" t="s">
        <v>25</v>
      </c>
      <c r="E7" s="167" t="s">
        <v>26</v>
      </c>
      <c r="F7" s="160" t="s">
        <v>2</v>
      </c>
    </row>
    <row r="8" spans="1:7">
      <c r="A8" s="161"/>
      <c r="B8" s="130" t="s">
        <v>44</v>
      </c>
      <c r="C8" s="131" t="s">
        <v>45</v>
      </c>
      <c r="D8" s="168"/>
      <c r="E8" s="167"/>
      <c r="F8" s="160"/>
    </row>
    <row r="9" spans="1:7" ht="16.5" thickBot="1">
      <c r="A9" s="132">
        <v>1</v>
      </c>
      <c r="B9" s="136">
        <v>2</v>
      </c>
      <c r="C9" s="137">
        <v>3</v>
      </c>
      <c r="D9" s="138">
        <v>4</v>
      </c>
      <c r="E9" s="138">
        <v>5</v>
      </c>
      <c r="F9" s="139">
        <v>6</v>
      </c>
    </row>
    <row r="10" spans="1:7" ht="38.25">
      <c r="A10" s="14" t="s">
        <v>60</v>
      </c>
      <c r="B10" s="42">
        <v>1</v>
      </c>
      <c r="C10" s="23">
        <v>1</v>
      </c>
      <c r="D10" s="28">
        <f>IF(C10=0, IF(B10=0,100, 120), B10/C10*100)</f>
        <v>100</v>
      </c>
      <c r="E10" s="28" t="s">
        <v>23</v>
      </c>
      <c r="F10" s="6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4"/>
      <c r="B11" s="26"/>
      <c r="C11" s="19"/>
      <c r="D11" s="17"/>
      <c r="E11" s="16"/>
      <c r="F11" s="18"/>
    </row>
    <row r="12" spans="1:7" ht="15.75">
      <c r="A12" s="14" t="s">
        <v>19</v>
      </c>
      <c r="B12" s="59" t="s">
        <v>1</v>
      </c>
      <c r="C12" s="34" t="s">
        <v>1</v>
      </c>
      <c r="D12" s="77" t="s">
        <v>1</v>
      </c>
      <c r="E12" s="77" t="s">
        <v>1</v>
      </c>
      <c r="F12" s="78">
        <f>AVERAGE(F14:F19)</f>
        <v>1.1666666666666667</v>
      </c>
    </row>
    <row r="13" spans="1:7">
      <c r="A13" s="14" t="s">
        <v>5</v>
      </c>
      <c r="B13" s="79"/>
      <c r="C13" s="80"/>
      <c r="D13" s="81"/>
      <c r="E13" s="82"/>
      <c r="F13" s="83"/>
    </row>
    <row r="14" spans="1:7" ht="38.25">
      <c r="A14" s="14" t="s">
        <v>61</v>
      </c>
      <c r="B14" s="84">
        <f>100*Исходные!C40/Исходные!C41</f>
        <v>1.2427452934840275</v>
      </c>
      <c r="C14" s="148">
        <v>21.77</v>
      </c>
      <c r="D14" s="35">
        <f t="shared" ref="D14:D19" si="0">IF(C14=0, IF(B14=0,100, 120), B14/C14*100)</f>
        <v>5.7085222484337503</v>
      </c>
      <c r="E14" s="35" t="s">
        <v>24</v>
      </c>
      <c r="F14" s="85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4" t="s">
        <v>62</v>
      </c>
      <c r="B15" s="86">
        <f>100*Исходные!C42/Исходные!C43</f>
        <v>92.88486416558861</v>
      </c>
      <c r="C15" s="148">
        <v>100</v>
      </c>
      <c r="D15" s="35">
        <f t="shared" si="0"/>
        <v>92.88486416558861</v>
      </c>
      <c r="E15" s="35" t="s">
        <v>23</v>
      </c>
      <c r="F15" s="85">
        <f t="shared" si="1"/>
        <v>2</v>
      </c>
    </row>
    <row r="16" spans="1:7" ht="51">
      <c r="A16" s="14" t="s">
        <v>63</v>
      </c>
      <c r="B16" s="62">
        <f>100*Исходные!C44/Исходные!C45</f>
        <v>0.1392757660167131</v>
      </c>
      <c r="C16" s="148">
        <v>3.54</v>
      </c>
      <c r="D16" s="35">
        <f t="shared" si="0"/>
        <v>3.9343436727885055</v>
      </c>
      <c r="E16" s="35" t="s">
        <v>24</v>
      </c>
      <c r="F16" s="85">
        <f t="shared" si="1"/>
        <v>1</v>
      </c>
    </row>
    <row r="17" spans="1:6" ht="51">
      <c r="A17" s="14" t="s">
        <v>64</v>
      </c>
      <c r="B17" s="27">
        <f>100*Исходные!C46/Исходные!C47</f>
        <v>0</v>
      </c>
      <c r="C17" s="150">
        <v>1.0699999999999999E-2</v>
      </c>
      <c r="D17" s="35">
        <f t="shared" si="0"/>
        <v>0</v>
      </c>
      <c r="E17" s="35" t="s">
        <v>24</v>
      </c>
      <c r="F17" s="85">
        <f t="shared" si="1"/>
        <v>1</v>
      </c>
    </row>
    <row r="18" spans="1:6" s="152" customFormat="1" ht="38.25">
      <c r="A18" s="154" t="s">
        <v>65</v>
      </c>
      <c r="B18" s="87">
        <f>100*Исходные!C48/Исходные!C49</f>
        <v>2.0787447147151976</v>
      </c>
      <c r="C18" s="148">
        <v>1.68</v>
      </c>
      <c r="D18" s="35">
        <f t="shared" si="0"/>
        <v>123.7348044473332</v>
      </c>
      <c r="E18" s="35" t="s">
        <v>23</v>
      </c>
      <c r="F18" s="85">
        <f t="shared" si="1"/>
        <v>1</v>
      </c>
    </row>
    <row r="19" spans="1:6" s="152" customFormat="1" ht="25.5">
      <c r="A19" s="154" t="s">
        <v>66</v>
      </c>
      <c r="B19" s="27">
        <f>Исходные!C50</f>
        <v>20</v>
      </c>
      <c r="C19" s="141">
        <v>9</v>
      </c>
      <c r="D19" s="35">
        <f t="shared" si="0"/>
        <v>222.22222222222223</v>
      </c>
      <c r="E19" s="35" t="s">
        <v>23</v>
      </c>
      <c r="F19" s="85">
        <f t="shared" si="1"/>
        <v>1</v>
      </c>
    </row>
    <row r="20" spans="1:6" ht="15.75">
      <c r="A20" s="14"/>
      <c r="B20" s="59"/>
      <c r="C20" s="34"/>
      <c r="D20" s="81"/>
      <c r="E20" s="88"/>
      <c r="F20" s="89"/>
    </row>
    <row r="21" spans="1:6" ht="15.75">
      <c r="A21" s="14" t="s">
        <v>67</v>
      </c>
      <c r="B21" s="59" t="s">
        <v>1</v>
      </c>
      <c r="C21" s="34" t="s">
        <v>1</v>
      </c>
      <c r="D21" s="34" t="s">
        <v>1</v>
      </c>
      <c r="E21" s="34" t="s">
        <v>1</v>
      </c>
      <c r="F21" s="90">
        <f>AVERAGE(F23:F24)</f>
        <v>1.8333333333333335</v>
      </c>
    </row>
    <row r="22" spans="1:6" ht="15.75">
      <c r="A22" s="14" t="s">
        <v>5</v>
      </c>
      <c r="B22" s="59"/>
      <c r="C22" s="34"/>
      <c r="D22" s="81"/>
      <c r="E22" s="88"/>
      <c r="F22" s="89"/>
    </row>
    <row r="23" spans="1:6" ht="25.5">
      <c r="A23" s="12" t="s">
        <v>68</v>
      </c>
      <c r="B23" s="86">
        <f>(Исходные!C51+Исходные!C52)/(Исходные!C53+Исходные!C54)</f>
        <v>21.167314889557495</v>
      </c>
      <c r="C23" s="141">
        <v>18</v>
      </c>
      <c r="D23" s="35">
        <f>IF(C23=0, IF(B23=0,100, 120), B23/C23*100)</f>
        <v>117.59619383087498</v>
      </c>
      <c r="E23" s="35" t="s">
        <v>24</v>
      </c>
      <c r="F23" s="85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14" t="s">
        <v>69</v>
      </c>
      <c r="B24" s="59" t="s">
        <v>1</v>
      </c>
      <c r="C24" s="34" t="s">
        <v>1</v>
      </c>
      <c r="D24" s="35" t="s">
        <v>1</v>
      </c>
      <c r="E24" s="35" t="s">
        <v>23</v>
      </c>
      <c r="F24" s="90">
        <f>AVERAGE(F25:F27)</f>
        <v>1.6666666666666667</v>
      </c>
    </row>
    <row r="25" spans="1:6" s="152" customFormat="1" ht="15.75">
      <c r="A25" s="154" t="s">
        <v>20</v>
      </c>
      <c r="B25" s="87">
        <f>Исходные!C55*1000/Исходные!C58</f>
        <v>4.4033997873873325</v>
      </c>
      <c r="C25" s="151">
        <v>1.64</v>
      </c>
      <c r="D25" s="35">
        <f>IF(C25=0, IF(B25=0,100, 120), B25/C25*100)</f>
        <v>268.49998703581298</v>
      </c>
      <c r="E25" s="35" t="s">
        <v>23</v>
      </c>
      <c r="F25" s="85">
        <f>IF(OR(AND(D25&lt;80,E25="прямая"),AND(D25&gt;120,E25="обратная")),3,IF(OR(AND(D25&gt;120,E25="прямая"),AND(D25&lt;80,E25="обратная")),1,2))</f>
        <v>1</v>
      </c>
    </row>
    <row r="26" spans="1:6" s="152" customFormat="1" ht="15.75">
      <c r="A26" s="154" t="s">
        <v>21</v>
      </c>
      <c r="B26" s="91">
        <f>Исходные!C56*1000/Исходные!C58</f>
        <v>0.48870684139195802</v>
      </c>
      <c r="C26" s="151">
        <v>0.17499999999999999</v>
      </c>
      <c r="D26" s="35">
        <f>IF(C26=0, IF(B26=0,100, 120), B26/C26*100)</f>
        <v>279.26105222397604</v>
      </c>
      <c r="E26" s="35" t="s">
        <v>23</v>
      </c>
      <c r="F26" s="85">
        <f>IF(OR(AND(D26&lt;80,E26="прямая"),AND(D26&gt;120,E26="обратная")),3,IF(OR(AND(D26&gt;120,E26="прямая"),AND(D26&lt;80,E26="обратная")),1,2))</f>
        <v>1</v>
      </c>
    </row>
    <row r="27" spans="1:6" ht="15.75">
      <c r="A27" s="14" t="s">
        <v>70</v>
      </c>
      <c r="B27" s="27">
        <f>Исходные!C57*1000/Исходные!C58</f>
        <v>0</v>
      </c>
      <c r="C27" s="147">
        <v>0.17499999999999999</v>
      </c>
      <c r="D27" s="35">
        <f>IF(C27=0, IF(B27=0,100, 120), B27/C27*100)</f>
        <v>0</v>
      </c>
      <c r="E27" s="35" t="s">
        <v>23</v>
      </c>
      <c r="F27" s="85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4"/>
      <c r="B28" s="59"/>
      <c r="C28" s="34"/>
      <c r="D28" s="81"/>
      <c r="E28" s="88"/>
      <c r="F28" s="89"/>
    </row>
    <row r="29" spans="1:6" ht="15.75">
      <c r="A29" s="14" t="s">
        <v>22</v>
      </c>
      <c r="B29" s="59" t="s">
        <v>1</v>
      </c>
      <c r="C29" s="34" t="s">
        <v>1</v>
      </c>
      <c r="D29" s="34" t="s">
        <v>1</v>
      </c>
      <c r="E29" s="34" t="s">
        <v>1</v>
      </c>
      <c r="F29" s="85">
        <f>F30</f>
        <v>3</v>
      </c>
    </row>
    <row r="30" spans="1:6" ht="25.5">
      <c r="A30" s="14" t="s">
        <v>3</v>
      </c>
      <c r="B30" s="87">
        <f>Исходные!C59*1000/Исходные!C60</f>
        <v>10.666666666666666</v>
      </c>
      <c r="C30" s="148">
        <v>3.74</v>
      </c>
      <c r="D30" s="35">
        <f>IF(C30=0, IF(B30=0,100, 120), B30/C30*100)</f>
        <v>285.20499108734396</v>
      </c>
      <c r="E30" s="35" t="s">
        <v>24</v>
      </c>
      <c r="F30" s="85">
        <f>IF(OR(AND(D30&lt;80,E30="прямая"),AND(D30&gt;120,E30="обратная")),3,IF(OR(AND(D30&gt;120,E30="прямая"),AND(D30&lt;80,E30="обратная")),1,2))</f>
        <v>3</v>
      </c>
    </row>
    <row r="31" spans="1:6" ht="15.75">
      <c r="A31" s="14"/>
      <c r="B31" s="79"/>
      <c r="C31" s="80"/>
      <c r="D31" s="81"/>
      <c r="E31" s="88"/>
      <c r="F31" s="83"/>
    </row>
    <row r="32" spans="1:6" ht="38.25">
      <c r="A32" s="14" t="s">
        <v>0</v>
      </c>
      <c r="B32" s="59" t="s">
        <v>1</v>
      </c>
      <c r="C32" s="34" t="s">
        <v>1</v>
      </c>
      <c r="D32" s="34" t="s">
        <v>1</v>
      </c>
      <c r="E32" s="34" t="s">
        <v>1</v>
      </c>
      <c r="F32" s="85" t="str">
        <f>IF(B34="-", "-", AVERAGE(F34:F35))</f>
        <v>-</v>
      </c>
    </row>
    <row r="33" spans="1:6" ht="15.75">
      <c r="A33" s="14" t="s">
        <v>5</v>
      </c>
      <c r="B33" s="59"/>
      <c r="C33" s="34"/>
      <c r="D33" s="92"/>
      <c r="E33" s="88"/>
      <c r="F33" s="89"/>
    </row>
    <row r="34" spans="1:6" ht="25.5">
      <c r="A34" s="14" t="s">
        <v>71</v>
      </c>
      <c r="B34" s="27" t="str">
        <f>IF(Исходные!C62=0, "-", Исходные!C61/Исходные!C62)</f>
        <v>-</v>
      </c>
      <c r="C34" s="147">
        <v>0</v>
      </c>
      <c r="D34" s="35" t="str">
        <f>IF(B34="-","-",IF(C34=0,IF(B34=0,100, 120), B34/C34*100))</f>
        <v>-</v>
      </c>
      <c r="E34" s="35" t="s">
        <v>24</v>
      </c>
      <c r="F34" s="85" t="s">
        <v>1</v>
      </c>
    </row>
    <row r="35" spans="1:6" ht="51">
      <c r="A35" s="14" t="s">
        <v>72</v>
      </c>
      <c r="B35" s="27" t="str">
        <f>IF(Исходные!C63=0, "-", Исходные!C62*100/Исходные!C63)</f>
        <v>-</v>
      </c>
      <c r="C35" s="147">
        <v>0</v>
      </c>
      <c r="D35" s="35" t="str">
        <f>IF(B35="-","-",IF(C35=0,IF(B35=0,100, 120), B35/C35*100))</f>
        <v>-</v>
      </c>
      <c r="E35" s="35" t="s">
        <v>23</v>
      </c>
      <c r="F35" s="85" t="s">
        <v>1</v>
      </c>
    </row>
    <row r="36" spans="1:6" ht="15.75">
      <c r="A36" s="14"/>
      <c r="B36" s="93"/>
      <c r="C36" s="88"/>
      <c r="D36" s="92"/>
      <c r="E36" s="88"/>
      <c r="F36" s="89"/>
    </row>
    <row r="37" spans="1:6" ht="16.5" thickBot="1">
      <c r="A37" s="14" t="s">
        <v>73</v>
      </c>
      <c r="B37" s="94" t="s">
        <v>1</v>
      </c>
      <c r="C37" s="95" t="s">
        <v>1</v>
      </c>
      <c r="D37" s="95" t="s">
        <v>1</v>
      </c>
      <c r="E37" s="95" t="s">
        <v>1</v>
      </c>
      <c r="F37" s="96">
        <f>IF(F32="-", AVERAGE(F10,F12,F21,F29), AVERAGE(F10,F12,F21,F29,F32))</f>
        <v>2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view="pageBreakPreview" zoomScale="80" zoomScaleNormal="80" zoomScaleSheetLayoutView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15" sqref="H15"/>
    </sheetView>
  </sheetViews>
  <sheetFormatPr defaultRowHeight="12.75"/>
  <cols>
    <col min="1" max="1" width="8" customWidth="1"/>
    <col min="2" max="2" width="57.28515625" customWidth="1"/>
    <col min="3" max="3" width="26.140625" customWidth="1"/>
  </cols>
  <sheetData>
    <row r="1" spans="1:3">
      <c r="A1" s="43" t="s">
        <v>136</v>
      </c>
      <c r="B1" s="43"/>
      <c r="C1" s="43"/>
    </row>
    <row r="2" spans="1:3">
      <c r="A2" s="37"/>
      <c r="B2" s="37" t="s">
        <v>135</v>
      </c>
      <c r="C2" s="37" t="s">
        <v>74</v>
      </c>
    </row>
    <row r="3" spans="1:3" ht="25.5">
      <c r="A3" s="169" t="s">
        <v>155</v>
      </c>
      <c r="B3" s="39" t="s">
        <v>75</v>
      </c>
      <c r="C3" s="38">
        <v>10</v>
      </c>
    </row>
    <row r="4" spans="1:3">
      <c r="A4" s="170"/>
      <c r="B4" s="39" t="s">
        <v>76</v>
      </c>
      <c r="C4" s="38">
        <v>47</v>
      </c>
    </row>
    <row r="5" spans="1:3" ht="25.5">
      <c r="A5" s="40" t="s">
        <v>156</v>
      </c>
      <c r="B5" s="39" t="s">
        <v>77</v>
      </c>
      <c r="C5" s="38">
        <v>12</v>
      </c>
    </row>
    <row r="6" spans="1:3" ht="25.5">
      <c r="A6" s="40" t="s">
        <v>157</v>
      </c>
      <c r="B6" s="39" t="s">
        <v>78</v>
      </c>
      <c r="C6" s="38">
        <v>12</v>
      </c>
    </row>
    <row r="7" spans="1:3" ht="25.5">
      <c r="A7" s="40" t="s">
        <v>158</v>
      </c>
      <c r="B7" s="39" t="s">
        <v>79</v>
      </c>
      <c r="C7" s="71">
        <v>46</v>
      </c>
    </row>
    <row r="8" spans="1:3" ht="51">
      <c r="A8" s="169" t="s">
        <v>159</v>
      </c>
      <c r="B8" s="39" t="s">
        <v>165</v>
      </c>
      <c r="C8" s="119">
        <v>119</v>
      </c>
    </row>
    <row r="9" spans="1:3">
      <c r="A9" s="171"/>
      <c r="B9" s="112" t="s">
        <v>160</v>
      </c>
      <c r="C9" s="117">
        <v>62201</v>
      </c>
    </row>
    <row r="10" spans="1:3" ht="25.5">
      <c r="A10" s="171"/>
      <c r="B10" s="112" t="s">
        <v>167</v>
      </c>
      <c r="C10" s="117">
        <v>29622</v>
      </c>
    </row>
    <row r="11" spans="1:3" ht="25.5">
      <c r="A11" s="171"/>
      <c r="B11" s="112" t="s">
        <v>168</v>
      </c>
      <c r="C11" s="117">
        <v>32579</v>
      </c>
    </row>
    <row r="12" spans="1:3">
      <c r="A12" s="170"/>
      <c r="B12" s="112" t="s">
        <v>169</v>
      </c>
      <c r="C12" s="117">
        <v>3456</v>
      </c>
    </row>
    <row r="13" spans="1:3" ht="38.25">
      <c r="A13" s="169" t="s">
        <v>161</v>
      </c>
      <c r="B13" s="39" t="s">
        <v>134</v>
      </c>
      <c r="C13" s="40">
        <v>10365</v>
      </c>
    </row>
    <row r="14" spans="1:3">
      <c r="A14" s="170"/>
      <c r="B14" s="61" t="s">
        <v>160</v>
      </c>
      <c r="C14" s="117">
        <v>62201</v>
      </c>
    </row>
    <row r="15" spans="1:3" ht="51">
      <c r="A15" s="169" t="s">
        <v>162</v>
      </c>
      <c r="B15" s="39" t="s">
        <v>80</v>
      </c>
      <c r="C15" s="40">
        <v>0</v>
      </c>
    </row>
    <row r="16" spans="1:3">
      <c r="A16" s="170"/>
      <c r="B16" s="61" t="s">
        <v>160</v>
      </c>
      <c r="C16" s="40">
        <v>62201</v>
      </c>
    </row>
    <row r="17" spans="1:3" ht="38.25">
      <c r="A17" s="169" t="s">
        <v>85</v>
      </c>
      <c r="B17" s="39" t="s">
        <v>81</v>
      </c>
      <c r="C17" s="120">
        <v>22924</v>
      </c>
    </row>
    <row r="18" spans="1:3" ht="25.5">
      <c r="A18" s="170"/>
      <c r="B18" s="39" t="s">
        <v>82</v>
      </c>
      <c r="C18" s="121">
        <v>1324</v>
      </c>
    </row>
    <row r="19" spans="1:3" ht="38.25">
      <c r="A19" s="169" t="s">
        <v>84</v>
      </c>
      <c r="B19" s="153" t="s">
        <v>83</v>
      </c>
      <c r="C19" s="121">
        <v>136364</v>
      </c>
    </row>
    <row r="20" spans="1:3" ht="25.5">
      <c r="A20" s="170"/>
      <c r="B20" s="39" t="s">
        <v>87</v>
      </c>
      <c r="C20" s="121">
        <v>855</v>
      </c>
    </row>
    <row r="21" spans="1:3" ht="38.25">
      <c r="A21" s="169" t="s">
        <v>86</v>
      </c>
      <c r="B21" s="39" t="s">
        <v>88</v>
      </c>
      <c r="C21" s="118">
        <v>0</v>
      </c>
    </row>
    <row r="22" spans="1:3" ht="25.5">
      <c r="A22" s="170"/>
      <c r="B22" s="39" t="s">
        <v>89</v>
      </c>
      <c r="C22" s="118">
        <v>0</v>
      </c>
    </row>
    <row r="23" spans="1:3" ht="38.25">
      <c r="A23" s="169" t="s">
        <v>90</v>
      </c>
      <c r="B23" s="39" t="s">
        <v>92</v>
      </c>
      <c r="C23" s="122">
        <v>205942</v>
      </c>
    </row>
    <row r="24" spans="1:3" ht="25.5">
      <c r="A24" s="170"/>
      <c r="B24" s="39" t="s">
        <v>91</v>
      </c>
      <c r="C24" s="122">
        <v>6874</v>
      </c>
    </row>
    <row r="25" spans="1:3" ht="38.25">
      <c r="A25" s="169" t="s">
        <v>95</v>
      </c>
      <c r="B25" s="39" t="s">
        <v>93</v>
      </c>
      <c r="C25" s="122">
        <v>35601</v>
      </c>
    </row>
    <row r="26" spans="1:3" ht="25.5">
      <c r="A26" s="170"/>
      <c r="B26" s="39" t="s">
        <v>94</v>
      </c>
      <c r="C26" s="122">
        <v>584</v>
      </c>
    </row>
    <row r="27" spans="1:3" ht="38.25">
      <c r="A27" s="169" t="s">
        <v>98</v>
      </c>
      <c r="B27" s="39" t="s">
        <v>96</v>
      </c>
      <c r="C27" s="118">
        <v>0</v>
      </c>
    </row>
    <row r="28" spans="1:3" ht="25.5">
      <c r="A28" s="171"/>
      <c r="B28" s="39" t="s">
        <v>164</v>
      </c>
      <c r="C28" s="116">
        <v>48</v>
      </c>
    </row>
    <row r="29" spans="1:3">
      <c r="A29" s="170"/>
      <c r="B29" s="39" t="s">
        <v>97</v>
      </c>
      <c r="C29" s="118">
        <v>0</v>
      </c>
    </row>
    <row r="30" spans="1:3" ht="110.25" customHeight="1">
      <c r="A30" s="169" t="s">
        <v>101</v>
      </c>
      <c r="B30" s="39" t="s">
        <v>100</v>
      </c>
      <c r="C30" s="40">
        <v>0</v>
      </c>
    </row>
    <row r="31" spans="1:3" ht="25.5">
      <c r="A31" s="170"/>
      <c r="B31" s="112" t="s">
        <v>99</v>
      </c>
      <c r="C31" s="121">
        <v>1500</v>
      </c>
    </row>
    <row r="32" spans="1:3" ht="63" customHeight="1">
      <c r="A32" s="169" t="s">
        <v>103</v>
      </c>
      <c r="B32" s="39" t="s">
        <v>102</v>
      </c>
      <c r="C32" s="40">
        <v>0</v>
      </c>
    </row>
    <row r="33" spans="1:3" ht="25.5">
      <c r="A33" s="170"/>
      <c r="B33" s="112" t="s">
        <v>99</v>
      </c>
      <c r="C33" s="117">
        <v>1500</v>
      </c>
    </row>
    <row r="34" spans="1:3" ht="25.5">
      <c r="A34" s="169" t="s">
        <v>105</v>
      </c>
      <c r="B34" s="39" t="s">
        <v>104</v>
      </c>
      <c r="C34" s="40">
        <v>170</v>
      </c>
    </row>
    <row r="35" spans="1:3">
      <c r="A35" s="170"/>
      <c r="B35" s="61" t="s">
        <v>160</v>
      </c>
      <c r="C35" s="117">
        <v>62201</v>
      </c>
    </row>
    <row r="36" spans="1:3" ht="59.25" customHeight="1">
      <c r="A36" s="169" t="s">
        <v>107</v>
      </c>
      <c r="B36" s="39" t="s">
        <v>106</v>
      </c>
      <c r="C36" s="40">
        <v>0</v>
      </c>
    </row>
    <row r="37" spans="1:3">
      <c r="A37" s="170"/>
      <c r="B37" s="39" t="s">
        <v>160</v>
      </c>
      <c r="C37" s="117">
        <v>62201</v>
      </c>
    </row>
    <row r="38" spans="1:3" ht="44.25" customHeight="1">
      <c r="A38" s="169" t="s">
        <v>109</v>
      </c>
      <c r="B38" s="39" t="s">
        <v>108</v>
      </c>
      <c r="C38" s="123">
        <v>0</v>
      </c>
    </row>
    <row r="39" spans="1:3">
      <c r="A39" s="170"/>
      <c r="B39" s="61" t="s">
        <v>160</v>
      </c>
      <c r="C39" s="117">
        <v>62201</v>
      </c>
    </row>
    <row r="40" spans="1:3" ht="38.25">
      <c r="A40" s="169" t="s">
        <v>111</v>
      </c>
      <c r="B40" s="39" t="s">
        <v>110</v>
      </c>
      <c r="C40" s="118">
        <v>773</v>
      </c>
    </row>
    <row r="41" spans="1:3">
      <c r="A41" s="170"/>
      <c r="B41" s="61" t="s">
        <v>160</v>
      </c>
      <c r="C41" s="117">
        <v>62201</v>
      </c>
    </row>
    <row r="42" spans="1:3" ht="51">
      <c r="A42" s="169" t="s">
        <v>113</v>
      </c>
      <c r="B42" s="39" t="s">
        <v>112</v>
      </c>
      <c r="C42" s="118">
        <v>718</v>
      </c>
    </row>
    <row r="43" spans="1:3" ht="38.25">
      <c r="A43" s="170"/>
      <c r="B43" s="61" t="s">
        <v>110</v>
      </c>
      <c r="C43" s="123">
        <v>773</v>
      </c>
    </row>
    <row r="44" spans="1:3" ht="68.25" customHeight="1">
      <c r="A44" s="169" t="s">
        <v>114</v>
      </c>
      <c r="B44" s="39" t="s">
        <v>166</v>
      </c>
      <c r="C44" s="123">
        <v>1</v>
      </c>
    </row>
    <row r="45" spans="1:3" ht="51">
      <c r="A45" s="170"/>
      <c r="B45" s="61" t="s">
        <v>112</v>
      </c>
      <c r="C45" s="117">
        <v>718</v>
      </c>
    </row>
    <row r="46" spans="1:3" ht="69.75" customHeight="1">
      <c r="A46" s="169" t="s">
        <v>116</v>
      </c>
      <c r="B46" s="39" t="s">
        <v>115</v>
      </c>
      <c r="C46" s="123">
        <v>0</v>
      </c>
    </row>
    <row r="47" spans="1:3">
      <c r="A47" s="170"/>
      <c r="B47" s="61" t="s">
        <v>160</v>
      </c>
      <c r="C47" s="117">
        <v>62201</v>
      </c>
    </row>
    <row r="48" spans="1:3" s="152" customFormat="1" ht="38.25">
      <c r="A48" s="169" t="s">
        <v>118</v>
      </c>
      <c r="B48" s="153" t="s">
        <v>117</v>
      </c>
      <c r="C48" s="123">
        <v>1293</v>
      </c>
    </row>
    <row r="49" spans="1:3">
      <c r="A49" s="170"/>
      <c r="B49" s="61" t="s">
        <v>160</v>
      </c>
      <c r="C49" s="123">
        <v>62201</v>
      </c>
    </row>
    <row r="50" spans="1:3" s="152" customFormat="1" ht="38.25">
      <c r="A50" s="123" t="s">
        <v>120</v>
      </c>
      <c r="B50" s="153" t="s">
        <v>119</v>
      </c>
      <c r="C50" s="123">
        <v>20</v>
      </c>
    </row>
    <row r="51" spans="1:3" ht="25.5">
      <c r="A51" s="169" t="s">
        <v>121</v>
      </c>
      <c r="B51" s="39" t="s">
        <v>170</v>
      </c>
      <c r="C51" s="122">
        <v>267038</v>
      </c>
    </row>
    <row r="52" spans="1:3" ht="25.5">
      <c r="A52" s="171"/>
      <c r="B52" s="39" t="s">
        <v>171</v>
      </c>
      <c r="C52" s="122">
        <v>21409</v>
      </c>
    </row>
    <row r="53" spans="1:3" ht="25.5">
      <c r="A53" s="172"/>
      <c r="B53" s="39" t="s">
        <v>173</v>
      </c>
      <c r="C53" s="122">
        <v>11469</v>
      </c>
    </row>
    <row r="54" spans="1:3" ht="25.5">
      <c r="A54" s="173"/>
      <c r="B54" s="39" t="s">
        <v>172</v>
      </c>
      <c r="C54" s="122">
        <v>2158</v>
      </c>
    </row>
    <row r="55" spans="1:3" s="152" customFormat="1">
      <c r="A55" s="169" t="s">
        <v>126</v>
      </c>
      <c r="B55" s="153" t="s">
        <v>122</v>
      </c>
      <c r="C55" s="124">
        <v>874</v>
      </c>
    </row>
    <row r="56" spans="1:3" s="152" customFormat="1" ht="25.5">
      <c r="A56" s="171"/>
      <c r="B56" s="153" t="s">
        <v>123</v>
      </c>
      <c r="C56" s="123">
        <v>97</v>
      </c>
    </row>
    <row r="57" spans="1:3" ht="25.5">
      <c r="A57" s="171"/>
      <c r="B57" s="39" t="s">
        <v>124</v>
      </c>
      <c r="C57" s="123">
        <v>0</v>
      </c>
    </row>
    <row r="58" spans="1:3">
      <c r="A58" s="170"/>
      <c r="B58" s="39" t="s">
        <v>125</v>
      </c>
      <c r="C58" s="118">
        <v>198483</v>
      </c>
    </row>
    <row r="59" spans="1:3" ht="57" customHeight="1">
      <c r="A59" s="169" t="s">
        <v>127</v>
      </c>
      <c r="B59" s="39" t="s">
        <v>163</v>
      </c>
      <c r="C59" s="40">
        <v>16</v>
      </c>
    </row>
    <row r="60" spans="1:3" ht="25.5">
      <c r="A60" s="170"/>
      <c r="B60" s="61" t="s">
        <v>99</v>
      </c>
      <c r="C60" s="119">
        <v>1500</v>
      </c>
    </row>
    <row r="61" spans="1:3" ht="38.25">
      <c r="A61" s="169" t="s">
        <v>130</v>
      </c>
      <c r="B61" s="39" t="s">
        <v>128</v>
      </c>
      <c r="C61" s="125">
        <v>0</v>
      </c>
    </row>
    <row r="62" spans="1:3" ht="25.5">
      <c r="A62" s="170"/>
      <c r="B62" s="39" t="s">
        <v>129</v>
      </c>
      <c r="C62" s="40">
        <v>0</v>
      </c>
    </row>
    <row r="63" spans="1:3" ht="25.5">
      <c r="A63" s="169" t="s">
        <v>131</v>
      </c>
      <c r="B63" s="39" t="s">
        <v>132</v>
      </c>
      <c r="C63" s="40">
        <v>0</v>
      </c>
    </row>
    <row r="64" spans="1:3" ht="25.5">
      <c r="A64" s="170"/>
      <c r="B64" s="39" t="s">
        <v>133</v>
      </c>
      <c r="C64" s="40">
        <v>0</v>
      </c>
    </row>
    <row r="66" spans="2:2">
      <c r="B66" s="113"/>
    </row>
    <row r="67" spans="2:2">
      <c r="B67" s="114"/>
    </row>
    <row r="83" spans="3:3">
      <c r="C83" s="115"/>
    </row>
  </sheetData>
  <mergeCells count="25">
    <mergeCell ref="A61:A62"/>
    <mergeCell ref="A38:A39"/>
    <mergeCell ref="A63:A64"/>
    <mergeCell ref="A23:A24"/>
    <mergeCell ref="A25:A26"/>
    <mergeCell ref="A27:A29"/>
    <mergeCell ref="A30:A31"/>
    <mergeCell ref="A51:A54"/>
    <mergeCell ref="A55:A58"/>
    <mergeCell ref="A59:A60"/>
    <mergeCell ref="A34:A35"/>
    <mergeCell ref="A48:A49"/>
    <mergeCell ref="A36:A37"/>
    <mergeCell ref="A40:A41"/>
    <mergeCell ref="A42:A43"/>
    <mergeCell ref="A44:A45"/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Исходные!Область_печати</vt:lpstr>
      <vt:lpstr>РОС!Область_печати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2014-01-23T09:35:02Z</cp:lastPrinted>
  <dcterms:created xsi:type="dcterms:W3CDTF">2009-10-12T18:36:30Z</dcterms:created>
  <dcterms:modified xsi:type="dcterms:W3CDTF">2014-03-03T12:56:57Z</dcterms:modified>
</cp:coreProperties>
</file>