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1340" windowHeight="9045" tabRatio="940" activeTab="4"/>
  </bookViews>
  <sheets>
    <sheet name="Свод" sheetId="23" r:id="rId1"/>
    <sheet name="ИНФ" sheetId="19" r:id="rId2"/>
    <sheet name="ИСП" sheetId="20" r:id="rId3"/>
    <sheet name="РОС" sheetId="21" r:id="rId4"/>
    <sheet name="Исходные" sheetId="22" r:id="rId5"/>
  </sheets>
  <definedNames>
    <definedName name="Кв">#REF!</definedName>
    <definedName name="Кн">#REF!</definedName>
    <definedName name="_xlnm.Print_Area" localSheetId="1">ИНФ!$A$6:$F$37</definedName>
    <definedName name="_xlnm.Print_Area" localSheetId="2">ИСП!$A$6:$F$38</definedName>
    <definedName name="_xlnm.Print_Area" localSheetId="4">Исходные!$A$1:$C$64</definedName>
    <definedName name="_xlnm.Print_Area" localSheetId="3">РОС!$A$6:$F$37</definedName>
    <definedName name="_xlnm.Print_Area" localSheetId="0">Свод!$A$1:$E$49</definedName>
    <definedName name="Рсрi">#REF!</definedName>
  </definedNames>
  <calcPr calcId="145621" refMode="R1C1"/>
</workbook>
</file>

<file path=xl/calcChain.xml><?xml version="1.0" encoding="utf-8"?>
<calcChain xmlns="http://schemas.openxmlformats.org/spreadsheetml/2006/main">
  <c r="B35" i="21" l="1"/>
  <c r="D35" i="21" s="1"/>
  <c r="F35" i="21" s="1"/>
  <c r="B34" i="21"/>
  <c r="D34" i="21" l="1"/>
  <c r="F34" i="21" s="1"/>
  <c r="F32" i="21" s="1"/>
  <c r="B15" i="21"/>
  <c r="D15" i="21" l="1"/>
  <c r="B14" i="21"/>
  <c r="D14" i="21" s="1"/>
  <c r="F14" i="21" s="1"/>
  <c r="B17" i="21" l="1"/>
  <c r="B37" i="23" s="1"/>
  <c r="D10" i="21"/>
  <c r="F10" i="21" s="1"/>
  <c r="B37" i="20"/>
  <c r="D37" i="20" s="1"/>
  <c r="B35" i="20"/>
  <c r="D34" i="20"/>
  <c r="B30" i="20"/>
  <c r="B27" i="20"/>
  <c r="B21" i="20"/>
  <c r="B20" i="20"/>
  <c r="B19" i="20"/>
  <c r="D19" i="20" s="1"/>
  <c r="B17" i="20"/>
  <c r="B13" i="20"/>
  <c r="D13" i="20" s="1"/>
  <c r="D17" i="21" l="1"/>
  <c r="F34" i="20"/>
  <c r="D35" i="20"/>
  <c r="D21" i="20"/>
  <c r="D30" i="20"/>
  <c r="F19" i="20"/>
  <c r="B12" i="20"/>
  <c r="B36" i="19"/>
  <c r="D36" i="19" s="1"/>
  <c r="B35" i="19"/>
  <c r="D35" i="19" s="1"/>
  <c r="F35" i="19" l="1"/>
  <c r="D12" i="20"/>
  <c r="F12" i="20" s="1"/>
  <c r="D28" i="19"/>
  <c r="D26" i="19"/>
  <c r="D24" i="19"/>
  <c r="F23" i="19" s="1"/>
  <c r="D23" i="19"/>
  <c r="D22" i="19"/>
  <c r="B18" i="19"/>
  <c r="B17" i="19"/>
  <c r="B15" i="19"/>
  <c r="B12" i="19"/>
  <c r="B6" i="19"/>
  <c r="C47" i="23"/>
  <c r="F26" i="19" l="1"/>
  <c r="B13" i="19"/>
  <c r="F22" i="19"/>
  <c r="F20" i="19" s="1"/>
  <c r="F24" i="19"/>
  <c r="B6" i="21"/>
  <c r="B6" i="20"/>
  <c r="D12" i="19"/>
  <c r="F12" i="19" s="1"/>
  <c r="F13" i="20"/>
  <c r="F10" i="20" s="1"/>
  <c r="E46" i="23"/>
  <c r="C46" i="23"/>
  <c r="B46" i="23"/>
  <c r="E45" i="23"/>
  <c r="C45" i="23"/>
  <c r="B45" i="23"/>
  <c r="E44" i="23"/>
  <c r="C44" i="23"/>
  <c r="E43" i="23"/>
  <c r="C43" i="23"/>
  <c r="E42" i="23"/>
  <c r="C42" i="23"/>
  <c r="E41" i="23"/>
  <c r="C41" i="23"/>
  <c r="E40" i="23"/>
  <c r="C40" i="23"/>
  <c r="E39" i="23"/>
  <c r="C39" i="23"/>
  <c r="E38" i="23"/>
  <c r="C38" i="23"/>
  <c r="D45" i="23" l="1"/>
  <c r="D46" i="23"/>
  <c r="E37" i="23"/>
  <c r="C37" i="23"/>
  <c r="E36" i="23"/>
  <c r="C36" i="23"/>
  <c r="E35" i="23"/>
  <c r="C35" i="23"/>
  <c r="B35" i="23"/>
  <c r="E34" i="23"/>
  <c r="C34" i="23"/>
  <c r="B34" i="23"/>
  <c r="E33" i="23"/>
  <c r="C33" i="23"/>
  <c r="B33" i="23"/>
  <c r="E31" i="23"/>
  <c r="C31" i="23"/>
  <c r="B31" i="23"/>
  <c r="E30" i="23"/>
  <c r="C30" i="23"/>
  <c r="B30" i="23"/>
  <c r="E29" i="23"/>
  <c r="C29" i="23"/>
  <c r="B29" i="23"/>
  <c r="E28" i="23"/>
  <c r="C28" i="23"/>
  <c r="B28" i="23"/>
  <c r="E27" i="23"/>
  <c r="C27" i="23"/>
  <c r="B27" i="23"/>
  <c r="E26" i="23"/>
  <c r="C26" i="23"/>
  <c r="E25" i="23"/>
  <c r="C25" i="23"/>
  <c r="B25" i="23" s="1"/>
  <c r="E24" i="23"/>
  <c r="C24" i="23"/>
  <c r="B24" i="23"/>
  <c r="E23" i="23"/>
  <c r="C23" i="23"/>
  <c r="B23" i="23" s="1"/>
  <c r="E22" i="23"/>
  <c r="C22" i="23"/>
  <c r="B22" i="23"/>
  <c r="E21" i="23"/>
  <c r="C21" i="23"/>
  <c r="B21" i="23" s="1"/>
  <c r="E20" i="23"/>
  <c r="C20" i="23"/>
  <c r="B20" i="23" s="1"/>
  <c r="E18" i="23"/>
  <c r="C18" i="23"/>
  <c r="B18" i="23"/>
  <c r="E17" i="23"/>
  <c r="C17" i="23"/>
  <c r="B17" i="23" s="1"/>
  <c r="E16" i="23"/>
  <c r="C16" i="23"/>
  <c r="E15" i="23"/>
  <c r="C15" i="23"/>
  <c r="B15" i="23"/>
  <c r="E14" i="23"/>
  <c r="C14" i="23"/>
  <c r="B14" i="23"/>
  <c r="E13" i="23"/>
  <c r="C13" i="23"/>
  <c r="B13" i="23"/>
  <c r="E12" i="23"/>
  <c r="C12" i="23"/>
  <c r="B12" i="23"/>
  <c r="E11" i="23"/>
  <c r="C11" i="23"/>
  <c r="B11" i="23"/>
  <c r="E10" i="23"/>
  <c r="C10" i="23"/>
  <c r="B10" i="23" s="1"/>
  <c r="D10" i="23" s="1"/>
  <c r="E9" i="23"/>
  <c r="C9" i="23"/>
  <c r="B9" i="23" s="1"/>
  <c r="D9" i="23" s="1"/>
  <c r="E8" i="23"/>
  <c r="D29" i="23" l="1"/>
  <c r="D13" i="23"/>
  <c r="D20" i="23"/>
  <c r="D21" i="23"/>
  <c r="D25" i="23"/>
  <c r="D12" i="23"/>
  <c r="D15" i="23"/>
  <c r="D18" i="23"/>
  <c r="D24" i="23"/>
  <c r="D28" i="23"/>
  <c r="D31" i="23"/>
  <c r="D35" i="23"/>
  <c r="D37" i="23"/>
  <c r="D11" i="23"/>
  <c r="D14" i="23"/>
  <c r="D17" i="23"/>
  <c r="D27" i="23"/>
  <c r="D30" i="23"/>
  <c r="D33" i="23"/>
  <c r="D34" i="23"/>
  <c r="D23" i="23"/>
  <c r="C8" i="23"/>
  <c r="B8" i="23"/>
  <c r="E7" i="23"/>
  <c r="C7" i="23"/>
  <c r="B7" i="23" s="1"/>
  <c r="E6" i="23"/>
  <c r="C6" i="23"/>
  <c r="B6" i="23"/>
  <c r="D7" i="23" l="1"/>
  <c r="D8" i="23"/>
  <c r="D6" i="23"/>
  <c r="D17" i="20"/>
  <c r="F17" i="20" s="1"/>
  <c r="D20" i="20"/>
  <c r="F20" i="20" s="1"/>
  <c r="F18" i="20" s="1"/>
  <c r="F21" i="20"/>
  <c r="B25" i="20"/>
  <c r="D25" i="20" s="1"/>
  <c r="F25" i="20" s="1"/>
  <c r="F23" i="20" s="1"/>
  <c r="D27" i="20"/>
  <c r="F27" i="20" s="1"/>
  <c r="F26" i="20" s="1"/>
  <c r="F30" i="20"/>
  <c r="F29" i="20" s="1"/>
  <c r="F35" i="20"/>
  <c r="F32" i="20" s="1"/>
  <c r="F37" i="20"/>
  <c r="F36" i="20" s="1"/>
  <c r="F15" i="21"/>
  <c r="B16" i="21"/>
  <c r="D16" i="21" s="1"/>
  <c r="F16" i="21" s="1"/>
  <c r="F17" i="21"/>
  <c r="B18" i="21"/>
  <c r="D18" i="21" s="1"/>
  <c r="F18" i="21" s="1"/>
  <c r="B19" i="21"/>
  <c r="D19" i="21" s="1"/>
  <c r="F19" i="21" s="1"/>
  <c r="B23" i="21"/>
  <c r="D23" i="21" s="1"/>
  <c r="F23" i="21" s="1"/>
  <c r="B25" i="21"/>
  <c r="D25" i="21" s="1"/>
  <c r="F25" i="21" s="1"/>
  <c r="B26" i="21"/>
  <c r="D26" i="21" s="1"/>
  <c r="F26" i="21" s="1"/>
  <c r="B27" i="21"/>
  <c r="D27" i="21" s="1"/>
  <c r="F27" i="21" s="1"/>
  <c r="B30" i="21"/>
  <c r="D30" i="21" s="1"/>
  <c r="F30" i="21" s="1"/>
  <c r="F29" i="21" s="1"/>
  <c r="D13" i="19"/>
  <c r="F13" i="19" s="1"/>
  <c r="F10" i="19" s="1"/>
  <c r="B32" i="19"/>
  <c r="D32" i="19" s="1"/>
  <c r="F32" i="19" s="1"/>
  <c r="F30" i="19" s="1"/>
  <c r="F36" i="19"/>
  <c r="F33" i="19" s="1"/>
  <c r="F28" i="19"/>
  <c r="B16" i="23" l="1"/>
  <c r="D16" i="23" s="1"/>
  <c r="B43" i="23"/>
  <c r="D43" i="23" s="1"/>
  <c r="B26" i="23"/>
  <c r="D26" i="23" s="1"/>
  <c r="F37" i="19"/>
  <c r="B5" i="23" s="1"/>
  <c r="D5" i="23" s="1"/>
  <c r="B39" i="23"/>
  <c r="D39" i="23" s="1"/>
  <c r="B42" i="23"/>
  <c r="D42" i="23" s="1"/>
  <c r="F15" i="20"/>
  <c r="F38" i="20" s="1"/>
  <c r="B19" i="23" s="1"/>
  <c r="D19" i="23" s="1"/>
  <c r="B41" i="23"/>
  <c r="D41" i="23" s="1"/>
  <c r="B36" i="23"/>
  <c r="D36" i="23" s="1"/>
  <c r="B44" i="23"/>
  <c r="D44" i="23" s="1"/>
  <c r="F24" i="21"/>
  <c r="F21" i="21" s="1"/>
  <c r="B40" i="23"/>
  <c r="D40" i="23" s="1"/>
  <c r="F12" i="21"/>
  <c r="B38" i="23"/>
  <c r="D38" i="23" s="1"/>
  <c r="F37" i="21" l="1"/>
  <c r="B32" i="23" s="1"/>
  <c r="D32" i="23" s="1"/>
  <c r="B47" i="23" l="1"/>
  <c r="D47" i="23" s="1"/>
</calcChain>
</file>

<file path=xl/comments1.xml><?xml version="1.0" encoding="utf-8"?>
<comments xmlns="http://schemas.openxmlformats.org/spreadsheetml/2006/main">
  <authors>
    <author>Sheveleva.OV1</author>
  </authors>
  <commentLis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Sheveleva.OV1:</t>
        </r>
        <r>
          <rPr>
            <sz val="9"/>
            <color indexed="81"/>
            <rFont val="Tahoma"/>
            <family val="2"/>
            <charset val="204"/>
          </rPr>
          <t xml:space="preserve">
3 договора заключены на отлогательных условиях, поэтому не включены в строку "действующие договоры"</t>
        </r>
      </text>
    </comment>
  </commentList>
</comments>
</file>

<file path=xl/sharedStrings.xml><?xml version="1.0" encoding="utf-8"?>
<sst xmlns="http://schemas.openxmlformats.org/spreadsheetml/2006/main" count="363" uniqueCount="177">
  <si>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</si>
  <si>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-</t>
  </si>
  <si>
    <t>Оценочный балл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</si>
  <si>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</si>
  <si>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Значение</t>
  </si>
  <si>
    <t>в том числе, по критериям: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</si>
  <si>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</si>
  <si>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</si>
  <si>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</si>
  <si>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</si>
  <si>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</si>
  <si>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Наименование параметра (критерия), характеризующего индикатор</t>
  </si>
  <si>
    <t>б) для остальных потребителей услуг, дней</t>
  </si>
  <si>
    <t>3. Отсутствие (наличие) нарушений требований антимонопольного законодательства Российской Федерации,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</si>
  <si>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</si>
  <si>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</si>
  <si>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</si>
  <si>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</si>
  <si>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</si>
  <si>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2. Степень удовлетворения обращений потребителей услуг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</si>
  <si>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</si>
  <si>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</si>
  <si>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</si>
  <si>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прямая</t>
  </si>
  <si>
    <t>обратная</t>
  </si>
  <si>
    <t>Ф/П*100,%</t>
  </si>
  <si>
    <t>Зависимость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</si>
  <si>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</si>
  <si>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</si>
  <si>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</si>
  <si>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</si>
  <si>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</si>
  <si>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
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</si>
  <si>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</si>
  <si>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</si>
  <si>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</si>
  <si>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</si>
  <si>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</si>
  <si>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</si>
  <si>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</si>
  <si>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</si>
  <si>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</si>
  <si>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</si>
  <si>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</t>
  </si>
  <si>
    <t>факт.(Ф)</t>
  </si>
  <si>
    <t>план (П)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</si>
  <si>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</si>
  <si>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</si>
  <si>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</si>
  <si>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2. Соблюдение сроков по процедурам взаимодействия с потребителями услуг (заявителями) – всего,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</si>
  <si>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</si>
  <si>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</si>
  <si>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 xml:space="preserve">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</si>
  <si>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</si>
  <si>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</si>
  <si>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</si>
  <si>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6.1. 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</si>
  <si>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</si>
  <si>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</si>
  <si>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  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</si>
  <si>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</si>
  <si>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</si>
  <si>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</si>
  <si>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</si>
  <si>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</si>
  <si>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</si>
  <si>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</si>
  <si>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  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</si>
  <si>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</si>
  <si>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</si>
  <si>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</si>
  <si>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</si>
  <si>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</si>
  <si>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    Итого по индикатору результативность обратной связи</t>
  </si>
  <si>
    <t>Итого</t>
  </si>
  <si>
    <t>Количество структурных подразделений, задействованных в работе с клиентами</t>
  </si>
  <si>
    <t>Общее количество структруных подразделений филиала</t>
  </si>
  <si>
    <t>Количество документов по работе с заявителями</t>
  </si>
  <si>
    <t>количество должностных инструкций сотрудников, обслуживающих заявителей и потребителей услуг, шт.</t>
  </si>
  <si>
    <t>Количество утвержденных форм отчетности</t>
  </si>
  <si>
    <t xml:space="preserve">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</t>
  </si>
  <si>
    <t>Суммарное количество дней, потраченных на подготовку оферты договора ТП по заявкам, проект договора по которым направлен заявителю в отчетном периоде ,дн.</t>
  </si>
  <si>
    <t>Общее количество проектов договоров по ТП, направленных заявителю в отчетном периоде, шт</t>
  </si>
  <si>
    <t>Суммарное количество дней, потраченных на выполнение ТСО работ по договору  ТП по договорам, технические условия по которым со стороны ТСО выполнены в отчетном периоде ,дн.</t>
  </si>
  <si>
    <t>Исп. 1.2.</t>
  </si>
  <si>
    <t>Исп. 1.1.</t>
  </si>
  <si>
    <t>Исп. 2.1.</t>
  </si>
  <si>
    <t>Общее количество  договоров по ТП,технические условия которых исполнены со стороны ТСО в отчетном периоде, шт</t>
  </si>
  <si>
    <t>Суммарное количество дней, потраченных на подготовку оферты договора на передачу э/э по заявкам, проект договора по которым направлен заявителю в отчетном периоде ,дн.</t>
  </si>
  <si>
    <t>Общее количество проектов договоров по передаче э/э, направленных заявителю в отчетном периоде, шт</t>
  </si>
  <si>
    <t>Исп. 2.2.а)</t>
  </si>
  <si>
    <t>Общее количество оборудованных по заявкам точек учета ПУ  в отчетном периоде (ФЛ и ИП), шт</t>
  </si>
  <si>
    <t>Суммарное количество дней, потраченных на установку ПУ с момента подачи заявки, по исполненным в отчетном периоде заявкам (ФЛ и ИП) ,дн.</t>
  </si>
  <si>
    <t>Суммарное количество дней, потраченных на установку ПУ с момента подачи заявки, по исполненным в отчетном периоде заявкам (прочие) ,дн.</t>
  </si>
  <si>
    <t>Общее количество оборудованных по заявкам точек учета ПУ  в отчетном периоде (прочие), шт</t>
  </si>
  <si>
    <t>Исп. 2.2.б)</t>
  </si>
  <si>
    <t xml:space="preserve"> Количество случаев отказа от заключения и случаев расторжения потребителем услуг договоров оказания услуг по передаче электрической энергии</t>
  </si>
  <si>
    <t>Количество заключенных договоров  на передачу э/э</t>
  </si>
  <si>
    <t>Исп. 2.3.</t>
  </si>
  <si>
    <t>количество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</si>
  <si>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</t>
  </si>
  <si>
    <t>Исп. 3.1.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</si>
  <si>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</t>
  </si>
  <si>
    <t>Исп. 4.1.</t>
  </si>
  <si>
    <t>Количество обращений потребителей услуг с указанием на ненадлежащее качество электрической энергии</t>
  </si>
  <si>
    <t>Исп. 5.1.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</si>
  <si>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</t>
  </si>
  <si>
    <t>Исп. 6.2.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</si>
  <si>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</si>
  <si>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Исп. 7.1.</t>
  </si>
  <si>
    <t xml:space="preserve"> 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</si>
  <si>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Рос. 2.1.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</si>
  <si>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</si>
  <si>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Рос. 2.2.</t>
  </si>
  <si>
    <t>Рос. 2.3.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</si>
  <si>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</t>
  </si>
  <si>
    <t>Рос. 2.4.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</si>
  <si>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</t>
  </si>
  <si>
    <t>Рос. 2.5.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</si>
  <si>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</si>
  <si>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Рос. 2.6.</t>
  </si>
  <si>
    <t>Рос. 3.1.</t>
  </si>
  <si>
    <t>Количество проведенных письменных опросов</t>
  </si>
  <si>
    <t>Количество опросов, проведенных посредством электронной связи через сеть Интернет</t>
  </si>
  <si>
    <t>Количество опросов, проведенных посредством системы автоинформирования</t>
  </si>
  <si>
    <t>Общее количество потребителей услуг</t>
  </si>
  <si>
    <t>Рос. 3.2.</t>
  </si>
  <si>
    <t>Рос. 4.1.</t>
  </si>
  <si>
    <t>Суммарная продолжительность времени возмещения ущерба по правомерным жалобам ,по которым в отчетном периоде произошло возмещение ущерба</t>
  </si>
  <si>
    <t>Общее количество правомерных жалоб ,по которым в отчетном периоде произошло возмещение ущерба</t>
  </si>
  <si>
    <t>Рос. 5.1.</t>
  </si>
  <si>
    <t>Рос. 5.2.</t>
  </si>
  <si>
    <t>Количество потребителей ,получивших возмещение убытков в отчетном периоде</t>
  </si>
  <si>
    <t>Количество потребителей ,по которым было принято решение о возмещении ущерба</t>
  </si>
  <si>
    <t xml:space="preserve">Общее количество обращений потребителей услуг о проведении консультаций по вопросам деятельности территориальной сетевой </t>
  </si>
  <si>
    <t>Наименование исходных параметров</t>
  </si>
  <si>
    <t>Фактические значения исходных параметров для расчета показателя качества</t>
  </si>
  <si>
    <t>год</t>
  </si>
  <si>
    <t>Ин</t>
  </si>
  <si>
    <t xml:space="preserve">1.2. а) регламенты оказания услуг и рассмотрения обращений заявителей и потребителей услуг, шт. </t>
  </si>
  <si>
    <t>1.2. 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</si>
  <si>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1.2. в) должностные инструкции сотрудников, обслуживающих заявителей и потребителей услуг, шт.</t>
  </si>
  <si>
    <t>1.2. 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</si>
  <si>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Ис</t>
  </si>
  <si>
    <t xml:space="preserve">2.2. 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</si>
  <si>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2.2. б) для остальных потребителей услуг, дней</t>
  </si>
  <si>
    <t>Рс</t>
  </si>
  <si>
    <t>3.2. а) письменных опросов, шт. на 1000 потребителей услуг</t>
  </si>
  <si>
    <t>3.2. б) электронной связи через сеть Интернет, шт. на 1000 потребителей услуг</t>
  </si>
  <si>
    <t>3.2. в) системы автоинформирования, шт. на 1000 потребителей услуг</t>
  </si>
  <si>
    <t>Фактические значения</t>
  </si>
  <si>
    <t>отчетный период</t>
  </si>
  <si>
    <t>Плановое значение</t>
  </si>
  <si>
    <t>Факт/План, %</t>
  </si>
  <si>
    <t>Показатель качества</t>
  </si>
  <si>
    <t>Инф. 1.1</t>
  </si>
  <si>
    <t>Инф. 1.2.а</t>
  </si>
  <si>
    <t>Инф. 1.2.в</t>
  </si>
  <si>
    <t>Инф. 1.2.г</t>
  </si>
  <si>
    <t>Инф. 5.1</t>
  </si>
  <si>
    <t>Общее кол-во поступивших обращений в ТСО</t>
  </si>
  <si>
    <t>Инф. 6.1</t>
  </si>
  <si>
    <t>Инф. 6.2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</si>
  <si>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(Количество правомерных жалоб по ТП от физ лиц)</t>
  </si>
  <si>
    <t>Количество действующих договоров на передачу э/э по состоянию на начало периода</t>
  </si>
  <si>
    <r>
      <t xml:space="preserve">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</t>
    </r>
    <r>
      <rPr>
        <b/>
        <sz val="10"/>
        <rFont val="Arial Cyr"/>
        <charset val="204"/>
      </rPr>
      <t xml:space="preserve"> </t>
    </r>
  </si>
  <si>
    <t xml:space="preserve">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</t>
  </si>
  <si>
    <t>общее количество обращений из оперативного отчета (ячейка "Итого")</t>
  </si>
  <si>
    <t>Количество обращений, зарегистрированных на портале Контакт-Центра</t>
  </si>
  <si>
    <t>Количество вопросов по сбытовой деятельности</t>
  </si>
  <si>
    <t>Суммарное время, затраченное на выполнение работ по правомерным жалобам, дн.</t>
  </si>
  <si>
    <r>
      <t>Количество правомерных жалоб, поступивших и исполненных в отчетном периоде, шт</t>
    </r>
    <r>
      <rPr>
        <sz val="10"/>
        <color indexed="10"/>
        <rFont val="Arial Cyr"/>
        <charset val="204"/>
      </rPr>
      <t xml:space="preserve"> </t>
    </r>
  </si>
  <si>
    <t>Количество заявлений (за исключением ТП и передачи э/э) поступивших и исполненных в отчетном периоде, шт</t>
  </si>
  <si>
    <t>Белгородэнерго</t>
  </si>
  <si>
    <t xml:space="preserve"> - </t>
  </si>
  <si>
    <t>Суммарное время, затраченное на выполнение работ по заявлениям (за исключением ТП и передачи э/э), дн.</t>
  </si>
  <si>
    <t xml:space="preserve"> Форма отчета о фактических значениях параметров показателя качества оказываемых услуг за 12 месяцев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</si>
</sst>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h:mm;@"/>
    <numFmt numFmtId="166" formatCode="0.000"/>
    <numFmt numFmtId="167" formatCode="0.00000000000"/>
    <numFmt numFmtId="168" formatCode="0.0000"/>
    <numFmt numFmtId="169" formatCode="0.0%"/>
    <numFmt numFmtId="170" formatCode="0.00000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Roman"/>
      <family val="1"/>
    </font>
    <font>
      <sz val="10"/>
      <color indexed="10"/>
      <name val="Arial Cyr"/>
      <charset val="204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165" fontId="2" fillId="0" borderId="0">
      <protection locked="0"/>
    </xf>
    <xf numFmtId="0" fontId="2" fillId="0" borderId="0"/>
    <xf numFmtId="0" fontId="30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2" fillId="0" borderId="0" xfId="0" applyFont="1"/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justify" vertical="top" wrapText="1"/>
    </xf>
    <xf numFmtId="0" fontId="24" fillId="0" borderId="14" xfId="0" applyFont="1" applyBorder="1" applyAlignment="1" applyProtection="1">
      <alignment horizontal="justify" vertical="top" wrapText="1"/>
    </xf>
    <xf numFmtId="0" fontId="4" fillId="0" borderId="14" xfId="0" applyFont="1" applyBorder="1" applyAlignment="1" applyProtection="1">
      <alignment horizontal="justify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/>
    </xf>
    <xf numFmtId="0" fontId="3" fillId="0" borderId="11" xfId="0" applyNumberFormat="1" applyFont="1" applyFill="1" applyBorder="1" applyAlignment="1">
      <alignment horizontal="center" vertical="center" wrapText="1"/>
    </xf>
    <xf numFmtId="17" fontId="4" fillId="0" borderId="0" xfId="0" applyNumberFormat="1" applyFont="1"/>
    <xf numFmtId="0" fontId="24" fillId="0" borderId="14" xfId="0" applyFont="1" applyFill="1" applyBorder="1" applyAlignment="1" applyProtection="1">
      <alignment horizontal="justify" vertical="top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1" xfId="0" applyBorder="1" applyAlignment="1">
      <alignment wrapText="1"/>
    </xf>
    <xf numFmtId="0" fontId="0" fillId="24" borderId="11" xfId="0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Continuous"/>
    </xf>
    <xf numFmtId="0" fontId="0" fillId="0" borderId="0" xfId="0" applyAlignment="1">
      <alignment wrapText="1"/>
    </xf>
    <xf numFmtId="165" fontId="4" fillId="25" borderId="14" xfId="36" applyFont="1" applyFill="1" applyBorder="1" applyAlignment="1" applyProtection="1">
      <alignment horizontal="center" vertical="top" wrapText="1"/>
    </xf>
    <xf numFmtId="166" fontId="3" fillId="25" borderId="11" xfId="36" applyNumberFormat="1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left" vertical="top" wrapText="1"/>
    </xf>
    <xf numFmtId="1" fontId="31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top" wrapText="1"/>
    </xf>
    <xf numFmtId="2" fontId="31" fillId="0" borderId="11" xfId="0" applyNumberFormat="1" applyFont="1" applyBorder="1" applyAlignment="1">
      <alignment horizontal="center" vertical="center"/>
    </xf>
    <xf numFmtId="165" fontId="24" fillId="25" borderId="14" xfId="36" applyFont="1" applyFill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wrapText="1"/>
    </xf>
    <xf numFmtId="0" fontId="31" fillId="0" borderId="11" xfId="0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9" fontId="3" fillId="25" borderId="12" xfId="42" applyFont="1" applyFill="1" applyBorder="1" applyAlignment="1" applyProtection="1">
      <alignment horizontal="center" vertical="center" wrapText="1"/>
    </xf>
    <xf numFmtId="9" fontId="31" fillId="0" borderId="11" xfId="42" applyFont="1" applyBorder="1" applyAlignment="1">
      <alignment horizontal="center" vertical="center"/>
    </xf>
    <xf numFmtId="9" fontId="32" fillId="0" borderId="11" xfId="42" applyFont="1" applyBorder="1" applyAlignment="1">
      <alignment horizontal="center" vertical="center"/>
    </xf>
    <xf numFmtId="9" fontId="29" fillId="25" borderId="12" xfId="42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top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1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8" fontId="3" fillId="25" borderId="11" xfId="36" applyNumberFormat="1" applyFont="1" applyFill="1" applyBorder="1" applyAlignment="1" applyProtection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/>
    </xf>
    <xf numFmtId="169" fontId="3" fillId="25" borderId="12" xfId="42" applyNumberFormat="1" applyFont="1" applyFill="1" applyBorder="1" applyAlignment="1" applyProtection="1">
      <alignment horizontal="center" vertical="center" wrapText="1"/>
    </xf>
    <xf numFmtId="9" fontId="3" fillId="0" borderId="11" xfId="42" applyFont="1" applyBorder="1" applyAlignment="1" applyProtection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4" fillId="0" borderId="11" xfId="0" applyNumberFormat="1" applyFont="1" applyFill="1" applyBorder="1" applyAlignment="1"/>
    <xf numFmtId="0" fontId="4" fillId="0" borderId="11" xfId="0" applyFont="1" applyFill="1" applyBorder="1" applyAlignment="1"/>
    <xf numFmtId="167" fontId="4" fillId="0" borderId="12" xfId="0" applyNumberFormat="1" applyFont="1" applyFill="1" applyBorder="1" applyAlignment="1"/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wrapText="1"/>
    </xf>
    <xf numFmtId="167" fontId="3" fillId="0" borderId="12" xfId="0" applyNumberFormat="1" applyFont="1" applyFill="1" applyBorder="1" applyAlignment="1">
      <alignment horizontal="center" wrapText="1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16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6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2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166" fontId="23" fillId="0" borderId="26" xfId="0" applyNumberFormat="1" applyFont="1" applyFill="1" applyBorder="1" applyAlignment="1" applyProtection="1">
      <alignment horizontal="center" vertical="center" wrapText="1"/>
    </xf>
    <xf numFmtId="9" fontId="3" fillId="0" borderId="11" xfId="42" applyFont="1" applyBorder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165" fontId="4" fillId="25" borderId="21" xfId="36" applyFont="1" applyFill="1" applyBorder="1" applyAlignment="1" applyProtection="1">
      <alignment horizontal="center" vertical="center" wrapText="1"/>
    </xf>
    <xf numFmtId="165" fontId="4" fillId="25" borderId="12" xfId="36" applyFont="1" applyFill="1" applyBorder="1" applyAlignment="1" applyProtection="1">
      <alignment horizontal="center" vertical="center" wrapText="1"/>
    </xf>
    <xf numFmtId="165" fontId="4" fillId="25" borderId="13" xfId="36" applyFont="1" applyFill="1" applyBorder="1" applyAlignment="1" applyProtection="1">
      <alignment horizontal="center" vertical="top" wrapText="1"/>
    </xf>
    <xf numFmtId="165" fontId="4" fillId="25" borderId="12" xfId="36" applyFont="1" applyFill="1" applyBorder="1" applyAlignment="1" applyProtection="1">
      <alignment horizontal="center" vertical="top" wrapText="1"/>
    </xf>
    <xf numFmtId="0" fontId="4" fillId="25" borderId="13" xfId="0" applyFont="1" applyFill="1" applyBorder="1" applyAlignment="1" applyProtection="1">
      <alignment horizontal="center" vertical="top" wrapText="1"/>
    </xf>
    <xf numFmtId="0" fontId="4" fillId="25" borderId="11" xfId="0" applyFont="1" applyFill="1" applyBorder="1" applyAlignment="1" applyProtection="1">
      <alignment horizontal="center" vertical="top" wrapText="1"/>
    </xf>
    <xf numFmtId="0" fontId="4" fillId="25" borderId="14" xfId="0" applyFont="1" applyFill="1" applyBorder="1" applyAlignment="1" applyProtection="1">
      <alignment horizontal="center" vertical="top" wrapText="1"/>
    </xf>
    <xf numFmtId="0" fontId="3" fillId="25" borderId="11" xfId="0" applyFont="1" applyFill="1" applyBorder="1" applyAlignment="1" applyProtection="1">
      <alignment horizontal="center" vertical="top" wrapText="1"/>
    </xf>
    <xf numFmtId="0" fontId="3" fillId="25" borderId="12" xfId="0" applyFont="1" applyFill="1" applyBorder="1" applyAlignment="1" applyProtection="1">
      <alignment horizontal="center" vertical="top" wrapText="1"/>
    </xf>
    <xf numFmtId="0" fontId="4" fillId="25" borderId="15" xfId="0" applyFont="1" applyFill="1" applyBorder="1" applyAlignment="1" applyProtection="1">
      <alignment horizontal="center" vertical="top" wrapText="1"/>
    </xf>
    <xf numFmtId="0" fontId="4" fillId="25" borderId="18" xfId="0" applyFont="1" applyFill="1" applyBorder="1" applyAlignment="1" applyProtection="1">
      <alignment horizontal="center" vertical="top" wrapText="1"/>
    </xf>
    <xf numFmtId="0" fontId="4" fillId="25" borderId="19" xfId="0" applyFont="1" applyFill="1" applyBorder="1" applyAlignment="1" applyProtection="1">
      <alignment horizontal="center" vertical="top" wrapText="1"/>
    </xf>
    <xf numFmtId="0" fontId="3" fillId="25" borderId="19" xfId="0" applyFont="1" applyFill="1" applyBorder="1" applyAlignment="1" applyProtection="1">
      <alignment horizontal="center" vertical="top" wrapText="1"/>
    </xf>
    <xf numFmtId="0" fontId="3" fillId="25" borderId="20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Continuous"/>
    </xf>
    <xf numFmtId="0" fontId="3" fillId="24" borderId="11" xfId="0" applyFont="1" applyFill="1" applyBorder="1" applyAlignment="1">
      <alignment horizontal="center" vertical="center" wrapText="1"/>
    </xf>
    <xf numFmtId="0" fontId="3" fillId="0" borderId="0" xfId="0" applyFont="1"/>
    <xf numFmtId="0" fontId="23" fillId="0" borderId="0" xfId="0" applyFont="1"/>
    <xf numFmtId="0" fontId="0" fillId="26" borderId="11" xfId="0" applyFill="1" applyBorder="1" applyAlignment="1">
      <alignment vertical="top" wrapText="1"/>
    </xf>
    <xf numFmtId="1" fontId="3" fillId="0" borderId="11" xfId="0" applyNumberFormat="1" applyFont="1" applyFill="1" applyBorder="1" applyAlignment="1">
      <alignment horizontal="center" wrapText="1"/>
    </xf>
    <xf numFmtId="170" fontId="31" fillId="0" borderId="11" xfId="0" applyNumberFormat="1" applyFont="1" applyBorder="1" applyAlignment="1">
      <alignment horizontal="center" vertical="center"/>
    </xf>
    <xf numFmtId="0" fontId="24" fillId="0" borderId="14" xfId="0" applyFont="1" applyBorder="1" applyAlignment="1" applyProtection="1">
      <alignment horizontal="left" wrapText="1"/>
    </xf>
    <xf numFmtId="0" fontId="0" fillId="0" borderId="0" xfId="0"/>
    <xf numFmtId="0" fontId="0" fillId="0" borderId="32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28" fillId="0" borderId="0" xfId="0" applyFont="1" applyAlignment="1">
      <alignment horizontal="center" wrapText="1"/>
    </xf>
    <xf numFmtId="165" fontId="4" fillId="25" borderId="20" xfId="36" applyFont="1" applyFill="1" applyBorder="1" applyAlignment="1" applyProtection="1">
      <alignment horizontal="center" vertical="center" wrapText="1"/>
    </xf>
    <xf numFmtId="165" fontId="4" fillId="25" borderId="28" xfId="36" applyFont="1" applyFill="1" applyBorder="1" applyAlignment="1" applyProtection="1">
      <alignment horizontal="center" vertical="center" wrapText="1"/>
    </xf>
    <xf numFmtId="165" fontId="4" fillId="25" borderId="29" xfId="36" applyFont="1" applyFill="1" applyBorder="1" applyAlignment="1" applyProtection="1">
      <alignment horizontal="center" vertical="center" wrapText="1"/>
    </xf>
    <xf numFmtId="165" fontId="26" fillId="25" borderId="30" xfId="36" applyFont="1" applyFill="1" applyBorder="1" applyAlignment="1" applyProtection="1">
      <alignment horizontal="center"/>
    </xf>
    <xf numFmtId="165" fontId="26" fillId="25" borderId="31" xfId="36" applyFont="1" applyFill="1" applyBorder="1" applyAlignment="1" applyProtection="1">
      <alignment horizontal="center"/>
    </xf>
    <xf numFmtId="0" fontId="4" fillId="25" borderId="12" xfId="0" applyFont="1" applyFill="1" applyBorder="1" applyAlignment="1" applyProtection="1">
      <alignment horizontal="center" vertical="center" wrapText="1"/>
    </xf>
    <xf numFmtId="0" fontId="4" fillId="25" borderId="14" xfId="0" applyFont="1" applyFill="1" applyBorder="1" applyAlignment="1" applyProtection="1">
      <alignment horizontal="center" vertical="center" wrapText="1"/>
    </xf>
    <xf numFmtId="0" fontId="26" fillId="25" borderId="16" xfId="0" applyFont="1" applyFill="1" applyBorder="1" applyAlignment="1">
      <alignment horizontal="center"/>
    </xf>
    <xf numFmtId="0" fontId="26" fillId="25" borderId="17" xfId="0" applyFont="1" applyFill="1" applyBorder="1" applyAlignment="1">
      <alignment horizontal="center"/>
    </xf>
    <xf numFmtId="0" fontId="26" fillId="25" borderId="10" xfId="0" applyFont="1" applyFill="1" applyBorder="1" applyAlignment="1">
      <alignment horizontal="center"/>
    </xf>
    <xf numFmtId="0" fontId="4" fillId="25" borderId="13" xfId="0" applyFont="1" applyFill="1" applyBorder="1" applyAlignment="1" applyProtection="1">
      <alignment horizontal="center" vertical="top" wrapText="1"/>
    </xf>
    <xf numFmtId="0" fontId="4" fillId="25" borderId="11" xfId="0" applyFont="1" applyFill="1" applyBorder="1" applyAlignment="1" applyProtection="1">
      <alignment horizontal="center" vertical="top" wrapText="1"/>
    </xf>
    <xf numFmtId="0" fontId="4" fillId="25" borderId="11" xfId="0" applyFont="1" applyFill="1" applyBorder="1" applyAlignment="1" applyProtection="1">
      <alignment horizontal="center" vertical="center" wrapText="1"/>
    </xf>
    <xf numFmtId="0" fontId="25" fillId="25" borderId="11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1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1" fontId="3" fillId="0" borderId="22" xfId="0" applyNumberFormat="1" applyFont="1" applyFill="1" applyBorder="1" applyAlignment="1" applyProtection="1">
      <alignment horizontal="center" vertical="center" wrapText="1"/>
    </xf>
    <xf numFmtId="1" fontId="3" fillId="0" borderId="12" xfId="0" applyNumberFormat="1" applyFont="1" applyFill="1" applyBorder="1" applyAlignment="1" applyProtection="1">
      <alignment horizontal="center" vertical="center" wrapText="1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170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horizontal="center" vertical="center" wrapText="1"/>
    </xf>
    <xf numFmtId="170" fontId="3" fillId="0" borderId="11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 applyProtection="1">
      <alignment horizontal="center" vertical="center" wrapText="1"/>
    </xf>
    <xf numFmtId="166" fontId="3" fillId="0" borderId="1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3" xfId="47"/>
    <cellStyle name="Обычный 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Процентный" xfId="42" builtinId="5"/>
    <cellStyle name="Процентный 2" xfId="43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topLeftCell="A46" zoomScale="115" zoomScaleNormal="100" zoomScaleSheetLayoutView="115" workbookViewId="0">
      <selection activeCell="B47" sqref="B47"/>
    </sheetView>
  </sheetViews>
  <sheetFormatPr defaultRowHeight="12.75"/>
  <cols>
    <col min="1" max="1" width="48.7109375" style="27" customWidth="1"/>
    <col min="2" max="2" width="11.85546875" style="27" customWidth="1"/>
    <col min="3" max="5" width="11" style="27" customWidth="1"/>
    <col min="6" max="16384" width="9.140625" style="27"/>
  </cols>
  <sheetData>
    <row r="1" spans="1:5" ht="30" customHeight="1" thickBot="1">
      <c r="A1" s="118" t="s">
        <v>176</v>
      </c>
      <c r="B1" s="118"/>
      <c r="C1" s="118"/>
      <c r="D1" s="118"/>
      <c r="E1" s="118"/>
    </row>
    <row r="2" spans="1:5">
      <c r="A2" s="119" t="s">
        <v>11</v>
      </c>
      <c r="B2" s="122" t="s">
        <v>173</v>
      </c>
      <c r="C2" s="123"/>
      <c r="D2" s="119" t="s">
        <v>153</v>
      </c>
      <c r="E2" s="119" t="s">
        <v>26</v>
      </c>
    </row>
    <row r="3" spans="1:5" ht="28.5" customHeight="1">
      <c r="A3" s="120"/>
      <c r="B3" s="90" t="s">
        <v>150</v>
      </c>
      <c r="C3" s="91" t="s">
        <v>152</v>
      </c>
      <c r="D3" s="120"/>
      <c r="E3" s="120"/>
    </row>
    <row r="4" spans="1:5" ht="25.5">
      <c r="A4" s="121"/>
      <c r="B4" s="92" t="s">
        <v>151</v>
      </c>
      <c r="C4" s="93" t="s">
        <v>137</v>
      </c>
      <c r="D4" s="121"/>
      <c r="E4" s="121"/>
    </row>
    <row r="5" spans="1:5" ht="15.75">
      <c r="A5" s="28" t="s">
        <v>138</v>
      </c>
      <c r="B5" s="29">
        <f>ИНФ!F37</f>
        <v>1.6666666666666667</v>
      </c>
      <c r="C5" s="29">
        <v>2</v>
      </c>
      <c r="D5" s="38">
        <f>B5/C5</f>
        <v>0.83333333333333337</v>
      </c>
      <c r="E5" s="38"/>
    </row>
    <row r="6" spans="1:5" ht="49.5" customHeight="1">
      <c r="A6" s="30" t="s">
        <v>28</v>
      </c>
      <c r="B6" s="31">
        <f>ИНФ!B12</f>
        <v>42.307692307692307</v>
      </c>
      <c r="C6" s="31">
        <f>ИНФ!C12</f>
        <v>55</v>
      </c>
      <c r="D6" s="39">
        <f t="shared" ref="D6:D41" si="0">B6/C6</f>
        <v>0.76923076923076916</v>
      </c>
      <c r="E6" s="40" t="str">
        <f>ИНФ!E12</f>
        <v>прямая</v>
      </c>
    </row>
    <row r="7" spans="1:5" ht="26.25" customHeight="1">
      <c r="A7" s="32" t="s">
        <v>139</v>
      </c>
      <c r="B7" s="31">
        <f>ИНФ!B15</f>
        <v>15</v>
      </c>
      <c r="C7" s="31">
        <f>ИНФ!C15</f>
        <v>5</v>
      </c>
      <c r="D7" s="39">
        <f t="shared" si="0"/>
        <v>3</v>
      </c>
      <c r="E7" s="40" t="str">
        <f>ИНФ!E13</f>
        <v>прямая</v>
      </c>
    </row>
    <row r="8" spans="1:5" ht="37.5" customHeight="1">
      <c r="A8" s="32" t="s">
        <v>140</v>
      </c>
      <c r="B8" s="31">
        <f>ИНФ!B16</f>
        <v>1</v>
      </c>
      <c r="C8" s="31">
        <f>ИНФ!C16</f>
        <v>1</v>
      </c>
      <c r="D8" s="39">
        <f t="shared" si="0"/>
        <v>1</v>
      </c>
      <c r="E8" s="40" t="str">
        <f>ИНФ!E13</f>
        <v>прямая</v>
      </c>
    </row>
    <row r="9" spans="1:5" ht="27" customHeight="1">
      <c r="A9" s="32" t="s">
        <v>141</v>
      </c>
      <c r="B9" s="31">
        <f>ИНФ!B17</f>
        <v>18</v>
      </c>
      <c r="C9" s="31">
        <f>ИНФ!C17</f>
        <v>19</v>
      </c>
      <c r="D9" s="39">
        <f t="shared" si="0"/>
        <v>0.94736842105263153</v>
      </c>
      <c r="E9" s="40" t="str">
        <f>ИНФ!E13</f>
        <v>прямая</v>
      </c>
    </row>
    <row r="10" spans="1:5" ht="36.75" customHeight="1">
      <c r="A10" s="32" t="s">
        <v>142</v>
      </c>
      <c r="B10" s="31">
        <f>ИНФ!B18</f>
        <v>46</v>
      </c>
      <c r="C10" s="31">
        <f>ИНФ!C18</f>
        <v>28</v>
      </c>
      <c r="D10" s="39">
        <f t="shared" si="0"/>
        <v>1.6428571428571428</v>
      </c>
      <c r="E10" s="40" t="str">
        <f>ИНФ!E13</f>
        <v>прямая</v>
      </c>
    </row>
    <row r="11" spans="1:5" ht="38.25">
      <c r="A11" s="32" t="s">
        <v>34</v>
      </c>
      <c r="B11" s="31">
        <f>ИНФ!B22</f>
        <v>1</v>
      </c>
      <c r="C11" s="31">
        <f>ИНФ!C22</f>
        <v>1</v>
      </c>
      <c r="D11" s="39">
        <f t="shared" si="0"/>
        <v>1</v>
      </c>
      <c r="E11" s="40" t="str">
        <f>ИНФ!E22</f>
        <v>прямая</v>
      </c>
    </row>
    <row r="12" spans="1:5" ht="40.5" customHeight="1">
      <c r="A12" s="30" t="s">
        <v>35</v>
      </c>
      <c r="B12" s="31">
        <f>ИНФ!B23</f>
        <v>1</v>
      </c>
      <c r="C12" s="31">
        <f>ИНФ!C23</f>
        <v>1</v>
      </c>
      <c r="D12" s="52">
        <f>IF(C12=0, IF(B12=0,1, 1.2), B12/C12)</f>
        <v>1</v>
      </c>
      <c r="E12" s="40" t="str">
        <f>ИНФ!E23</f>
        <v>прямая</v>
      </c>
    </row>
    <row r="13" spans="1:5" ht="39.75" customHeight="1">
      <c r="A13" s="30" t="s">
        <v>36</v>
      </c>
      <c r="B13" s="31">
        <f>ИНФ!B24</f>
        <v>1</v>
      </c>
      <c r="C13" s="31">
        <f>ИНФ!C24</f>
        <v>1</v>
      </c>
      <c r="D13" s="52">
        <f>IF(C13=0, IF(B13=0,1, 1.2), B13/C13)</f>
        <v>1</v>
      </c>
      <c r="E13" s="40" t="str">
        <f>ИНФ!E24</f>
        <v>прямая</v>
      </c>
    </row>
    <row r="14" spans="1:5" ht="52.5" customHeight="1">
      <c r="A14" s="32" t="s">
        <v>37</v>
      </c>
      <c r="B14" s="31">
        <f>ИНФ!B26</f>
        <v>1</v>
      </c>
      <c r="C14" s="31">
        <f>ИНФ!C26</f>
        <v>1</v>
      </c>
      <c r="D14" s="39">
        <f t="shared" si="0"/>
        <v>1</v>
      </c>
      <c r="E14" s="40" t="str">
        <f>ИНФ!E26</f>
        <v>прямая</v>
      </c>
    </row>
    <row r="15" spans="1:5" ht="64.5" customHeight="1">
      <c r="A15" s="32" t="s">
        <v>38</v>
      </c>
      <c r="B15" s="31">
        <f>ИНФ!B28</f>
        <v>1</v>
      </c>
      <c r="C15" s="31">
        <f>ИНФ!C28</f>
        <v>1</v>
      </c>
      <c r="D15" s="39">
        <f t="shared" si="0"/>
        <v>1</v>
      </c>
      <c r="E15" s="40" t="str">
        <f>ИНФ!E28</f>
        <v>прямая</v>
      </c>
    </row>
    <row r="16" spans="1:5" ht="64.5" customHeight="1">
      <c r="A16" s="30" t="s">
        <v>10</v>
      </c>
      <c r="B16" s="33">
        <f>ИНФ!B32</f>
        <v>0.1649027003696823</v>
      </c>
      <c r="C16" s="50">
        <f>ИНФ!C32</f>
        <v>4.0599999999999996</v>
      </c>
      <c r="D16" s="39">
        <f t="shared" si="0"/>
        <v>4.0616428662483328E-2</v>
      </c>
      <c r="E16" s="40" t="str">
        <f>ИНФ!E32</f>
        <v>обратная</v>
      </c>
    </row>
    <row r="17" spans="1:5" ht="55.5" customHeight="1">
      <c r="A17" s="30" t="s">
        <v>41</v>
      </c>
      <c r="B17" s="33">
        <f>ИНФ!B35</f>
        <v>17.485315918857552</v>
      </c>
      <c r="C17" s="33">
        <f>ИНФ!C35</f>
        <v>48.94</v>
      </c>
      <c r="D17" s="39">
        <f t="shared" si="0"/>
        <v>0.35728066855041996</v>
      </c>
      <c r="E17" s="40" t="str">
        <f>ИНФ!E35</f>
        <v>обратная</v>
      </c>
    </row>
    <row r="18" spans="1:5" ht="75.75" customHeight="1">
      <c r="A18" s="30" t="s">
        <v>42</v>
      </c>
      <c r="B18" s="31">
        <f>ИНФ!B36</f>
        <v>0</v>
      </c>
      <c r="C18" s="31">
        <f>ИНФ!C36</f>
        <v>4.8000000000000001E-4</v>
      </c>
      <c r="D18" s="52">
        <f>IF(C18=0, IF(B18=0,1, 1.2), B18/C18)</f>
        <v>0</v>
      </c>
      <c r="E18" s="40" t="str">
        <f>ИНФ!E36</f>
        <v>обратная</v>
      </c>
    </row>
    <row r="19" spans="1:5" ht="15.75">
      <c r="A19" s="34" t="s">
        <v>143</v>
      </c>
      <c r="B19" s="29">
        <f>ИСП!F38</f>
        <v>0.38300000000000001</v>
      </c>
      <c r="C19" s="29">
        <v>0.58599999999999997</v>
      </c>
      <c r="D19" s="38">
        <f t="shared" si="0"/>
        <v>0.65358361774744034</v>
      </c>
      <c r="E19" s="41"/>
    </row>
    <row r="20" spans="1:5" ht="37.5" customHeight="1">
      <c r="A20" s="30" t="s">
        <v>47</v>
      </c>
      <c r="B20" s="31">
        <f>ИСП!B12</f>
        <v>18.716811461667429</v>
      </c>
      <c r="C20" s="31">
        <f>ИСП!C12</f>
        <v>36</v>
      </c>
      <c r="D20" s="39">
        <f t="shared" si="0"/>
        <v>0.51991142949076197</v>
      </c>
      <c r="E20" s="40" t="str">
        <f>ИСП!E12</f>
        <v>обратная</v>
      </c>
    </row>
    <row r="21" spans="1:5" ht="51" customHeight="1">
      <c r="A21" s="30" t="s">
        <v>48</v>
      </c>
      <c r="B21" s="31">
        <f>ИСП!B13</f>
        <v>120.4749878973697</v>
      </c>
      <c r="C21" s="31">
        <f>ИСП!C13</f>
        <v>181</v>
      </c>
      <c r="D21" s="39">
        <f t="shared" si="0"/>
        <v>0.66560766794126902</v>
      </c>
      <c r="E21" s="40" t="str">
        <f>ИСП!E13</f>
        <v>обратная</v>
      </c>
    </row>
    <row r="22" spans="1:5" ht="50.25" customHeight="1">
      <c r="A22" s="30" t="s">
        <v>50</v>
      </c>
      <c r="B22" s="31">
        <f>ИСП!B17</f>
        <v>19</v>
      </c>
      <c r="C22" s="31">
        <f>ИСП!C17</f>
        <v>16</v>
      </c>
      <c r="D22" s="85" t="s">
        <v>174</v>
      </c>
      <c r="E22" s="40" t="str">
        <f>ИСП!E17</f>
        <v>обратная</v>
      </c>
    </row>
    <row r="23" spans="1:5" ht="36.75" customHeight="1">
      <c r="A23" s="113" t="s">
        <v>144</v>
      </c>
      <c r="B23" s="31">
        <f>ИСП!B19</f>
        <v>28.335864612714253</v>
      </c>
      <c r="C23" s="31">
        <f>ИСП!C19</f>
        <v>22</v>
      </c>
      <c r="D23" s="39">
        <f t="shared" si="0"/>
        <v>1.287993846032466</v>
      </c>
      <c r="E23" s="40" t="str">
        <f>ИСП!E18</f>
        <v>обратная</v>
      </c>
    </row>
    <row r="24" spans="1:5" ht="19.5" customHeight="1">
      <c r="A24" s="30" t="s">
        <v>145</v>
      </c>
      <c r="B24" s="31">
        <f>ИСП!B20</f>
        <v>69.24683544303798</v>
      </c>
      <c r="C24" s="31">
        <f>ИСП!C20</f>
        <v>60</v>
      </c>
      <c r="D24" s="39">
        <f t="shared" si="0"/>
        <v>1.1541139240506331</v>
      </c>
      <c r="E24" s="40" t="str">
        <f>ИСП!E18</f>
        <v>обратная</v>
      </c>
    </row>
    <row r="25" spans="1:5" ht="79.5" customHeight="1">
      <c r="A25" s="30" t="s">
        <v>53</v>
      </c>
      <c r="B25" s="37">
        <f>ИСП!B21</f>
        <v>0</v>
      </c>
      <c r="C25" s="31">
        <f>ИСП!C21</f>
        <v>11.16</v>
      </c>
      <c r="D25" s="52">
        <f>IF(C25=0, IF(B25=0,1, 1.2), B25/C25)</f>
        <v>0</v>
      </c>
      <c r="E25" s="40" t="str">
        <f>ИСП!E21</f>
        <v>обратная</v>
      </c>
    </row>
    <row r="26" spans="1:5" ht="116.25" customHeight="1">
      <c r="A26" s="30" t="s">
        <v>54</v>
      </c>
      <c r="B26" s="37">
        <f>ИСП!B25</f>
        <v>0</v>
      </c>
      <c r="C26" s="33">
        <f>ИСП!C25</f>
        <v>0</v>
      </c>
      <c r="D26" s="52">
        <f>IF(C26=0, IF(B26=0,1, 1.2), B26/C26)</f>
        <v>1</v>
      </c>
      <c r="E26" s="40" t="str">
        <f>ИСП!E25</f>
        <v>обратная</v>
      </c>
    </row>
    <row r="27" spans="1:5" ht="77.25" customHeight="1">
      <c r="A27" s="30" t="s">
        <v>14</v>
      </c>
      <c r="B27" s="31">
        <f>ИСП!B27</f>
        <v>0</v>
      </c>
      <c r="C27" s="31">
        <f>ИСП!C27</f>
        <v>0</v>
      </c>
      <c r="D27" s="52">
        <f>IF(C27=0, IF(B27=0,1, 1.2), B27/C27)</f>
        <v>1</v>
      </c>
      <c r="E27" s="40" t="str">
        <f>ИСП!E27</f>
        <v>обратная</v>
      </c>
    </row>
    <row r="28" spans="1:5" ht="51" customHeight="1">
      <c r="A28" s="30" t="s">
        <v>16</v>
      </c>
      <c r="B28" s="33">
        <f>ИСП!B30</f>
        <v>0.30845953198596332</v>
      </c>
      <c r="C28" s="33">
        <f>ИСП!C30</f>
        <v>1.74</v>
      </c>
      <c r="D28" s="39">
        <f t="shared" si="0"/>
        <v>0.17727559309538121</v>
      </c>
      <c r="E28" s="40" t="str">
        <f>ИСП!E30</f>
        <v>обратная</v>
      </c>
    </row>
    <row r="29" spans="1:5" ht="50.25" customHeight="1">
      <c r="A29" s="30" t="s">
        <v>56</v>
      </c>
      <c r="B29" s="31">
        <f>ИСП!B34</f>
        <v>1</v>
      </c>
      <c r="C29" s="31">
        <f>ИСП!C34</f>
        <v>1</v>
      </c>
      <c r="D29" s="39">
        <f t="shared" si="0"/>
        <v>1</v>
      </c>
      <c r="E29" s="40" t="str">
        <f>ИСП!E34</f>
        <v>прямая</v>
      </c>
    </row>
    <row r="30" spans="1:5" ht="78" customHeight="1">
      <c r="A30" s="30" t="s">
        <v>57</v>
      </c>
      <c r="B30" s="31">
        <f>ИСП!B35</f>
        <v>0</v>
      </c>
      <c r="C30" s="31">
        <f>ИСП!C35</f>
        <v>4.8999999999999998E-4</v>
      </c>
      <c r="D30" s="52">
        <f>IF(C30=0, IF(B30=0,1, 1.2), B30/C30)</f>
        <v>0</v>
      </c>
      <c r="E30" s="40" t="str">
        <f>ИСП!E35</f>
        <v>обратная</v>
      </c>
    </row>
    <row r="31" spans="1:5" ht="52.5" customHeight="1">
      <c r="A31" s="30" t="s">
        <v>58</v>
      </c>
      <c r="B31" s="31">
        <f>ИСП!B37</f>
        <v>0</v>
      </c>
      <c r="C31" s="31">
        <f>ИСП!C37</f>
        <v>0</v>
      </c>
      <c r="D31" s="52">
        <f>IF(C31=0, IF(B31=0,1, 1.2), B31/C31)</f>
        <v>1</v>
      </c>
      <c r="E31" s="40" t="str">
        <f>ИСП!E37</f>
        <v>обратная</v>
      </c>
    </row>
    <row r="32" spans="1:5" ht="15.75">
      <c r="A32" s="34" t="s">
        <v>146</v>
      </c>
      <c r="B32" s="29">
        <f>РОС!F37</f>
        <v>2</v>
      </c>
      <c r="C32" s="29">
        <v>2</v>
      </c>
      <c r="D32" s="38">
        <f t="shared" si="0"/>
        <v>1</v>
      </c>
      <c r="E32" s="41"/>
    </row>
    <row r="33" spans="1:5" ht="51" customHeight="1">
      <c r="A33" s="35" t="s">
        <v>60</v>
      </c>
      <c r="B33" s="36">
        <f>РОС!B10</f>
        <v>1</v>
      </c>
      <c r="C33" s="36">
        <f>РОС!C10</f>
        <v>1</v>
      </c>
      <c r="D33" s="39">
        <f t="shared" si="0"/>
        <v>1</v>
      </c>
      <c r="E33" s="40" t="str">
        <f>РОС!E10</f>
        <v>прямая</v>
      </c>
    </row>
    <row r="34" spans="1:5" ht="50.25" customHeight="1">
      <c r="A34" s="35" t="s">
        <v>61</v>
      </c>
      <c r="B34" s="50">
        <f>РОС!B14</f>
        <v>0.81888382217718481</v>
      </c>
      <c r="C34" s="33">
        <f>РОС!C14</f>
        <v>2.08</v>
      </c>
      <c r="D34" s="39">
        <f t="shared" si="0"/>
        <v>0.39369414527749269</v>
      </c>
      <c r="E34" s="40" t="str">
        <f>РОС!E14</f>
        <v>обратная</v>
      </c>
    </row>
    <row r="35" spans="1:5" ht="65.25" customHeight="1">
      <c r="A35" s="35" t="s">
        <v>62</v>
      </c>
      <c r="B35" s="31">
        <f>РОС!B15</f>
        <v>84.904038957318818</v>
      </c>
      <c r="C35" s="33">
        <f>РОС!C15</f>
        <v>100</v>
      </c>
      <c r="D35" s="39">
        <f t="shared" si="0"/>
        <v>0.84904038957318817</v>
      </c>
      <c r="E35" s="40" t="str">
        <f>РОС!E15</f>
        <v>прямая</v>
      </c>
    </row>
    <row r="36" spans="1:5" ht="77.25" customHeight="1">
      <c r="A36" s="35" t="s">
        <v>63</v>
      </c>
      <c r="B36" s="33">
        <f>РОС!B16</f>
        <v>0.16869095816464239</v>
      </c>
      <c r="C36" s="33">
        <f>РОС!C16</f>
        <v>37.880000000000003</v>
      </c>
      <c r="D36" s="39">
        <f t="shared" si="0"/>
        <v>4.4532987899852791E-3</v>
      </c>
      <c r="E36" s="40" t="str">
        <f>РОС!E16</f>
        <v>обратная</v>
      </c>
    </row>
    <row r="37" spans="1:5" ht="75.75" customHeight="1">
      <c r="A37" s="35" t="s">
        <v>64</v>
      </c>
      <c r="B37" s="112">
        <f>РОС!B17</f>
        <v>4.6913997260222557E-4</v>
      </c>
      <c r="C37" s="112">
        <f>РОС!C17</f>
        <v>2.7999999999999998E-4</v>
      </c>
      <c r="D37" s="52">
        <f>IF(C37=0, IF(B37=0,1, 1.2), B37/C37)</f>
        <v>1.6754999021508057</v>
      </c>
      <c r="E37" s="40" t="str">
        <f>РОС!E17</f>
        <v>обратная</v>
      </c>
    </row>
    <row r="38" spans="1:5" ht="52.5" customHeight="1">
      <c r="A38" s="35" t="s">
        <v>65</v>
      </c>
      <c r="B38" s="33">
        <f>РОС!B18</f>
        <v>3.5863405205577137</v>
      </c>
      <c r="C38" s="33">
        <f>РОС!C18</f>
        <v>7.43</v>
      </c>
      <c r="D38" s="39">
        <f t="shared" si="0"/>
        <v>0.48268378473185919</v>
      </c>
      <c r="E38" s="40" t="str">
        <f>РОС!E18</f>
        <v>прямая</v>
      </c>
    </row>
    <row r="39" spans="1:5" ht="39" customHeight="1">
      <c r="A39" s="35" t="s">
        <v>66</v>
      </c>
      <c r="B39" s="31">
        <f>РОС!B19</f>
        <v>19</v>
      </c>
      <c r="C39" s="31">
        <f>РОС!C19</f>
        <v>18</v>
      </c>
      <c r="D39" s="39">
        <f t="shared" si="0"/>
        <v>1.0555555555555556</v>
      </c>
      <c r="E39" s="40" t="str">
        <f>РОС!E19</f>
        <v>прямая</v>
      </c>
    </row>
    <row r="40" spans="1:5" ht="25.5" customHeight="1">
      <c r="A40" s="35" t="s">
        <v>68</v>
      </c>
      <c r="B40" s="31">
        <f>РОС!B23</f>
        <v>19.99736733854381</v>
      </c>
      <c r="C40" s="31">
        <f>РОС!C23</f>
        <v>32</v>
      </c>
      <c r="D40" s="39">
        <f t="shared" si="0"/>
        <v>0.62491772932949408</v>
      </c>
      <c r="E40" s="40" t="str">
        <f>РОС!E23</f>
        <v>обратная</v>
      </c>
    </row>
    <row r="41" spans="1:5" ht="15" customHeight="1">
      <c r="A41" s="35" t="s">
        <v>147</v>
      </c>
      <c r="B41" s="33">
        <f>РОС!B25</f>
        <v>0.76853851946140139</v>
      </c>
      <c r="C41" s="37">
        <f>РОС!C25</f>
        <v>11.9</v>
      </c>
      <c r="D41" s="39">
        <f t="shared" si="0"/>
        <v>6.4583068862302639E-2</v>
      </c>
      <c r="E41" s="40">
        <f>РОС!E24</f>
        <v>0</v>
      </c>
    </row>
    <row r="42" spans="1:5" ht="25.5">
      <c r="A42" s="35" t="s">
        <v>148</v>
      </c>
      <c r="B42" s="37">
        <f>РОС!B26</f>
        <v>2.2604074101805923E-2</v>
      </c>
      <c r="C42" s="37">
        <f>РОС!C26</f>
        <v>0.10299999999999999</v>
      </c>
      <c r="D42" s="52">
        <f>IF(C42=0, IF(B42=0,1, 1.2), B42/C42)</f>
        <v>0.21945703011462062</v>
      </c>
      <c r="E42" s="40">
        <f>РОС!E24</f>
        <v>0</v>
      </c>
    </row>
    <row r="43" spans="1:5" ht="25.5">
      <c r="A43" s="35" t="s">
        <v>149</v>
      </c>
      <c r="B43" s="31">
        <f>РОС!B27</f>
        <v>0</v>
      </c>
      <c r="C43" s="86">
        <f>РОС!C27</f>
        <v>0.10299999999999999</v>
      </c>
      <c r="D43" s="52">
        <f>IF(C43=0, IF(B43=0,1, 1.2), B43/C43)</f>
        <v>0</v>
      </c>
      <c r="E43" s="40">
        <f>РОС!E24</f>
        <v>0</v>
      </c>
    </row>
    <row r="44" spans="1:5" ht="39" customHeight="1">
      <c r="A44" s="35" t="s">
        <v>3</v>
      </c>
      <c r="B44" s="31">
        <f>РОС!B30</f>
        <v>6.4230955176462459</v>
      </c>
      <c r="C44" s="31">
        <f>РОС!C30</f>
        <v>0</v>
      </c>
      <c r="D44" s="52">
        <f>IF(C44=0, IF(B44=0,1, 1.2), B44/C44)</f>
        <v>1.2</v>
      </c>
      <c r="E44" s="40" t="str">
        <f>РОС!E30</f>
        <v>обратная</v>
      </c>
    </row>
    <row r="45" spans="1:5" ht="38.25" customHeight="1">
      <c r="A45" s="35" t="s">
        <v>71</v>
      </c>
      <c r="B45" s="37">
        <f>РОС!B34</f>
        <v>1.1333333333333333</v>
      </c>
      <c r="C45" s="37">
        <f>РОС!C34</f>
        <v>0.24299999999999999</v>
      </c>
      <c r="D45" s="52">
        <f>B45/C45</f>
        <v>4.6639231824417013</v>
      </c>
      <c r="E45" s="40" t="str">
        <f>РОС!E34</f>
        <v>обратная</v>
      </c>
    </row>
    <row r="46" spans="1:5" ht="75" customHeight="1">
      <c r="A46" s="35" t="s">
        <v>72</v>
      </c>
      <c r="B46" s="31">
        <f>РОС!B35</f>
        <v>100</v>
      </c>
      <c r="C46" s="31">
        <f>РОС!C35</f>
        <v>43</v>
      </c>
      <c r="D46" s="52">
        <f>B46/C46</f>
        <v>2.3255813953488373</v>
      </c>
      <c r="E46" s="40" t="str">
        <f>РОС!E35</f>
        <v>прямая</v>
      </c>
    </row>
    <row r="47" spans="1:5" ht="15.75">
      <c r="A47" s="34" t="s">
        <v>154</v>
      </c>
      <c r="B47" s="49">
        <f>0.1*B5+0.7*B19+0.2*B32</f>
        <v>0.83476666666666666</v>
      </c>
      <c r="C47" s="49">
        <f>0.1*C5+0.7*C19+0.2*C32</f>
        <v>1.0102</v>
      </c>
      <c r="D47" s="51">
        <f>B47/C47</f>
        <v>0.82633801887415037</v>
      </c>
      <c r="E47" s="41"/>
    </row>
    <row r="48" spans="1:5" ht="6" customHeight="1"/>
    <row r="49" spans="1:5" ht="6" customHeight="1">
      <c r="A49" s="105"/>
      <c r="B49" s="105"/>
      <c r="C49" s="105"/>
      <c r="D49" s="105"/>
      <c r="E49" s="105"/>
    </row>
  </sheetData>
  <sheetProtection selectLockedCells="1" selectUnlockedCells="1"/>
  <protectedRanges>
    <protectedRange sqref="B5:B17 C6:C17" name="Диапазон1_1"/>
  </protectedRanges>
  <mergeCells count="5">
    <mergeCell ref="A1:E1"/>
    <mergeCell ref="A2:A4"/>
    <mergeCell ref="B2:C2"/>
    <mergeCell ref="D2:D4"/>
    <mergeCell ref="E2:E4"/>
  </mergeCells>
  <pageMargins left="0.70866141732283472" right="0.70866141732283472" top="0.27559055118110237" bottom="0.19685039370078741" header="0.31496062992125984" footer="0.31496062992125984"/>
  <pageSetup paperSize="9" scale="9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31" zoomScaleNormal="100" zoomScaleSheetLayoutView="100" workbookViewId="0">
      <pane xSplit="1" topLeftCell="B1" activePane="topRight" state="frozen"/>
      <selection pane="topRight" activeCell="B12" sqref="B12:F37"/>
    </sheetView>
  </sheetViews>
  <sheetFormatPr defaultRowHeight="12.75"/>
  <cols>
    <col min="1" max="1" width="77.7109375" style="6" customWidth="1"/>
    <col min="2" max="3" width="8.28515625" style="6" customWidth="1"/>
    <col min="4" max="6" width="8.28515625" customWidth="1"/>
  </cols>
  <sheetData>
    <row r="2" spans="1:7" s="1" customFormat="1" ht="14.25">
      <c r="A2" s="2"/>
      <c r="B2" s="45"/>
      <c r="C2" s="46"/>
      <c r="D2" s="46"/>
      <c r="E2" s="46"/>
      <c r="F2" s="46"/>
    </row>
    <row r="3" spans="1:7" s="1" customFormat="1">
      <c r="A3" s="2"/>
      <c r="B3" s="46"/>
      <c r="C3" s="46"/>
      <c r="D3" s="46"/>
      <c r="E3" s="46"/>
      <c r="F3" s="46"/>
      <c r="G3" s="15"/>
    </row>
    <row r="4" spans="1:7" s="1" customFormat="1">
      <c r="A4" s="2"/>
      <c r="B4" s="46"/>
      <c r="C4" s="46"/>
      <c r="D4" s="46"/>
      <c r="E4" s="46"/>
      <c r="F4" s="46"/>
    </row>
    <row r="5" spans="1:7" s="1" customFormat="1" ht="13.5" thickBot="1">
      <c r="A5" s="2"/>
    </row>
    <row r="6" spans="1:7">
      <c r="A6" s="125" t="s">
        <v>11</v>
      </c>
      <c r="B6" s="126" t="str">
        <f>Свод!B2</f>
        <v>Белгородэнерго</v>
      </c>
      <c r="C6" s="127"/>
      <c r="D6" s="127"/>
      <c r="E6" s="127"/>
      <c r="F6" s="128"/>
    </row>
    <row r="7" spans="1:7">
      <c r="A7" s="125"/>
      <c r="B7" s="129" t="s">
        <v>4</v>
      </c>
      <c r="C7" s="130"/>
      <c r="D7" s="131" t="s">
        <v>25</v>
      </c>
      <c r="E7" s="131" t="s">
        <v>26</v>
      </c>
      <c r="F7" s="124" t="s">
        <v>2</v>
      </c>
    </row>
    <row r="8" spans="1:7">
      <c r="A8" s="125"/>
      <c r="B8" s="94" t="s">
        <v>44</v>
      </c>
      <c r="C8" s="95" t="s">
        <v>45</v>
      </c>
      <c r="D8" s="132"/>
      <c r="E8" s="131"/>
      <c r="F8" s="124"/>
    </row>
    <row r="9" spans="1:7" ht="15.75">
      <c r="A9" s="96">
        <v>1</v>
      </c>
      <c r="B9" s="94">
        <v>2</v>
      </c>
      <c r="C9" s="95">
        <v>3</v>
      </c>
      <c r="D9" s="97">
        <v>4</v>
      </c>
      <c r="E9" s="97">
        <v>5</v>
      </c>
      <c r="F9" s="98">
        <v>6</v>
      </c>
    </row>
    <row r="10" spans="1:7" ht="25.5">
      <c r="A10" s="8" t="s">
        <v>27</v>
      </c>
      <c r="B10" s="7" t="s">
        <v>1</v>
      </c>
      <c r="C10" s="14" t="s">
        <v>1</v>
      </c>
      <c r="D10" s="4" t="s">
        <v>1</v>
      </c>
      <c r="E10" s="4" t="s">
        <v>1</v>
      </c>
      <c r="F10" s="5">
        <f>AVERAGE(F12:F13)</f>
        <v>2</v>
      </c>
    </row>
    <row r="11" spans="1:7" ht="15.75">
      <c r="A11" s="8" t="s">
        <v>5</v>
      </c>
      <c r="B11" s="7"/>
      <c r="C11" s="14"/>
      <c r="D11" s="4"/>
      <c r="E11" s="4"/>
      <c r="F11" s="5"/>
    </row>
    <row r="12" spans="1:7" ht="25.5">
      <c r="A12" s="9" t="s">
        <v>28</v>
      </c>
      <c r="B12" s="137">
        <f>Исходные!C3/Исходные!C4*100</f>
        <v>42.307692307692307</v>
      </c>
      <c r="C12" s="138">
        <v>55</v>
      </c>
      <c r="D12" s="18">
        <f>IF(C12=0, IF(B12=0,100, 120), B12/C12*100)</f>
        <v>76.92307692307692</v>
      </c>
      <c r="E12" s="18" t="s">
        <v>23</v>
      </c>
      <c r="F12" s="61">
        <f>IF(OR(AND(D12&lt;80,E12="прямая"),AND(D12&gt;120,E12="обратная")),3,IF(OR(AND(D12&gt;120,E12="прямая"),AND(D12&lt;80,E12="обратная")),1,2))</f>
        <v>3</v>
      </c>
    </row>
    <row r="13" spans="1:7" ht="38.25">
      <c r="A13" s="9" t="s">
        <v>29</v>
      </c>
      <c r="B13" s="139">
        <f>SUM(B15:B18)</f>
        <v>80</v>
      </c>
      <c r="C13" s="138">
        <v>53</v>
      </c>
      <c r="D13" s="140">
        <f>IF(C13=0, IF(B13=0,100, 120), B13/C13*100)</f>
        <v>150.9433962264151</v>
      </c>
      <c r="E13" s="18" t="s">
        <v>23</v>
      </c>
      <c r="F13" s="61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9" t="s">
        <v>30</v>
      </c>
      <c r="B14" s="76"/>
      <c r="C14" s="77"/>
      <c r="D14" s="18"/>
      <c r="E14" s="18"/>
      <c r="F14" s="78"/>
    </row>
    <row r="15" spans="1:7" ht="25.5">
      <c r="A15" s="8" t="s">
        <v>31</v>
      </c>
      <c r="B15" s="24">
        <f>Исходные!C5</f>
        <v>15</v>
      </c>
      <c r="C15" s="138">
        <v>5</v>
      </c>
      <c r="D15" s="18"/>
      <c r="E15" s="18" t="s">
        <v>1</v>
      </c>
      <c r="F15" s="141" t="s">
        <v>1</v>
      </c>
    </row>
    <row r="16" spans="1:7" ht="38.25">
      <c r="A16" s="8" t="s">
        <v>32</v>
      </c>
      <c r="B16" s="24">
        <v>1</v>
      </c>
      <c r="C16" s="138">
        <v>1</v>
      </c>
      <c r="D16" s="18"/>
      <c r="E16" s="18" t="s">
        <v>1</v>
      </c>
      <c r="F16" s="141" t="s">
        <v>1</v>
      </c>
    </row>
    <row r="17" spans="1:6" ht="25.5">
      <c r="A17" s="8" t="s">
        <v>6</v>
      </c>
      <c r="B17" s="24">
        <f>Исходные!C6</f>
        <v>18</v>
      </c>
      <c r="C17" s="138">
        <v>19</v>
      </c>
      <c r="D17" s="18"/>
      <c r="E17" s="18" t="s">
        <v>1</v>
      </c>
      <c r="F17" s="141" t="s">
        <v>1</v>
      </c>
    </row>
    <row r="18" spans="1:6" ht="25.5">
      <c r="A18" s="8" t="s">
        <v>7</v>
      </c>
      <c r="B18" s="24">
        <f>Исходные!C7</f>
        <v>46</v>
      </c>
      <c r="C18" s="138">
        <v>28</v>
      </c>
      <c r="D18" s="18"/>
      <c r="E18" s="18" t="s">
        <v>1</v>
      </c>
      <c r="F18" s="141" t="s">
        <v>1</v>
      </c>
    </row>
    <row r="19" spans="1:6" ht="15.75">
      <c r="A19" s="9"/>
      <c r="B19" s="76"/>
      <c r="C19" s="77"/>
      <c r="D19" s="18"/>
      <c r="E19" s="18"/>
      <c r="F19" s="78"/>
    </row>
    <row r="20" spans="1:6" ht="25.5">
      <c r="A20" s="8" t="s">
        <v>33</v>
      </c>
      <c r="B20" s="75" t="s">
        <v>1</v>
      </c>
      <c r="C20" s="74" t="s">
        <v>1</v>
      </c>
      <c r="D20" s="80" t="s">
        <v>1</v>
      </c>
      <c r="E20" s="80" t="s">
        <v>1</v>
      </c>
      <c r="F20" s="54">
        <f>AVERAGE(F22:F24)</f>
        <v>2</v>
      </c>
    </row>
    <row r="21" spans="1:6" ht="15.75">
      <c r="A21" s="8" t="s">
        <v>8</v>
      </c>
      <c r="B21" s="76"/>
      <c r="C21" s="77"/>
      <c r="D21" s="18"/>
      <c r="E21" s="18"/>
      <c r="F21" s="78"/>
    </row>
    <row r="22" spans="1:6" ht="25.5">
      <c r="A22" s="8" t="s">
        <v>34</v>
      </c>
      <c r="B22" s="24">
        <v>1</v>
      </c>
      <c r="C22" s="138">
        <v>1</v>
      </c>
      <c r="D22" s="18">
        <f t="shared" ref="D22:D28" si="0">IF(C22=0, IF(B22=0,100, 120), B22/C22*100)</f>
        <v>100</v>
      </c>
      <c r="E22" s="18" t="s">
        <v>23</v>
      </c>
      <c r="F22" s="61">
        <f>IF(OR(AND(D22&lt;80,E22="прямая"),AND(D22&gt;120,E22="обратная")),3,IF(OR(AND(D22&gt;120,E22="прямая"),AND(D22&lt;80,E22="обратная")),1,2))</f>
        <v>2</v>
      </c>
    </row>
    <row r="23" spans="1:6" ht="25.5">
      <c r="A23" s="9" t="s">
        <v>35</v>
      </c>
      <c r="B23" s="24">
        <v>1</v>
      </c>
      <c r="C23" s="138">
        <v>1</v>
      </c>
      <c r="D23" s="18">
        <f t="shared" si="0"/>
        <v>100</v>
      </c>
      <c r="E23" s="18" t="s">
        <v>23</v>
      </c>
      <c r="F23" s="61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9" t="s">
        <v>36</v>
      </c>
      <c r="B24" s="24">
        <v>1</v>
      </c>
      <c r="C24" s="74">
        <v>1</v>
      </c>
      <c r="D24" s="18">
        <f t="shared" si="0"/>
        <v>100</v>
      </c>
      <c r="E24" s="18" t="s">
        <v>23</v>
      </c>
      <c r="F24" s="61">
        <f>IF(OR(AND(D24&lt;80,E24="прямая"),AND(D24&gt;120,E24="обратная")),3,IF(OR(AND(D24&gt;120,E24="прямая"),AND(D24&lt;80,E24="обратная")),1,2))</f>
        <v>2</v>
      </c>
    </row>
    <row r="25" spans="1:6" ht="15.75">
      <c r="A25" s="8"/>
      <c r="B25" s="75"/>
      <c r="C25" s="74"/>
      <c r="D25" s="18"/>
      <c r="E25" s="18"/>
      <c r="F25" s="61"/>
    </row>
    <row r="26" spans="1:6" ht="38.25">
      <c r="A26" s="8" t="s">
        <v>37</v>
      </c>
      <c r="B26" s="24">
        <v>1</v>
      </c>
      <c r="C26" s="138">
        <v>1</v>
      </c>
      <c r="D26" s="18">
        <f t="shared" si="0"/>
        <v>100</v>
      </c>
      <c r="E26" s="18" t="s">
        <v>23</v>
      </c>
      <c r="F26" s="61">
        <f>IF(OR(AND(D26&lt;80,E26="прямая"),AND(D26&gt;120,E26="обратная")),3,IF(OR(AND(D26&gt;120,E26="прямая"),AND(D26&lt;80,E26="обратная")),1,2))</f>
        <v>2</v>
      </c>
    </row>
    <row r="27" spans="1:6" ht="15.75">
      <c r="A27" s="8"/>
      <c r="B27" s="75"/>
      <c r="C27" s="74"/>
      <c r="D27" s="18"/>
      <c r="E27" s="18"/>
      <c r="F27" s="61"/>
    </row>
    <row r="28" spans="1:6" ht="38.25">
      <c r="A28" s="8" t="s">
        <v>38</v>
      </c>
      <c r="B28" s="24">
        <v>1</v>
      </c>
      <c r="C28" s="138">
        <v>1</v>
      </c>
      <c r="D28" s="18">
        <f t="shared" si="0"/>
        <v>100</v>
      </c>
      <c r="E28" s="18" t="s">
        <v>23</v>
      </c>
      <c r="F28" s="61">
        <f>IF(OR(AND(D28&lt;80,E28="прямая"),AND(D28&gt;120,E28="обратная")),3,IF(OR(AND(D28&gt;120,E28="прямая"),AND(D28&lt;80,E28="обратная")),1,2))</f>
        <v>2</v>
      </c>
    </row>
    <row r="29" spans="1:6" ht="15.75">
      <c r="A29" s="8"/>
      <c r="B29" s="76"/>
      <c r="C29" s="77"/>
      <c r="D29" s="18"/>
      <c r="E29" s="18"/>
      <c r="F29" s="61"/>
    </row>
    <row r="30" spans="1:6" ht="25.5">
      <c r="A30" s="8" t="s">
        <v>9</v>
      </c>
      <c r="B30" s="75" t="s">
        <v>1</v>
      </c>
      <c r="C30" s="74" t="s">
        <v>1</v>
      </c>
      <c r="D30" s="18" t="s">
        <v>1</v>
      </c>
      <c r="E30" s="18" t="s">
        <v>1</v>
      </c>
      <c r="F30" s="61">
        <f>F32/1</f>
        <v>1</v>
      </c>
    </row>
    <row r="31" spans="1:6" ht="15.75">
      <c r="A31" s="8" t="s">
        <v>39</v>
      </c>
      <c r="B31" s="76"/>
      <c r="C31" s="77"/>
      <c r="D31" s="18"/>
      <c r="E31" s="18"/>
      <c r="F31" s="78"/>
    </row>
    <row r="32" spans="1:6" ht="38.25">
      <c r="A32" s="9" t="s">
        <v>10</v>
      </c>
      <c r="B32" s="79">
        <f>100*Исходные!C8/Исходные!C9</f>
        <v>0.1649027003696823</v>
      </c>
      <c r="C32" s="142">
        <v>4.0599999999999996</v>
      </c>
      <c r="D32" s="18">
        <f>IF(C32=0, IF(B32=0,100, 120), B32/C32*100)</f>
        <v>4.0616428662483326</v>
      </c>
      <c r="E32" s="18" t="s">
        <v>24</v>
      </c>
      <c r="F32" s="61">
        <f>IF(OR(AND(D32&lt;80,E32="прямая"),AND(D32&gt;120,E32="обратная")),3,IF(OR(AND(D32&gt;120,E32="прямая"),AND(D32&lt;80,E32="обратная")),1,2))</f>
        <v>1</v>
      </c>
    </row>
    <row r="33" spans="1:6" ht="25.5">
      <c r="A33" s="8" t="s">
        <v>40</v>
      </c>
      <c r="B33" s="75" t="s">
        <v>1</v>
      </c>
      <c r="C33" s="74" t="s">
        <v>1</v>
      </c>
      <c r="D33" s="80" t="s">
        <v>1</v>
      </c>
      <c r="E33" s="80" t="s">
        <v>1</v>
      </c>
      <c r="F33" s="61">
        <f>AVERAGE(F35:F36)</f>
        <v>1</v>
      </c>
    </row>
    <row r="34" spans="1:6" ht="15.75">
      <c r="A34" s="8" t="s">
        <v>5</v>
      </c>
      <c r="B34" s="75"/>
      <c r="C34" s="74"/>
      <c r="D34" s="18"/>
      <c r="E34" s="18"/>
      <c r="F34" s="61"/>
    </row>
    <row r="35" spans="1:6" ht="38.25">
      <c r="A35" s="9" t="s">
        <v>41</v>
      </c>
      <c r="B35" s="79">
        <f>100*Исходные!C13/Исходные!C14</f>
        <v>17.485315918857552</v>
      </c>
      <c r="C35" s="142">
        <v>48.94</v>
      </c>
      <c r="D35" s="18">
        <f>IF(C35=0, IF(B35=0,100, 120), B35/C35*100)</f>
        <v>35.728066855041995</v>
      </c>
      <c r="E35" s="18" t="s">
        <v>24</v>
      </c>
      <c r="F35" s="61">
        <f>IF(OR(AND(D35&lt;80,E35="прямая"),AND(D35&gt;120,E35="обратная")),3,IF(OR(AND(D35&gt;120,E35="прямая"),AND(D35&lt;80,E35="обратная")),1,2))</f>
        <v>1</v>
      </c>
    </row>
    <row r="36" spans="1:6" ht="51">
      <c r="A36" s="9" t="s">
        <v>42</v>
      </c>
      <c r="B36" s="24">
        <f>100*Исходные!C15/Исходные!C16</f>
        <v>0</v>
      </c>
      <c r="C36" s="143">
        <v>4.8000000000000001E-4</v>
      </c>
      <c r="D36" s="18">
        <f>IF(C36=0, IF(B36=0,100, 120), B36/C36*100)</f>
        <v>0</v>
      </c>
      <c r="E36" s="18" t="s">
        <v>24</v>
      </c>
      <c r="F36" s="61">
        <f>IF(OR(AND(D36&lt;80,E36="прямая"),AND(D36&gt;120,E36="обратная")),3,IF(OR(AND(D36&gt;120,E36="прямая"),AND(D36&lt;80,E36="обратная")),1,2))</f>
        <v>1</v>
      </c>
    </row>
    <row r="37" spans="1:6" ht="16.5" thickBot="1">
      <c r="A37" s="10" t="s">
        <v>43</v>
      </c>
      <c r="B37" s="81" t="s">
        <v>1</v>
      </c>
      <c r="C37" s="82" t="s">
        <v>1</v>
      </c>
      <c r="D37" s="83" t="s">
        <v>1</v>
      </c>
      <c r="E37" s="83" t="s">
        <v>1</v>
      </c>
      <c r="F37" s="84">
        <f>AVERAGE(F10,F20,F26,F28,F30,F33)</f>
        <v>1.6666666666666667</v>
      </c>
    </row>
  </sheetData>
  <sheetProtection selectLockedCells="1" selectUnlockedCells="1"/>
  <protectedRanges>
    <protectedRange sqref="B12:B36" name="Диапазон1"/>
    <protectedRange sqref="C12:C36" name="Диапазон1_2"/>
  </protectedRanges>
  <mergeCells count="6">
    <mergeCell ref="F7:F8"/>
    <mergeCell ref="A6:A8"/>
    <mergeCell ref="B6:F6"/>
    <mergeCell ref="B7:C7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view="pageBreakPreview" topLeftCell="A28" zoomScaleNormal="80" zoomScaleSheetLayoutView="100" workbookViewId="0">
      <selection activeCell="B10" sqref="B10:F38"/>
    </sheetView>
  </sheetViews>
  <sheetFormatPr defaultRowHeight="12.75"/>
  <cols>
    <col min="1" max="1" width="76.5703125" style="6" customWidth="1"/>
    <col min="2" max="2" width="11" style="6" customWidth="1"/>
    <col min="3" max="3" width="8.28515625" style="6" customWidth="1"/>
    <col min="4" max="6" width="8.28515625" customWidth="1"/>
  </cols>
  <sheetData>
    <row r="2" spans="1:7" s="1" customFormat="1" ht="14.25">
      <c r="A2" s="2"/>
      <c r="B2" s="3"/>
    </row>
    <row r="3" spans="1:7" s="1" customFormat="1">
      <c r="A3" s="2"/>
      <c r="D3" s="47"/>
      <c r="E3" s="47"/>
      <c r="F3" s="47"/>
      <c r="G3" s="15"/>
    </row>
    <row r="4" spans="1:7" s="1" customFormat="1">
      <c r="A4" s="2"/>
      <c r="D4" s="47"/>
      <c r="E4" s="47"/>
      <c r="F4" s="47"/>
    </row>
    <row r="5" spans="1:7" s="1" customFormat="1" ht="13.5" thickBot="1">
      <c r="A5" s="2"/>
    </row>
    <row r="6" spans="1:7">
      <c r="A6" s="125" t="s">
        <v>11</v>
      </c>
      <c r="B6" s="126" t="str">
        <f>ИНФ!B6</f>
        <v>Белгородэнерго</v>
      </c>
      <c r="C6" s="127"/>
      <c r="D6" s="127"/>
      <c r="E6" s="127"/>
      <c r="F6" s="128"/>
    </row>
    <row r="7" spans="1:7">
      <c r="A7" s="125"/>
      <c r="B7" s="129" t="s">
        <v>4</v>
      </c>
      <c r="C7" s="130"/>
      <c r="D7" s="131" t="s">
        <v>25</v>
      </c>
      <c r="E7" s="131" t="s">
        <v>26</v>
      </c>
      <c r="F7" s="124" t="s">
        <v>2</v>
      </c>
    </row>
    <row r="8" spans="1:7">
      <c r="A8" s="125"/>
      <c r="B8" s="94" t="s">
        <v>44</v>
      </c>
      <c r="C8" s="95" t="s">
        <v>45</v>
      </c>
      <c r="D8" s="132"/>
      <c r="E8" s="131"/>
      <c r="F8" s="124"/>
    </row>
    <row r="9" spans="1:7" ht="16.5" thickBot="1">
      <c r="A9" s="99">
        <v>1</v>
      </c>
      <c r="B9" s="100">
        <v>2</v>
      </c>
      <c r="C9" s="101">
        <v>3</v>
      </c>
      <c r="D9" s="102">
        <v>4</v>
      </c>
      <c r="E9" s="102">
        <v>5</v>
      </c>
      <c r="F9" s="103">
        <v>6</v>
      </c>
    </row>
    <row r="10" spans="1:7" ht="51">
      <c r="A10" s="9" t="s">
        <v>46</v>
      </c>
      <c r="B10" s="144" t="s">
        <v>1</v>
      </c>
      <c r="C10" s="145" t="s">
        <v>1</v>
      </c>
      <c r="D10" s="11" t="s">
        <v>1</v>
      </c>
      <c r="E10" s="145" t="s">
        <v>1</v>
      </c>
      <c r="F10" s="146">
        <f>AVERAGE(F12:F13)</f>
        <v>1</v>
      </c>
    </row>
    <row r="11" spans="1:7">
      <c r="A11" s="9" t="s">
        <v>5</v>
      </c>
      <c r="B11" s="55"/>
      <c r="C11" s="56"/>
      <c r="D11" s="147"/>
      <c r="E11" s="56"/>
      <c r="F11" s="59"/>
    </row>
    <row r="12" spans="1:7" ht="31.5">
      <c r="A12" s="9" t="s">
        <v>47</v>
      </c>
      <c r="B12" s="48">
        <f>Исходные!C17/Исходные!C18</f>
        <v>18.716811461667429</v>
      </c>
      <c r="C12" s="138">
        <v>36</v>
      </c>
      <c r="D12" s="18">
        <f>IF(C12=0, IF(B12=0,100, 120), B12/C12*100)</f>
        <v>51.991142949076199</v>
      </c>
      <c r="E12" s="17" t="s">
        <v>24</v>
      </c>
      <c r="F12" s="61">
        <f>IF(OR(AND(D12&lt;80,E12="прямая"),AND(D12&gt;120,E12="обратная")),3,IF(OR(AND(D12&gt;120,E12="прямая"),AND(D12&lt;80,E12="обратная")),1,2))</f>
        <v>1</v>
      </c>
    </row>
    <row r="13" spans="1:7" s="19" customFormat="1" ht="38.25">
      <c r="A13" s="16" t="s">
        <v>48</v>
      </c>
      <c r="B13" s="48">
        <f>Исходные!C19/Исходные!C20</f>
        <v>120.4749878973697</v>
      </c>
      <c r="C13" s="138">
        <v>181</v>
      </c>
      <c r="D13" s="18">
        <f>IF(C13=0, IF(B13=0,100, 120), B13/C13*100)</f>
        <v>66.560766794126906</v>
      </c>
      <c r="E13" s="17" t="s">
        <v>24</v>
      </c>
      <c r="F13" s="61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9"/>
      <c r="B14" s="42"/>
      <c r="C14" s="17"/>
      <c r="D14" s="17"/>
      <c r="E14" s="17"/>
      <c r="F14" s="65"/>
    </row>
    <row r="15" spans="1:7" ht="25.5">
      <c r="A15" s="9" t="s">
        <v>49</v>
      </c>
      <c r="B15" s="42" t="s">
        <v>1</v>
      </c>
      <c r="C15" s="17" t="s">
        <v>1</v>
      </c>
      <c r="D15" s="17" t="s">
        <v>1</v>
      </c>
      <c r="E15" s="17" t="s">
        <v>1</v>
      </c>
      <c r="F15" s="61">
        <f>IF(B17="-", AVERAGE(F18,F21), AVERAGE(F17,F18,F21))</f>
        <v>0.45833333333333331</v>
      </c>
    </row>
    <row r="16" spans="1:7">
      <c r="A16" s="9" t="s">
        <v>5</v>
      </c>
      <c r="B16" s="55"/>
      <c r="C16" s="56"/>
      <c r="D16" s="56"/>
      <c r="E16" s="56"/>
      <c r="F16" s="59"/>
    </row>
    <row r="17" spans="1:6" ht="38.25">
      <c r="A17" s="9" t="s">
        <v>50</v>
      </c>
      <c r="B17" s="12">
        <f>IF(Исходные!C21=0, "-", Исходные!C21/Исходные!C22)</f>
        <v>19</v>
      </c>
      <c r="C17" s="17">
        <v>16</v>
      </c>
      <c r="D17" s="18">
        <f>IF(C17=0, IF(B17=0,100, 120), B17/C17*100)</f>
        <v>118.75</v>
      </c>
      <c r="E17" s="17" t="s">
        <v>24</v>
      </c>
      <c r="F17" s="61">
        <f>IF(OR(AND(D17&lt;80,E17="прямая"),AND(D17&gt;120,E17="обратная")),0.75,IF(OR(AND(D17&gt;120,E17="прямая"),AND(D17&lt;80,E17="обратная")),0.25,0.5))</f>
        <v>0.5</v>
      </c>
    </row>
    <row r="18" spans="1:6" ht="31.5">
      <c r="A18" s="9" t="s">
        <v>51</v>
      </c>
      <c r="B18" s="42" t="s">
        <v>1</v>
      </c>
      <c r="C18" s="17" t="s">
        <v>1</v>
      </c>
      <c r="D18" s="18" t="s">
        <v>1</v>
      </c>
      <c r="E18" s="17" t="s">
        <v>24</v>
      </c>
      <c r="F18" s="61">
        <f>AVERAGE(F19:F20)</f>
        <v>0.625</v>
      </c>
    </row>
    <row r="19" spans="1:6" ht="31.5">
      <c r="A19" s="9" t="s">
        <v>52</v>
      </c>
      <c r="B19" s="48">
        <f>Исходные!C23/Исходные!C24</f>
        <v>28.335864612714253</v>
      </c>
      <c r="C19" s="17">
        <v>22</v>
      </c>
      <c r="D19" s="18">
        <f>IF(C19=0, IF(B19=0,100, 120), B19/C19*100)</f>
        <v>128.79938460324661</v>
      </c>
      <c r="E19" s="17" t="s">
        <v>24</v>
      </c>
      <c r="F19" s="61">
        <f>IF(OR(AND(D19&lt;80,E19="прямая"),AND(D19&gt;120,E19="обратная")),0.75,IF(OR(AND(D19&gt;120,E19="прямая"),AND(D19&lt;80,E19="обратная")),0.25,0.5))</f>
        <v>0.75</v>
      </c>
    </row>
    <row r="20" spans="1:6" ht="31.5">
      <c r="A20" s="9" t="s">
        <v>12</v>
      </c>
      <c r="B20" s="48">
        <f>Исходные!C25/Исходные!C26</f>
        <v>69.24683544303798</v>
      </c>
      <c r="C20" s="17">
        <v>60</v>
      </c>
      <c r="D20" s="18">
        <f>IF(C20=0, IF(B20=0,100, 120), B20/C20*100)</f>
        <v>115.41139240506331</v>
      </c>
      <c r="E20" s="17" t="s">
        <v>24</v>
      </c>
      <c r="F20" s="61">
        <f>IF(OR(AND(D20&lt;80,E20="прямая"),AND(D20&gt;120,E20="обратная")),0.75,IF(OR(AND(D20&gt;120,E20="прямая"),AND(D20&lt;80,E20="обратная")),0.25,0.5))</f>
        <v>0.5</v>
      </c>
    </row>
    <row r="21" spans="1:6" ht="51">
      <c r="A21" s="9" t="s">
        <v>53</v>
      </c>
      <c r="B21" s="60">
        <f>Исходные!C27/(Исходные!C28+Исходные!C29)*100</f>
        <v>0</v>
      </c>
      <c r="C21" s="148">
        <v>11.16</v>
      </c>
      <c r="D21" s="18">
        <f>IF(C21=0, IF(B21=0,100, 120), B21/C21*100)</f>
        <v>0</v>
      </c>
      <c r="E21" s="17" t="s">
        <v>24</v>
      </c>
      <c r="F21" s="61">
        <f>IF(OR(AND(D21&lt;80,E21="прямая"),AND(D21&gt;120,E21="обратная")),0.75,IF(OR(AND(D21&gt;120,E21="прямая"),AND(D21&lt;80,E21="обратная")),0.25,0.5))</f>
        <v>0.25</v>
      </c>
    </row>
    <row r="22" spans="1:6">
      <c r="A22" s="9"/>
      <c r="B22" s="55"/>
      <c r="C22" s="56"/>
      <c r="D22" s="56"/>
      <c r="E22" s="56"/>
      <c r="F22" s="59"/>
    </row>
    <row r="23" spans="1:6" ht="25.5">
      <c r="A23" s="9" t="s">
        <v>13</v>
      </c>
      <c r="B23" s="42" t="s">
        <v>1</v>
      </c>
      <c r="C23" s="17" t="s">
        <v>1</v>
      </c>
      <c r="D23" s="17" t="s">
        <v>1</v>
      </c>
      <c r="E23" s="17" t="s">
        <v>1</v>
      </c>
      <c r="F23" s="61">
        <f>F25</f>
        <v>0.2</v>
      </c>
    </row>
    <row r="24" spans="1:6">
      <c r="A24" s="9" t="s">
        <v>39</v>
      </c>
      <c r="B24" s="55"/>
      <c r="C24" s="56"/>
      <c r="D24" s="56"/>
      <c r="E24" s="56"/>
      <c r="F24" s="59"/>
    </row>
    <row r="25" spans="1:6" ht="76.5">
      <c r="A25" s="9" t="s">
        <v>54</v>
      </c>
      <c r="B25" s="63">
        <f>100*Исходные!C30/Исходные!C31</f>
        <v>0</v>
      </c>
      <c r="C25" s="17">
        <v>0</v>
      </c>
      <c r="D25" s="18">
        <f>IF(C25=0, IF(B25=0,100, 120), B25/C25*100)</f>
        <v>100</v>
      </c>
      <c r="E25" s="17" t="s">
        <v>24</v>
      </c>
      <c r="F25" s="61">
        <f>IF(OR(AND(D25&lt;80,E25="прямая"),AND(D25&gt;120,E25="обратная")),0.3,IF(OR(AND(D25&gt;120,E25="прямая"),AND(D25&lt;80,E25="обратная")),0.1,0.2))</f>
        <v>0.2</v>
      </c>
    </row>
    <row r="26" spans="1:6" ht="25.5">
      <c r="A26" s="9" t="s">
        <v>55</v>
      </c>
      <c r="B26" s="42" t="s">
        <v>1</v>
      </c>
      <c r="C26" s="17" t="s">
        <v>1</v>
      </c>
      <c r="D26" s="17" t="s">
        <v>1</v>
      </c>
      <c r="E26" s="17" t="s">
        <v>1</v>
      </c>
      <c r="F26" s="61">
        <f>F27</f>
        <v>0.2</v>
      </c>
    </row>
    <row r="27" spans="1:6" ht="51">
      <c r="A27" s="9" t="s">
        <v>14</v>
      </c>
      <c r="B27" s="12">
        <f>100*Исходные!C32/Исходные!C33</f>
        <v>0</v>
      </c>
      <c r="C27" s="138">
        <v>0</v>
      </c>
      <c r="D27" s="18">
        <f>IF(C27=0, IF(B27=0,100, 120), B27/C27*100)</f>
        <v>100</v>
      </c>
      <c r="E27" s="17" t="s">
        <v>24</v>
      </c>
      <c r="F27" s="61">
        <f>IF(OR(AND(D27&lt;80,E27="прямая"),AND(D27&gt;120,E27="обратная")),0.3,IF(OR(AND(D27&gt;120,E27="прямая"),AND(D27&lt;80,E27="обратная")),0.1,0.2))</f>
        <v>0.2</v>
      </c>
    </row>
    <row r="28" spans="1:6" ht="15.75">
      <c r="A28" s="9"/>
      <c r="B28" s="12"/>
      <c r="C28" s="17"/>
      <c r="D28" s="53"/>
      <c r="E28" s="17"/>
      <c r="F28" s="65"/>
    </row>
    <row r="29" spans="1:6" ht="25.5">
      <c r="A29" s="9" t="s">
        <v>15</v>
      </c>
      <c r="B29" s="42" t="s">
        <v>1</v>
      </c>
      <c r="C29" s="17" t="s">
        <v>1</v>
      </c>
      <c r="D29" s="17" t="s">
        <v>1</v>
      </c>
      <c r="E29" s="17" t="s">
        <v>1</v>
      </c>
      <c r="F29" s="61">
        <f>F30</f>
        <v>0.25</v>
      </c>
    </row>
    <row r="30" spans="1:6" ht="31.5">
      <c r="A30" s="9" t="s">
        <v>16</v>
      </c>
      <c r="B30" s="63">
        <f>100*Исходные!C34/Исходные!C35</f>
        <v>0.30845953198596332</v>
      </c>
      <c r="C30" s="148">
        <v>1.74</v>
      </c>
      <c r="D30" s="18">
        <f>IF(C30=0, IF(B30=0,100, 120), B30/C30*100)</f>
        <v>17.727559309538123</v>
      </c>
      <c r="E30" s="17" t="s">
        <v>24</v>
      </c>
      <c r="F30" s="61">
        <f>IF(OR(AND(D30&lt;80,E30="прямая"),AND(D30&gt;120,E30="обратная")),0.75,IF(AND(D30&gt;80,D30&lt;120),0.5,0.25))</f>
        <v>0.25</v>
      </c>
    </row>
    <row r="31" spans="1:6" ht="15.75">
      <c r="A31" s="9"/>
      <c r="B31" s="12"/>
      <c r="C31" s="17"/>
      <c r="D31" s="53"/>
      <c r="E31" s="17"/>
      <c r="F31" s="65"/>
    </row>
    <row r="32" spans="1:6" ht="25.5">
      <c r="A32" s="9" t="s">
        <v>17</v>
      </c>
      <c r="B32" s="12" t="s">
        <v>1</v>
      </c>
      <c r="C32" s="17" t="s">
        <v>1</v>
      </c>
      <c r="D32" s="53" t="s">
        <v>1</v>
      </c>
      <c r="E32" s="17" t="s">
        <v>1</v>
      </c>
      <c r="F32" s="61">
        <f>AVERAGE(F34:F35)</f>
        <v>0.375</v>
      </c>
    </row>
    <row r="33" spans="1:6" ht="15.75">
      <c r="A33" s="9" t="s">
        <v>5</v>
      </c>
      <c r="B33" s="12"/>
      <c r="C33" s="17"/>
      <c r="D33" s="53"/>
      <c r="E33" s="17"/>
      <c r="F33" s="65"/>
    </row>
    <row r="34" spans="1:6" ht="38.25">
      <c r="A34" s="9" t="s">
        <v>56</v>
      </c>
      <c r="B34" s="12">
        <v>1</v>
      </c>
      <c r="C34" s="17">
        <v>1</v>
      </c>
      <c r="D34" s="18">
        <f>IF(C34=0, IF(B34=0,100, 120), B34/C34*100)</f>
        <v>100</v>
      </c>
      <c r="E34" s="17" t="s">
        <v>23</v>
      </c>
      <c r="F34" s="61">
        <f>IF(OR(AND(D34&lt;80,E34="прямая"),AND(D34&gt;120,E34="обратная")),0.75,IF(OR(AND(D34&gt;120,E34="прямая"),AND(D34&lt;80,E34="обратная")),0.25,0.5))</f>
        <v>0.5</v>
      </c>
    </row>
    <row r="35" spans="1:6" ht="51">
      <c r="A35" s="9" t="s">
        <v>57</v>
      </c>
      <c r="B35" s="12">
        <f>100*Исходные!C36/Исходные!C37</f>
        <v>0</v>
      </c>
      <c r="C35" s="149">
        <v>4.8999999999999998E-4</v>
      </c>
      <c r="D35" s="18">
        <f>IF(C35=0, IF(B35=0,100, 120), B35/C35*100)</f>
        <v>0</v>
      </c>
      <c r="E35" s="17" t="s">
        <v>24</v>
      </c>
      <c r="F35" s="61">
        <f>IF(OR(AND(D35&lt;80,E35="прямая"),AND(D35&gt;120,E35="обратная")),0.75,IF(OR(AND(D35&gt;120,E35="прямая"),AND(D35&lt;80,E35="обратная")),0.25,0.5))</f>
        <v>0.25</v>
      </c>
    </row>
    <row r="36" spans="1:6" ht="25.5">
      <c r="A36" s="9" t="s">
        <v>18</v>
      </c>
      <c r="B36" s="42" t="s">
        <v>1</v>
      </c>
      <c r="C36" s="17" t="s">
        <v>1</v>
      </c>
      <c r="D36" s="53" t="s">
        <v>1</v>
      </c>
      <c r="E36" s="17" t="s">
        <v>1</v>
      </c>
      <c r="F36" s="61">
        <f>F37</f>
        <v>0.2</v>
      </c>
    </row>
    <row r="37" spans="1:6" ht="38.25">
      <c r="A37" s="9" t="s">
        <v>58</v>
      </c>
      <c r="B37" s="12">
        <f>100*Исходные!C38/Исходные!C39</f>
        <v>0</v>
      </c>
      <c r="C37" s="17">
        <v>0</v>
      </c>
      <c r="D37" s="18">
        <f>IF(C37=0, IF(B37=0,100, 120), B37/C37*100)</f>
        <v>100</v>
      </c>
      <c r="E37" s="17" t="s">
        <v>24</v>
      </c>
      <c r="F37" s="61">
        <f>IF(OR(AND(D37&lt;80,E37="прямая"),AND(D37&gt;120,E37="обратная")),0.3,IF(OR(AND(D37&gt;120,E37="прямая"),AND(D37&lt;80,E37="обратная")),0.1,0.2))</f>
        <v>0.2</v>
      </c>
    </row>
    <row r="38" spans="1:6" ht="16.5" thickBot="1">
      <c r="A38" s="9" t="s">
        <v>59</v>
      </c>
      <c r="B38" s="70" t="s">
        <v>1</v>
      </c>
      <c r="C38" s="71" t="s">
        <v>1</v>
      </c>
      <c r="D38" s="71" t="s">
        <v>1</v>
      </c>
      <c r="E38" s="71" t="s">
        <v>1</v>
      </c>
      <c r="F38" s="73">
        <f>ROUND(AVERAGE(F10,F15,F23,F26,F29,F32,F36),3)</f>
        <v>0.38300000000000001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15" zoomScaleNormal="70" zoomScaleSheetLayoutView="100" workbookViewId="0">
      <selection activeCell="G23" sqref="G23"/>
    </sheetView>
  </sheetViews>
  <sheetFormatPr defaultRowHeight="12.75"/>
  <cols>
    <col min="1" max="1" width="78.140625" style="6" customWidth="1"/>
    <col min="2" max="2" width="10.140625" style="6" customWidth="1"/>
    <col min="3" max="3" width="8.28515625" style="6" customWidth="1"/>
    <col min="4" max="5" width="8.28515625" customWidth="1"/>
    <col min="6" max="6" width="11" customWidth="1"/>
  </cols>
  <sheetData>
    <row r="2" spans="1:7" s="1" customFormat="1" ht="14.25">
      <c r="A2" s="13"/>
    </row>
    <row r="3" spans="1:7" s="1" customFormat="1">
      <c r="A3" s="2"/>
      <c r="D3" s="46"/>
      <c r="E3" s="46"/>
      <c r="F3" s="46"/>
      <c r="G3" s="15"/>
    </row>
    <row r="4" spans="1:7" s="1" customFormat="1">
      <c r="A4" s="2"/>
    </row>
    <row r="5" spans="1:7" s="1" customFormat="1" ht="13.5" thickBot="1">
      <c r="A5" s="2"/>
    </row>
    <row r="6" spans="1:7">
      <c r="A6" s="125" t="s">
        <v>11</v>
      </c>
      <c r="B6" s="126" t="str">
        <f>ИНФ!B6</f>
        <v>Белгородэнерго</v>
      </c>
      <c r="C6" s="127"/>
      <c r="D6" s="127"/>
      <c r="E6" s="127"/>
      <c r="F6" s="128"/>
    </row>
    <row r="7" spans="1:7">
      <c r="A7" s="125"/>
      <c r="B7" s="129" t="s">
        <v>4</v>
      </c>
      <c r="C7" s="130"/>
      <c r="D7" s="131" t="s">
        <v>25</v>
      </c>
      <c r="E7" s="131" t="s">
        <v>26</v>
      </c>
      <c r="F7" s="124" t="s">
        <v>2</v>
      </c>
    </row>
    <row r="8" spans="1:7">
      <c r="A8" s="125"/>
      <c r="B8" s="94" t="s">
        <v>44</v>
      </c>
      <c r="C8" s="95" t="s">
        <v>45</v>
      </c>
      <c r="D8" s="132"/>
      <c r="E8" s="131"/>
      <c r="F8" s="124"/>
    </row>
    <row r="9" spans="1:7" ht="16.5" thickBot="1">
      <c r="A9" s="96">
        <v>1</v>
      </c>
      <c r="B9" s="100">
        <v>2</v>
      </c>
      <c r="C9" s="101">
        <v>3</v>
      </c>
      <c r="D9" s="102">
        <v>4</v>
      </c>
      <c r="E9" s="102">
        <v>5</v>
      </c>
      <c r="F9" s="103">
        <v>6</v>
      </c>
    </row>
    <row r="10" spans="1:7" ht="38.25">
      <c r="A10" s="10" t="s">
        <v>60</v>
      </c>
      <c r="B10" s="25">
        <v>1</v>
      </c>
      <c r="C10" s="145">
        <v>1</v>
      </c>
      <c r="D10" s="150">
        <f>IF(C10=0, IF(B10=0,100, 120), B10/C10*100)</f>
        <v>100</v>
      </c>
      <c r="E10" s="150" t="s">
        <v>23</v>
      </c>
      <c r="F10" s="61">
        <f>IF(OR(AND(D10&lt;80,E10="прямая"),AND(D10&gt;120,E10="обратная")),3,IF(OR(AND(D10&gt;120,E10="прямая"),AND(D10&lt;80,E10="обратная")),1,2))</f>
        <v>2</v>
      </c>
    </row>
    <row r="11" spans="1:7" ht="15.75">
      <c r="A11" s="10"/>
      <c r="B11" s="42"/>
      <c r="C11" s="17"/>
      <c r="D11" s="68"/>
      <c r="E11" s="64"/>
      <c r="F11" s="65"/>
    </row>
    <row r="12" spans="1:7" ht="15.75">
      <c r="A12" s="10" t="s">
        <v>19</v>
      </c>
      <c r="B12" s="42" t="s">
        <v>1</v>
      </c>
      <c r="C12" s="17" t="s">
        <v>1</v>
      </c>
      <c r="D12" s="53" t="s">
        <v>1</v>
      </c>
      <c r="E12" s="53" t="s">
        <v>1</v>
      </c>
      <c r="F12" s="54">
        <f>AVERAGE(F14:F19)</f>
        <v>2</v>
      </c>
    </row>
    <row r="13" spans="1:7">
      <c r="A13" s="10" t="s">
        <v>5</v>
      </c>
      <c r="B13" s="55"/>
      <c r="C13" s="56"/>
      <c r="D13" s="57"/>
      <c r="E13" s="58"/>
      <c r="F13" s="59"/>
    </row>
    <row r="14" spans="1:7" ht="38.25">
      <c r="A14" s="10" t="s">
        <v>61</v>
      </c>
      <c r="B14" s="60">
        <f>100*Исходные!C40/Исходные!C41</f>
        <v>0.81888382217718481</v>
      </c>
      <c r="C14" s="148">
        <v>2.08</v>
      </c>
      <c r="D14" s="18">
        <f t="shared" ref="D14:D19" si="0">IF(C14=0, IF(B14=0,100, 120), B14/C14*100)</f>
        <v>39.369414527749271</v>
      </c>
      <c r="E14" s="18" t="s">
        <v>24</v>
      </c>
      <c r="F14" s="61">
        <f t="shared" ref="F14:F19" si="1">IF(OR(AND(D14&lt;80,E14="прямая"),AND(D14&gt;120,E14="обратная")),3,IF(OR(AND(D14&gt;120,E14="прямая"),AND(D14&lt;80,E14="обратная")),1,2))</f>
        <v>1</v>
      </c>
    </row>
    <row r="15" spans="1:7" ht="38.25">
      <c r="A15" s="10" t="s">
        <v>62</v>
      </c>
      <c r="B15" s="62">
        <f>100*Исходные!C42/Исходные!C43</f>
        <v>84.904038957318818</v>
      </c>
      <c r="C15" s="148">
        <v>100</v>
      </c>
      <c r="D15" s="18">
        <f t="shared" si="0"/>
        <v>84.904038957318818</v>
      </c>
      <c r="E15" s="18" t="s">
        <v>23</v>
      </c>
      <c r="F15" s="61">
        <f t="shared" si="1"/>
        <v>2</v>
      </c>
    </row>
    <row r="16" spans="1:7" ht="51">
      <c r="A16" s="10" t="s">
        <v>63</v>
      </c>
      <c r="B16" s="44">
        <f>100*Исходные!C44/Исходные!C45</f>
        <v>0.16869095816464239</v>
      </c>
      <c r="C16" s="148">
        <v>37.880000000000003</v>
      </c>
      <c r="D16" s="18">
        <f t="shared" si="0"/>
        <v>0.44532987899852788</v>
      </c>
      <c r="E16" s="18" t="s">
        <v>24</v>
      </c>
      <c r="F16" s="61">
        <f t="shared" si="1"/>
        <v>1</v>
      </c>
    </row>
    <row r="17" spans="1:6" ht="51">
      <c r="A17" s="10" t="s">
        <v>64</v>
      </c>
      <c r="B17" s="12">
        <f>100*Исходные!C46/Исходные!C47</f>
        <v>4.6913997260222557E-4</v>
      </c>
      <c r="C17" s="149">
        <v>2.7999999999999998E-4</v>
      </c>
      <c r="D17" s="18">
        <f t="shared" si="0"/>
        <v>167.54999021508056</v>
      </c>
      <c r="E17" s="18" t="s">
        <v>24</v>
      </c>
      <c r="F17" s="61">
        <f t="shared" si="1"/>
        <v>3</v>
      </c>
    </row>
    <row r="18" spans="1:6" ht="38.25">
      <c r="A18" s="10" t="s">
        <v>65</v>
      </c>
      <c r="B18" s="63">
        <f>100*Исходные!C48/Исходные!C49</f>
        <v>3.5863405205577137</v>
      </c>
      <c r="C18" s="148">
        <v>7.43</v>
      </c>
      <c r="D18" s="18">
        <f t="shared" si="0"/>
        <v>48.268378473185919</v>
      </c>
      <c r="E18" s="18" t="s">
        <v>23</v>
      </c>
      <c r="F18" s="61">
        <f t="shared" si="1"/>
        <v>3</v>
      </c>
    </row>
    <row r="19" spans="1:6" ht="25.5">
      <c r="A19" s="10" t="s">
        <v>66</v>
      </c>
      <c r="B19" s="12">
        <f>Исходные!C50</f>
        <v>19</v>
      </c>
      <c r="C19" s="138">
        <v>18</v>
      </c>
      <c r="D19" s="18">
        <f t="shared" si="0"/>
        <v>105.55555555555556</v>
      </c>
      <c r="E19" s="18" t="s">
        <v>23</v>
      </c>
      <c r="F19" s="61">
        <f t="shared" si="1"/>
        <v>2</v>
      </c>
    </row>
    <row r="20" spans="1:6" ht="15.75">
      <c r="A20" s="10"/>
      <c r="B20" s="42"/>
      <c r="C20" s="17"/>
      <c r="D20" s="57"/>
      <c r="E20" s="64"/>
      <c r="F20" s="65"/>
    </row>
    <row r="21" spans="1:6" ht="15.75">
      <c r="A21" s="10" t="s">
        <v>67</v>
      </c>
      <c r="B21" s="42" t="s">
        <v>1</v>
      </c>
      <c r="C21" s="17" t="s">
        <v>1</v>
      </c>
      <c r="D21" s="17" t="s">
        <v>1</v>
      </c>
      <c r="E21" s="17" t="s">
        <v>1</v>
      </c>
      <c r="F21" s="66">
        <f>AVERAGE(F23:F24)</f>
        <v>2</v>
      </c>
    </row>
    <row r="22" spans="1:6" ht="15.75">
      <c r="A22" s="10" t="s">
        <v>5</v>
      </c>
      <c r="B22" s="42"/>
      <c r="C22" s="17"/>
      <c r="D22" s="57"/>
      <c r="E22" s="64"/>
      <c r="F22" s="65"/>
    </row>
    <row r="23" spans="1:6" ht="31.5">
      <c r="A23" s="8" t="s">
        <v>68</v>
      </c>
      <c r="B23" s="62">
        <f>(Исходные!C51+Исходные!C52)/(Исходные!C53+Исходные!C54)</f>
        <v>19.99736733854381</v>
      </c>
      <c r="C23" s="138">
        <v>32</v>
      </c>
      <c r="D23" s="18">
        <f>IF(C23=0, IF(B23=0,100, 120), B23/C23*100)</f>
        <v>62.491772932949409</v>
      </c>
      <c r="E23" s="18" t="s">
        <v>24</v>
      </c>
      <c r="F23" s="61">
        <f>IF(OR(AND(D23&lt;80,E23="прямая"),AND(D23&gt;120,E23="обратная")),3,IF(OR(AND(D23&gt;120,E23="прямая"),AND(D23&lt;80,E23="обратная")),1,2))</f>
        <v>1</v>
      </c>
    </row>
    <row r="24" spans="1:6" ht="25.5">
      <c r="A24" s="10" t="s">
        <v>69</v>
      </c>
      <c r="B24" s="42" t="s">
        <v>1</v>
      </c>
      <c r="C24" s="17" t="s">
        <v>1</v>
      </c>
      <c r="D24" s="18" t="s">
        <v>1</v>
      </c>
      <c r="E24" s="18"/>
      <c r="F24" s="66">
        <f>AVERAGE(F25:F27)</f>
        <v>3</v>
      </c>
    </row>
    <row r="25" spans="1:6" ht="15.75">
      <c r="A25" s="10" t="s">
        <v>20</v>
      </c>
      <c r="B25" s="63">
        <f>Исходные!C55*1000/Исходные!C58</f>
        <v>0.76853851946140139</v>
      </c>
      <c r="C25" s="151">
        <v>11.9</v>
      </c>
      <c r="D25" s="18">
        <f>IF(C25=0, IF(B25=0,100, 120), B25/C25*100)</f>
        <v>6.4583068862302637</v>
      </c>
      <c r="E25" s="18" t="s">
        <v>23</v>
      </c>
      <c r="F25" s="61">
        <f>IF(OR(AND(D25&lt;80,E25="прямая"),AND(D25&gt;120,E25="обратная")),3,IF(OR(AND(D25&gt;120,E25="прямая"),AND(D25&lt;80,E25="обратная")),1,2))</f>
        <v>3</v>
      </c>
    </row>
    <row r="26" spans="1:6" ht="15.75">
      <c r="A26" s="10" t="s">
        <v>21</v>
      </c>
      <c r="B26" s="67">
        <f>Исходные!C56*1000/Исходные!C58</f>
        <v>2.2604074101805923E-2</v>
      </c>
      <c r="C26" s="151">
        <v>0.10299999999999999</v>
      </c>
      <c r="D26" s="18">
        <f>IF(C26=0, IF(B26=0,100, 120), B26/C26*100)</f>
        <v>21.945703011462061</v>
      </c>
      <c r="E26" s="18" t="s">
        <v>23</v>
      </c>
      <c r="F26" s="61">
        <f>IF(OR(AND(D26&lt;80,E26="прямая"),AND(D26&gt;120,E26="обратная")),3,IF(OR(AND(D26&gt;120,E26="прямая"),AND(D26&lt;80,E26="обратная")),1,2))</f>
        <v>3</v>
      </c>
    </row>
    <row r="27" spans="1:6" ht="15.75">
      <c r="A27" s="10" t="s">
        <v>70</v>
      </c>
      <c r="B27" s="12">
        <f>Исходные!C57*1000/Исходные!C58</f>
        <v>0</v>
      </c>
      <c r="C27" s="17">
        <v>0.10299999999999999</v>
      </c>
      <c r="D27" s="18">
        <f>IF(C27=0, IF(B27=0,100, 120), B27/C27*100)</f>
        <v>0</v>
      </c>
      <c r="E27" s="18" t="s">
        <v>23</v>
      </c>
      <c r="F27" s="61">
        <f>IF(OR(AND(D27&lt;80,E27="прямая"),AND(D27&gt;120,E27="обратная")),3,IF(OR(AND(D27&gt;120,E27="прямая"),AND(D27&lt;80,E27="обратная")),1,2))</f>
        <v>3</v>
      </c>
    </row>
    <row r="28" spans="1:6" ht="15.75">
      <c r="A28" s="10"/>
      <c r="B28" s="42"/>
      <c r="C28" s="17"/>
      <c r="D28" s="57"/>
      <c r="E28" s="64"/>
      <c r="F28" s="65"/>
    </row>
    <row r="29" spans="1:6" ht="15.75">
      <c r="A29" s="10" t="s">
        <v>22</v>
      </c>
      <c r="B29" s="42" t="s">
        <v>1</v>
      </c>
      <c r="C29" s="17" t="s">
        <v>1</v>
      </c>
      <c r="D29" s="17" t="s">
        <v>1</v>
      </c>
      <c r="E29" s="17" t="s">
        <v>1</v>
      </c>
      <c r="F29" s="61">
        <f>F30</f>
        <v>2</v>
      </c>
    </row>
    <row r="30" spans="1:6" ht="31.5">
      <c r="A30" s="10" t="s">
        <v>3</v>
      </c>
      <c r="B30" s="63">
        <f>Исходные!C59*1000/Исходные!C60</f>
        <v>6.4230955176462459</v>
      </c>
      <c r="C30" s="148">
        <v>0</v>
      </c>
      <c r="D30" s="18">
        <f>IF(C30=0, IF(B30=0,100, 120), B30/C30*100)</f>
        <v>120</v>
      </c>
      <c r="E30" s="18" t="s">
        <v>24</v>
      </c>
      <c r="F30" s="61">
        <f>IF(OR(AND(D30&lt;80,E30="прямая"),AND(D30&gt;120,E30="обратная")),3,IF(OR(AND(D30&gt;120,E30="прямая"),AND(D30&lt;80,E30="обратная")),1,2))</f>
        <v>2</v>
      </c>
    </row>
    <row r="31" spans="1:6" ht="15.75">
      <c r="A31" s="10"/>
      <c r="B31" s="55"/>
      <c r="C31" s="56"/>
      <c r="D31" s="57"/>
      <c r="E31" s="64"/>
      <c r="F31" s="59"/>
    </row>
    <row r="32" spans="1:6" ht="38.25">
      <c r="A32" s="10" t="s">
        <v>0</v>
      </c>
      <c r="B32" s="42" t="s">
        <v>1</v>
      </c>
      <c r="C32" s="17" t="s">
        <v>1</v>
      </c>
      <c r="D32" s="17" t="s">
        <v>1</v>
      </c>
      <c r="E32" s="17" t="s">
        <v>1</v>
      </c>
      <c r="F32" s="61">
        <f>IF(B34="-", "-", AVERAGE(F34:F35))</f>
        <v>2</v>
      </c>
    </row>
    <row r="33" spans="1:6" ht="15.75">
      <c r="A33" s="10" t="s">
        <v>5</v>
      </c>
      <c r="B33" s="42"/>
      <c r="C33" s="17"/>
      <c r="D33" s="68"/>
      <c r="E33" s="64"/>
      <c r="F33" s="65"/>
    </row>
    <row r="34" spans="1:6" ht="31.5">
      <c r="A34" s="10" t="s">
        <v>71</v>
      </c>
      <c r="B34" s="104">
        <f>IF(Исходные!C62=0, "-", Исходные!C61/Исходные!C62)</f>
        <v>1.1333333333333333</v>
      </c>
      <c r="C34" s="17">
        <v>0.24299999999999999</v>
      </c>
      <c r="D34" s="18">
        <f>IF(B34="-","-",IF(C34=0,IF(B34=0,100, 120), B34/C34*100))</f>
        <v>466.39231824417016</v>
      </c>
      <c r="E34" s="18" t="s">
        <v>24</v>
      </c>
      <c r="F34" s="61">
        <f>IF(OR(AND(D34&lt;80,E34="прямая"),AND(D34&gt;120,E34="обратная")),3,IF(OR(AND(D34&gt;120,E34="прямая"),AND(D34&lt;80,E34="обратная")),1,2))</f>
        <v>3</v>
      </c>
    </row>
    <row r="35" spans="1:6" ht="51">
      <c r="A35" s="10" t="s">
        <v>72</v>
      </c>
      <c r="B35" s="104">
        <f>IF(Исходные!C63=0, "-", Исходные!C62*100/Исходные!C63)</f>
        <v>100</v>
      </c>
      <c r="C35" s="17">
        <v>43</v>
      </c>
      <c r="D35" s="18">
        <f>IF(B35="-","-",IF(C35=0,IF(B35=0,100, 120), B35/C35*100))</f>
        <v>232.55813953488374</v>
      </c>
      <c r="E35" s="18" t="s">
        <v>23</v>
      </c>
      <c r="F35" s="61">
        <f>IF(OR(AND(D35&lt;80,E35="прямая"),AND(D35&gt;120,E35="обратная")),3,IF(OR(AND(D35&gt;120,E35="прямая"),AND(D35&lt;80,E35="обратная")),1,2))</f>
        <v>1</v>
      </c>
    </row>
    <row r="36" spans="1:6" ht="15.75">
      <c r="A36" s="10"/>
      <c r="B36" s="69"/>
      <c r="C36" s="64"/>
      <c r="D36" s="68"/>
      <c r="E36" s="64"/>
      <c r="F36" s="65"/>
    </row>
    <row r="37" spans="1:6" ht="16.5" thickBot="1">
      <c r="A37" s="10" t="s">
        <v>73</v>
      </c>
      <c r="B37" s="70" t="s">
        <v>1</v>
      </c>
      <c r="C37" s="71" t="s">
        <v>1</v>
      </c>
      <c r="D37" s="71" t="s">
        <v>1</v>
      </c>
      <c r="E37" s="71" t="s">
        <v>1</v>
      </c>
      <c r="F37" s="72">
        <f>IF(F32="-", AVERAGE(F10,F12,F21,F29), AVERAGE(F10,F12,F21,F29,F32))</f>
        <v>2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  <ignoredErrors>
    <ignoredError sqref="B18 B30" unlockedFormula="1"/>
    <ignoredError sqref="F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view="pageBreakPreview" zoomScale="85" zoomScaleNormal="90" zoomScaleSheetLayoutView="85" workbookViewId="0">
      <pane xSplit="2" ySplit="2" topLeftCell="C9" activePane="bottomRight" state="frozen"/>
      <selection pane="topRight" activeCell="C1" sqref="C1"/>
      <selection pane="bottomLeft" activeCell="A2" sqref="A2"/>
      <selection pane="bottomRight" activeCell="G9" sqref="G9"/>
    </sheetView>
  </sheetViews>
  <sheetFormatPr defaultRowHeight="15.75"/>
  <cols>
    <col min="1" max="1" width="8" customWidth="1"/>
    <col min="2" max="2" width="57.28515625" customWidth="1"/>
    <col min="3" max="3" width="27" style="108" customWidth="1"/>
    <col min="4" max="4" width="27" customWidth="1"/>
  </cols>
  <sheetData>
    <row r="1" spans="1:3">
      <c r="A1" s="26" t="s">
        <v>136</v>
      </c>
      <c r="B1" s="26"/>
      <c r="C1" s="106"/>
    </row>
    <row r="2" spans="1:3">
      <c r="A2" s="21"/>
      <c r="B2" s="21" t="s">
        <v>135</v>
      </c>
      <c r="C2" s="107" t="s">
        <v>74</v>
      </c>
    </row>
    <row r="3" spans="1:3" ht="25.5">
      <c r="A3" s="133" t="s">
        <v>155</v>
      </c>
      <c r="B3" s="22" t="s">
        <v>75</v>
      </c>
      <c r="C3" s="152">
        <v>55</v>
      </c>
    </row>
    <row r="4" spans="1:3">
      <c r="A4" s="134"/>
      <c r="B4" s="22" t="s">
        <v>76</v>
      </c>
      <c r="C4" s="152">
        <v>130</v>
      </c>
    </row>
    <row r="5" spans="1:3" ht="25.5">
      <c r="A5" s="20" t="s">
        <v>156</v>
      </c>
      <c r="B5" s="22" t="s">
        <v>77</v>
      </c>
      <c r="C5" s="152">
        <v>15</v>
      </c>
    </row>
    <row r="6" spans="1:3" ht="25.5">
      <c r="A6" s="20" t="s">
        <v>157</v>
      </c>
      <c r="B6" s="22" t="s">
        <v>78</v>
      </c>
      <c r="C6" s="152">
        <v>18</v>
      </c>
    </row>
    <row r="7" spans="1:3" ht="25.5">
      <c r="A7" s="20" t="s">
        <v>158</v>
      </c>
      <c r="B7" s="22" t="s">
        <v>79</v>
      </c>
      <c r="C7" s="17">
        <v>46</v>
      </c>
    </row>
    <row r="8" spans="1:3" ht="51">
      <c r="A8" s="133" t="s">
        <v>159</v>
      </c>
      <c r="B8" s="22" t="s">
        <v>165</v>
      </c>
      <c r="C8" s="111">
        <v>703</v>
      </c>
    </row>
    <row r="9" spans="1:3">
      <c r="A9" s="135"/>
      <c r="B9" s="87" t="s">
        <v>160</v>
      </c>
      <c r="C9" s="64">
        <v>426312</v>
      </c>
    </row>
    <row r="10" spans="1:3" ht="25.5">
      <c r="A10" s="135"/>
      <c r="B10" s="87" t="s">
        <v>167</v>
      </c>
      <c r="C10" s="64">
        <v>165382</v>
      </c>
    </row>
    <row r="11" spans="1:3" ht="25.5">
      <c r="A11" s="135"/>
      <c r="B11" s="87" t="s">
        <v>168</v>
      </c>
      <c r="C11" s="64">
        <v>260930</v>
      </c>
    </row>
    <row r="12" spans="1:3">
      <c r="A12" s="134"/>
      <c r="B12" s="87" t="s">
        <v>169</v>
      </c>
      <c r="C12" s="64">
        <v>0</v>
      </c>
    </row>
    <row r="13" spans="1:3" ht="38.25">
      <c r="A13" s="133" t="s">
        <v>161</v>
      </c>
      <c r="B13" s="22" t="s">
        <v>134</v>
      </c>
      <c r="C13" s="64">
        <v>74542</v>
      </c>
    </row>
    <row r="14" spans="1:3">
      <c r="A14" s="134"/>
      <c r="B14" s="43" t="s">
        <v>160</v>
      </c>
      <c r="C14" s="64">
        <v>426312</v>
      </c>
    </row>
    <row r="15" spans="1:3" ht="51">
      <c r="A15" s="133" t="s">
        <v>162</v>
      </c>
      <c r="B15" s="22" t="s">
        <v>80</v>
      </c>
      <c r="C15" s="64">
        <v>0</v>
      </c>
    </row>
    <row r="16" spans="1:3">
      <c r="A16" s="134"/>
      <c r="B16" s="43" t="s">
        <v>160</v>
      </c>
      <c r="C16" s="64">
        <v>426312</v>
      </c>
    </row>
    <row r="17" spans="1:4" ht="38.25">
      <c r="A17" s="133" t="s">
        <v>85</v>
      </c>
      <c r="B17" s="110" t="s">
        <v>81</v>
      </c>
      <c r="C17" s="111">
        <v>245602</v>
      </c>
      <c r="D17" s="136"/>
    </row>
    <row r="18" spans="1:4" ht="25.5">
      <c r="A18" s="134"/>
      <c r="B18" s="110" t="s">
        <v>82</v>
      </c>
      <c r="C18" s="64">
        <v>13122</v>
      </c>
      <c r="D18" s="136"/>
    </row>
    <row r="19" spans="1:4" ht="38.25">
      <c r="A19" s="133" t="s">
        <v>84</v>
      </c>
      <c r="B19" s="110" t="s">
        <v>83</v>
      </c>
      <c r="C19" s="64">
        <v>1493167</v>
      </c>
      <c r="D19" s="136"/>
    </row>
    <row r="20" spans="1:4" ht="25.5">
      <c r="A20" s="134"/>
      <c r="B20" s="110" t="s">
        <v>87</v>
      </c>
      <c r="C20" s="64">
        <v>12394</v>
      </c>
      <c r="D20" s="136"/>
    </row>
    <row r="21" spans="1:4" ht="38.25">
      <c r="A21" s="133" t="s">
        <v>86</v>
      </c>
      <c r="B21" s="110" t="s">
        <v>88</v>
      </c>
      <c r="C21" s="64">
        <v>38</v>
      </c>
      <c r="D21" s="114"/>
    </row>
    <row r="22" spans="1:4" ht="25.5">
      <c r="A22" s="134"/>
      <c r="B22" s="110" t="s">
        <v>89</v>
      </c>
      <c r="C22" s="64">
        <v>2</v>
      </c>
      <c r="D22" s="114"/>
    </row>
    <row r="23" spans="1:4" ht="38.25">
      <c r="A23" s="133" t="s">
        <v>90</v>
      </c>
      <c r="B23" s="22" t="s">
        <v>92</v>
      </c>
      <c r="C23" s="111">
        <v>391800</v>
      </c>
    </row>
    <row r="24" spans="1:4" ht="25.5">
      <c r="A24" s="134"/>
      <c r="B24" s="22" t="s">
        <v>91</v>
      </c>
      <c r="C24" s="111">
        <v>13827</v>
      </c>
    </row>
    <row r="25" spans="1:4" ht="38.25">
      <c r="A25" s="133" t="s">
        <v>95</v>
      </c>
      <c r="B25" s="22" t="s">
        <v>93</v>
      </c>
      <c r="C25" s="111">
        <v>32823</v>
      </c>
    </row>
    <row r="26" spans="1:4" ht="25.5">
      <c r="A26" s="134"/>
      <c r="B26" s="22" t="s">
        <v>94</v>
      </c>
      <c r="C26" s="111">
        <v>474</v>
      </c>
    </row>
    <row r="27" spans="1:4" ht="38.25">
      <c r="A27" s="133" t="s">
        <v>98</v>
      </c>
      <c r="B27" s="110" t="s">
        <v>96</v>
      </c>
      <c r="C27" s="64">
        <v>0</v>
      </c>
      <c r="D27" s="114"/>
    </row>
    <row r="28" spans="1:4" ht="25.5">
      <c r="A28" s="135"/>
      <c r="B28" s="110" t="s">
        <v>164</v>
      </c>
      <c r="C28" s="64">
        <v>47</v>
      </c>
    </row>
    <row r="29" spans="1:4">
      <c r="A29" s="134"/>
      <c r="B29" s="110" t="s">
        <v>97</v>
      </c>
      <c r="C29" s="64">
        <v>50</v>
      </c>
      <c r="D29" s="114"/>
    </row>
    <row r="30" spans="1:4" ht="89.25">
      <c r="A30" s="133" t="s">
        <v>101</v>
      </c>
      <c r="B30" s="22" t="s">
        <v>100</v>
      </c>
      <c r="C30" s="64">
        <v>0</v>
      </c>
    </row>
    <row r="31" spans="1:4" ht="25.5">
      <c r="A31" s="134"/>
      <c r="B31" s="43" t="s">
        <v>99</v>
      </c>
      <c r="C31" s="64">
        <v>14479</v>
      </c>
    </row>
    <row r="32" spans="1:4" ht="51">
      <c r="A32" s="133" t="s">
        <v>103</v>
      </c>
      <c r="B32" s="22" t="s">
        <v>102</v>
      </c>
      <c r="C32" s="64">
        <v>0</v>
      </c>
    </row>
    <row r="33" spans="1:4" ht="25.5">
      <c r="A33" s="134"/>
      <c r="B33" s="43" t="s">
        <v>99</v>
      </c>
      <c r="C33" s="64">
        <v>14479</v>
      </c>
    </row>
    <row r="34" spans="1:4" ht="45.75" customHeight="1">
      <c r="A34" s="133" t="s">
        <v>105</v>
      </c>
      <c r="B34" s="22" t="s">
        <v>104</v>
      </c>
      <c r="C34" s="64">
        <v>1315</v>
      </c>
      <c r="D34" s="117"/>
    </row>
    <row r="35" spans="1:4">
      <c r="A35" s="134"/>
      <c r="B35" s="43" t="s">
        <v>160</v>
      </c>
      <c r="C35" s="64">
        <v>426312</v>
      </c>
    </row>
    <row r="36" spans="1:4" ht="51">
      <c r="A36" s="133" t="s">
        <v>107</v>
      </c>
      <c r="B36" s="22" t="s">
        <v>106</v>
      </c>
      <c r="C36" s="64">
        <v>0</v>
      </c>
    </row>
    <row r="37" spans="1:4">
      <c r="A37" s="134"/>
      <c r="B37" s="43" t="s">
        <v>160</v>
      </c>
      <c r="C37" s="64">
        <v>426312</v>
      </c>
    </row>
    <row r="38" spans="1:4" ht="38.25">
      <c r="A38" s="133" t="s">
        <v>109</v>
      </c>
      <c r="B38" s="22" t="s">
        <v>108</v>
      </c>
      <c r="C38" s="64">
        <v>0</v>
      </c>
    </row>
    <row r="39" spans="1:4">
      <c r="A39" s="134"/>
      <c r="B39" s="43" t="s">
        <v>160</v>
      </c>
      <c r="C39" s="64">
        <v>426312</v>
      </c>
    </row>
    <row r="40" spans="1:4" ht="53.25" customHeight="1">
      <c r="A40" s="133" t="s">
        <v>111</v>
      </c>
      <c r="B40" s="22" t="s">
        <v>110</v>
      </c>
      <c r="C40" s="64">
        <v>3491</v>
      </c>
      <c r="D40" s="116"/>
    </row>
    <row r="41" spans="1:4">
      <c r="A41" s="134"/>
      <c r="B41" s="43" t="s">
        <v>160</v>
      </c>
      <c r="C41" s="64">
        <v>426312</v>
      </c>
    </row>
    <row r="42" spans="1:4" ht="51">
      <c r="A42" s="133" t="s">
        <v>113</v>
      </c>
      <c r="B42" s="22" t="s">
        <v>112</v>
      </c>
      <c r="C42" s="64">
        <v>2964</v>
      </c>
      <c r="D42" s="116"/>
    </row>
    <row r="43" spans="1:4" ht="38.25">
      <c r="A43" s="134"/>
      <c r="B43" s="43" t="s">
        <v>110</v>
      </c>
      <c r="C43" s="64">
        <v>3491</v>
      </c>
    </row>
    <row r="44" spans="1:4" ht="63.75">
      <c r="A44" s="133" t="s">
        <v>114</v>
      </c>
      <c r="B44" s="22" t="s">
        <v>166</v>
      </c>
      <c r="C44" s="64">
        <v>5</v>
      </c>
    </row>
    <row r="45" spans="1:4" ht="51">
      <c r="A45" s="134"/>
      <c r="B45" s="43" t="s">
        <v>112</v>
      </c>
      <c r="C45" s="64">
        <v>2964</v>
      </c>
    </row>
    <row r="46" spans="1:4" ht="51">
      <c r="A46" s="133" t="s">
        <v>116</v>
      </c>
      <c r="B46" s="22" t="s">
        <v>115</v>
      </c>
      <c r="C46" s="64">
        <v>2</v>
      </c>
    </row>
    <row r="47" spans="1:4">
      <c r="A47" s="134"/>
      <c r="B47" s="43" t="s">
        <v>160</v>
      </c>
      <c r="C47" s="64">
        <v>426312</v>
      </c>
    </row>
    <row r="48" spans="1:4" ht="38.25">
      <c r="A48" s="133" t="s">
        <v>118</v>
      </c>
      <c r="B48" s="22" t="s">
        <v>117</v>
      </c>
      <c r="C48" s="64">
        <v>15289</v>
      </c>
    </row>
    <row r="49" spans="1:4">
      <c r="A49" s="134"/>
      <c r="B49" s="43" t="s">
        <v>160</v>
      </c>
      <c r="C49" s="64">
        <v>426312</v>
      </c>
    </row>
    <row r="50" spans="1:4" ht="38.25">
      <c r="A50" s="23" t="s">
        <v>120</v>
      </c>
      <c r="B50" s="22" t="s">
        <v>119</v>
      </c>
      <c r="C50" s="111">
        <v>19</v>
      </c>
    </row>
    <row r="51" spans="1:4" ht="25.5">
      <c r="A51" s="135" t="s">
        <v>121</v>
      </c>
      <c r="B51" s="22" t="s">
        <v>175</v>
      </c>
      <c r="C51" s="111">
        <v>903754</v>
      </c>
      <c r="D51" s="115"/>
    </row>
    <row r="52" spans="1:4" ht="25.5" customHeight="1">
      <c r="A52" s="135"/>
      <c r="B52" s="22" t="s">
        <v>170</v>
      </c>
      <c r="C52" s="111">
        <v>68518</v>
      </c>
      <c r="D52" s="115"/>
    </row>
    <row r="53" spans="1:4" ht="25.5">
      <c r="A53" s="135"/>
      <c r="B53" s="110" t="s">
        <v>172</v>
      </c>
      <c r="C53" s="111">
        <v>39621</v>
      </c>
      <c r="D53" s="116"/>
    </row>
    <row r="54" spans="1:4" ht="25.5">
      <c r="A54" s="134"/>
      <c r="B54" s="22" t="s">
        <v>171</v>
      </c>
      <c r="C54" s="111">
        <v>8999</v>
      </c>
    </row>
    <row r="55" spans="1:4">
      <c r="A55" s="133" t="s">
        <v>126</v>
      </c>
      <c r="B55" s="22" t="s">
        <v>122</v>
      </c>
      <c r="C55" s="111">
        <v>544</v>
      </c>
    </row>
    <row r="56" spans="1:4" ht="25.5">
      <c r="A56" s="135"/>
      <c r="B56" s="22" t="s">
        <v>123</v>
      </c>
      <c r="C56" s="64">
        <v>16</v>
      </c>
    </row>
    <row r="57" spans="1:4" ht="25.5">
      <c r="A57" s="135"/>
      <c r="B57" s="22" t="s">
        <v>124</v>
      </c>
      <c r="C57" s="64">
        <v>0</v>
      </c>
    </row>
    <row r="58" spans="1:4" ht="18" customHeight="1">
      <c r="A58" s="134"/>
      <c r="B58" s="110" t="s">
        <v>125</v>
      </c>
      <c r="C58" s="64">
        <v>707837</v>
      </c>
    </row>
    <row r="59" spans="1:4" ht="51">
      <c r="A59" s="133" t="s">
        <v>127</v>
      </c>
      <c r="B59" s="22" t="s">
        <v>163</v>
      </c>
      <c r="C59" s="64">
        <v>93</v>
      </c>
    </row>
    <row r="60" spans="1:4" ht="25.5">
      <c r="A60" s="134"/>
      <c r="B60" s="43" t="s">
        <v>99</v>
      </c>
      <c r="C60" s="111">
        <v>14479</v>
      </c>
    </row>
    <row r="61" spans="1:4" ht="38.25">
      <c r="A61" s="133" t="s">
        <v>130</v>
      </c>
      <c r="B61" s="22" t="s">
        <v>128</v>
      </c>
      <c r="C61" s="111">
        <v>6.8</v>
      </c>
    </row>
    <row r="62" spans="1:4" ht="25.5">
      <c r="A62" s="134"/>
      <c r="B62" s="22" t="s">
        <v>129</v>
      </c>
      <c r="C62" s="64">
        <v>6</v>
      </c>
    </row>
    <row r="63" spans="1:4" ht="25.5">
      <c r="A63" s="133" t="s">
        <v>131</v>
      </c>
      <c r="B63" s="22" t="s">
        <v>132</v>
      </c>
      <c r="C63" s="64">
        <v>6</v>
      </c>
    </row>
    <row r="64" spans="1:4" ht="25.5">
      <c r="A64" s="134"/>
      <c r="B64" s="22" t="s">
        <v>133</v>
      </c>
      <c r="C64" s="64">
        <v>4</v>
      </c>
    </row>
    <row r="66" spans="2:2">
      <c r="B66" s="88"/>
    </row>
    <row r="67" spans="2:2">
      <c r="B67" s="89"/>
    </row>
    <row r="83" spans="3:3">
      <c r="C83" s="109"/>
    </row>
  </sheetData>
  <mergeCells count="26">
    <mergeCell ref="D17:D20"/>
    <mergeCell ref="A51:A54"/>
    <mergeCell ref="A61:A62"/>
    <mergeCell ref="A38:A39"/>
    <mergeCell ref="A63:A64"/>
    <mergeCell ref="A23:A24"/>
    <mergeCell ref="A25:A26"/>
    <mergeCell ref="A27:A29"/>
    <mergeCell ref="A30:A31"/>
    <mergeCell ref="A55:A58"/>
    <mergeCell ref="A59:A60"/>
    <mergeCell ref="A34:A35"/>
    <mergeCell ref="A48:A49"/>
    <mergeCell ref="A36:A37"/>
    <mergeCell ref="A40:A41"/>
    <mergeCell ref="A42:A43"/>
    <mergeCell ref="A44:A45"/>
    <mergeCell ref="A46:A47"/>
    <mergeCell ref="A3:A4"/>
    <mergeCell ref="A13:A14"/>
    <mergeCell ref="A15:A16"/>
    <mergeCell ref="A32:A33"/>
    <mergeCell ref="A19:A20"/>
    <mergeCell ref="A17:A18"/>
    <mergeCell ref="A21:A22"/>
    <mergeCell ref="A8:A12"/>
  </mergeCells>
  <pageMargins left="0.11811023622047245" right="0.11811023622047245" top="0.15748031496062992" bottom="0.15748031496062992" header="0.31496062992125984" footer="0.31496062992125984"/>
  <pageSetup paperSize="9" scale="84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Свод</vt:lpstr>
      <vt:lpstr>ИНФ</vt:lpstr>
      <vt:lpstr>ИСП</vt:lpstr>
      <vt:lpstr>РОС</vt:lpstr>
      <vt:lpstr>Исходные</vt:lpstr>
      <vt:lpstr>ИНФ!Область_печати</vt:lpstr>
      <vt:lpstr>ИСП!Область_печати</vt:lpstr>
      <vt:lpstr>Исходные!Область_печати</vt:lpstr>
      <vt:lpstr>РОС!Область_печати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Фраер</dc:creator>
  <cp:lastModifiedBy>Лежнева Ольга Дмитриевна</cp:lastModifiedBy>
  <cp:lastPrinted>2014-03-03T12:55:59Z</cp:lastPrinted>
  <dcterms:created xsi:type="dcterms:W3CDTF">2009-10-12T18:36:30Z</dcterms:created>
  <dcterms:modified xsi:type="dcterms:W3CDTF">2014-03-03T12:56:11Z</dcterms:modified>
</cp:coreProperties>
</file>